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tables/table1.xml" ContentType="application/vnd.openxmlformats-officedocument.spreadsheetml.table+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531"/>
  <fileSharing readOnlyRecommended="1"/>
  <workbookPr codeName="ThisWorkbook"/>
  <mc:AlternateContent xmlns:mc="http://schemas.openxmlformats.org/markup-compatibility/2006">
    <mc:Choice Requires="x15">
      <x15ac:absPath xmlns:x15ac="http://schemas.microsoft.com/office/spreadsheetml/2010/11/ac" url="C:\Users\montgorx14\Downloads\"/>
    </mc:Choice>
  </mc:AlternateContent>
  <xr:revisionPtr revIDLastSave="0" documentId="8_{257885F5-5D64-47E5-91D5-16C01C82DE62}" xr6:coauthVersionLast="47" xr6:coauthVersionMax="47" xr10:uidLastSave="{00000000-0000-0000-0000-000000000000}"/>
  <workbookProtection lockStructure="1"/>
  <bookViews>
    <workbookView xWindow="-120" yWindow="-21720" windowWidth="51840" windowHeight="21240" tabRatio="763" xr2:uid="{57F8B573-4D02-4841-877E-248AA3BDA5E1}"/>
  </bookViews>
  <sheets>
    <sheet name="Introduction" sheetId="294" r:id="rId1"/>
    <sheet name="Methodology" sheetId="106" r:id="rId2"/>
    <sheet name="EPD List" sheetId="2" r:id="rId3"/>
    <sheet name="Emission Factors database" sheetId="293" r:id="rId4"/>
    <sheet name="EF Table_detail" sheetId="180" state="hidden" r:id="rId5"/>
    <sheet name="Database CSV" sheetId="299" r:id="rId6"/>
    <sheet name="Concrete_10MPa" sheetId="220" r:id="rId7"/>
    <sheet name="Concrete_20MPa" sheetId="196" r:id="rId8"/>
    <sheet name="Concrete_25MPa" sheetId="221" r:id="rId9"/>
    <sheet name="Concrete_32MPa" sheetId="222" r:id="rId10"/>
    <sheet name="Concrete_40MPa" sheetId="223" r:id="rId11"/>
    <sheet name="Concrete_50MPa" sheetId="224" r:id="rId12"/>
    <sheet name="Concrete_65MPa" sheetId="225" r:id="rId13"/>
    <sheet name="Concrete_80MPa" sheetId="226" r:id="rId14"/>
    <sheet name="Concrete_80upMPa" sheetId="227" r:id="rId15"/>
    <sheet name="Concrete_precast_panel" sheetId="228" r:id="rId16"/>
    <sheet name="Concrete_hollowcore" sheetId="230" r:id="rId17"/>
    <sheet name="Asphalt" sheetId="231" r:id="rId18"/>
    <sheet name="Concrete_bricks" sheetId="232" r:id="rId19"/>
    <sheet name="AAC_block" sheetId="233" r:id="rId20"/>
    <sheet name="Stainless_steel" sheetId="234" r:id="rId21"/>
    <sheet name="Reinforcing_steel" sheetId="235" r:id="rId22"/>
    <sheet name="Structural_steel_hot" sheetId="236" r:id="rId23"/>
    <sheet name="Structural_steel_hot_painted" sheetId="238" r:id="rId24"/>
    <sheet name="Structural_steel_hot_gal" sheetId="242" r:id="rId25"/>
    <sheet name="Structural_steel_cold" sheetId="237" r:id="rId26"/>
    <sheet name="Structural_steel_cold_painted" sheetId="239" r:id="rId27"/>
    <sheet name="Structural_steel_cold_gal" sheetId="240" r:id="rId28"/>
    <sheet name="Steel_cladding_metallic" sheetId="241" r:id="rId29"/>
    <sheet name="Steel_cladding_painted" sheetId="243" r:id="rId30"/>
    <sheet name="Aluminium_cladding" sheetId="244" r:id="rId31"/>
    <sheet name="Engineered_fill" sheetId="245" r:id="rId32"/>
    <sheet name="Recovered_aggregate" sheetId="246" r:id="rId33"/>
    <sheet name="Stabilised_sand" sheetId="249" r:id="rId34"/>
    <sheet name="Panel_SIP_less_equal_100" sheetId="247" r:id="rId35"/>
    <sheet name="Panel_SIP_more100" sheetId="248" r:id="rId36"/>
    <sheet name="Clay_bricks" sheetId="250" r:id="rId37"/>
    <sheet name="Fibre_Cement" sheetId="251" r:id="rId38"/>
    <sheet name="Plasterboard" sheetId="252" r:id="rId39"/>
    <sheet name="Timber_softwood" sheetId="253" r:id="rId40"/>
    <sheet name="Timber_hardwood" sheetId="254" r:id="rId41"/>
    <sheet name="Timber_Weatherboard" sheetId="255" r:id="rId42"/>
    <sheet name="Eng_Timber_Plywood" sheetId="256" r:id="rId43"/>
    <sheet name="Eng_Timber_Particleboard" sheetId="258" r:id="rId44"/>
    <sheet name="Eng_Timber_Decorative_Pb" sheetId="259" r:id="rId45"/>
    <sheet name="Eng_Timber_MDF" sheetId="260" r:id="rId46"/>
    <sheet name="Eng_Timber_GLT_CLT_Soft" sheetId="261" r:id="rId47"/>
    <sheet name="Eng_Timber_GLT_CLT_Hard" sheetId="262" r:id="rId48"/>
    <sheet name="Eng_Timber_LVL" sheetId="263" r:id="rId49"/>
    <sheet name="Eng_Timber_OSB" sheetId="264" r:id="rId50"/>
    <sheet name="Lift_Cat1_2" sheetId="265" r:id="rId51"/>
    <sheet name="Lift_Cat3_4" sheetId="266" r:id="rId52"/>
    <sheet name="Lift_Cat5_6" sheetId="267" r:id="rId53"/>
    <sheet name="Escalator" sheetId="268" r:id="rId54"/>
    <sheet name="Roof_Tiles_Clay" sheetId="269" r:id="rId55"/>
    <sheet name="GRC" sheetId="279" r:id="rId56"/>
    <sheet name="Pavers_ceramic" sheetId="271" r:id="rId57"/>
    <sheet name="Pavers_stone" sheetId="272" r:id="rId58"/>
    <sheet name="Glass" sheetId="273" r:id="rId59"/>
    <sheet name="Access_floor" sheetId="282" r:id="rId60"/>
    <sheet name="Carpet_flooring" sheetId="283" r:id="rId61"/>
    <sheet name="Vinyl_flooring" sheetId="284" r:id="rId62"/>
    <sheet name="Laminate_flooring" sheetId="286" r:id="rId63"/>
    <sheet name="Hybrid_flooring" sheetId="287" r:id="rId64"/>
    <sheet name="Rubber_flooring" sheetId="285" r:id="rId65"/>
    <sheet name="Roller_Door" sheetId="281" r:id="rId66"/>
    <sheet name="Aluminium_extruded" sheetId="276" r:id="rId67"/>
    <sheet name="Aluminium_extru_powdercoat" sheetId="277" r:id="rId68"/>
    <sheet name="Aluminium_extru_anodised" sheetId="278" r:id="rId69"/>
    <sheet name="Curtain_wall" sheetId="190" r:id="rId70"/>
    <sheet name="Building_services" sheetId="173" r:id="rId71"/>
    <sheet name="Window_doors_generic" sheetId="219" r:id="rId72"/>
    <sheet name="EPDM" sheetId="274" state="hidden" r:id="rId73"/>
    <sheet name="Thermal_break" sheetId="288" state="hidden" r:id="rId74"/>
    <sheet name="Insulation" sheetId="275" state="hidden" r:id="rId75"/>
    <sheet name="Waste rates" sheetId="289" r:id="rId76"/>
    <sheet name="Other_Conc." sheetId="28" state="hidden" r:id="rId77"/>
  </sheets>
  <definedNames>
    <definedName name="_xlnm._FilterDatabase" localSheetId="2" hidden="1">'EPD List'!$A$7:$AD$2519</definedName>
    <definedName name="macro_db_filename">#REF!</definedName>
    <definedName name="macro_db_intro">#REF!</definedName>
    <definedName name="macro_db_keep">#REF!</definedName>
    <definedName name="macro_epd_filename">#REF!</definedName>
    <definedName name="macro_epd_intro">#REF!</definedName>
    <definedName name="macro_epd_keep">#REF!</definedName>
    <definedName name="macro_td_filename">#REF!</definedName>
    <definedName name="macro_td_intro">#REF!</definedName>
    <definedName name="print_SF">_xlfn.LAMBDA(_xlpm.x,IF(_xlpm.x&lt;&gt;"",_xlfn.LET(_xlpm.orig_value,IFERROR(ROUND(_xlpm.x,3-(1+INT(LOG10(ABS(_xlpm.x))))),0),IF(_xlpm.orig_value=0,TEXT(0,"0"),IF(ABS(_xlpm.orig_value)&gt;=100000,TEXT(_xlpm.orig_value,"0.00E+00"),IF(ABS(_xlpm.orig_value)&gt;=100,TEXT(_xlpm.orig_value,"#,##"),IF(ABS(_xlpm.orig_value)&gt;=10,TEXT(_xlpm.orig_value,"#,##0.0"),IF(ABS(_xlpm.orig_value)&gt;=1,TEXT(_xlpm.orig_value,"#,##0.00"),IF(ABS(_xlpm.orig_value)&gt;=0.1,TEXT(_xlpm.orig_value,"0.000"),IF(ABS(_xlpm.orig_value)&gt;=0.01,TEXT(_xlpm.orig_value,"0.0000"),IF(ABS(_xlpm.orig_value)&gt;=0.001,TEXT(_xlpm.orig_value,"0.00000"),TEXT(_xlpm.orig_value,"0.00E+00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V91" i="299" l="1"/>
  <c r="Q4" i="293"/>
  <c r="AG18" i="219"/>
  <c r="W18" i="219"/>
  <c r="X18" i="219"/>
  <c r="Y18" i="219"/>
  <c r="Z18" i="219"/>
  <c r="AA18" i="219"/>
  <c r="AB18" i="219"/>
  <c r="AC18" i="219"/>
  <c r="AD18" i="219"/>
  <c r="V18" i="219"/>
  <c r="A1" i="289" a="1"/>
  <c r="A1" i="289" s="1"/>
  <c r="A1" i="219" a="1"/>
  <c r="A1" i="219" s="1"/>
  <c r="A1" i="173" a="1"/>
  <c r="A1" i="173" s="1"/>
  <c r="A1" i="190" a="1"/>
  <c r="A1" i="190" s="1"/>
  <c r="A1" i="278" a="1"/>
  <c r="A1" i="278" s="1"/>
  <c r="A1" i="277" a="1"/>
  <c r="A1" i="277" s="1"/>
  <c r="A1" i="276" a="1"/>
  <c r="A1" i="276" s="1"/>
  <c r="A1" i="281" a="1"/>
  <c r="A1" i="281" s="1"/>
  <c r="A1" i="285" a="1"/>
  <c r="A1" i="285" s="1"/>
  <c r="A1" i="286" a="1"/>
  <c r="A1" i="286" s="1"/>
  <c r="A1" i="287" a="1"/>
  <c r="A1" i="287" s="1"/>
  <c r="A1" i="284" a="1"/>
  <c r="A1" i="284" s="1"/>
  <c r="A1" i="283" a="1"/>
  <c r="A1" i="283" s="1"/>
  <c r="A1" i="282" a="1"/>
  <c r="A1" i="282" s="1"/>
  <c r="A1" i="273" a="1"/>
  <c r="A1" i="273" s="1"/>
  <c r="A1" i="272" a="1"/>
  <c r="A1" i="272" s="1"/>
  <c r="A1" i="271" a="1"/>
  <c r="A1" i="271" s="1"/>
  <c r="A1" i="279" a="1"/>
  <c r="A1" i="279" s="1"/>
  <c r="A1" i="269" a="1"/>
  <c r="A1" i="269" s="1"/>
  <c r="A1" i="268" a="1"/>
  <c r="A1" i="268" s="1"/>
  <c r="A1" i="267" a="1"/>
  <c r="A1" i="267" s="1"/>
  <c r="A1" i="266" a="1"/>
  <c r="A1" i="266" s="1"/>
  <c r="A1" i="265" a="1"/>
  <c r="A1" i="265" s="1"/>
  <c r="A1" i="264" a="1"/>
  <c r="A1" i="264" s="1"/>
  <c r="A1" i="263" a="1"/>
  <c r="A1" i="263" s="1"/>
  <c r="A1" i="262" a="1"/>
  <c r="A1" i="262" s="1"/>
  <c r="A1" i="261" a="1"/>
  <c r="A1" i="261" s="1"/>
  <c r="A1" i="260" a="1"/>
  <c r="A1" i="260" s="1"/>
  <c r="A1" i="259" a="1"/>
  <c r="A1" i="259" s="1"/>
  <c r="A1" i="258" a="1"/>
  <c r="A1" i="258" s="1"/>
  <c r="A1" i="256" a="1"/>
  <c r="A1" i="256" s="1"/>
  <c r="A1" i="255" a="1"/>
  <c r="A1" i="255" s="1"/>
  <c r="A1" i="254" a="1"/>
  <c r="A1" i="254" s="1"/>
  <c r="A1" i="253" a="1"/>
  <c r="A1" i="253" s="1"/>
  <c r="A1" i="252" a="1"/>
  <c r="A1" i="252" s="1"/>
  <c r="A1" i="251" a="1"/>
  <c r="A1" i="251" s="1"/>
  <c r="A1" i="250" a="1"/>
  <c r="A1" i="250" s="1"/>
  <c r="A1" i="248" a="1"/>
  <c r="A1" i="248" s="1"/>
  <c r="A1" i="247" a="1"/>
  <c r="A1" i="247" s="1"/>
  <c r="A1" i="249" a="1"/>
  <c r="A1" i="249" s="1"/>
  <c r="A1" i="246" a="1"/>
  <c r="A1" i="246" s="1"/>
  <c r="A1" i="245" a="1"/>
  <c r="A1" i="245" s="1"/>
  <c r="A1" i="244" a="1"/>
  <c r="A1" i="244" s="1"/>
  <c r="A1" i="243" a="1"/>
  <c r="A1" i="243" s="1"/>
  <c r="A1" i="241" a="1"/>
  <c r="A1" i="241" s="1"/>
  <c r="A1" i="240" a="1"/>
  <c r="A1" i="240" s="1"/>
  <c r="A1" i="239" a="1"/>
  <c r="A1" i="239" s="1"/>
  <c r="A1" i="237" a="1"/>
  <c r="A1" i="237" s="1"/>
  <c r="A1" i="242" a="1"/>
  <c r="A1" i="242" s="1"/>
  <c r="A1" i="238" a="1"/>
  <c r="A1" i="238" s="1"/>
  <c r="A1" i="236" a="1"/>
  <c r="A1" i="236" s="1"/>
  <c r="A1" i="235" a="1"/>
  <c r="A1" i="235" s="1"/>
  <c r="A1" i="234" a="1"/>
  <c r="A1" i="234" s="1"/>
  <c r="A1" i="233" a="1"/>
  <c r="A1" i="233" s="1"/>
  <c r="A1" i="231" a="1"/>
  <c r="A1" i="231" s="1"/>
  <c r="A1" i="232" a="1"/>
  <c r="A1" i="232" s="1"/>
  <c r="A1" i="230" a="1"/>
  <c r="A1" i="230" s="1"/>
  <c r="A1" i="228" a="1"/>
  <c r="A1" i="228" s="1"/>
  <c r="A1" i="227" a="1"/>
  <c r="A1" i="227" s="1"/>
  <c r="A1" i="226" a="1"/>
  <c r="A1" i="226" s="1"/>
  <c r="A1" i="225" a="1"/>
  <c r="A1" i="225" s="1"/>
  <c r="A1" i="224" a="1"/>
  <c r="A1" i="224" s="1"/>
  <c r="A1" i="223" a="1"/>
  <c r="A1" i="223" s="1"/>
  <c r="A1" i="222" a="1"/>
  <c r="A1" i="222" s="1"/>
  <c r="A1" i="221" a="1"/>
  <c r="A1" i="221" s="1"/>
  <c r="A1" i="196" a="1"/>
  <c r="A1" i="196" s="1"/>
  <c r="A1" i="220" a="1"/>
  <c r="A1" i="220" s="1"/>
  <c r="T131" i="180"/>
  <c r="B33" i="219"/>
  <c r="B32" i="219"/>
  <c r="Y5" i="293"/>
  <c r="B5" i="293"/>
  <c r="A1" i="299" s="1"/>
  <c r="C5" i="293"/>
  <c r="B1" i="299" s="1"/>
  <c r="D5" i="293"/>
  <c r="C1" i="299" s="1"/>
  <c r="E5" i="293"/>
  <c r="F5" i="293"/>
  <c r="D1" i="299" s="1"/>
  <c r="G5" i="293"/>
  <c r="E1" i="299" s="1"/>
  <c r="H5" i="293"/>
  <c r="F1" i="299" s="1"/>
  <c r="I5" i="293"/>
  <c r="G1" i="299" s="1"/>
  <c r="J5" i="293"/>
  <c r="H1" i="299" s="1"/>
  <c r="K5" i="293"/>
  <c r="I1" i="299" s="1"/>
  <c r="L5" i="293"/>
  <c r="J1" i="299" s="1"/>
  <c r="M5" i="293"/>
  <c r="K1" i="299" s="1"/>
  <c r="N5" i="293"/>
  <c r="L1" i="299" s="1"/>
  <c r="O5" i="293"/>
  <c r="M1" i="299" s="1"/>
  <c r="P5" i="293"/>
  <c r="N1" i="299" s="1"/>
  <c r="Q5" i="293"/>
  <c r="O1" i="299" s="1"/>
  <c r="R5" i="293"/>
  <c r="P1" i="299" s="1"/>
  <c r="S5" i="293"/>
  <c r="Q1" i="299" s="1"/>
  <c r="T5" i="293"/>
  <c r="R1" i="299" s="1"/>
  <c r="U5" i="293"/>
  <c r="S1" i="299" s="1"/>
  <c r="V5" i="293"/>
  <c r="T1" i="299" s="1"/>
  <c r="W5" i="293"/>
  <c r="U1" i="299" s="1"/>
  <c r="X5" i="293"/>
  <c r="V1" i="299" s="1"/>
  <c r="Z5" i="293"/>
  <c r="W1" i="299" s="1"/>
  <c r="B4" i="293"/>
  <c r="C4" i="293"/>
  <c r="D4" i="293"/>
  <c r="E4" i="293"/>
  <c r="F4" i="293"/>
  <c r="G4" i="293"/>
  <c r="H4" i="293"/>
  <c r="D63" i="190"/>
  <c r="E63" i="190"/>
  <c r="F63" i="190"/>
  <c r="G63" i="190"/>
  <c r="H63" i="190"/>
  <c r="I63" i="190"/>
  <c r="J63" i="190"/>
  <c r="K63" i="190"/>
  <c r="L63" i="190"/>
  <c r="M63" i="190"/>
  <c r="N63" i="190"/>
  <c r="O63" i="190"/>
  <c r="P63" i="190"/>
  <c r="Q63" i="190"/>
  <c r="R63" i="190"/>
  <c r="C63" i="190"/>
  <c r="C78" i="190"/>
  <c r="D78" i="190"/>
  <c r="E78" i="190"/>
  <c r="F78" i="190"/>
  <c r="G78" i="190"/>
  <c r="H78" i="190"/>
  <c r="I78" i="190"/>
  <c r="J78" i="190"/>
  <c r="K78" i="190"/>
  <c r="L78" i="190"/>
  <c r="M78" i="190"/>
  <c r="N78" i="190"/>
  <c r="O78" i="190"/>
  <c r="P78" i="190"/>
  <c r="Q78" i="190"/>
  <c r="R78" i="190"/>
  <c r="C79" i="190"/>
  <c r="D79" i="190"/>
  <c r="E79" i="190"/>
  <c r="F79" i="190"/>
  <c r="G79" i="190"/>
  <c r="H79" i="190"/>
  <c r="I79" i="190"/>
  <c r="J79" i="190"/>
  <c r="K79" i="190"/>
  <c r="L79" i="190"/>
  <c r="M79" i="190"/>
  <c r="N79" i="190"/>
  <c r="O79" i="190"/>
  <c r="P79" i="190"/>
  <c r="Q79" i="190"/>
  <c r="R79" i="190"/>
  <c r="C80" i="190"/>
  <c r="D80" i="190"/>
  <c r="E80" i="190"/>
  <c r="F80" i="190"/>
  <c r="G80" i="190"/>
  <c r="H80" i="190"/>
  <c r="I80" i="190"/>
  <c r="J80" i="190"/>
  <c r="K80" i="190"/>
  <c r="L80" i="190"/>
  <c r="M80" i="190"/>
  <c r="N80" i="190"/>
  <c r="O80" i="190"/>
  <c r="P80" i="190"/>
  <c r="Q80" i="190"/>
  <c r="R80" i="190"/>
  <c r="C81" i="190"/>
  <c r="D81" i="190"/>
  <c r="E81" i="190"/>
  <c r="F81" i="190"/>
  <c r="G81" i="190"/>
  <c r="H81" i="190"/>
  <c r="I81" i="190"/>
  <c r="J81" i="190"/>
  <c r="K81" i="190"/>
  <c r="L81" i="190"/>
  <c r="M81" i="190"/>
  <c r="N81" i="190"/>
  <c r="O81" i="190"/>
  <c r="P81" i="190"/>
  <c r="Q81" i="190"/>
  <c r="R81" i="190"/>
  <c r="C82" i="190"/>
  <c r="D82" i="190"/>
  <c r="E82" i="190"/>
  <c r="F82" i="190"/>
  <c r="G82" i="190"/>
  <c r="H82" i="190"/>
  <c r="I82" i="190"/>
  <c r="J82" i="190"/>
  <c r="K82" i="190"/>
  <c r="L82" i="190"/>
  <c r="M82" i="190"/>
  <c r="N82" i="190"/>
  <c r="O82" i="190"/>
  <c r="P82" i="190"/>
  <c r="Q82" i="190"/>
  <c r="R82" i="190"/>
  <c r="C83" i="190"/>
  <c r="D83" i="190"/>
  <c r="E83" i="190"/>
  <c r="F83" i="190"/>
  <c r="G83" i="190"/>
  <c r="H83" i="190"/>
  <c r="I83" i="190"/>
  <c r="J83" i="190"/>
  <c r="K83" i="190"/>
  <c r="L83" i="190"/>
  <c r="M83" i="190"/>
  <c r="N83" i="190"/>
  <c r="O83" i="190"/>
  <c r="P83" i="190"/>
  <c r="Q83" i="190"/>
  <c r="R83" i="190"/>
  <c r="AC130" i="180"/>
  <c r="AC131" i="180"/>
  <c r="AC132" i="180"/>
  <c r="AC133" i="180"/>
  <c r="AC134" i="180"/>
  <c r="Y130" i="180"/>
  <c r="Y131" i="180"/>
  <c r="Y132" i="180"/>
  <c r="Y133" i="180"/>
  <c r="Y134" i="180"/>
  <c r="U104" i="293" a="1"/>
  <c r="U104" i="293" s="1"/>
  <c r="S100" i="299" s="1"/>
  <c r="U105" i="293" a="1"/>
  <c r="U105" i="293" s="1"/>
  <c r="S101" i="299" s="1"/>
  <c r="U106" i="293" a="1"/>
  <c r="U106" i="293" s="1"/>
  <c r="S102" i="299" s="1"/>
  <c r="U107" i="293" a="1"/>
  <c r="U107" i="293" s="1"/>
  <c r="S103" i="299" s="1"/>
  <c r="U108" i="293" a="1"/>
  <c r="U108" i="293" s="1"/>
  <c r="S104" i="299" s="1"/>
  <c r="U109" i="293" a="1"/>
  <c r="U109" i="293" s="1"/>
  <c r="S105" i="299" s="1"/>
  <c r="U110" i="293" a="1"/>
  <c r="U110" i="293" s="1"/>
  <c r="S106" i="299" s="1"/>
  <c r="U111" i="293" a="1"/>
  <c r="U111" i="293" s="1"/>
  <c r="S107" i="299" s="1"/>
  <c r="U112" i="293" a="1"/>
  <c r="U112" i="293" s="1"/>
  <c r="S108" i="299" s="1"/>
  <c r="U113" i="293" a="1"/>
  <c r="U113" i="293" s="1"/>
  <c r="S109" i="299" s="1"/>
  <c r="U114" i="293" a="1"/>
  <c r="U114" i="293" s="1"/>
  <c r="S110" i="299" s="1"/>
  <c r="U115" i="293" a="1"/>
  <c r="U115" i="293" s="1"/>
  <c r="S111" i="299" s="1"/>
  <c r="U116" i="293" a="1"/>
  <c r="U116" i="293" s="1"/>
  <c r="S112" i="299" s="1"/>
  <c r="U117" i="293" a="1"/>
  <c r="U117" i="293" s="1"/>
  <c r="S113" i="299" s="1"/>
  <c r="U118" i="293" a="1"/>
  <c r="U118" i="293" s="1"/>
  <c r="S114" i="299" s="1"/>
  <c r="U119" i="293" a="1"/>
  <c r="U119" i="293" s="1"/>
  <c r="S115" i="299" s="1"/>
  <c r="U120" i="293" a="1"/>
  <c r="U120" i="293" s="1"/>
  <c r="S116" i="299" s="1"/>
  <c r="U121" i="293" a="1"/>
  <c r="U121" i="293" s="1"/>
  <c r="S117" i="299" s="1"/>
  <c r="U122" i="293" a="1"/>
  <c r="U122" i="293" s="1"/>
  <c r="S118" i="299" s="1"/>
  <c r="U123" i="293" a="1"/>
  <c r="U123" i="293" s="1"/>
  <c r="S119" i="299" s="1"/>
  <c r="U124" i="293" a="1"/>
  <c r="U124" i="293" s="1"/>
  <c r="S120" i="299" s="1"/>
  <c r="U125" i="293" a="1"/>
  <c r="U125" i="293" s="1"/>
  <c r="S121" i="299" s="1"/>
  <c r="U126" i="293" a="1"/>
  <c r="U126" i="293" s="1"/>
  <c r="S122" i="299" s="1"/>
  <c r="U127" i="293" a="1"/>
  <c r="U127" i="293" s="1"/>
  <c r="S123" i="299" s="1"/>
  <c r="U128" i="293" a="1"/>
  <c r="U128" i="293" s="1"/>
  <c r="S124" i="299" s="1"/>
  <c r="U129" i="293" a="1"/>
  <c r="U129" i="293" s="1"/>
  <c r="S125" i="299" s="1"/>
  <c r="V129" i="293" a="1"/>
  <c r="V129" i="293" s="1"/>
  <c r="T125" i="299" s="1"/>
  <c r="U130" i="293" a="1"/>
  <c r="U130" i="293" s="1"/>
  <c r="S126" i="299" s="1"/>
  <c r="V130" i="293" a="1"/>
  <c r="V130" i="293" s="1"/>
  <c r="T126" i="299" s="1"/>
  <c r="U131" i="293" a="1"/>
  <c r="U131" i="293" s="1"/>
  <c r="S127" i="299" s="1"/>
  <c r="V131" i="293" a="1"/>
  <c r="V131" i="293" s="1"/>
  <c r="T127" i="299" s="1"/>
  <c r="U132" i="293" a="1"/>
  <c r="U132" i="293" s="1"/>
  <c r="S128" i="299" s="1"/>
  <c r="V132" i="293" a="1"/>
  <c r="V132" i="293" s="1"/>
  <c r="T128" i="299" s="1"/>
  <c r="U133" i="293" a="1"/>
  <c r="U133" i="293" s="1"/>
  <c r="S129" i="299" s="1"/>
  <c r="V133" i="293" a="1"/>
  <c r="V133" i="293" s="1"/>
  <c r="T129" i="299" s="1"/>
  <c r="T129" i="293" a="1"/>
  <c r="T129" i="293" s="1"/>
  <c r="R125" i="299" s="1"/>
  <c r="T130" i="293" a="1"/>
  <c r="T130" i="293" s="1"/>
  <c r="R126" i="299" s="1"/>
  <c r="T131" i="293" a="1"/>
  <c r="T131" i="293" s="1"/>
  <c r="R127" i="299" s="1"/>
  <c r="T132" i="293" a="1"/>
  <c r="T132" i="293" s="1"/>
  <c r="R128" i="299" s="1"/>
  <c r="T133" i="293" a="1"/>
  <c r="T133" i="293" s="1"/>
  <c r="R129" i="299" s="1"/>
  <c r="J4" i="293"/>
  <c r="K4" i="293"/>
  <c r="L4" i="293"/>
  <c r="I4" i="293"/>
  <c r="N4" i="293"/>
  <c r="O4" i="293"/>
  <c r="P4" i="293"/>
  <c r="M4" i="293"/>
  <c r="R4" i="293"/>
  <c r="S4" i="293"/>
  <c r="U4" i="293"/>
  <c r="V4" i="293"/>
  <c r="T4" i="293"/>
  <c r="W4" i="293"/>
  <c r="X4" i="293"/>
  <c r="Y4" i="293"/>
  <c r="Z4" i="293"/>
  <c r="B7" i="293"/>
  <c r="A3" i="299" s="1"/>
  <c r="C7" i="293"/>
  <c r="B3" i="299" s="1"/>
  <c r="E7" i="293"/>
  <c r="B8" i="293"/>
  <c r="A4" i="299" s="1"/>
  <c r="C8" i="293"/>
  <c r="B4" i="299" s="1"/>
  <c r="E8" i="293"/>
  <c r="B9" i="293"/>
  <c r="A5" i="299" s="1"/>
  <c r="C9" i="293"/>
  <c r="B5" i="299" s="1"/>
  <c r="E9" i="293"/>
  <c r="B10" i="293"/>
  <c r="A6" i="299" s="1"/>
  <c r="C10" i="293"/>
  <c r="B6" i="299" s="1"/>
  <c r="E10" i="293"/>
  <c r="B11" i="293"/>
  <c r="A7" i="299" s="1"/>
  <c r="C11" i="293"/>
  <c r="B7" i="299" s="1"/>
  <c r="E11" i="293"/>
  <c r="B12" i="293"/>
  <c r="A8" i="299" s="1"/>
  <c r="C12" i="293"/>
  <c r="B8" i="299" s="1"/>
  <c r="E12" i="293"/>
  <c r="B13" i="293"/>
  <c r="A9" i="299" s="1"/>
  <c r="C13" i="293"/>
  <c r="B9" i="299" s="1"/>
  <c r="E13" i="293"/>
  <c r="B14" i="293"/>
  <c r="A10" i="299" s="1"/>
  <c r="C14" i="293"/>
  <c r="B10" i="299" s="1"/>
  <c r="E14" i="293"/>
  <c r="B15" i="293"/>
  <c r="A11" i="299" s="1"/>
  <c r="C15" i="293"/>
  <c r="B11" i="299" s="1"/>
  <c r="E15" i="293"/>
  <c r="B16" i="293"/>
  <c r="A12" i="299" s="1"/>
  <c r="C16" i="293"/>
  <c r="B12" i="299" s="1"/>
  <c r="E16" i="293"/>
  <c r="B17" i="293"/>
  <c r="A13" i="299" s="1"/>
  <c r="C17" i="293"/>
  <c r="B13" i="299" s="1"/>
  <c r="E17" i="293"/>
  <c r="B18" i="293"/>
  <c r="A14" i="299" s="1"/>
  <c r="C18" i="293"/>
  <c r="B14" i="299" s="1"/>
  <c r="E18" i="293"/>
  <c r="B19" i="293"/>
  <c r="A15" i="299" s="1"/>
  <c r="C19" i="293"/>
  <c r="B15" i="299" s="1"/>
  <c r="E19" i="293"/>
  <c r="B20" i="293"/>
  <c r="A16" i="299" s="1"/>
  <c r="C20" i="293"/>
  <c r="B16" i="299" s="1"/>
  <c r="E20" i="293"/>
  <c r="B21" i="293"/>
  <c r="A17" i="299" s="1"/>
  <c r="C21" i="293"/>
  <c r="B17" i="299" s="1"/>
  <c r="E21" i="293"/>
  <c r="B22" i="293"/>
  <c r="A18" i="299" s="1"/>
  <c r="C22" i="293"/>
  <c r="B18" i="299" s="1"/>
  <c r="E22" i="293"/>
  <c r="B23" i="293"/>
  <c r="A19" i="299" s="1"/>
  <c r="C23" i="293"/>
  <c r="B19" i="299" s="1"/>
  <c r="E23" i="293"/>
  <c r="B24" i="293"/>
  <c r="A20" i="299" s="1"/>
  <c r="C24" i="293"/>
  <c r="B20" i="299" s="1"/>
  <c r="E24" i="293"/>
  <c r="B25" i="293"/>
  <c r="A21" i="299" s="1"/>
  <c r="C25" i="293"/>
  <c r="B21" i="299" s="1"/>
  <c r="E25" i="293"/>
  <c r="B26" i="293"/>
  <c r="A22" i="299" s="1"/>
  <c r="C26" i="293"/>
  <c r="B22" i="299" s="1"/>
  <c r="E26" i="293"/>
  <c r="B27" i="293"/>
  <c r="A23" i="299" s="1"/>
  <c r="C27" i="293"/>
  <c r="B23" i="299" s="1"/>
  <c r="E27" i="293"/>
  <c r="B28" i="293"/>
  <c r="A24" i="299" s="1"/>
  <c r="C28" i="293"/>
  <c r="B24" i="299" s="1"/>
  <c r="E28" i="293"/>
  <c r="B29" i="293"/>
  <c r="A25" i="299" s="1"/>
  <c r="C29" i="293"/>
  <c r="B25" i="299" s="1"/>
  <c r="E29" i="293"/>
  <c r="B30" i="293"/>
  <c r="A26" i="299" s="1"/>
  <c r="C30" i="293"/>
  <c r="B26" i="299" s="1"/>
  <c r="E30" i="293"/>
  <c r="B31" i="293"/>
  <c r="A27" i="299" s="1"/>
  <c r="C31" i="293"/>
  <c r="B27" i="299" s="1"/>
  <c r="E31" i="293"/>
  <c r="B32" i="293"/>
  <c r="A28" i="299" s="1"/>
  <c r="C32" i="293"/>
  <c r="B28" i="299" s="1"/>
  <c r="E32" i="293"/>
  <c r="B33" i="293"/>
  <c r="A29" i="299" s="1"/>
  <c r="C33" i="293"/>
  <c r="B29" i="299" s="1"/>
  <c r="E33" i="293"/>
  <c r="B34" i="293"/>
  <c r="A30" i="299" s="1"/>
  <c r="C34" i="293"/>
  <c r="B30" i="299" s="1"/>
  <c r="E34" i="293"/>
  <c r="B35" i="293"/>
  <c r="A31" i="299" s="1"/>
  <c r="C35" i="293"/>
  <c r="B31" i="299" s="1"/>
  <c r="E35" i="293"/>
  <c r="B36" i="293"/>
  <c r="A32" i="299" s="1"/>
  <c r="C36" i="293"/>
  <c r="B32" i="299" s="1"/>
  <c r="E36" i="293"/>
  <c r="B37" i="293"/>
  <c r="A33" i="299" s="1"/>
  <c r="C37" i="293"/>
  <c r="B33" i="299" s="1"/>
  <c r="E37" i="293"/>
  <c r="B38" i="293"/>
  <c r="A34" i="299" s="1"/>
  <c r="C38" i="293"/>
  <c r="B34" i="299" s="1"/>
  <c r="E38" i="293"/>
  <c r="B39" i="293"/>
  <c r="A35" i="299" s="1"/>
  <c r="C39" i="293"/>
  <c r="B35" i="299" s="1"/>
  <c r="E39" i="293"/>
  <c r="B40" i="293"/>
  <c r="A36" i="299" s="1"/>
  <c r="C40" i="293"/>
  <c r="B36" i="299" s="1"/>
  <c r="E40" i="293"/>
  <c r="B41" i="293"/>
  <c r="A37" i="299" s="1"/>
  <c r="C41" i="293"/>
  <c r="B37" i="299" s="1"/>
  <c r="E41" i="293"/>
  <c r="B42" i="293"/>
  <c r="A38" i="299" s="1"/>
  <c r="C42" i="293"/>
  <c r="B38" i="299" s="1"/>
  <c r="E42" i="293"/>
  <c r="B43" i="293"/>
  <c r="A39" i="299" s="1"/>
  <c r="C43" i="293"/>
  <c r="B39" i="299" s="1"/>
  <c r="E43" i="293"/>
  <c r="B44" i="293"/>
  <c r="A40" i="299" s="1"/>
  <c r="C44" i="293"/>
  <c r="B40" i="299" s="1"/>
  <c r="E44" i="293"/>
  <c r="B45" i="293"/>
  <c r="A41" i="299" s="1"/>
  <c r="C45" i="293"/>
  <c r="B41" i="299" s="1"/>
  <c r="E45" i="293"/>
  <c r="B46" i="293"/>
  <c r="A42" i="299" s="1"/>
  <c r="C46" i="293"/>
  <c r="B42" i="299" s="1"/>
  <c r="E46" i="293"/>
  <c r="B47" i="293"/>
  <c r="A43" i="299" s="1"/>
  <c r="C47" i="293"/>
  <c r="B43" i="299" s="1"/>
  <c r="E47" i="293"/>
  <c r="B48" i="293"/>
  <c r="A44" i="299" s="1"/>
  <c r="C48" i="293"/>
  <c r="B44" i="299" s="1"/>
  <c r="E48" i="293"/>
  <c r="B49" i="293"/>
  <c r="A45" i="299" s="1"/>
  <c r="C49" i="293"/>
  <c r="B45" i="299" s="1"/>
  <c r="E49" i="293"/>
  <c r="B50" i="293"/>
  <c r="A46" i="299" s="1"/>
  <c r="C50" i="293"/>
  <c r="B46" i="299" s="1"/>
  <c r="E50" i="293"/>
  <c r="B51" i="293"/>
  <c r="A47" i="299" s="1"/>
  <c r="C51" i="293"/>
  <c r="B47" i="299" s="1"/>
  <c r="E51" i="293"/>
  <c r="B52" i="293"/>
  <c r="A48" i="299" s="1"/>
  <c r="C52" i="293"/>
  <c r="B48" i="299" s="1"/>
  <c r="E52" i="293"/>
  <c r="B53" i="293"/>
  <c r="A49" i="299" s="1"/>
  <c r="C53" i="293"/>
  <c r="B49" i="299" s="1"/>
  <c r="E53" i="293"/>
  <c r="B54" i="293"/>
  <c r="A50" i="299" s="1"/>
  <c r="C54" i="293"/>
  <c r="B50" i="299" s="1"/>
  <c r="E54" i="293"/>
  <c r="B55" i="293"/>
  <c r="A51" i="299" s="1"/>
  <c r="C55" i="293"/>
  <c r="B51" i="299" s="1"/>
  <c r="E55" i="293"/>
  <c r="B56" i="293"/>
  <c r="A52" i="299" s="1"/>
  <c r="C56" i="293"/>
  <c r="B52" i="299" s="1"/>
  <c r="E56" i="293"/>
  <c r="B57" i="293"/>
  <c r="A53" i="299" s="1"/>
  <c r="C57" i="293"/>
  <c r="B53" i="299" s="1"/>
  <c r="E57" i="293"/>
  <c r="B58" i="293"/>
  <c r="A54" i="299" s="1"/>
  <c r="C58" i="293"/>
  <c r="B54" i="299" s="1"/>
  <c r="E58" i="293"/>
  <c r="B59" i="293"/>
  <c r="A55" i="299" s="1"/>
  <c r="C59" i="293"/>
  <c r="B55" i="299" s="1"/>
  <c r="E59" i="293"/>
  <c r="B60" i="293"/>
  <c r="A56" i="299" s="1"/>
  <c r="C60" i="293"/>
  <c r="B56" i="299" s="1"/>
  <c r="E60" i="293"/>
  <c r="B61" i="293"/>
  <c r="A57" i="299" s="1"/>
  <c r="C61" i="293"/>
  <c r="B57" i="299" s="1"/>
  <c r="E61" i="293"/>
  <c r="B62" i="293"/>
  <c r="A58" i="299" s="1"/>
  <c r="C62" i="293"/>
  <c r="B58" i="299" s="1"/>
  <c r="E62" i="293"/>
  <c r="B63" i="293"/>
  <c r="A59" i="299" s="1"/>
  <c r="C63" i="293"/>
  <c r="B59" i="299" s="1"/>
  <c r="E63" i="293"/>
  <c r="B64" i="293"/>
  <c r="A60" i="299" s="1"/>
  <c r="C64" i="293"/>
  <c r="B60" i="299" s="1"/>
  <c r="E64" i="293"/>
  <c r="B65" i="293"/>
  <c r="A61" i="299" s="1"/>
  <c r="C65" i="293"/>
  <c r="B61" i="299" s="1"/>
  <c r="E65" i="293"/>
  <c r="B66" i="293"/>
  <c r="A62" i="299" s="1"/>
  <c r="C66" i="293"/>
  <c r="B62" i="299" s="1"/>
  <c r="E66" i="293"/>
  <c r="B67" i="293"/>
  <c r="A63" i="299" s="1"/>
  <c r="C67" i="293"/>
  <c r="B63" i="299" s="1"/>
  <c r="E67" i="293"/>
  <c r="B68" i="293"/>
  <c r="A64" i="299" s="1"/>
  <c r="C68" i="293"/>
  <c r="B64" i="299" s="1"/>
  <c r="E68" i="293"/>
  <c r="B69" i="293"/>
  <c r="A65" i="299" s="1"/>
  <c r="C69" i="293"/>
  <c r="B65" i="299" s="1"/>
  <c r="E69" i="293"/>
  <c r="B70" i="293"/>
  <c r="A66" i="299" s="1"/>
  <c r="C70" i="293"/>
  <c r="B66" i="299" s="1"/>
  <c r="E70" i="293"/>
  <c r="B71" i="293"/>
  <c r="A67" i="299" s="1"/>
  <c r="C71" i="293"/>
  <c r="B67" i="299" s="1"/>
  <c r="E71" i="293"/>
  <c r="B72" i="293"/>
  <c r="A68" i="299" s="1"/>
  <c r="C72" i="293"/>
  <c r="B68" i="299" s="1"/>
  <c r="E72" i="293"/>
  <c r="B73" i="293"/>
  <c r="A69" i="299" s="1"/>
  <c r="C73" i="293"/>
  <c r="B69" i="299" s="1"/>
  <c r="E73" i="293"/>
  <c r="B74" i="293"/>
  <c r="A70" i="299" s="1"/>
  <c r="C74" i="293"/>
  <c r="B70" i="299" s="1"/>
  <c r="E74" i="293"/>
  <c r="B75" i="293"/>
  <c r="A71" i="299" s="1"/>
  <c r="C75" i="293"/>
  <c r="B71" i="299" s="1"/>
  <c r="E75" i="293"/>
  <c r="B76" i="293"/>
  <c r="A72" i="299" s="1"/>
  <c r="C76" i="293"/>
  <c r="B72" i="299" s="1"/>
  <c r="E76" i="293"/>
  <c r="B77" i="293"/>
  <c r="A73" i="299" s="1"/>
  <c r="C77" i="293"/>
  <c r="B73" i="299" s="1"/>
  <c r="E77" i="293"/>
  <c r="B78" i="293"/>
  <c r="A74" i="299" s="1"/>
  <c r="C78" i="293"/>
  <c r="B74" i="299" s="1"/>
  <c r="E78" i="293"/>
  <c r="B79" i="293"/>
  <c r="A75" i="299" s="1"/>
  <c r="C79" i="293"/>
  <c r="B75" i="299" s="1"/>
  <c r="E79" i="293"/>
  <c r="B80" i="293"/>
  <c r="A76" i="299" s="1"/>
  <c r="C80" i="293"/>
  <c r="B76" i="299" s="1"/>
  <c r="E80" i="293"/>
  <c r="B81" i="293"/>
  <c r="A77" i="299" s="1"/>
  <c r="C81" i="293"/>
  <c r="B77" i="299" s="1"/>
  <c r="E81" i="293"/>
  <c r="B82" i="293"/>
  <c r="A78" i="299" s="1"/>
  <c r="C82" i="293"/>
  <c r="B78" i="299" s="1"/>
  <c r="E82" i="293"/>
  <c r="B83" i="293"/>
  <c r="A79" i="299" s="1"/>
  <c r="C83" i="293"/>
  <c r="B79" i="299" s="1"/>
  <c r="E83" i="293"/>
  <c r="B84" i="293"/>
  <c r="A80" i="299" s="1"/>
  <c r="C84" i="293"/>
  <c r="B80" i="299" s="1"/>
  <c r="E84" i="293"/>
  <c r="B85" i="293"/>
  <c r="A81" i="299" s="1"/>
  <c r="C85" i="293"/>
  <c r="B81" i="299" s="1"/>
  <c r="E85" i="293"/>
  <c r="B86" i="293"/>
  <c r="A82" i="299" s="1"/>
  <c r="C86" i="293"/>
  <c r="B82" i="299" s="1"/>
  <c r="E86" i="293"/>
  <c r="B87" i="293"/>
  <c r="A83" i="299" s="1"/>
  <c r="C87" i="293"/>
  <c r="B83" i="299" s="1"/>
  <c r="E87" i="293"/>
  <c r="B88" i="293"/>
  <c r="A84" i="299" s="1"/>
  <c r="C88" i="293"/>
  <c r="B84" i="299" s="1"/>
  <c r="E88" i="293"/>
  <c r="B89" i="293"/>
  <c r="A85" i="299" s="1"/>
  <c r="C89" i="293"/>
  <c r="B85" i="299" s="1"/>
  <c r="E89" i="293"/>
  <c r="B90" i="293"/>
  <c r="A86" i="299" s="1"/>
  <c r="C90" i="293"/>
  <c r="B86" i="299" s="1"/>
  <c r="E90" i="293"/>
  <c r="B91" i="293"/>
  <c r="A87" i="299" s="1"/>
  <c r="C91" i="293"/>
  <c r="B87" i="299" s="1"/>
  <c r="E91" i="293"/>
  <c r="B92" i="293"/>
  <c r="A88" i="299" s="1"/>
  <c r="C92" i="293"/>
  <c r="B88" i="299" s="1"/>
  <c r="E92" i="293"/>
  <c r="B93" i="293"/>
  <c r="A89" i="299" s="1"/>
  <c r="C93" i="293"/>
  <c r="B89" i="299" s="1"/>
  <c r="E93" i="293"/>
  <c r="B94" i="293"/>
  <c r="A90" i="299" s="1"/>
  <c r="C94" i="293"/>
  <c r="B90" i="299" s="1"/>
  <c r="E94" i="293"/>
  <c r="B95" i="293"/>
  <c r="A91" i="299" s="1"/>
  <c r="C95" i="293"/>
  <c r="B91" i="299" s="1"/>
  <c r="E95" i="293"/>
  <c r="B96" i="293"/>
  <c r="A92" i="299" s="1"/>
  <c r="C96" i="293"/>
  <c r="B92" i="299" s="1"/>
  <c r="E96" i="293"/>
  <c r="B97" i="293"/>
  <c r="A93" i="299" s="1"/>
  <c r="C97" i="293"/>
  <c r="B93" i="299" s="1"/>
  <c r="E97" i="293"/>
  <c r="B98" i="293"/>
  <c r="A94" i="299" s="1"/>
  <c r="C98" i="293"/>
  <c r="B94" i="299" s="1"/>
  <c r="E98" i="293"/>
  <c r="B99" i="293"/>
  <c r="A95" i="299" s="1"/>
  <c r="C99" i="293"/>
  <c r="B95" i="299" s="1"/>
  <c r="E99" i="293"/>
  <c r="B100" i="293"/>
  <c r="A96" i="299" s="1"/>
  <c r="C100" i="293"/>
  <c r="B96" i="299" s="1"/>
  <c r="E100" i="293"/>
  <c r="B101" i="293"/>
  <c r="A97" i="299" s="1"/>
  <c r="C101" i="293"/>
  <c r="B97" i="299" s="1"/>
  <c r="E101" i="293"/>
  <c r="B102" i="293"/>
  <c r="A98" i="299" s="1"/>
  <c r="C102" i="293"/>
  <c r="B98" i="299" s="1"/>
  <c r="E102" i="293"/>
  <c r="B103" i="293"/>
  <c r="A99" i="299" s="1"/>
  <c r="C103" i="293"/>
  <c r="B99" i="299" s="1"/>
  <c r="E103" i="293"/>
  <c r="B104" i="293"/>
  <c r="A100" i="299" s="1"/>
  <c r="C104" i="293"/>
  <c r="B100" i="299" s="1"/>
  <c r="E104" i="293"/>
  <c r="F104" i="293"/>
  <c r="D100" i="299" s="1"/>
  <c r="G104" i="293"/>
  <c r="E100" i="299" s="1"/>
  <c r="B105" i="293"/>
  <c r="A101" i="299" s="1"/>
  <c r="C105" i="293"/>
  <c r="B101" i="299" s="1"/>
  <c r="E105" i="293"/>
  <c r="F105" i="293"/>
  <c r="D101" i="299" s="1"/>
  <c r="G105" i="293"/>
  <c r="E101" i="299" s="1"/>
  <c r="B106" i="293"/>
  <c r="A102" i="299" s="1"/>
  <c r="C106" i="293"/>
  <c r="B102" i="299" s="1"/>
  <c r="E106" i="293"/>
  <c r="F106" i="293"/>
  <c r="D102" i="299" s="1"/>
  <c r="G106" i="293"/>
  <c r="E102" i="299" s="1"/>
  <c r="B107" i="293"/>
  <c r="A103" i="299" s="1"/>
  <c r="C107" i="293"/>
  <c r="B103" i="299" s="1"/>
  <c r="E107" i="293"/>
  <c r="F107" i="293"/>
  <c r="D103" i="299" s="1"/>
  <c r="G107" i="293"/>
  <c r="E103" i="299" s="1"/>
  <c r="B108" i="293"/>
  <c r="A104" i="299" s="1"/>
  <c r="C108" i="293"/>
  <c r="B104" i="299" s="1"/>
  <c r="E108" i="293"/>
  <c r="F108" i="293"/>
  <c r="D104" i="299" s="1"/>
  <c r="G108" i="293"/>
  <c r="E104" i="299" s="1"/>
  <c r="B109" i="293"/>
  <c r="A105" i="299" s="1"/>
  <c r="C109" i="293"/>
  <c r="B105" i="299" s="1"/>
  <c r="E109" i="293"/>
  <c r="F109" i="293"/>
  <c r="D105" i="299" s="1"/>
  <c r="G109" i="293"/>
  <c r="E105" i="299" s="1"/>
  <c r="B110" i="293"/>
  <c r="A106" i="299" s="1"/>
  <c r="C110" i="293"/>
  <c r="B106" i="299" s="1"/>
  <c r="E110" i="293"/>
  <c r="F110" i="293"/>
  <c r="D106" i="299" s="1"/>
  <c r="G110" i="293"/>
  <c r="E106" i="299" s="1"/>
  <c r="B111" i="293"/>
  <c r="A107" i="299" s="1"/>
  <c r="C111" i="293"/>
  <c r="B107" i="299" s="1"/>
  <c r="E111" i="293"/>
  <c r="F111" i="293"/>
  <c r="D107" i="299" s="1"/>
  <c r="G111" i="293"/>
  <c r="E107" i="299" s="1"/>
  <c r="B112" i="293"/>
  <c r="A108" i="299" s="1"/>
  <c r="C112" i="293"/>
  <c r="B108" i="299" s="1"/>
  <c r="E112" i="293"/>
  <c r="F112" i="293"/>
  <c r="D108" i="299" s="1"/>
  <c r="G112" i="293"/>
  <c r="E108" i="299" s="1"/>
  <c r="B113" i="293"/>
  <c r="A109" i="299" s="1"/>
  <c r="C113" i="293"/>
  <c r="B109" i="299" s="1"/>
  <c r="E113" i="293"/>
  <c r="F113" i="293"/>
  <c r="D109" i="299" s="1"/>
  <c r="G113" i="293"/>
  <c r="E109" i="299" s="1"/>
  <c r="B114" i="293"/>
  <c r="A110" i="299" s="1"/>
  <c r="C114" i="293"/>
  <c r="B110" i="299" s="1"/>
  <c r="E114" i="293"/>
  <c r="F114" i="293"/>
  <c r="D110" i="299" s="1"/>
  <c r="G114" i="293"/>
  <c r="E110" i="299" s="1"/>
  <c r="B115" i="293"/>
  <c r="A111" i="299" s="1"/>
  <c r="C115" i="293"/>
  <c r="B111" i="299" s="1"/>
  <c r="E115" i="293"/>
  <c r="F115" i="293"/>
  <c r="D111" i="299" s="1"/>
  <c r="G115" i="293"/>
  <c r="E111" i="299" s="1"/>
  <c r="B116" i="293"/>
  <c r="A112" i="299" s="1"/>
  <c r="C116" i="293"/>
  <c r="B112" i="299" s="1"/>
  <c r="E116" i="293"/>
  <c r="F116" i="293"/>
  <c r="D112" i="299" s="1"/>
  <c r="G116" i="293"/>
  <c r="E112" i="299" s="1"/>
  <c r="B117" i="293"/>
  <c r="A113" i="299" s="1"/>
  <c r="C117" i="293"/>
  <c r="B113" i="299" s="1"/>
  <c r="E117" i="293"/>
  <c r="F117" i="293"/>
  <c r="D113" i="299" s="1"/>
  <c r="G117" i="293"/>
  <c r="E113" i="299" s="1"/>
  <c r="B118" i="293"/>
  <c r="A114" i="299" s="1"/>
  <c r="C118" i="293"/>
  <c r="B114" i="299" s="1"/>
  <c r="E118" i="293"/>
  <c r="F118" i="293"/>
  <c r="D114" i="299" s="1"/>
  <c r="G118" i="293"/>
  <c r="E114" i="299" s="1"/>
  <c r="B119" i="293"/>
  <c r="A115" i="299" s="1"/>
  <c r="C119" i="293"/>
  <c r="B115" i="299" s="1"/>
  <c r="E119" i="293"/>
  <c r="F119" i="293"/>
  <c r="D115" i="299" s="1"/>
  <c r="G119" i="293"/>
  <c r="E115" i="299" s="1"/>
  <c r="B120" i="293"/>
  <c r="A116" i="299" s="1"/>
  <c r="C120" i="293"/>
  <c r="B116" i="299" s="1"/>
  <c r="E120" i="293"/>
  <c r="F120" i="293"/>
  <c r="D116" i="299" s="1"/>
  <c r="G120" i="293"/>
  <c r="E116" i="299" s="1"/>
  <c r="B121" i="293"/>
  <c r="A117" i="299" s="1"/>
  <c r="C121" i="293"/>
  <c r="B117" i="299" s="1"/>
  <c r="E121" i="293"/>
  <c r="F121" i="293"/>
  <c r="D117" i="299" s="1"/>
  <c r="G121" i="293"/>
  <c r="E117" i="299" s="1"/>
  <c r="B122" i="293"/>
  <c r="A118" i="299" s="1"/>
  <c r="C122" i="293"/>
  <c r="B118" i="299" s="1"/>
  <c r="E122" i="293"/>
  <c r="F122" i="293"/>
  <c r="D118" i="299" s="1"/>
  <c r="G122" i="293"/>
  <c r="E118" i="299" s="1"/>
  <c r="B123" i="293"/>
  <c r="A119" i="299" s="1"/>
  <c r="C123" i="293"/>
  <c r="B119" i="299" s="1"/>
  <c r="E123" i="293"/>
  <c r="F123" i="293"/>
  <c r="D119" i="299" s="1"/>
  <c r="G123" i="293"/>
  <c r="E119" i="299" s="1"/>
  <c r="B124" i="293"/>
  <c r="A120" i="299" s="1"/>
  <c r="C124" i="293"/>
  <c r="B120" i="299" s="1"/>
  <c r="E124" i="293"/>
  <c r="F124" i="293"/>
  <c r="D120" i="299" s="1"/>
  <c r="G124" i="293"/>
  <c r="E120" i="299" s="1"/>
  <c r="B125" i="293"/>
  <c r="A121" i="299" s="1"/>
  <c r="C125" i="293"/>
  <c r="B121" i="299" s="1"/>
  <c r="E125" i="293"/>
  <c r="F125" i="293"/>
  <c r="D121" i="299" s="1"/>
  <c r="G125" i="293"/>
  <c r="E121" i="299" s="1"/>
  <c r="B126" i="293"/>
  <c r="A122" i="299" s="1"/>
  <c r="C126" i="293"/>
  <c r="B122" i="299" s="1"/>
  <c r="E126" i="293"/>
  <c r="F126" i="293"/>
  <c r="D122" i="299" s="1"/>
  <c r="G126" i="293"/>
  <c r="E122" i="299" s="1"/>
  <c r="B127" i="293"/>
  <c r="A123" i="299" s="1"/>
  <c r="C127" i="293"/>
  <c r="B123" i="299" s="1"/>
  <c r="E127" i="293"/>
  <c r="F127" i="293"/>
  <c r="D123" i="299" s="1"/>
  <c r="G127" i="293"/>
  <c r="E123" i="299" s="1"/>
  <c r="B128" i="293"/>
  <c r="A124" i="299" s="1"/>
  <c r="C128" i="293"/>
  <c r="B124" i="299" s="1"/>
  <c r="E128" i="293"/>
  <c r="F128" i="293"/>
  <c r="D124" i="299" s="1"/>
  <c r="G128" i="293"/>
  <c r="E124" i="299" s="1"/>
  <c r="B129" i="293"/>
  <c r="A125" i="299" s="1"/>
  <c r="C129" i="293"/>
  <c r="B125" i="299" s="1"/>
  <c r="E129" i="293"/>
  <c r="F129" i="293"/>
  <c r="D125" i="299" s="1"/>
  <c r="G129" i="293"/>
  <c r="E125" i="299" s="1"/>
  <c r="B130" i="293"/>
  <c r="A126" i="299" s="1"/>
  <c r="C130" i="293"/>
  <c r="B126" i="299" s="1"/>
  <c r="E130" i="293"/>
  <c r="F130" i="293"/>
  <c r="D126" i="299" s="1"/>
  <c r="G130" i="293"/>
  <c r="E126" i="299" s="1"/>
  <c r="B131" i="293"/>
  <c r="A127" i="299" s="1"/>
  <c r="C131" i="293"/>
  <c r="B127" i="299" s="1"/>
  <c r="E131" i="293"/>
  <c r="F131" i="293"/>
  <c r="D127" i="299" s="1"/>
  <c r="G131" i="293"/>
  <c r="E127" i="299" s="1"/>
  <c r="B132" i="293"/>
  <c r="A128" i="299" s="1"/>
  <c r="C132" i="293"/>
  <c r="B128" i="299" s="1"/>
  <c r="E132" i="293"/>
  <c r="F132" i="293"/>
  <c r="D128" i="299" s="1"/>
  <c r="G132" i="293"/>
  <c r="E128" i="299" s="1"/>
  <c r="B133" i="293"/>
  <c r="A129" i="299" s="1"/>
  <c r="C133" i="293"/>
  <c r="B129" i="299" s="1"/>
  <c r="E133" i="293"/>
  <c r="F133" i="293"/>
  <c r="D129" i="299" s="1"/>
  <c r="G133" i="293"/>
  <c r="E129" i="299" s="1"/>
  <c r="C6" i="293"/>
  <c r="B2" i="299" s="1"/>
  <c r="E6" i="293"/>
  <c r="B6" i="293"/>
  <c r="A2" i="299" s="1"/>
  <c r="AD132" i="180" a="1"/>
  <c r="Y131" i="293" a="1"/>
  <c r="Y30" i="293" a="1"/>
  <c r="AE18" i="219" l="1"/>
  <c r="BM18" i="219" s="1"/>
  <c r="Y30" i="293"/>
  <c r="X133" i="293"/>
  <c r="V129" i="299" s="1"/>
  <c r="X132" i="293"/>
  <c r="V128" i="299" s="1"/>
  <c r="X131" i="293"/>
  <c r="V127" i="299" s="1"/>
  <c r="X130" i="293"/>
  <c r="V126" i="299" s="1"/>
  <c r="X129" i="293"/>
  <c r="V125" i="299" s="1"/>
  <c r="AD132" i="180"/>
  <c r="Y131" i="293"/>
  <c r="D20" i="173"/>
  <c r="D22" i="173"/>
  <c r="R16" i="173" l="1"/>
  <c r="R15" i="173"/>
  <c r="R14" i="173"/>
  <c r="R13" i="173"/>
  <c r="AF14" i="173"/>
  <c r="AF15" i="173"/>
  <c r="AF16" i="173"/>
  <c r="AF13" i="173"/>
  <c r="AE13" i="173"/>
  <c r="V134" i="180" l="1"/>
  <c r="Q133" i="293" s="1" a="1"/>
  <c r="Q133" i="293" s="1"/>
  <c r="O129" i="299" s="1"/>
  <c r="T134" i="180"/>
  <c r="U134" i="180" s="1"/>
  <c r="S9" i="173"/>
  <c r="T9" i="173"/>
  <c r="U9" i="173"/>
  <c r="V9" i="173"/>
  <c r="S10" i="173"/>
  <c r="T10" i="173"/>
  <c r="U10" i="173"/>
  <c r="V10" i="173"/>
  <c r="S11" i="173"/>
  <c r="T11" i="173"/>
  <c r="U11" i="173"/>
  <c r="V11" i="173"/>
  <c r="S12" i="173"/>
  <c r="T12" i="173"/>
  <c r="U12" i="173"/>
  <c r="V12" i="173"/>
  <c r="S13" i="173"/>
  <c r="T13" i="173"/>
  <c r="U13" i="173"/>
  <c r="V13" i="173"/>
  <c r="S14" i="173"/>
  <c r="T14" i="173"/>
  <c r="U14" i="173"/>
  <c r="V14" i="173"/>
  <c r="X14" i="173" s="1"/>
  <c r="S15" i="173"/>
  <c r="T15" i="173"/>
  <c r="U15" i="173"/>
  <c r="V15" i="173"/>
  <c r="S16" i="173"/>
  <c r="T16" i="173"/>
  <c r="U16" i="173"/>
  <c r="V16" i="173"/>
  <c r="X16" i="173" s="1"/>
  <c r="S17" i="173"/>
  <c r="T17" i="173"/>
  <c r="U17" i="173"/>
  <c r="V17" i="173"/>
  <c r="S18" i="173"/>
  <c r="T18" i="173"/>
  <c r="U18" i="173"/>
  <c r="V18" i="173"/>
  <c r="S19" i="173"/>
  <c r="T19" i="173"/>
  <c r="U19" i="173"/>
  <c r="V19" i="173"/>
  <c r="S20" i="173"/>
  <c r="T20" i="173"/>
  <c r="U20" i="173"/>
  <c r="V20" i="173"/>
  <c r="S21" i="173"/>
  <c r="T21" i="173"/>
  <c r="U21" i="173"/>
  <c r="V21" i="173"/>
  <c r="S22" i="173"/>
  <c r="T22" i="173"/>
  <c r="U22" i="173"/>
  <c r="V22" i="173"/>
  <c r="S23" i="173"/>
  <c r="T23" i="173"/>
  <c r="U23" i="173"/>
  <c r="V23" i="173"/>
  <c r="S24" i="173"/>
  <c r="T24" i="173"/>
  <c r="U24" i="173"/>
  <c r="V24" i="173"/>
  <c r="S25" i="173"/>
  <c r="T25" i="173"/>
  <c r="U25" i="173"/>
  <c r="V25" i="173"/>
  <c r="S26" i="173"/>
  <c r="T26" i="173"/>
  <c r="U26" i="173"/>
  <c r="V26" i="173"/>
  <c r="T8" i="173"/>
  <c r="U8" i="173"/>
  <c r="V8" i="173"/>
  <c r="S8" i="173"/>
  <c r="AE16" i="173"/>
  <c r="AE15" i="173"/>
  <c r="AE14" i="173"/>
  <c r="G29" i="173" l="1"/>
  <c r="O133" i="180" s="1"/>
  <c r="P133" i="180" s="1"/>
  <c r="F29" i="173"/>
  <c r="O134" i="180" s="1"/>
  <c r="P134" i="180" s="1"/>
  <c r="D29" i="173"/>
  <c r="O130" i="180" s="1"/>
  <c r="P130" i="180" s="1"/>
  <c r="X15" i="173"/>
  <c r="D28" i="173"/>
  <c r="N130" i="180" s="1"/>
  <c r="X13" i="173"/>
  <c r="C27" i="173"/>
  <c r="Q132" i="180" s="1"/>
  <c r="C28" i="173"/>
  <c r="N132" i="180" s="1"/>
  <c r="F27" i="173"/>
  <c r="Q134" i="180" s="1"/>
  <c r="C29" i="173"/>
  <c r="F28" i="173"/>
  <c r="N134" i="180" s="1"/>
  <c r="D27" i="173"/>
  <c r="Q130" i="180" s="1"/>
  <c r="G27" i="173"/>
  <c r="Q133" i="180" s="1"/>
  <c r="G28" i="173"/>
  <c r="N133" i="180" s="1"/>
  <c r="AE90" i="180" a="1"/>
  <c r="AE123" i="180" a="1"/>
  <c r="AE48" i="180" a="1"/>
  <c r="AE78" i="180" a="1"/>
  <c r="AE36" i="180" a="1"/>
  <c r="AE23" i="180" a="1"/>
  <c r="AE62" i="180" a="1"/>
  <c r="AE19" i="180" a="1"/>
  <c r="AE71" i="180" a="1"/>
  <c r="AE51" i="180" a="1"/>
  <c r="AE15" i="180" a="1"/>
  <c r="AE86" i="180" a="1"/>
  <c r="AE94" i="180" a="1"/>
  <c r="AE46" i="180" a="1"/>
  <c r="AE49" i="180" a="1"/>
  <c r="AE115" i="180" a="1"/>
  <c r="AE93" i="180" a="1"/>
  <c r="AE26" i="180" a="1"/>
  <c r="AE92" i="180" a="1"/>
  <c r="AE68" i="180" a="1"/>
  <c r="AE12" i="180" a="1"/>
  <c r="AE37" i="180" a="1"/>
  <c r="AE75" i="180" a="1"/>
  <c r="AE104" i="180" a="1"/>
  <c r="AE41" i="180" a="1"/>
  <c r="AE35" i="180" a="1"/>
  <c r="AE102" i="180" a="1"/>
  <c r="AE45" i="180" a="1"/>
  <c r="AE20" i="180" a="1"/>
  <c r="AE88" i="180" a="1"/>
  <c r="AE22" i="180" a="1"/>
  <c r="AE43" i="180" a="1"/>
  <c r="AE13" i="180" a="1"/>
  <c r="AE117" i="180" a="1"/>
  <c r="AE85" i="180" a="1"/>
  <c r="AE54" i="180" a="1"/>
  <c r="AE96" i="180" a="1"/>
  <c r="AE7" i="180" a="1"/>
  <c r="AE84" i="180" a="1"/>
  <c r="AE61" i="180" a="1"/>
  <c r="AE76" i="180" a="1"/>
  <c r="AE33" i="180" a="1"/>
  <c r="AE32" i="180" a="1"/>
  <c r="AE11" i="180" a="1"/>
  <c r="AE56" i="180" a="1"/>
  <c r="AE91" i="180" a="1"/>
  <c r="AE83" i="180" a="1"/>
  <c r="AE64" i="180" a="1"/>
  <c r="AE89" i="180" a="1"/>
  <c r="AE73" i="180" a="1"/>
  <c r="AE125" i="180" a="1"/>
  <c r="AE66" i="180" a="1"/>
  <c r="AE99" i="180" a="1"/>
  <c r="AE65" i="180" a="1"/>
  <c r="AE14" i="180" a="1"/>
  <c r="AE77" i="180" a="1"/>
  <c r="AE34" i="180" a="1"/>
  <c r="AE21" i="180" a="1"/>
  <c r="AE17" i="180" a="1"/>
  <c r="AE103" i="180" a="1"/>
  <c r="AE80" i="180" a="1"/>
  <c r="AE98" i="180" a="1"/>
  <c r="AE118" i="180" a="1"/>
  <c r="AE40" i="180" a="1"/>
  <c r="AE120" i="180" a="1"/>
  <c r="AE44" i="180" a="1"/>
  <c r="AE63" i="180" a="1"/>
  <c r="AE59" i="180" a="1"/>
  <c r="AE58" i="180" a="1"/>
  <c r="AE128" i="180" a="1"/>
  <c r="AE18" i="180" a="1"/>
  <c r="AE30" i="180" a="1"/>
  <c r="AE8" i="180" a="1"/>
  <c r="AE129" i="180" a="1"/>
  <c r="AE27" i="180" a="1"/>
  <c r="AE74" i="180" a="1"/>
  <c r="AE119" i="180" a="1"/>
  <c r="AE57" i="180" a="1"/>
  <c r="AE81" i="180" a="1"/>
  <c r="AE55" i="180" a="1"/>
  <c r="AE53" i="180" a="1"/>
  <c r="AE50" i="180" a="1"/>
  <c r="AE67" i="180" a="1"/>
  <c r="AE124" i="180" a="1"/>
  <c r="AE52" i="180" a="1"/>
  <c r="AE28" i="180" a="1"/>
  <c r="AE38" i="180" a="1"/>
  <c r="AE126" i="180" a="1"/>
  <c r="AE82" i="180" a="1"/>
  <c r="AE25" i="180" a="1"/>
  <c r="AE101" i="180" a="1"/>
  <c r="AE72" i="180" a="1"/>
  <c r="AE60" i="180" a="1"/>
  <c r="AE10" i="180" a="1"/>
  <c r="AE70" i="180" a="1"/>
  <c r="AE24" i="180" a="1"/>
  <c r="AE9" i="180" a="1"/>
  <c r="AE97" i="180" a="1"/>
  <c r="AE114" i="180" a="1"/>
  <c r="AE127" i="180" a="1"/>
  <c r="AE79" i="180" a="1"/>
  <c r="AE122" i="180" a="1"/>
  <c r="AE29" i="180" a="1"/>
  <c r="AE95" i="180" a="1"/>
  <c r="AE16" i="180" a="1"/>
  <c r="AE39" i="180" a="1"/>
  <c r="AE47" i="180" a="1"/>
  <c r="AE116" i="180" a="1"/>
  <c r="AE121" i="180" a="1"/>
  <c r="AE31" i="180" a="1"/>
  <c r="AE100" i="180" a="1"/>
  <c r="AE69" i="180" a="1"/>
  <c r="AE42" i="180" a="1"/>
  <c r="AE87" i="180" a="1"/>
  <c r="O132" i="180" l="1"/>
  <c r="P132" i="180" s="1"/>
  <c r="AE118" i="180"/>
  <c r="AE84" i="180"/>
  <c r="AE52" i="180"/>
  <c r="AE125" i="180"/>
  <c r="AE117" i="180"/>
  <c r="AE99" i="180"/>
  <c r="AE91" i="180"/>
  <c r="AE83" i="180"/>
  <c r="AE71" i="180"/>
  <c r="AE63" i="180"/>
  <c r="AE51" i="180"/>
  <c r="AE43" i="180"/>
  <c r="AE35" i="180"/>
  <c r="AE27" i="180"/>
  <c r="AE23" i="180"/>
  <c r="AE15" i="180"/>
  <c r="AE11" i="180"/>
  <c r="AE126" i="180"/>
  <c r="AE96" i="180"/>
  <c r="AE68" i="180"/>
  <c r="AE44" i="180"/>
  <c r="AE129" i="180"/>
  <c r="AE121" i="180"/>
  <c r="AE103" i="180"/>
  <c r="AE95" i="180"/>
  <c r="AE87" i="180"/>
  <c r="AE79" i="180"/>
  <c r="AE75" i="180"/>
  <c r="AE67" i="180"/>
  <c r="AE59" i="180"/>
  <c r="AE55" i="180"/>
  <c r="AE47" i="180"/>
  <c r="AE39" i="180"/>
  <c r="AE31" i="180"/>
  <c r="AE19" i="180"/>
  <c r="AE104" i="180"/>
  <c r="AE76" i="180"/>
  <c r="AE56" i="180"/>
  <c r="AE120" i="180"/>
  <c r="AE102" i="180"/>
  <c r="AE94" i="180"/>
  <c r="AE86" i="180"/>
  <c r="AE50" i="180"/>
  <c r="AE88" i="180"/>
  <c r="AE48" i="180"/>
  <c r="AE124" i="180"/>
  <c r="AE98" i="180"/>
  <c r="AE90" i="180"/>
  <c r="AE82" i="180"/>
  <c r="AE78" i="180"/>
  <c r="AE74" i="180"/>
  <c r="AE70" i="180"/>
  <c r="AE66" i="180"/>
  <c r="AE62" i="180"/>
  <c r="AE58" i="180"/>
  <c r="AE54" i="180"/>
  <c r="AE46" i="180"/>
  <c r="AE42" i="180"/>
  <c r="AE38" i="180"/>
  <c r="AE34" i="180"/>
  <c r="AE30" i="180"/>
  <c r="AE26" i="180"/>
  <c r="AE22" i="180"/>
  <c r="AE18" i="180"/>
  <c r="AE14" i="180"/>
  <c r="AE10" i="180"/>
  <c r="AE114" i="180"/>
  <c r="AE80" i="180"/>
  <c r="AE60" i="180"/>
  <c r="AE123" i="180"/>
  <c r="AE115" i="180"/>
  <c r="AE97" i="180"/>
  <c r="AE89" i="180"/>
  <c r="AE81" i="180"/>
  <c r="AE69" i="180"/>
  <c r="AE61" i="180"/>
  <c r="AE49" i="180"/>
  <c r="AE41" i="180"/>
  <c r="AE33" i="180"/>
  <c r="AE25" i="180"/>
  <c r="AE21" i="180"/>
  <c r="AE13" i="180"/>
  <c r="AE9" i="180"/>
  <c r="AE122" i="180"/>
  <c r="AE100" i="180"/>
  <c r="AE72" i="180"/>
  <c r="AE40" i="180"/>
  <c r="AE128" i="180"/>
  <c r="AE116" i="180"/>
  <c r="AE127" i="180"/>
  <c r="AE119" i="180"/>
  <c r="AE101" i="180"/>
  <c r="AE93" i="180"/>
  <c r="AE85" i="180"/>
  <c r="AE77" i="180"/>
  <c r="AE73" i="180"/>
  <c r="AE65" i="180"/>
  <c r="AE57" i="180"/>
  <c r="AE53" i="180"/>
  <c r="AE45" i="180"/>
  <c r="AE37" i="180"/>
  <c r="AE29" i="180"/>
  <c r="AE17" i="180"/>
  <c r="AE92" i="180"/>
  <c r="AE64" i="180"/>
  <c r="AE36" i="180"/>
  <c r="AE32" i="180"/>
  <c r="AE28" i="180"/>
  <c r="AE24" i="180"/>
  <c r="AE20" i="180"/>
  <c r="AE16" i="180"/>
  <c r="AE12" i="180"/>
  <c r="AE8" i="180"/>
  <c r="AE7" i="180"/>
  <c r="R104" i="293" a="1"/>
  <c r="R104" i="293" s="1"/>
  <c r="P100" i="299" s="1"/>
  <c r="L17" i="219"/>
  <c r="K17" i="219"/>
  <c r="J17" i="219"/>
  <c r="I17" i="219"/>
  <c r="H17" i="219"/>
  <c r="G17" i="219"/>
  <c r="F17" i="219"/>
  <c r="D17" i="219"/>
  <c r="C17" i="219"/>
  <c r="R133" i="293" a="1"/>
  <c r="R133" i="293" s="1"/>
  <c r="P129" i="299" s="1"/>
  <c r="M133" i="293" a="1"/>
  <c r="M133" i="293" s="1"/>
  <c r="K129" i="299" s="1"/>
  <c r="P133" i="293" a="1"/>
  <c r="P133" i="293" s="1"/>
  <c r="N129" i="299" s="1"/>
  <c r="O133" i="293" a="1"/>
  <c r="O133" i="293" s="1"/>
  <c r="M129" i="299" s="1"/>
  <c r="N133" i="293" a="1"/>
  <c r="N133" i="293" s="1"/>
  <c r="L129" i="299" s="1"/>
  <c r="J133" i="293" a="1"/>
  <c r="J133" i="293" s="1"/>
  <c r="H129" i="299" s="1"/>
  <c r="R132" i="293" a="1"/>
  <c r="R132" i="293" s="1"/>
  <c r="P128" i="299" s="1"/>
  <c r="M132" i="293" a="1"/>
  <c r="M132" i="293" s="1"/>
  <c r="K128" i="299" s="1"/>
  <c r="P132" i="293" a="1"/>
  <c r="P132" i="293" s="1"/>
  <c r="N128" i="299" s="1"/>
  <c r="O132" i="293" a="1"/>
  <c r="O132" i="293" s="1"/>
  <c r="M128" i="299" s="1"/>
  <c r="N132" i="293" a="1"/>
  <c r="N132" i="293" s="1"/>
  <c r="L128" i="299" s="1"/>
  <c r="J132" i="293" a="1"/>
  <c r="J132" i="293" s="1"/>
  <c r="H128" i="299" s="1"/>
  <c r="R131" i="293" a="1"/>
  <c r="R131" i="293" s="1"/>
  <c r="P127" i="299" s="1"/>
  <c r="M131" i="293" a="1"/>
  <c r="M131" i="293" s="1"/>
  <c r="K127" i="299" s="1"/>
  <c r="P131" i="293" a="1"/>
  <c r="P131" i="293" s="1"/>
  <c r="N127" i="299" s="1"/>
  <c r="O131" i="293" a="1"/>
  <c r="O131" i="293" s="1"/>
  <c r="M127" i="299" s="1"/>
  <c r="N131" i="293" a="1"/>
  <c r="N131" i="293" s="1"/>
  <c r="L127" i="299" s="1"/>
  <c r="J131" i="293" a="1"/>
  <c r="J131" i="293" s="1"/>
  <c r="H127" i="299" s="1"/>
  <c r="R130" i="293" a="1"/>
  <c r="R130" i="293" s="1"/>
  <c r="P126" i="299" s="1"/>
  <c r="N130" i="293" a="1"/>
  <c r="N130" i="293" s="1"/>
  <c r="L126" i="299" s="1"/>
  <c r="J130" i="293" a="1"/>
  <c r="J130" i="293" s="1"/>
  <c r="H126" i="299" s="1"/>
  <c r="R129" i="293" a="1"/>
  <c r="R129" i="293" s="1"/>
  <c r="P125" i="299" s="1"/>
  <c r="M129" i="293" a="1"/>
  <c r="M129" i="293" s="1"/>
  <c r="K125" i="299" s="1"/>
  <c r="P129" i="293" a="1"/>
  <c r="P129" i="293" s="1"/>
  <c r="N125" i="299" s="1"/>
  <c r="O129" i="293" a="1"/>
  <c r="O129" i="293" s="1"/>
  <c r="M125" i="299" s="1"/>
  <c r="N129" i="293" a="1"/>
  <c r="N129" i="293" s="1"/>
  <c r="L125" i="299" s="1"/>
  <c r="J129" i="293" a="1"/>
  <c r="J129" i="293" s="1"/>
  <c r="H125" i="299" s="1"/>
  <c r="R128" i="293" a="1"/>
  <c r="R128" i="293" s="1"/>
  <c r="P124" i="299" s="1"/>
  <c r="N128" i="293" a="1"/>
  <c r="N128" i="293" s="1"/>
  <c r="L124" i="299" s="1"/>
  <c r="J128" i="293" a="1"/>
  <c r="J128" i="293" s="1"/>
  <c r="H124" i="299" s="1"/>
  <c r="R127" i="293" a="1"/>
  <c r="R127" i="293" s="1"/>
  <c r="P123" i="299" s="1"/>
  <c r="N127" i="293" a="1"/>
  <c r="N127" i="293" s="1"/>
  <c r="L123" i="299" s="1"/>
  <c r="J127" i="293" a="1"/>
  <c r="J127" i="293" s="1"/>
  <c r="H123" i="299" s="1"/>
  <c r="R126" i="293" a="1"/>
  <c r="R126" i="293" s="1"/>
  <c r="P122" i="299" s="1"/>
  <c r="N126" i="293" a="1"/>
  <c r="N126" i="293" s="1"/>
  <c r="L122" i="299" s="1"/>
  <c r="J126" i="293" a="1"/>
  <c r="J126" i="293" s="1"/>
  <c r="H122" i="299" s="1"/>
  <c r="R125" i="293" a="1"/>
  <c r="R125" i="293" s="1"/>
  <c r="P121" i="299" s="1"/>
  <c r="N125" i="293" a="1"/>
  <c r="N125" i="293" s="1"/>
  <c r="L121" i="299" s="1"/>
  <c r="J125" i="293" a="1"/>
  <c r="J125" i="293" s="1"/>
  <c r="H121" i="299" s="1"/>
  <c r="R124" i="293" a="1"/>
  <c r="R124" i="293" s="1"/>
  <c r="P120" i="299" s="1"/>
  <c r="N124" i="293" a="1"/>
  <c r="N124" i="293" s="1"/>
  <c r="L120" i="299" s="1"/>
  <c r="J124" i="293" a="1"/>
  <c r="J124" i="293" s="1"/>
  <c r="H120" i="299" s="1"/>
  <c r="R123" i="293" a="1"/>
  <c r="R123" i="293" s="1"/>
  <c r="P119" i="299" s="1"/>
  <c r="N123" i="293" a="1"/>
  <c r="N123" i="293" s="1"/>
  <c r="L119" i="299" s="1"/>
  <c r="J123" i="293" a="1"/>
  <c r="J123" i="293" s="1"/>
  <c r="H119" i="299" s="1"/>
  <c r="R122" i="293" a="1"/>
  <c r="R122" i="293" s="1"/>
  <c r="P118" i="299" s="1"/>
  <c r="N122" i="293" a="1"/>
  <c r="N122" i="293" s="1"/>
  <c r="L118" i="299" s="1"/>
  <c r="J122" i="293" a="1"/>
  <c r="J122" i="293" s="1"/>
  <c r="H118" i="299" s="1"/>
  <c r="R121" i="293" a="1"/>
  <c r="R121" i="293" s="1"/>
  <c r="P117" i="299" s="1"/>
  <c r="N121" i="293" a="1"/>
  <c r="N121" i="293" s="1"/>
  <c r="L117" i="299" s="1"/>
  <c r="J121" i="293" a="1"/>
  <c r="J121" i="293" s="1"/>
  <c r="H117" i="299" s="1"/>
  <c r="R120" i="293" a="1"/>
  <c r="R120" i="293" s="1"/>
  <c r="P116" i="299" s="1"/>
  <c r="N120" i="293" a="1"/>
  <c r="N120" i="293" s="1"/>
  <c r="L116" i="299" s="1"/>
  <c r="J120" i="293" a="1"/>
  <c r="J120" i="293" s="1"/>
  <c r="H116" i="299" s="1"/>
  <c r="R119" i="293" a="1"/>
  <c r="R119" i="293" s="1"/>
  <c r="P115" i="299" s="1"/>
  <c r="N119" i="293" a="1"/>
  <c r="N119" i="293" s="1"/>
  <c r="L115" i="299" s="1"/>
  <c r="J119" i="293" a="1"/>
  <c r="J119" i="293" s="1"/>
  <c r="H115" i="299" s="1"/>
  <c r="R118" i="293" a="1"/>
  <c r="R118" i="293" s="1"/>
  <c r="P114" i="299" s="1"/>
  <c r="N118" i="293" a="1"/>
  <c r="N118" i="293" s="1"/>
  <c r="L114" i="299" s="1"/>
  <c r="J118" i="293" a="1"/>
  <c r="J118" i="293" s="1"/>
  <c r="H114" i="299" s="1"/>
  <c r="R117" i="293" a="1"/>
  <c r="R117" i="293" s="1"/>
  <c r="P113" i="299" s="1"/>
  <c r="N117" i="293" a="1"/>
  <c r="N117" i="293" s="1"/>
  <c r="L113" i="299" s="1"/>
  <c r="J117" i="293" a="1"/>
  <c r="J117" i="293" s="1"/>
  <c r="H113" i="299" s="1"/>
  <c r="R116" i="293" a="1"/>
  <c r="R116" i="293" s="1"/>
  <c r="P112" i="299" s="1"/>
  <c r="N116" i="293" a="1"/>
  <c r="N116" i="293" s="1"/>
  <c r="L112" i="299" s="1"/>
  <c r="J116" i="293" a="1"/>
  <c r="J116" i="293" s="1"/>
  <c r="H112" i="299" s="1"/>
  <c r="R115" i="293" a="1"/>
  <c r="R115" i="293" s="1"/>
  <c r="P111" i="299" s="1"/>
  <c r="N115" i="293" a="1"/>
  <c r="N115" i="293" s="1"/>
  <c r="L111" i="299" s="1"/>
  <c r="J115" i="293" a="1"/>
  <c r="J115" i="293" s="1"/>
  <c r="H111" i="299" s="1"/>
  <c r="R114" i="293" a="1"/>
  <c r="R114" i="293" s="1"/>
  <c r="P110" i="299" s="1"/>
  <c r="N114" i="293" a="1"/>
  <c r="N114" i="293" s="1"/>
  <c r="L110" i="299" s="1"/>
  <c r="J114" i="293" a="1"/>
  <c r="J114" i="293" s="1"/>
  <c r="H110" i="299" s="1"/>
  <c r="R113" i="293" a="1"/>
  <c r="R113" i="293" s="1"/>
  <c r="P109" i="299" s="1"/>
  <c r="N113" i="293" a="1"/>
  <c r="N113" i="293" s="1"/>
  <c r="L109" i="299" s="1"/>
  <c r="J113" i="293" a="1"/>
  <c r="J113" i="293" s="1"/>
  <c r="H109" i="299" s="1"/>
  <c r="R112" i="293" a="1"/>
  <c r="R112" i="293" s="1"/>
  <c r="P108" i="299" s="1"/>
  <c r="N112" i="293" a="1"/>
  <c r="N112" i="293" s="1"/>
  <c r="L108" i="299" s="1"/>
  <c r="J112" i="293" a="1"/>
  <c r="J112" i="293" s="1"/>
  <c r="H108" i="299" s="1"/>
  <c r="R111" i="293" a="1"/>
  <c r="R111" i="293" s="1"/>
  <c r="P107" i="299" s="1"/>
  <c r="N111" i="293" a="1"/>
  <c r="N111" i="293" s="1"/>
  <c r="L107" i="299" s="1"/>
  <c r="J111" i="293" a="1"/>
  <c r="J111" i="293" s="1"/>
  <c r="H107" i="299" s="1"/>
  <c r="R110" i="293" a="1"/>
  <c r="R110" i="293" s="1"/>
  <c r="P106" i="299" s="1"/>
  <c r="N110" i="293" a="1"/>
  <c r="N110" i="293" s="1"/>
  <c r="L106" i="299" s="1"/>
  <c r="J110" i="293" a="1"/>
  <c r="J110" i="293" s="1"/>
  <c r="H106" i="299" s="1"/>
  <c r="R109" i="293" a="1"/>
  <c r="R109" i="293" s="1"/>
  <c r="P105" i="299" s="1"/>
  <c r="N109" i="293" a="1"/>
  <c r="N109" i="293" s="1"/>
  <c r="L105" i="299" s="1"/>
  <c r="J109" i="293" a="1"/>
  <c r="J109" i="293" s="1"/>
  <c r="H105" i="299" s="1"/>
  <c r="R108" i="293" a="1"/>
  <c r="R108" i="293" s="1"/>
  <c r="P104" i="299" s="1"/>
  <c r="N108" i="293" a="1"/>
  <c r="N108" i="293" s="1"/>
  <c r="L104" i="299" s="1"/>
  <c r="J108" i="293" a="1"/>
  <c r="J108" i="293" s="1"/>
  <c r="H104" i="299" s="1"/>
  <c r="R107" i="293" a="1"/>
  <c r="R107" i="293" s="1"/>
  <c r="P103" i="299" s="1"/>
  <c r="N107" i="293" a="1"/>
  <c r="N107" i="293" s="1"/>
  <c r="L103" i="299" s="1"/>
  <c r="J107" i="293" a="1"/>
  <c r="J107" i="293" s="1"/>
  <c r="H103" i="299" s="1"/>
  <c r="R106" i="293" a="1"/>
  <c r="R106" i="293" s="1"/>
  <c r="P102" i="299" s="1"/>
  <c r="N106" i="293" a="1"/>
  <c r="N106" i="293" s="1"/>
  <c r="L102" i="299" s="1"/>
  <c r="J106" i="293" a="1"/>
  <c r="J106" i="293" s="1"/>
  <c r="H102" i="299" s="1"/>
  <c r="R105" i="293" a="1"/>
  <c r="R105" i="293" s="1"/>
  <c r="P101" i="299" s="1"/>
  <c r="N105" i="293" a="1"/>
  <c r="N105" i="293" s="1"/>
  <c r="L101" i="299" s="1"/>
  <c r="J105" i="293" a="1"/>
  <c r="J105" i="293" s="1"/>
  <c r="H101" i="299" s="1"/>
  <c r="N104" i="293" a="1"/>
  <c r="N104" i="293" s="1"/>
  <c r="L100" i="299" s="1"/>
  <c r="J104" i="293" a="1"/>
  <c r="J104" i="293" s="1"/>
  <c r="H100" i="299" s="1"/>
  <c r="X128" i="293" l="1"/>
  <c r="V124" i="299" s="1"/>
  <c r="X127" i="293"/>
  <c r="V123" i="299" s="1"/>
  <c r="X126" i="293"/>
  <c r="V122" i="299" s="1"/>
  <c r="X125" i="293"/>
  <c r="V121" i="299" s="1"/>
  <c r="X124" i="293"/>
  <c r="V120" i="299" s="1"/>
  <c r="X123" i="293"/>
  <c r="V119" i="299" s="1"/>
  <c r="X122" i="293"/>
  <c r="V118" i="299" s="1"/>
  <c r="X121" i="293"/>
  <c r="V117" i="299" s="1"/>
  <c r="X120" i="293"/>
  <c r="V116" i="299" s="1"/>
  <c r="X119" i="293"/>
  <c r="V115" i="299" s="1"/>
  <c r="X118" i="293"/>
  <c r="V114" i="299" s="1"/>
  <c r="X117" i="293"/>
  <c r="V113" i="299" s="1"/>
  <c r="X116" i="293"/>
  <c r="V112" i="299" s="1"/>
  <c r="X115" i="293"/>
  <c r="V111" i="299" s="1"/>
  <c r="X114" i="293"/>
  <c r="V110" i="299" s="1"/>
  <c r="X113" i="293"/>
  <c r="V109" i="299" s="1"/>
  <c r="X112" i="293"/>
  <c r="V108" i="299" s="1"/>
  <c r="X111" i="293"/>
  <c r="V107" i="299" s="1"/>
  <c r="X110" i="293"/>
  <c r="V106" i="299" s="1"/>
  <c r="X109" i="293"/>
  <c r="V105" i="299" s="1"/>
  <c r="X108" i="293"/>
  <c r="V104" i="299" s="1"/>
  <c r="X107" i="293"/>
  <c r="V103" i="299" s="1"/>
  <c r="X106" i="293"/>
  <c r="V102" i="299" s="1"/>
  <c r="X105" i="293"/>
  <c r="V101" i="299" s="1"/>
  <c r="X104" i="293"/>
  <c r="V100" i="299" s="1"/>
  <c r="K51" i="278"/>
  <c r="K50" i="278"/>
  <c r="K51" i="277"/>
  <c r="K50" i="277"/>
  <c r="Y94" i="293" a="1"/>
  <c r="Z54" i="293" a="1"/>
  <c r="Y103" i="293" a="1"/>
  <c r="Y37" i="293" a="1"/>
  <c r="Z92" i="293" a="1"/>
  <c r="Z99" i="293" a="1"/>
  <c r="Y123" i="293" a="1"/>
  <c r="Z26" i="293" a="1"/>
  <c r="Y121" i="293" a="1"/>
  <c r="Z40" i="293" a="1"/>
  <c r="Z28" i="293" a="1"/>
  <c r="Y86" i="293" a="1"/>
  <c r="Y53" i="293" a="1"/>
  <c r="Z68" i="293" a="1"/>
  <c r="Z62" i="293" a="1"/>
  <c r="Z116" i="293" a="1"/>
  <c r="Z82" i="293" a="1"/>
  <c r="Y91" i="293" a="1"/>
  <c r="Z9" i="293" a="1"/>
  <c r="Y120" i="293" a="1"/>
  <c r="Y34" i="293" a="1"/>
  <c r="Y124" i="293" a="1"/>
  <c r="Y67" i="293" a="1"/>
  <c r="Y10" i="293" a="1"/>
  <c r="Y52" i="293" a="1"/>
  <c r="Z18" i="293" a="1"/>
  <c r="Y76" i="293" a="1"/>
  <c r="Z75" i="293" a="1"/>
  <c r="Z14" i="293" a="1"/>
  <c r="Y59" i="293" a="1"/>
  <c r="Z55" i="293" a="1"/>
  <c r="Y88" i="293" a="1"/>
  <c r="Y38" i="293" a="1"/>
  <c r="Z36" i="293" a="1"/>
  <c r="Y40" i="293" a="1"/>
  <c r="Y98" i="293" a="1"/>
  <c r="Z8" i="293" a="1"/>
  <c r="Y95" i="293" a="1"/>
  <c r="Y116" i="293" a="1"/>
  <c r="Z21" i="293" a="1"/>
  <c r="Z47" i="293" a="1"/>
  <c r="Z94" i="293" a="1"/>
  <c r="Y58" i="293" a="1"/>
  <c r="Y102" i="293" a="1"/>
  <c r="Y19" i="293" a="1"/>
  <c r="Y87" i="293" a="1"/>
  <c r="Y54" i="293" a="1"/>
  <c r="Y78" i="293" a="1"/>
  <c r="Y115" i="293" a="1"/>
  <c r="Y72" i="293" a="1"/>
  <c r="Z44" i="293" a="1"/>
  <c r="Y75" i="293" a="1"/>
  <c r="Y83" i="293" a="1"/>
  <c r="Z81" i="293" a="1"/>
  <c r="Z53" i="293" a="1"/>
  <c r="Y48" i="293" a="1"/>
  <c r="Z23" i="293" a="1"/>
  <c r="Y122" i="293" a="1"/>
  <c r="Y7" i="293" a="1"/>
  <c r="Z58" i="293" a="1"/>
  <c r="Z43" i="293" a="1"/>
  <c r="Y28" i="293" a="1"/>
  <c r="Z78" i="293" a="1"/>
  <c r="Z6" i="293" a="1"/>
  <c r="Y55" i="293" a="1"/>
  <c r="Z15" i="293" a="1"/>
  <c r="Y46" i="293" a="1"/>
  <c r="Y77" i="293" a="1"/>
  <c r="Y89" i="293" a="1"/>
  <c r="Z13" i="293" a="1"/>
  <c r="Y92" i="293" a="1"/>
  <c r="Y109" i="293" a="1"/>
  <c r="Y119" i="293" a="1"/>
  <c r="Z24" i="293" a="1"/>
  <c r="Z95" i="293" a="1"/>
  <c r="Z11" i="293" a="1"/>
  <c r="Z85" i="293" a="1"/>
  <c r="Z32" i="293" a="1"/>
  <c r="Z20" i="293" a="1"/>
  <c r="Z84" i="293" a="1"/>
  <c r="Y6" i="293" a="1"/>
  <c r="Y101" i="293" a="1"/>
  <c r="Z65" i="293" a="1"/>
  <c r="Y129" i="293" a="1"/>
  <c r="Z42" i="293" a="1"/>
  <c r="Y74" i="293" a="1"/>
  <c r="Y81" i="293" a="1"/>
  <c r="Z114" i="293" a="1"/>
  <c r="Y97" i="293" a="1"/>
  <c r="Z50" i="293" a="1"/>
  <c r="Y96" i="293" a="1"/>
  <c r="Y49" i="293" a="1"/>
  <c r="Y57" i="293" a="1"/>
  <c r="Z49" i="293" a="1"/>
  <c r="Z93" i="293" a="1"/>
  <c r="Y64" i="293" a="1"/>
  <c r="Y93" i="293" a="1"/>
  <c r="Z79" i="293" a="1"/>
  <c r="Y16" i="293" a="1"/>
  <c r="Z128" i="293" a="1"/>
  <c r="Y128" i="293" a="1"/>
  <c r="Y125" i="293" a="1"/>
  <c r="Z91" i="293" a="1"/>
  <c r="Z22" i="293" a="1"/>
  <c r="Z25" i="293" a="1"/>
  <c r="Z52" i="293" a="1"/>
  <c r="Y105" i="293" a="1"/>
  <c r="Z76" i="293" a="1"/>
  <c r="Z38" i="293" a="1"/>
  <c r="Y15" i="293" a="1"/>
  <c r="Y24" i="293" a="1"/>
  <c r="Z46" i="293" a="1"/>
  <c r="Z45" i="293" a="1"/>
  <c r="Z48" i="293" a="1"/>
  <c r="Z96" i="293" a="1"/>
  <c r="Y26" i="293" a="1"/>
  <c r="Y31" i="293" a="1"/>
  <c r="Z34" i="293" a="1"/>
  <c r="Y65" i="293" a="1"/>
  <c r="Y50" i="293" a="1"/>
  <c r="Z29" i="293" a="1"/>
  <c r="Z7" i="293" a="1"/>
  <c r="Z122" i="293" a="1"/>
  <c r="Z98" i="293" a="1"/>
  <c r="Y61" i="293" a="1"/>
  <c r="Y23" i="293" a="1"/>
  <c r="Z59" i="293" a="1"/>
  <c r="Z30" i="293" a="1"/>
  <c r="Z80" i="293" a="1"/>
  <c r="Z83" i="293" a="1"/>
  <c r="Z16" i="293" a="1"/>
  <c r="Z31" i="293" a="1"/>
  <c r="Z103" i="293" a="1"/>
  <c r="Z66" i="293" a="1"/>
  <c r="Z61" i="293" a="1"/>
  <c r="Y62" i="293" a="1"/>
  <c r="Z125" i="293" a="1"/>
  <c r="Z126" i="293" a="1"/>
  <c r="Y71" i="293" a="1"/>
  <c r="Y82" i="293" a="1"/>
  <c r="Y112" i="293" a="1"/>
  <c r="Y36" i="293" a="1"/>
  <c r="Y117" i="293" a="1"/>
  <c r="Y18" i="293" a="1"/>
  <c r="Z113" i="293" a="1"/>
  <c r="Z121" i="293" a="1"/>
  <c r="Z120" i="293" a="1"/>
  <c r="Z27" i="293" a="1"/>
  <c r="Z71" i="293" a="1"/>
  <c r="Y27" i="293" a="1"/>
  <c r="Z63" i="293" a="1"/>
  <c r="Y11" i="293" a="1"/>
  <c r="Y13" i="293" a="1"/>
  <c r="Y104" i="293" a="1"/>
  <c r="Z10" i="293" a="1"/>
  <c r="Z51" i="293" a="1"/>
  <c r="Y68" i="293" a="1"/>
  <c r="Y80" i="293" a="1"/>
  <c r="Y41" i="293" a="1"/>
  <c r="Y73" i="293" a="1"/>
  <c r="Y32" i="293" a="1"/>
  <c r="Y20" i="293" a="1"/>
  <c r="Y22" i="293" a="1"/>
  <c r="Y45" i="293" a="1"/>
  <c r="Y60" i="293" a="1"/>
  <c r="Z35" i="293" a="1"/>
  <c r="Z86" i="293" a="1"/>
  <c r="Z90" i="293" a="1"/>
  <c r="Z101" i="293" a="1"/>
  <c r="Z87" i="293" a="1"/>
  <c r="Y107" i="293" a="1"/>
  <c r="Z88" i="293" a="1"/>
  <c r="Y113" i="293" a="1"/>
  <c r="Z124" i="293" a="1"/>
  <c r="Y29" i="293" a="1"/>
  <c r="Z89" i="293" a="1"/>
  <c r="Y79" i="293" a="1"/>
  <c r="Y99" i="293" a="1"/>
  <c r="Z123" i="293" a="1"/>
  <c r="Z37" i="293" a="1"/>
  <c r="Y69" i="293" a="1"/>
  <c r="Y85" i="293" a="1"/>
  <c r="Z117" i="293" a="1"/>
  <c r="Y21" i="293" a="1"/>
  <c r="Y42" i="293" a="1"/>
  <c r="Y51" i="293" a="1"/>
  <c r="Y39" i="293" a="1"/>
  <c r="Y132" i="293" a="1"/>
  <c r="Z100" i="293" a="1"/>
  <c r="Y12" i="293" a="1"/>
  <c r="Y35" i="293" a="1"/>
  <c r="Y47" i="293" a="1"/>
  <c r="Y108" i="293" a="1"/>
  <c r="Y106" i="293" a="1"/>
  <c r="Y133" i="293" a="1"/>
  <c r="Z17" i="293" a="1"/>
  <c r="Z70" i="293" a="1"/>
  <c r="Y14" i="293" a="1"/>
  <c r="Y130" i="293" a="1"/>
  <c r="Y44" i="293" a="1"/>
  <c r="Z73" i="293" a="1"/>
  <c r="Z74" i="293" a="1"/>
  <c r="Y118" i="293" a="1"/>
  <c r="Z39" i="293" a="1"/>
  <c r="Y127" i="293" a="1"/>
  <c r="Z64" i="293" a="1"/>
  <c r="Z67" i="293" a="1"/>
  <c r="Z19" i="293" a="1"/>
  <c r="Z115" i="293" a="1"/>
  <c r="Z77" i="293" a="1"/>
  <c r="Z56" i="293" a="1"/>
  <c r="Z119" i="293" a="1"/>
  <c r="Y100" i="293" a="1"/>
  <c r="Z127" i="293" a="1"/>
  <c r="Y25" i="293" a="1"/>
  <c r="Y114" i="293" a="1"/>
  <c r="Z102" i="293" a="1"/>
  <c r="Y70" i="293" a="1"/>
  <c r="Y126" i="293" a="1"/>
  <c r="Z57" i="293" a="1"/>
  <c r="Z60" i="293" a="1"/>
  <c r="Y66" i="293" a="1"/>
  <c r="Z118" i="293" a="1"/>
  <c r="Z69" i="293" a="1"/>
  <c r="Y110" i="293" a="1"/>
  <c r="Y56" i="293" a="1"/>
  <c r="Y17" i="293" a="1"/>
  <c r="Y8" i="293" a="1"/>
  <c r="Z97" i="293" a="1"/>
  <c r="Z72" i="293" a="1"/>
  <c r="Z33" i="293" a="1"/>
  <c r="Z41" i="293" a="1"/>
  <c r="Y43" i="293" a="1"/>
  <c r="Y33" i="293" a="1"/>
  <c r="Y63" i="293" a="1"/>
  <c r="Y9" i="293" a="1"/>
  <c r="Y84" i="293" a="1"/>
  <c r="Y90" i="293" a="1"/>
  <c r="Y111" i="293" a="1"/>
  <c r="Z12" i="293" a="1"/>
  <c r="K54" i="277" l="1"/>
  <c r="K53" i="278"/>
  <c r="K54" i="278"/>
  <c r="K52" i="278"/>
  <c r="K53" i="277"/>
  <c r="K52" i="277"/>
  <c r="Z6" i="293"/>
  <c r="W2" i="299" s="1"/>
  <c r="Y8" i="293"/>
  <c r="Z14" i="293"/>
  <c r="W10" i="299" s="1"/>
  <c r="Y16" i="293"/>
  <c r="Z22" i="293"/>
  <c r="W18" i="299" s="1"/>
  <c r="Y24" i="293"/>
  <c r="Z30" i="293"/>
  <c r="W26" i="299" s="1"/>
  <c r="Y38" i="293"/>
  <c r="Z11" i="293"/>
  <c r="W7" i="299" s="1"/>
  <c r="Y13" i="293"/>
  <c r="Z19" i="293"/>
  <c r="W15" i="299" s="1"/>
  <c r="Y21" i="293"/>
  <c r="Z27" i="293"/>
  <c r="W23" i="299" s="1"/>
  <c r="Y29" i="293"/>
  <c r="Z25" i="293"/>
  <c r="W21" i="299" s="1"/>
  <c r="Y27" i="293"/>
  <c r="Z8" i="293"/>
  <c r="W4" i="299" s="1"/>
  <c r="Y10" i="293"/>
  <c r="Z16" i="293"/>
  <c r="W12" i="299" s="1"/>
  <c r="Y18" i="293"/>
  <c r="Z24" i="293"/>
  <c r="W20" i="299" s="1"/>
  <c r="Y26" i="293"/>
  <c r="Y11" i="293"/>
  <c r="Z36" i="293"/>
  <c r="W32" i="299" s="1"/>
  <c r="Y7" i="293"/>
  <c r="Z13" i="293"/>
  <c r="W9" i="299" s="1"/>
  <c r="Y15" i="293"/>
  <c r="Z21" i="293"/>
  <c r="W17" i="299" s="1"/>
  <c r="Y23" i="293"/>
  <c r="Z29" i="293"/>
  <c r="W25" i="299" s="1"/>
  <c r="Y31" i="293"/>
  <c r="Y19" i="293"/>
  <c r="Z18" i="293"/>
  <c r="W14" i="299" s="1"/>
  <c r="Y20" i="293"/>
  <c r="Z26" i="293"/>
  <c r="W22" i="299" s="1"/>
  <c r="Y28" i="293"/>
  <c r="Z44" i="293"/>
  <c r="W40" i="299" s="1"/>
  <c r="Z9" i="293"/>
  <c r="W5" i="299" s="1"/>
  <c r="Z17" i="293"/>
  <c r="W13" i="299" s="1"/>
  <c r="Y12" i="293"/>
  <c r="Z7" i="293"/>
  <c r="W3" i="299" s="1"/>
  <c r="Y9" i="293"/>
  <c r="Z15" i="293"/>
  <c r="W11" i="299" s="1"/>
  <c r="Y17" i="293"/>
  <c r="Z23" i="293"/>
  <c r="W19" i="299" s="1"/>
  <c r="Y25" i="293"/>
  <c r="Z31" i="293"/>
  <c r="W27" i="299" s="1"/>
  <c r="Y46" i="293"/>
  <c r="Z10" i="293"/>
  <c r="W6" i="299" s="1"/>
  <c r="Y6" i="293"/>
  <c r="Z12" i="293"/>
  <c r="W8" i="299" s="1"/>
  <c r="Y14" i="293"/>
  <c r="Z20" i="293"/>
  <c r="W16" i="299" s="1"/>
  <c r="Y22" i="293"/>
  <c r="Z28" i="293"/>
  <c r="W24" i="299" s="1"/>
  <c r="Z33" i="293"/>
  <c r="W29" i="299" s="1"/>
  <c r="Y35" i="293"/>
  <c r="Z41" i="293"/>
  <c r="W37" i="299" s="1"/>
  <c r="Y43" i="293"/>
  <c r="Z49" i="293"/>
  <c r="W45" i="299" s="1"/>
  <c r="Z60" i="293"/>
  <c r="W56" i="299" s="1"/>
  <c r="Y32" i="293"/>
  <c r="Z38" i="293"/>
  <c r="W34" i="299" s="1"/>
  <c r="Y40" i="293"/>
  <c r="Z46" i="293"/>
  <c r="W42" i="299" s="1"/>
  <c r="Y48" i="293"/>
  <c r="Z53" i="293"/>
  <c r="W49" i="299" s="1"/>
  <c r="Z35" i="293"/>
  <c r="W31" i="299" s="1"/>
  <c r="Y37" i="293"/>
  <c r="Z43" i="293"/>
  <c r="W39" i="299" s="1"/>
  <c r="Y45" i="293"/>
  <c r="Y55" i="293"/>
  <c r="Z32" i="293"/>
  <c r="W28" i="299" s="1"/>
  <c r="Y34" i="293"/>
  <c r="Z40" i="293"/>
  <c r="W36" i="299" s="1"/>
  <c r="Y42" i="293"/>
  <c r="Z48" i="293"/>
  <c r="W44" i="299" s="1"/>
  <c r="Y50" i="293"/>
  <c r="Z37" i="293"/>
  <c r="W33" i="299" s="1"/>
  <c r="Y39" i="293"/>
  <c r="Z45" i="293"/>
  <c r="W41" i="299" s="1"/>
  <c r="Y47" i="293"/>
  <c r="Z34" i="293"/>
  <c r="W30" i="299" s="1"/>
  <c r="Y36" i="293"/>
  <c r="Z42" i="293"/>
  <c r="W38" i="299" s="1"/>
  <c r="Y44" i="293"/>
  <c r="Y33" i="293"/>
  <c r="Z39" i="293"/>
  <c r="W35" i="299" s="1"/>
  <c r="Y41" i="293"/>
  <c r="Z47" i="293"/>
  <c r="W43" i="299" s="1"/>
  <c r="Y49" i="293"/>
  <c r="Z50" i="293"/>
  <c r="W46" i="299" s="1"/>
  <c r="Y52" i="293"/>
  <c r="Z58" i="293"/>
  <c r="W54" i="299" s="1"/>
  <c r="Y67" i="293"/>
  <c r="Y72" i="293"/>
  <c r="Z55" i="293"/>
  <c r="W51" i="299" s="1"/>
  <c r="Y57" i="293"/>
  <c r="Y61" i="293"/>
  <c r="Y63" i="293"/>
  <c r="Z67" i="293"/>
  <c r="W63" i="299" s="1"/>
  <c r="Z52" i="293"/>
  <c r="W48" i="299" s="1"/>
  <c r="Y54" i="293"/>
  <c r="Y59" i="293"/>
  <c r="Z65" i="293"/>
  <c r="W61" i="299" s="1"/>
  <c r="Z72" i="293"/>
  <c r="W68" i="299" s="1"/>
  <c r="Z73" i="293"/>
  <c r="W69" i="299" s="1"/>
  <c r="Y77" i="293"/>
  <c r="Y51" i="293"/>
  <c r="Z57" i="293"/>
  <c r="W53" i="299" s="1"/>
  <c r="Z59" i="293"/>
  <c r="W55" i="299" s="1"/>
  <c r="Z61" i="293"/>
  <c r="W57" i="299" s="1"/>
  <c r="Y74" i="293"/>
  <c r="Z54" i="293"/>
  <c r="W50" i="299" s="1"/>
  <c r="Y56" i="293"/>
  <c r="Y66" i="293"/>
  <c r="Y69" i="293"/>
  <c r="Y88" i="293"/>
  <c r="Z51" i="293"/>
  <c r="W47" i="299" s="1"/>
  <c r="Y53" i="293"/>
  <c r="Y62" i="293"/>
  <c r="Z69" i="293"/>
  <c r="W65" i="299" s="1"/>
  <c r="Y70" i="293"/>
  <c r="Z56" i="293"/>
  <c r="W52" i="299" s="1"/>
  <c r="Y58" i="293"/>
  <c r="Y60" i="293"/>
  <c r="Z64" i="293"/>
  <c r="W60" i="299" s="1"/>
  <c r="Z66" i="293"/>
  <c r="W62" i="299" s="1"/>
  <c r="Z78" i="293"/>
  <c r="W74" i="299" s="1"/>
  <c r="Z63" i="293"/>
  <c r="W59" i="299" s="1"/>
  <c r="Y65" i="293"/>
  <c r="Z68" i="293"/>
  <c r="W64" i="299" s="1"/>
  <c r="Z70" i="293"/>
  <c r="W66" i="299" s="1"/>
  <c r="Z75" i="293"/>
  <c r="W71" i="299" s="1"/>
  <c r="Y80" i="293"/>
  <c r="Z88" i="293"/>
  <c r="W84" i="299" s="1"/>
  <c r="Y101" i="293"/>
  <c r="Y107" i="293"/>
  <c r="Z80" i="293"/>
  <c r="W76" i="299" s="1"/>
  <c r="Y86" i="293"/>
  <c r="Z98" i="293"/>
  <c r="W94" i="299" s="1"/>
  <c r="Z76" i="293"/>
  <c r="W72" i="299" s="1"/>
  <c r="Z99" i="293"/>
  <c r="W95" i="299" s="1"/>
  <c r="Z62" i="293"/>
  <c r="W58" i="299" s="1"/>
  <c r="Y64" i="293"/>
  <c r="Z117" i="293"/>
  <c r="W113" i="299" s="1"/>
  <c r="Y87" i="293"/>
  <c r="Y92" i="293"/>
  <c r="Z87" i="293"/>
  <c r="W83" i="299" s="1"/>
  <c r="Y78" i="293"/>
  <c r="Y115" i="293"/>
  <c r="Z125" i="293"/>
  <c r="W121" i="299" s="1"/>
  <c r="Y75" i="293"/>
  <c r="Y71" i="293"/>
  <c r="Z77" i="293"/>
  <c r="W73" i="299" s="1"/>
  <c r="Y79" i="293"/>
  <c r="Z86" i="293"/>
  <c r="W82" i="299" s="1"/>
  <c r="Y89" i="293"/>
  <c r="Y95" i="293"/>
  <c r="Y108" i="293"/>
  <c r="Y68" i="293"/>
  <c r="Z74" i="293"/>
  <c r="W70" i="299" s="1"/>
  <c r="Y76" i="293"/>
  <c r="Z85" i="293"/>
  <c r="W81" i="299" s="1"/>
  <c r="Y126" i="293"/>
  <c r="Z128" i="293"/>
  <c r="W124" i="299" s="1"/>
  <c r="Z71" i="293"/>
  <c r="W67" i="299" s="1"/>
  <c r="Y73" i="293"/>
  <c r="Z79" i="293"/>
  <c r="W75" i="299" s="1"/>
  <c r="Y81" i="293"/>
  <c r="Y82" i="293"/>
  <c r="Z84" i="293"/>
  <c r="W80" i="299" s="1"/>
  <c r="Y90" i="293"/>
  <c r="Z83" i="293"/>
  <c r="W79" i="299" s="1"/>
  <c r="Y85" i="293"/>
  <c r="Z91" i="293"/>
  <c r="W87" i="299" s="1"/>
  <c r="Z93" i="293"/>
  <c r="W89" i="299" s="1"/>
  <c r="Z82" i="293"/>
  <c r="W78" i="299" s="1"/>
  <c r="Y84" i="293"/>
  <c r="Z90" i="293"/>
  <c r="W86" i="299" s="1"/>
  <c r="Z101" i="293"/>
  <c r="W97" i="299" s="1"/>
  <c r="Z120" i="293"/>
  <c r="W116" i="299" s="1"/>
  <c r="Z92" i="293"/>
  <c r="W88" i="299" s="1"/>
  <c r="Y94" i="293"/>
  <c r="Y123" i="293"/>
  <c r="Y100" i="293"/>
  <c r="Y105" i="293"/>
  <c r="Y118" i="293"/>
  <c r="Z81" i="293"/>
  <c r="W77" i="299" s="1"/>
  <c r="Y83" i="293"/>
  <c r="Z89" i="293"/>
  <c r="W85" i="299" s="1"/>
  <c r="Y91" i="293"/>
  <c r="Y93" i="293"/>
  <c r="Z94" i="293"/>
  <c r="W90" i="299" s="1"/>
  <c r="Y96" i="293"/>
  <c r="Y103" i="293"/>
  <c r="Z95" i="293"/>
  <c r="W91" i="299" s="1"/>
  <c r="Y97" i="293"/>
  <c r="Z103" i="293"/>
  <c r="W99" i="299" s="1"/>
  <c r="Y111" i="293"/>
  <c r="Y113" i="293"/>
  <c r="Z115" i="293"/>
  <c r="W111" i="299" s="1"/>
  <c r="Y121" i="293"/>
  <c r="Z123" i="293"/>
  <c r="W119" i="299" s="1"/>
  <c r="Y133" i="293"/>
  <c r="Z100" i="293"/>
  <c r="W96" i="299" s="1"/>
  <c r="Y102" i="293"/>
  <c r="Y106" i="293"/>
  <c r="Y116" i="293"/>
  <c r="Z118" i="293"/>
  <c r="W114" i="299" s="1"/>
  <c r="Y124" i="293"/>
  <c r="Z126" i="293"/>
  <c r="W122" i="299" s="1"/>
  <c r="Y130" i="293"/>
  <c r="Z97" i="293"/>
  <c r="W93" i="299" s="1"/>
  <c r="Y99" i="293"/>
  <c r="Y109" i="293"/>
  <c r="Z113" i="293"/>
  <c r="W109" i="299" s="1"/>
  <c r="Y119" i="293"/>
  <c r="Z121" i="293"/>
  <c r="W117" i="299" s="1"/>
  <c r="Y127" i="293"/>
  <c r="Z102" i="293"/>
  <c r="W98" i="299" s="1"/>
  <c r="Y104" i="293"/>
  <c r="Y112" i="293"/>
  <c r="Y114" i="293"/>
  <c r="Z116" i="293"/>
  <c r="W112" i="299" s="1"/>
  <c r="Y122" i="293"/>
  <c r="Z124" i="293"/>
  <c r="W120" i="299" s="1"/>
  <c r="Y132" i="293"/>
  <c r="Y117" i="293"/>
  <c r="Z119" i="293"/>
  <c r="W115" i="299" s="1"/>
  <c r="Y125" i="293"/>
  <c r="Z127" i="293"/>
  <c r="W123" i="299" s="1"/>
  <c r="Y129" i="293"/>
  <c r="Z96" i="293"/>
  <c r="W92" i="299" s="1"/>
  <c r="Y98" i="293"/>
  <c r="Y110" i="293"/>
  <c r="Z114" i="293"/>
  <c r="W110" i="299" s="1"/>
  <c r="Y120" i="293"/>
  <c r="Z122" i="293"/>
  <c r="W118" i="299" s="1"/>
  <c r="Y128" i="293"/>
  <c r="V131" i="180" l="1"/>
  <c r="Q130" i="293" s="1" a="1"/>
  <c r="Q130" i="293" s="1"/>
  <c r="O126" i="299" s="1"/>
  <c r="T132" i="180"/>
  <c r="V132" i="180"/>
  <c r="Q131" i="293" s="1" a="1"/>
  <c r="Q131" i="293" s="1"/>
  <c r="O127" i="299" s="1"/>
  <c r="T133" i="180"/>
  <c r="V133" i="180"/>
  <c r="Q132" i="293" s="1" a="1"/>
  <c r="Q132" i="293" s="1"/>
  <c r="O128" i="299" s="1"/>
  <c r="S133" i="293" a="1"/>
  <c r="S133" i="293" s="1"/>
  <c r="Q129" i="299" s="1"/>
  <c r="V130" i="180"/>
  <c r="Q129" i="293" s="1" a="1"/>
  <c r="Q129" i="293" s="1"/>
  <c r="O125" i="299" s="1"/>
  <c r="C28" i="180" a="1"/>
  <c r="C102" i="180" a="1"/>
  <c r="C26" i="180" a="1"/>
  <c r="AD55" i="180" a="1"/>
  <c r="C85" i="180" a="1"/>
  <c r="C112" i="180" a="1"/>
  <c r="C106" i="180" a="1"/>
  <c r="C18" i="180" a="1"/>
  <c r="C124" i="180" a="1"/>
  <c r="AD32" i="180" a="1"/>
  <c r="AD42" i="180" a="1"/>
  <c r="AD63" i="180" a="1"/>
  <c r="C48" i="180" a="1"/>
  <c r="AD95" i="180" a="1"/>
  <c r="AD18" i="180" a="1"/>
  <c r="AD39" i="180" a="1"/>
  <c r="C30" i="180" a="1"/>
  <c r="AD12" i="180" a="1"/>
  <c r="C91" i="180" a="1"/>
  <c r="AD86" i="180" a="1"/>
  <c r="C33" i="180" a="1"/>
  <c r="AD107" i="180" a="1"/>
  <c r="AD37" i="180" a="1"/>
  <c r="AD93" i="180" a="1"/>
  <c r="AD53" i="180" a="1"/>
  <c r="C37" i="180" a="1"/>
  <c r="C107" i="180" a="1"/>
  <c r="AD127" i="180" a="1"/>
  <c r="C39" i="180" a="1"/>
  <c r="C36" i="180" a="1"/>
  <c r="AD41" i="180" a="1"/>
  <c r="AD119" i="180" a="1"/>
  <c r="AD84" i="180" a="1"/>
  <c r="AD82" i="180" a="1"/>
  <c r="C104" i="180" a="1"/>
  <c r="C118" i="180" a="1"/>
  <c r="C70" i="180" a="1"/>
  <c r="C132" i="180" a="1"/>
  <c r="C34" i="180" a="1"/>
  <c r="AD27" i="180" a="1"/>
  <c r="C109" i="180" a="1"/>
  <c r="AD46" i="180" a="1"/>
  <c r="AD113" i="180" a="1"/>
  <c r="AD19" i="180" a="1"/>
  <c r="AD9" i="180" a="1"/>
  <c r="C96" i="180" a="1"/>
  <c r="AD70" i="180" a="1"/>
  <c r="C81" i="180" a="1"/>
  <c r="C14" i="180" a="1"/>
  <c r="C68" i="180" a="1"/>
  <c r="AD128" i="180" a="1"/>
  <c r="C108" i="180" a="1"/>
  <c r="C92" i="180" a="1"/>
  <c r="AD98" i="180" a="1"/>
  <c r="C41" i="180" a="1"/>
  <c r="C25" i="180" a="1"/>
  <c r="AD131" i="180" a="1"/>
  <c r="AD28" i="180" a="1"/>
  <c r="AD59" i="180" a="1"/>
  <c r="C67" i="180" a="1"/>
  <c r="C95" i="180" a="1"/>
  <c r="C126" i="180" a="1"/>
  <c r="AD26" i="180" a="1"/>
  <c r="AD7" i="180" a="1"/>
  <c r="AD77" i="180" a="1"/>
  <c r="C129" i="180" a="1"/>
  <c r="AD69" i="180" a="1"/>
  <c r="C80" i="180" a="1"/>
  <c r="C113" i="180" a="1"/>
  <c r="AD30" i="180" a="1"/>
  <c r="C12" i="180" a="1"/>
  <c r="C38" i="180" a="1"/>
  <c r="C10" i="180" a="1"/>
  <c r="C131" i="180" a="1"/>
  <c r="AD17" i="180" a="1"/>
  <c r="C63" i="180" a="1"/>
  <c r="C72" i="180" a="1"/>
  <c r="AD73" i="180" a="1"/>
  <c r="C23" i="180" a="1"/>
  <c r="C98" i="180" a="1"/>
  <c r="AD43" i="180" a="1"/>
  <c r="C86" i="180" a="1"/>
  <c r="AD97" i="180" a="1"/>
  <c r="AD89" i="180" a="1"/>
  <c r="AD15" i="180" a="1"/>
  <c r="AD25" i="180" a="1"/>
  <c r="C29" i="180" a="1"/>
  <c r="C49" i="180" a="1"/>
  <c r="AD134" i="180" a="1"/>
  <c r="AD14" i="180" a="1"/>
  <c r="AD91" i="180" a="1"/>
  <c r="AD50" i="180" a="1"/>
  <c r="AD8" i="180" a="1"/>
  <c r="AD45" i="180" a="1"/>
  <c r="AD38" i="180" a="1"/>
  <c r="C130" i="180" a="1"/>
  <c r="AD117" i="180" a="1"/>
  <c r="AD56" i="180" a="1"/>
  <c r="C24" i="180" a="1"/>
  <c r="C65" i="180" a="1"/>
  <c r="C56" i="180" a="1"/>
  <c r="AD133" i="180" a="1"/>
  <c r="C35" i="180" a="1"/>
  <c r="AD65" i="180" a="1"/>
  <c r="C119" i="180" a="1"/>
  <c r="C54" i="180" a="1"/>
  <c r="AD66" i="180" a="1"/>
  <c r="AD126" i="180" a="1"/>
  <c r="C53" i="180" a="1"/>
  <c r="C134" i="180" a="1"/>
  <c r="C100" i="180" a="1"/>
  <c r="C42" i="180" a="1"/>
  <c r="AD34" i="180" a="1"/>
  <c r="C17" i="180" a="1"/>
  <c r="C27" i="180" a="1"/>
  <c r="AD40" i="180" a="1"/>
  <c r="C99" i="180" a="1"/>
  <c r="AD60" i="180" a="1"/>
  <c r="C59" i="180" a="1"/>
  <c r="C82" i="180" a="1"/>
  <c r="C32" i="180" a="1"/>
  <c r="AD44" i="180" a="1"/>
  <c r="C116" i="180" a="1"/>
  <c r="AD118" i="180" a="1"/>
  <c r="AD103" i="180" a="1"/>
  <c r="C79" i="180" a="1"/>
  <c r="AD36" i="180" a="1"/>
  <c r="C40" i="180" a="1"/>
  <c r="AD115" i="180" a="1"/>
  <c r="C84" i="180" a="1"/>
  <c r="AD35" i="180" a="1"/>
  <c r="AD64" i="180" a="1"/>
  <c r="AD120" i="180" a="1"/>
  <c r="C7" i="180" a="1"/>
  <c r="AD67" i="180" a="1"/>
  <c r="C61" i="180" a="1"/>
  <c r="C101" i="180" a="1"/>
  <c r="C125" i="180" a="1"/>
  <c r="C120" i="180" a="1"/>
  <c r="C74" i="180" a="1"/>
  <c r="AD129" i="180" a="1"/>
  <c r="C9" i="180" a="1"/>
  <c r="AD81" i="180" a="1"/>
  <c r="C43" i="180" a="1"/>
  <c r="AD105" i="180" a="1"/>
  <c r="C57" i="180" a="1"/>
  <c r="C60" i="180" a="1"/>
  <c r="AD92" i="180" a="1"/>
  <c r="C46" i="180" a="1"/>
  <c r="AD20" i="180" a="1"/>
  <c r="AD51" i="180" a="1"/>
  <c r="C13" i="180" a="1"/>
  <c r="AD54" i="180" a="1"/>
  <c r="C55" i="180" a="1"/>
  <c r="AD104" i="180" a="1"/>
  <c r="AD125" i="180" a="1"/>
  <c r="AD100" i="180" a="1"/>
  <c r="AD29" i="180" a="1"/>
  <c r="C128" i="180" a="1"/>
  <c r="AD13" i="180" a="1"/>
  <c r="AD72" i="180" a="1"/>
  <c r="C122" i="180" a="1"/>
  <c r="C105" i="180" a="1"/>
  <c r="AD24" i="180" a="1"/>
  <c r="AD110" i="180" a="1"/>
  <c r="AD16" i="180" a="1"/>
  <c r="AD57" i="180" a="1"/>
  <c r="C93" i="180" a="1"/>
  <c r="AD75" i="180" a="1"/>
  <c r="AD90" i="180" a="1"/>
  <c r="C121" i="180" a="1"/>
  <c r="C88" i="180" a="1"/>
  <c r="C64" i="180" a="1"/>
  <c r="AD114" i="180" a="1"/>
  <c r="AD68" i="180" a="1"/>
  <c r="C110" i="180" a="1"/>
  <c r="C21" i="180" a="1"/>
  <c r="AD112" i="180" a="1"/>
  <c r="C75" i="180" a="1"/>
  <c r="C62" i="180" a="1"/>
  <c r="AD48" i="180" a="1"/>
  <c r="C11" i="180" a="1"/>
  <c r="AD102" i="180" a="1"/>
  <c r="C22" i="180" a="1"/>
  <c r="AD123" i="180" a="1"/>
  <c r="AD10" i="180" a="1"/>
  <c r="AD108" i="180" a="1"/>
  <c r="C15" i="180" a="1"/>
  <c r="C115" i="180" a="1"/>
  <c r="C45" i="180" a="1"/>
  <c r="AD33" i="180" a="1"/>
  <c r="C77" i="180" a="1"/>
  <c r="AD109" i="180" a="1"/>
  <c r="C19" i="180" a="1"/>
  <c r="C51" i="180" a="1"/>
  <c r="C50" i="180" a="1"/>
  <c r="C8" i="180" a="1"/>
  <c r="AD11" i="180" a="1"/>
  <c r="C94" i="180" a="1"/>
  <c r="C31" i="180" a="1"/>
  <c r="C87" i="180" a="1"/>
  <c r="AD49" i="180" a="1"/>
  <c r="C69" i="180" a="1"/>
  <c r="AD83" i="180" a="1"/>
  <c r="C133" i="180" a="1"/>
  <c r="AD21" i="180" a="1"/>
  <c r="AD80" i="180" a="1"/>
  <c r="AD31" i="180" a="1"/>
  <c r="AD94" i="180" a="1"/>
  <c r="AD96" i="180" a="1"/>
  <c r="AD106" i="180" a="1"/>
  <c r="C44" i="180" a="1"/>
  <c r="C78" i="180" a="1"/>
  <c r="C123" i="180" a="1"/>
  <c r="AD79" i="180" a="1"/>
  <c r="C103" i="180" a="1"/>
  <c r="AD121" i="180" a="1"/>
  <c r="AD78" i="180" a="1"/>
  <c r="C76" i="180" a="1"/>
  <c r="C16" i="180" a="1"/>
  <c r="C83" i="180" a="1"/>
  <c r="AD71" i="180" a="1"/>
  <c r="AD47" i="180" a="1"/>
  <c r="C114" i="180" a="1"/>
  <c r="AD61" i="180" a="1"/>
  <c r="AD124" i="180" a="1"/>
  <c r="AD76" i="180" a="1"/>
  <c r="AD101" i="180" a="1"/>
  <c r="C73" i="180" a="1"/>
  <c r="C111" i="180" a="1"/>
  <c r="AD122" i="180" a="1"/>
  <c r="C71" i="180" a="1"/>
  <c r="AD74" i="180" a="1"/>
  <c r="AD88" i="180" a="1"/>
  <c r="C127" i="180" a="1"/>
  <c r="AD23" i="180" a="1"/>
  <c r="AD22" i="180" a="1"/>
  <c r="AD111" i="180" a="1"/>
  <c r="C90" i="180" a="1"/>
  <c r="C58" i="180" a="1"/>
  <c r="AD58" i="180" a="1"/>
  <c r="C89" i="180" a="1"/>
  <c r="AD62" i="180" a="1"/>
  <c r="AD99" i="180" a="1"/>
  <c r="C47" i="180" a="1"/>
  <c r="AD130" i="180" a="1"/>
  <c r="C97" i="180" a="1"/>
  <c r="C117" i="180" a="1"/>
  <c r="C66" i="180" a="1"/>
  <c r="AD85" i="180" a="1"/>
  <c r="C52" i="180" a="1"/>
  <c r="C20" i="180" a="1"/>
  <c r="AD116" i="180" a="1"/>
  <c r="AD87" i="180" a="1"/>
  <c r="S132" i="293" l="1" a="1"/>
  <c r="S132" i="293" s="1"/>
  <c r="Q128" i="299" s="1"/>
  <c r="U133" i="180"/>
  <c r="S131" i="293" a="1"/>
  <c r="S131" i="293" s="1"/>
  <c r="Q127" i="299" s="1"/>
  <c r="U132" i="180"/>
  <c r="S130" i="293" a="1"/>
  <c r="S130" i="293" s="1"/>
  <c r="Q126" i="299" s="1"/>
  <c r="U131" i="180"/>
  <c r="AD127" i="180"/>
  <c r="AD112" i="180"/>
  <c r="AD133" i="180"/>
  <c r="AD126" i="180"/>
  <c r="AD122" i="180"/>
  <c r="AD114" i="180"/>
  <c r="AD107" i="180"/>
  <c r="AD104" i="180"/>
  <c r="AD96" i="180"/>
  <c r="AD88" i="180"/>
  <c r="AD80" i="180"/>
  <c r="AD76" i="180"/>
  <c r="AD72" i="180"/>
  <c r="AD68" i="180"/>
  <c r="AD60" i="180"/>
  <c r="AD56" i="180"/>
  <c r="AD48" i="180"/>
  <c r="AD44" i="180"/>
  <c r="AD40" i="180"/>
  <c r="AD36" i="180"/>
  <c r="AD32" i="180"/>
  <c r="AD28" i="180"/>
  <c r="AD24" i="180"/>
  <c r="AD20" i="180"/>
  <c r="AD16" i="180"/>
  <c r="AD12" i="180"/>
  <c r="AD115" i="180"/>
  <c r="AD118" i="180"/>
  <c r="AD111" i="180"/>
  <c r="AD100" i="180"/>
  <c r="AD92" i="180"/>
  <c r="AD84" i="180"/>
  <c r="AD64" i="180"/>
  <c r="AD119" i="180"/>
  <c r="AD121" i="180"/>
  <c r="AD106" i="180"/>
  <c r="AD99" i="180"/>
  <c r="AD91" i="180"/>
  <c r="AD87" i="180"/>
  <c r="AD79" i="180"/>
  <c r="AD67" i="180"/>
  <c r="AD63" i="180"/>
  <c r="AD59" i="180"/>
  <c r="AD51" i="180"/>
  <c r="AD47" i="180"/>
  <c r="AD43" i="180"/>
  <c r="AD39" i="180"/>
  <c r="AD35" i="180"/>
  <c r="AD31" i="180"/>
  <c r="AD27" i="180"/>
  <c r="AD23" i="180"/>
  <c r="AD19" i="180"/>
  <c r="AD15" i="180"/>
  <c r="AD11" i="180"/>
  <c r="AD123" i="180"/>
  <c r="AD108" i="180"/>
  <c r="AD125" i="180"/>
  <c r="AD117" i="180"/>
  <c r="AD110" i="180"/>
  <c r="AD103" i="180"/>
  <c r="AD95" i="180"/>
  <c r="AD83" i="180"/>
  <c r="AD75" i="180"/>
  <c r="AD71" i="180"/>
  <c r="AD55" i="180"/>
  <c r="AD130" i="180"/>
  <c r="AD129" i="180"/>
  <c r="AD131" i="180"/>
  <c r="AD124" i="180"/>
  <c r="AD116" i="180"/>
  <c r="AD109" i="180"/>
  <c r="AD102" i="180"/>
  <c r="AD94" i="180"/>
  <c r="AD90" i="180"/>
  <c r="AD82" i="180"/>
  <c r="AD74" i="180"/>
  <c r="AD70" i="180"/>
  <c r="AD62" i="180"/>
  <c r="AD58" i="180"/>
  <c r="AD54" i="180"/>
  <c r="AD50" i="180"/>
  <c r="AD46" i="180"/>
  <c r="AD42" i="180"/>
  <c r="AD38" i="180"/>
  <c r="AD34" i="180"/>
  <c r="AD30" i="180"/>
  <c r="AD26" i="180"/>
  <c r="AD22" i="180"/>
  <c r="AD18" i="180"/>
  <c r="AD14" i="180"/>
  <c r="AD10" i="180"/>
  <c r="AD101" i="180"/>
  <c r="AD128" i="180"/>
  <c r="AD120" i="180"/>
  <c r="AD113" i="180"/>
  <c r="AD105" i="180"/>
  <c r="AD98" i="180"/>
  <c r="AD86" i="180"/>
  <c r="AD78" i="180"/>
  <c r="AD66" i="180"/>
  <c r="AD134" i="180"/>
  <c r="AD97" i="180"/>
  <c r="AD93" i="180"/>
  <c r="AD89" i="180"/>
  <c r="AD85" i="180"/>
  <c r="AD81" i="180"/>
  <c r="AD77" i="180"/>
  <c r="AD73" i="180"/>
  <c r="AD69" i="180"/>
  <c r="AD65" i="180"/>
  <c r="AD61" i="180"/>
  <c r="AD57" i="180"/>
  <c r="AD53" i="180"/>
  <c r="AD49" i="180"/>
  <c r="AD45" i="180"/>
  <c r="AD41" i="180"/>
  <c r="AD37" i="180"/>
  <c r="AD33" i="180"/>
  <c r="AD29" i="180"/>
  <c r="AD25" i="180"/>
  <c r="AD21" i="180"/>
  <c r="AD17" i="180"/>
  <c r="AD13" i="180"/>
  <c r="AD9" i="180"/>
  <c r="AD8" i="180"/>
  <c r="AD7" i="180"/>
  <c r="C131" i="180"/>
  <c r="C132" i="180"/>
  <c r="C133" i="180"/>
  <c r="C130" i="180"/>
  <c r="C134" i="180"/>
  <c r="C118" i="180"/>
  <c r="C122" i="180"/>
  <c r="C126" i="180"/>
  <c r="C115" i="180"/>
  <c r="C127" i="180"/>
  <c r="C114" i="180"/>
  <c r="C119" i="180"/>
  <c r="C123" i="180"/>
  <c r="C120" i="180"/>
  <c r="C128" i="180"/>
  <c r="C116" i="180"/>
  <c r="C124" i="180"/>
  <c r="C125" i="180"/>
  <c r="C117" i="180"/>
  <c r="C121" i="180"/>
  <c r="C129" i="180"/>
  <c r="C105" i="180"/>
  <c r="C113" i="180"/>
  <c r="C106" i="180"/>
  <c r="C110" i="180"/>
  <c r="C107" i="180"/>
  <c r="C111" i="180"/>
  <c r="C109" i="180"/>
  <c r="C108" i="180"/>
  <c r="C112" i="180"/>
  <c r="C11" i="180"/>
  <c r="C89" i="180"/>
  <c r="C104" i="180"/>
  <c r="C103" i="180"/>
  <c r="C91" i="180"/>
  <c r="C79" i="180"/>
  <c r="C71" i="180"/>
  <c r="C63" i="180"/>
  <c r="C59" i="180"/>
  <c r="C55" i="180"/>
  <c r="C51" i="180"/>
  <c r="C47" i="180"/>
  <c r="C43" i="180"/>
  <c r="C39" i="180"/>
  <c r="C35" i="180"/>
  <c r="C31" i="180"/>
  <c r="C27" i="180"/>
  <c r="C23" i="180"/>
  <c r="C19" i="180"/>
  <c r="C15" i="180"/>
  <c r="C93" i="180"/>
  <c r="C73" i="180"/>
  <c r="C95" i="180"/>
  <c r="C83" i="180"/>
  <c r="C67" i="180"/>
  <c r="C102" i="180"/>
  <c r="C94" i="180"/>
  <c r="C90" i="180"/>
  <c r="C82" i="180"/>
  <c r="C74" i="180"/>
  <c r="C70" i="180"/>
  <c r="C62" i="180"/>
  <c r="C58" i="180"/>
  <c r="C50" i="180"/>
  <c r="C42" i="180"/>
  <c r="C38" i="180"/>
  <c r="C30" i="180"/>
  <c r="C26" i="180"/>
  <c r="C22" i="180"/>
  <c r="C14" i="180"/>
  <c r="C10" i="180"/>
  <c r="C101" i="180"/>
  <c r="C69" i="180"/>
  <c r="C99" i="180"/>
  <c r="C87" i="180"/>
  <c r="C75" i="180"/>
  <c r="C98" i="180"/>
  <c r="C86" i="180"/>
  <c r="C78" i="180"/>
  <c r="C66" i="180"/>
  <c r="C54" i="180"/>
  <c r="C46" i="180"/>
  <c r="C34" i="180"/>
  <c r="C18" i="180"/>
  <c r="C81" i="180"/>
  <c r="C61" i="180"/>
  <c r="C53" i="180"/>
  <c r="C45" i="180"/>
  <c r="C37" i="180"/>
  <c r="C29" i="180"/>
  <c r="C25" i="180"/>
  <c r="C21" i="180"/>
  <c r="C13" i="180"/>
  <c r="C9" i="180"/>
  <c r="C85" i="180"/>
  <c r="C65" i="180"/>
  <c r="C57" i="180"/>
  <c r="C49" i="180"/>
  <c r="C41" i="180"/>
  <c r="C33" i="180"/>
  <c r="C17" i="180"/>
  <c r="C97" i="180"/>
  <c r="C77" i="180"/>
  <c r="C100" i="180"/>
  <c r="C96" i="180"/>
  <c r="C92" i="180"/>
  <c r="C88" i="180"/>
  <c r="C84" i="180"/>
  <c r="C80" i="180"/>
  <c r="C76" i="180"/>
  <c r="C72" i="180"/>
  <c r="C68" i="180"/>
  <c r="C64" i="180"/>
  <c r="C60" i="180"/>
  <c r="C56" i="180"/>
  <c r="C52" i="180"/>
  <c r="C48" i="180"/>
  <c r="C44" i="180"/>
  <c r="C40" i="180"/>
  <c r="C36" i="180"/>
  <c r="C32" i="180"/>
  <c r="C28" i="180"/>
  <c r="C24" i="180"/>
  <c r="C20" i="180"/>
  <c r="C16" i="180"/>
  <c r="C12" i="180"/>
  <c r="C8" i="180"/>
  <c r="C7" i="180"/>
  <c r="AD52" i="180" a="1"/>
  <c r="D22" i="293" l="1"/>
  <c r="C18" i="299" s="1"/>
  <c r="D6" i="293"/>
  <c r="C2" i="299" s="1"/>
  <c r="D7" i="293"/>
  <c r="C3" i="299" s="1"/>
  <c r="D11" i="293"/>
  <c r="C7" i="299" s="1"/>
  <c r="D15" i="293"/>
  <c r="C11" i="299" s="1"/>
  <c r="D19" i="293"/>
  <c r="C15" i="299" s="1"/>
  <c r="D23" i="293"/>
  <c r="C19" i="299" s="1"/>
  <c r="D27" i="293"/>
  <c r="C23" i="299" s="1"/>
  <c r="D31" i="293"/>
  <c r="C27" i="299" s="1"/>
  <c r="D35" i="293"/>
  <c r="C31" i="299" s="1"/>
  <c r="D39" i="293"/>
  <c r="C35" i="299" s="1"/>
  <c r="D43" i="293"/>
  <c r="C39" i="299" s="1"/>
  <c r="D47" i="293"/>
  <c r="C43" i="299" s="1"/>
  <c r="D51" i="293"/>
  <c r="C47" i="299" s="1"/>
  <c r="D55" i="293"/>
  <c r="C51" i="299" s="1"/>
  <c r="D59" i="293"/>
  <c r="C55" i="299" s="1"/>
  <c r="D63" i="293"/>
  <c r="C59" i="299" s="1"/>
  <c r="D67" i="293"/>
  <c r="C63" i="299" s="1"/>
  <c r="D71" i="293"/>
  <c r="C67" i="299" s="1"/>
  <c r="D75" i="293"/>
  <c r="C71" i="299" s="1"/>
  <c r="D79" i="293"/>
  <c r="C75" i="299" s="1"/>
  <c r="D83" i="293"/>
  <c r="C79" i="299" s="1"/>
  <c r="D87" i="293"/>
  <c r="C83" i="299" s="1"/>
  <c r="D91" i="293"/>
  <c r="C87" i="299" s="1"/>
  <c r="D95" i="293"/>
  <c r="C91" i="299" s="1"/>
  <c r="D99" i="293"/>
  <c r="C95" i="299" s="1"/>
  <c r="D76" i="293"/>
  <c r="C72" i="299" s="1"/>
  <c r="D96" i="293"/>
  <c r="C92" i="299" s="1"/>
  <c r="D16" i="293"/>
  <c r="C12" i="299" s="1"/>
  <c r="D32" i="293"/>
  <c r="C28" i="299" s="1"/>
  <c r="D40" i="293"/>
  <c r="C36" i="299" s="1"/>
  <c r="D48" i="293"/>
  <c r="C44" i="299" s="1"/>
  <c r="D56" i="293"/>
  <c r="C52" i="299" s="1"/>
  <c r="D64" i="293"/>
  <c r="C60" i="299" s="1"/>
  <c r="D84" i="293"/>
  <c r="C80" i="299" s="1"/>
  <c r="D8" i="293"/>
  <c r="C4" i="299" s="1"/>
  <c r="D12" i="293"/>
  <c r="C8" i="299" s="1"/>
  <c r="D20" i="293"/>
  <c r="C16" i="299" s="1"/>
  <c r="D24" i="293"/>
  <c r="C20" i="299" s="1"/>
  <c r="D28" i="293"/>
  <c r="C24" i="299" s="1"/>
  <c r="D36" i="293"/>
  <c r="C32" i="299" s="1"/>
  <c r="D44" i="293"/>
  <c r="C40" i="299" s="1"/>
  <c r="D52" i="293"/>
  <c r="C48" i="299" s="1"/>
  <c r="D60" i="293"/>
  <c r="C56" i="299" s="1"/>
  <c r="D80" i="293"/>
  <c r="C76" i="299" s="1"/>
  <c r="D17" i="293"/>
  <c r="C13" i="299" s="1"/>
  <c r="D33" i="293"/>
  <c r="C29" i="299" s="1"/>
  <c r="D45" i="293"/>
  <c r="C41" i="299" s="1"/>
  <c r="D53" i="293"/>
  <c r="C49" i="299" s="1"/>
  <c r="D65" i="293"/>
  <c r="C61" i="299" s="1"/>
  <c r="D77" i="293"/>
  <c r="C73" i="299" s="1"/>
  <c r="D85" i="293"/>
  <c r="C81" i="299" s="1"/>
  <c r="D97" i="293"/>
  <c r="C93" i="299" s="1"/>
  <c r="D74" i="293"/>
  <c r="C70" i="299" s="1"/>
  <c r="D86" i="293"/>
  <c r="C82" i="299" s="1"/>
  <c r="D98" i="293"/>
  <c r="C94" i="299" s="1"/>
  <c r="D68" i="293"/>
  <c r="C64" i="299" s="1"/>
  <c r="D100" i="293"/>
  <c r="C96" i="299" s="1"/>
  <c r="D9" i="293"/>
  <c r="C5" i="299" s="1"/>
  <c r="D13" i="293"/>
  <c r="C9" i="299" s="1"/>
  <c r="D21" i="293"/>
  <c r="C17" i="299" s="1"/>
  <c r="D25" i="293"/>
  <c r="C21" i="299" s="1"/>
  <c r="D29" i="293"/>
  <c r="C25" i="299" s="1"/>
  <c r="D37" i="293"/>
  <c r="C33" i="299" s="1"/>
  <c r="D41" i="293"/>
  <c r="C37" i="299" s="1"/>
  <c r="D49" i="293"/>
  <c r="C45" i="299" s="1"/>
  <c r="D57" i="293"/>
  <c r="C53" i="299" s="1"/>
  <c r="D61" i="293"/>
  <c r="C57" i="299" s="1"/>
  <c r="D69" i="293"/>
  <c r="C65" i="299" s="1"/>
  <c r="D73" i="293"/>
  <c r="C69" i="299" s="1"/>
  <c r="D81" i="293"/>
  <c r="C77" i="299" s="1"/>
  <c r="D89" i="293"/>
  <c r="C85" i="299" s="1"/>
  <c r="D93" i="293"/>
  <c r="C89" i="299" s="1"/>
  <c r="D101" i="293"/>
  <c r="C97" i="299" s="1"/>
  <c r="D66" i="293"/>
  <c r="C62" i="299" s="1"/>
  <c r="D82" i="293"/>
  <c r="C78" i="299" s="1"/>
  <c r="D94" i="293"/>
  <c r="C90" i="299" s="1"/>
  <c r="D72" i="293"/>
  <c r="C68" i="299" s="1"/>
  <c r="D92" i="293"/>
  <c r="C88" i="299" s="1"/>
  <c r="D14" i="293"/>
  <c r="C10" i="299" s="1"/>
  <c r="D18" i="293"/>
  <c r="C14" i="299" s="1"/>
  <c r="D26" i="293"/>
  <c r="C22" i="299" s="1"/>
  <c r="D30" i="293"/>
  <c r="C26" i="299" s="1"/>
  <c r="D34" i="293"/>
  <c r="C30" i="299" s="1"/>
  <c r="D38" i="293"/>
  <c r="C34" i="299" s="1"/>
  <c r="D42" i="293"/>
  <c r="C38" i="299" s="1"/>
  <c r="D46" i="293"/>
  <c r="C42" i="299" s="1"/>
  <c r="D50" i="293"/>
  <c r="C46" i="299" s="1"/>
  <c r="D54" i="293"/>
  <c r="C50" i="299" s="1"/>
  <c r="D58" i="293"/>
  <c r="C54" i="299" s="1"/>
  <c r="D62" i="293"/>
  <c r="C58" i="299" s="1"/>
  <c r="D70" i="293"/>
  <c r="C66" i="299" s="1"/>
  <c r="D78" i="293"/>
  <c r="C74" i="299" s="1"/>
  <c r="D90" i="293"/>
  <c r="C86" i="299" s="1"/>
  <c r="D102" i="293"/>
  <c r="C98" i="299" s="1"/>
  <c r="D103" i="293"/>
  <c r="C99" i="299" s="1"/>
  <c r="D88" i="293"/>
  <c r="C84" i="299" s="1"/>
  <c r="D10" i="293"/>
  <c r="C6" i="299" s="1"/>
  <c r="D111" i="293"/>
  <c r="C107" i="299" s="1"/>
  <c r="D107" i="293"/>
  <c r="C103" i="299" s="1"/>
  <c r="D108" i="293"/>
  <c r="C104" i="299" s="1"/>
  <c r="D110" i="293"/>
  <c r="C106" i="299" s="1"/>
  <c r="D106" i="293"/>
  <c r="C102" i="299" s="1"/>
  <c r="D109" i="293"/>
  <c r="C105" i="299" s="1"/>
  <c r="D105" i="293"/>
  <c r="C101" i="299" s="1"/>
  <c r="D112" i="293"/>
  <c r="C108" i="299" s="1"/>
  <c r="D104" i="293"/>
  <c r="C100" i="299" s="1"/>
  <c r="D128" i="293"/>
  <c r="C124" i="299" s="1"/>
  <c r="D120" i="293"/>
  <c r="C116" i="299" s="1"/>
  <c r="D116" i="293"/>
  <c r="C112" i="299" s="1"/>
  <c r="D124" i="293"/>
  <c r="C120" i="299" s="1"/>
  <c r="D123" i="293"/>
  <c r="C119" i="299" s="1"/>
  <c r="D115" i="293"/>
  <c r="C111" i="299" s="1"/>
  <c r="D127" i="293"/>
  <c r="C123" i="299" s="1"/>
  <c r="D119" i="293"/>
  <c r="C115" i="299" s="1"/>
  <c r="D122" i="293"/>
  <c r="C118" i="299" s="1"/>
  <c r="D118" i="293"/>
  <c r="C114" i="299" s="1"/>
  <c r="D113" i="293"/>
  <c r="C109" i="299" s="1"/>
  <c r="D126" i="293"/>
  <c r="C122" i="299" s="1"/>
  <c r="D114" i="293"/>
  <c r="C110" i="299" s="1"/>
  <c r="D125" i="293"/>
  <c r="C121" i="299" s="1"/>
  <c r="D121" i="293"/>
  <c r="C117" i="299" s="1"/>
  <c r="D117" i="293"/>
  <c r="C113" i="299" s="1"/>
  <c r="D133" i="293"/>
  <c r="C129" i="299" s="1"/>
  <c r="D129" i="293"/>
  <c r="C125" i="299" s="1"/>
  <c r="D132" i="293"/>
  <c r="C128" i="299" s="1"/>
  <c r="D131" i="293"/>
  <c r="C127" i="299" s="1"/>
  <c r="D130" i="293"/>
  <c r="C126" i="299" s="1"/>
  <c r="AD52" i="180"/>
  <c r="L7" i="276" l="1"/>
  <c r="L6" i="276"/>
  <c r="N16" i="28"/>
  <c r="L8" i="276" l="1"/>
  <c r="L9" i="276"/>
  <c r="L10" i="276"/>
  <c r="G20" i="276" l="1"/>
  <c r="F20" i="276"/>
  <c r="G21" i="173" l="1"/>
  <c r="I133" i="180" s="1"/>
  <c r="F21" i="173"/>
  <c r="I134" i="180" s="1"/>
  <c r="D21" i="173"/>
  <c r="I130" i="180" s="1"/>
  <c r="K129" i="293" s="1" a="1"/>
  <c r="K129" i="293" s="1"/>
  <c r="I125" i="299" s="1"/>
  <c r="C21" i="173"/>
  <c r="I132" i="180" s="1"/>
  <c r="T130" i="180"/>
  <c r="S129" i="293" l="1" a="1"/>
  <c r="S129" i="293" s="1"/>
  <c r="Q125" i="299" s="1"/>
  <c r="U130" i="180"/>
  <c r="K133" i="293" a="1"/>
  <c r="K133" i="293" s="1"/>
  <c r="I129" i="299" s="1"/>
  <c r="K132" i="293" a="1"/>
  <c r="K132" i="293" s="1"/>
  <c r="I128" i="299" s="1"/>
  <c r="K131" i="293" a="1"/>
  <c r="K131" i="293" s="1"/>
  <c r="I127" i="299" s="1"/>
  <c r="AC129" i="180"/>
  <c r="AC128" i="180"/>
  <c r="AC127" i="180"/>
  <c r="AC126" i="180"/>
  <c r="AC125" i="180"/>
  <c r="AC124" i="180"/>
  <c r="AC123" i="180"/>
  <c r="AC122" i="180"/>
  <c r="AC121" i="180"/>
  <c r="AC120" i="180"/>
  <c r="AC119" i="180"/>
  <c r="AC118" i="180"/>
  <c r="AC117" i="180"/>
  <c r="AC116" i="180"/>
  <c r="AC115" i="180"/>
  <c r="AC114" i="180"/>
  <c r="AC113" i="180"/>
  <c r="AC112" i="180"/>
  <c r="AC111" i="180"/>
  <c r="AC110" i="180"/>
  <c r="AC109" i="180"/>
  <c r="AC108" i="180"/>
  <c r="AC107" i="180"/>
  <c r="AC106" i="180"/>
  <c r="AC105" i="180"/>
  <c r="D31" i="106"/>
  <c r="G105" i="180" s="1"/>
  <c r="H104" i="293" s="1"/>
  <c r="F100" i="299" s="1"/>
  <c r="D30" i="106"/>
  <c r="D29" i="106"/>
  <c r="D28" i="106"/>
  <c r="D27" i="106"/>
  <c r="L96" i="289"/>
  <c r="L93" i="289"/>
  <c r="L95" i="289"/>
  <c r="L94" i="289"/>
  <c r="L92" i="289"/>
  <c r="L91" i="289"/>
  <c r="L90" i="289"/>
  <c r="L89" i="289"/>
  <c r="L88" i="289"/>
  <c r="G106" i="180" l="1"/>
  <c r="H105" i="293" s="1"/>
  <c r="F101" i="299" s="1"/>
  <c r="G129" i="180"/>
  <c r="H128" i="293" s="1"/>
  <c r="F124" i="299" s="1"/>
  <c r="G111" i="180"/>
  <c r="H110" i="293" s="1"/>
  <c r="F106" i="299" s="1"/>
  <c r="G113" i="180"/>
  <c r="H112" i="293" s="1"/>
  <c r="F108" i="299" s="1"/>
  <c r="G114" i="180"/>
  <c r="H113" i="293" s="1"/>
  <c r="F109" i="299" s="1"/>
  <c r="G121" i="180"/>
  <c r="H120" i="293" s="1"/>
  <c r="F116" i="299" s="1"/>
  <c r="G122" i="180"/>
  <c r="H121" i="293" s="1"/>
  <c r="F117" i="299" s="1"/>
  <c r="G130" i="180"/>
  <c r="H129" i="293" s="1"/>
  <c r="F125" i="299" s="1"/>
  <c r="G107" i="180"/>
  <c r="H106" i="293" s="1"/>
  <c r="F102" i="299" s="1"/>
  <c r="G110" i="180"/>
  <c r="H109" i="293" s="1"/>
  <c r="F105" i="299" s="1"/>
  <c r="G123" i="180"/>
  <c r="H122" i="293" s="1"/>
  <c r="F118" i="299" s="1"/>
  <c r="G127" i="180"/>
  <c r="H126" i="293" s="1"/>
  <c r="F122" i="299" s="1"/>
  <c r="G131" i="180"/>
  <c r="H130" i="293" s="1"/>
  <c r="F126" i="299" s="1"/>
  <c r="G115" i="180"/>
  <c r="H114" i="293" s="1"/>
  <c r="F110" i="299" s="1"/>
  <c r="G119" i="180"/>
  <c r="H118" i="293" s="1"/>
  <c r="F114" i="299" s="1"/>
  <c r="G108" i="180"/>
  <c r="H107" i="293" s="1"/>
  <c r="F103" i="299" s="1"/>
  <c r="G116" i="180"/>
  <c r="H115" i="293" s="1"/>
  <c r="F111" i="299" s="1"/>
  <c r="G124" i="180"/>
  <c r="H123" i="293" s="1"/>
  <c r="F119" i="299" s="1"/>
  <c r="G132" i="180"/>
  <c r="H131" i="293" s="1"/>
  <c r="F127" i="299" s="1"/>
  <c r="G109" i="180"/>
  <c r="H108" i="293" s="1"/>
  <c r="F104" i="299" s="1"/>
  <c r="G117" i="180"/>
  <c r="H116" i="293" s="1"/>
  <c r="F112" i="299" s="1"/>
  <c r="G125" i="180"/>
  <c r="H124" i="293" s="1"/>
  <c r="F120" i="299" s="1"/>
  <c r="G133" i="180"/>
  <c r="H132" i="293" s="1"/>
  <c r="F128" i="299" s="1"/>
  <c r="G118" i="180"/>
  <c r="H117" i="293" s="1"/>
  <c r="F113" i="299" s="1"/>
  <c r="G126" i="180"/>
  <c r="H125" i="293" s="1"/>
  <c r="F121" i="299" s="1"/>
  <c r="G134" i="180"/>
  <c r="H133" i="293" s="1"/>
  <c r="F129" i="299" s="1"/>
  <c r="G112" i="180"/>
  <c r="H111" i="293" s="1"/>
  <c r="F107" i="299" s="1"/>
  <c r="G120" i="180"/>
  <c r="H119" i="293" s="1"/>
  <c r="F115" i="299" s="1"/>
  <c r="G128" i="180"/>
  <c r="H127" i="293" s="1"/>
  <c r="F123" i="299" s="1"/>
  <c r="E100" i="289"/>
  <c r="E62" i="289"/>
  <c r="E61" i="289"/>
  <c r="E60" i="289"/>
  <c r="E65" i="289"/>
  <c r="E64" i="289"/>
  <c r="E63" i="289"/>
  <c r="E20" i="289"/>
  <c r="E21" i="289"/>
  <c r="E22" i="289"/>
  <c r="E23" i="289"/>
  <c r="E24" i="289"/>
  <c r="E25" i="289"/>
  <c r="E26" i="289"/>
  <c r="E27" i="289"/>
  <c r="E28" i="289"/>
  <c r="E29" i="289"/>
  <c r="E30" i="289"/>
  <c r="E31" i="289"/>
  <c r="E32" i="289"/>
  <c r="E33" i="289"/>
  <c r="E34" i="289"/>
  <c r="E35" i="289"/>
  <c r="E37" i="289"/>
  <c r="E38" i="289"/>
  <c r="E39" i="289"/>
  <c r="E40" i="289"/>
  <c r="E41" i="289"/>
  <c r="E42" i="289"/>
  <c r="E43" i="289"/>
  <c r="E44" i="289"/>
  <c r="E36" i="289"/>
  <c r="L126" i="289"/>
  <c r="L125" i="289"/>
  <c r="L124" i="289"/>
  <c r="L123" i="289"/>
  <c r="L122" i="289"/>
  <c r="L121" i="289"/>
  <c r="L120" i="289"/>
  <c r="L119" i="289"/>
  <c r="L118" i="289"/>
  <c r="L113" i="289"/>
  <c r="L112" i="289"/>
  <c r="L111" i="289"/>
  <c r="L110" i="289"/>
  <c r="L109" i="289"/>
  <c r="L108" i="289"/>
  <c r="L107" i="289"/>
  <c r="L106" i="289"/>
  <c r="L105" i="289"/>
  <c r="L104" i="289"/>
  <c r="L103" i="289"/>
  <c r="L102" i="289"/>
  <c r="L101" i="289"/>
  <c r="L99" i="289"/>
  <c r="L98" i="289"/>
  <c r="L97" i="289"/>
  <c r="L87" i="289"/>
  <c r="L86" i="289"/>
  <c r="L85" i="289"/>
  <c r="L84" i="289"/>
  <c r="L83" i="289"/>
  <c r="L82" i="289"/>
  <c r="L81" i="289"/>
  <c r="L80" i="289"/>
  <c r="L79" i="289"/>
  <c r="L78" i="289"/>
  <c r="L77" i="289"/>
  <c r="L76" i="289"/>
  <c r="L75" i="289"/>
  <c r="L74" i="289"/>
  <c r="L73" i="289"/>
  <c r="L72" i="289"/>
  <c r="L71" i="289"/>
  <c r="L70" i="289"/>
  <c r="L69" i="289"/>
  <c r="L68" i="289"/>
  <c r="L67" i="289"/>
  <c r="L66" i="289"/>
  <c r="L65" i="289"/>
  <c r="L64" i="289"/>
  <c r="L63" i="289"/>
  <c r="L62" i="289"/>
  <c r="L61" i="289"/>
  <c r="L60" i="289"/>
  <c r="L59" i="289"/>
  <c r="L58" i="289"/>
  <c r="L57" i="289"/>
  <c r="L56" i="289"/>
  <c r="L55" i="289"/>
  <c r="L54" i="289"/>
  <c r="L53" i="289"/>
  <c r="L52" i="289"/>
  <c r="L51" i="289"/>
  <c r="L50" i="289"/>
  <c r="L49" i="289"/>
  <c r="L48" i="289"/>
  <c r="L47" i="289"/>
  <c r="L46" i="289"/>
  <c r="L45" i="289"/>
  <c r="L44" i="289"/>
  <c r="L43" i="289"/>
  <c r="L42" i="289"/>
  <c r="L41" i="289"/>
  <c r="L40" i="289"/>
  <c r="L39" i="289"/>
  <c r="L38" i="289"/>
  <c r="L37" i="289"/>
  <c r="L36" i="289"/>
  <c r="L35" i="289"/>
  <c r="L34" i="289"/>
  <c r="L33" i="289"/>
  <c r="L32" i="289"/>
  <c r="L31" i="289"/>
  <c r="L30" i="289"/>
  <c r="L29" i="289"/>
  <c r="L28" i="289"/>
  <c r="L27" i="289"/>
  <c r="L26" i="289"/>
  <c r="L25" i="289"/>
  <c r="L24" i="289"/>
  <c r="L23" i="289"/>
  <c r="L22" i="289"/>
  <c r="L21" i="289"/>
  <c r="L20" i="289"/>
  <c r="L19" i="289"/>
  <c r="L18" i="289"/>
  <c r="L17" i="289"/>
  <c r="L16" i="289"/>
  <c r="L15" i="289"/>
  <c r="L14" i="289"/>
  <c r="L13" i="289"/>
  <c r="L12" i="289"/>
  <c r="L11" i="289"/>
  <c r="L10" i="289"/>
  <c r="L9" i="289"/>
  <c r="L8" i="289"/>
  <c r="L7" i="289"/>
  <c r="L6" i="289"/>
  <c r="L5" i="289"/>
  <c r="L4" i="289"/>
  <c r="L3" i="289"/>
  <c r="H500" i="252" l="1"/>
  <c r="H499" i="252"/>
  <c r="H498" i="252"/>
  <c r="H497" i="252"/>
  <c r="H496" i="252"/>
  <c r="H495" i="252"/>
  <c r="H494" i="252"/>
  <c r="H493" i="252"/>
  <c r="H492" i="252"/>
  <c r="H491" i="252"/>
  <c r="H490" i="252"/>
  <c r="H489" i="252"/>
  <c r="H488" i="252"/>
  <c r="H487" i="252"/>
  <c r="H486" i="252"/>
  <c r="H485" i="252"/>
  <c r="H484" i="252"/>
  <c r="H483" i="252"/>
  <c r="H482" i="252"/>
  <c r="H481" i="252"/>
  <c r="H480" i="252"/>
  <c r="H479" i="252"/>
  <c r="H478" i="252"/>
  <c r="H477" i="252"/>
  <c r="H476" i="252"/>
  <c r="H475" i="252"/>
  <c r="H474" i="252"/>
  <c r="H473" i="252"/>
  <c r="H472" i="252"/>
  <c r="H471" i="252"/>
  <c r="H470" i="252"/>
  <c r="H469" i="252"/>
  <c r="H468" i="252"/>
  <c r="H467" i="252"/>
  <c r="H466" i="252"/>
  <c r="H465" i="252"/>
  <c r="H464" i="252"/>
  <c r="H463" i="252"/>
  <c r="H462" i="252"/>
  <c r="H461" i="252"/>
  <c r="H460" i="252"/>
  <c r="H459" i="252"/>
  <c r="H458" i="252"/>
  <c r="H457" i="252"/>
  <c r="H456" i="252"/>
  <c r="H455" i="252"/>
  <c r="H454" i="252"/>
  <c r="H453" i="252"/>
  <c r="H452" i="252"/>
  <c r="H451" i="252"/>
  <c r="H450" i="252"/>
  <c r="H449" i="252"/>
  <c r="H448" i="252"/>
  <c r="H447" i="252"/>
  <c r="H446" i="252"/>
  <c r="H445" i="252"/>
  <c r="H444" i="252"/>
  <c r="H443" i="252"/>
  <c r="H442" i="252"/>
  <c r="H441" i="252"/>
  <c r="H440" i="252"/>
  <c r="H439" i="252"/>
  <c r="H438" i="252"/>
  <c r="H437" i="252"/>
  <c r="H436" i="252"/>
  <c r="H435" i="252"/>
  <c r="H434" i="252"/>
  <c r="H433" i="252"/>
  <c r="H432" i="252"/>
  <c r="H431" i="252"/>
  <c r="H430" i="252"/>
  <c r="H429" i="252"/>
  <c r="H428" i="252"/>
  <c r="H427" i="252"/>
  <c r="H426" i="252"/>
  <c r="H425" i="252"/>
  <c r="H424" i="252"/>
  <c r="H423" i="252"/>
  <c r="H422" i="252"/>
  <c r="H421" i="252"/>
  <c r="H420" i="252"/>
  <c r="H419" i="252"/>
  <c r="H418" i="252"/>
  <c r="H417" i="252"/>
  <c r="H416" i="252"/>
  <c r="H415" i="252"/>
  <c r="H414" i="252"/>
  <c r="H413" i="252"/>
  <c r="H412" i="252"/>
  <c r="H411" i="252"/>
  <c r="H410" i="252"/>
  <c r="H409" i="252"/>
  <c r="H408" i="252"/>
  <c r="H407" i="252"/>
  <c r="H406" i="252"/>
  <c r="H405" i="252"/>
  <c r="H404" i="252"/>
  <c r="H403" i="252"/>
  <c r="H402" i="252"/>
  <c r="H401" i="252"/>
  <c r="H400" i="252"/>
  <c r="H399" i="252"/>
  <c r="H398" i="252"/>
  <c r="H397" i="252"/>
  <c r="H396" i="252"/>
  <c r="H395" i="252"/>
  <c r="H394" i="252"/>
  <c r="H393" i="252"/>
  <c r="H392" i="252"/>
  <c r="H391" i="252"/>
  <c r="H390" i="252"/>
  <c r="H389" i="252"/>
  <c r="H388" i="252"/>
  <c r="H387" i="252"/>
  <c r="H386" i="252"/>
  <c r="H385" i="252"/>
  <c r="H384" i="252"/>
  <c r="H383" i="252"/>
  <c r="H382" i="252"/>
  <c r="H381" i="252"/>
  <c r="H380" i="252"/>
  <c r="H379" i="252"/>
  <c r="H378" i="252"/>
  <c r="H377" i="252"/>
  <c r="H376" i="252"/>
  <c r="H375" i="252"/>
  <c r="H374" i="252"/>
  <c r="H373" i="252"/>
  <c r="H372" i="252"/>
  <c r="H371" i="252"/>
  <c r="H370" i="252"/>
  <c r="H369" i="252"/>
  <c r="H368" i="252"/>
  <c r="H367" i="252"/>
  <c r="H366" i="252"/>
  <c r="H365" i="252"/>
  <c r="H364" i="252"/>
  <c r="H363" i="252"/>
  <c r="H362" i="252"/>
  <c r="H361" i="252"/>
  <c r="H360" i="252"/>
  <c r="H359" i="252"/>
  <c r="H358" i="252"/>
  <c r="H357" i="252"/>
  <c r="H356" i="252"/>
  <c r="H355" i="252"/>
  <c r="H354" i="252"/>
  <c r="H353" i="252"/>
  <c r="H352" i="252"/>
  <c r="H351" i="252"/>
  <c r="H350" i="252"/>
  <c r="H349" i="252"/>
  <c r="H348" i="252"/>
  <c r="H347" i="252"/>
  <c r="H346" i="252"/>
  <c r="H345" i="252"/>
  <c r="H344" i="252"/>
  <c r="H343" i="252"/>
  <c r="H342" i="252"/>
  <c r="H341" i="252"/>
  <c r="H340" i="252"/>
  <c r="H339" i="252"/>
  <c r="H338" i="252"/>
  <c r="H337" i="252"/>
  <c r="H336" i="252"/>
  <c r="H335" i="252"/>
  <c r="H334" i="252"/>
  <c r="H333" i="252"/>
  <c r="H332" i="252"/>
  <c r="H331" i="252"/>
  <c r="H330" i="252"/>
  <c r="H329" i="252"/>
  <c r="H328" i="252"/>
  <c r="H327" i="252"/>
  <c r="H326" i="252"/>
  <c r="H325" i="252"/>
  <c r="H324" i="252"/>
  <c r="H323" i="252"/>
  <c r="H322" i="252"/>
  <c r="H321" i="252"/>
  <c r="H320" i="252"/>
  <c r="H319" i="252"/>
  <c r="H318" i="252"/>
  <c r="H317" i="252"/>
  <c r="H316" i="252"/>
  <c r="H315" i="252"/>
  <c r="H314" i="252"/>
  <c r="H313" i="252"/>
  <c r="H312" i="252"/>
  <c r="H311" i="252"/>
  <c r="H310" i="252"/>
  <c r="H309" i="252"/>
  <c r="H308" i="252"/>
  <c r="H307" i="252"/>
  <c r="H306" i="252"/>
  <c r="H305" i="252"/>
  <c r="H304" i="252"/>
  <c r="H303" i="252"/>
  <c r="H302" i="252"/>
  <c r="H301" i="252"/>
  <c r="H300" i="252"/>
  <c r="H299" i="252"/>
  <c r="H298" i="252"/>
  <c r="H297" i="252"/>
  <c r="H296" i="252"/>
  <c r="H295" i="252"/>
  <c r="H294" i="252"/>
  <c r="H293" i="252"/>
  <c r="H292" i="252"/>
  <c r="H291" i="252"/>
  <c r="H290" i="252"/>
  <c r="H289" i="252"/>
  <c r="H288" i="252"/>
  <c r="H287" i="252"/>
  <c r="H286" i="252"/>
  <c r="H285" i="252"/>
  <c r="H284" i="252"/>
  <c r="H283" i="252"/>
  <c r="H282" i="252"/>
  <c r="H281" i="252"/>
  <c r="H280" i="252"/>
  <c r="H279" i="252"/>
  <c r="H278" i="252"/>
  <c r="H277" i="252"/>
  <c r="H276" i="252"/>
  <c r="H275" i="252"/>
  <c r="H274" i="252"/>
  <c r="H273" i="252"/>
  <c r="H272" i="252"/>
  <c r="H271" i="252"/>
  <c r="H270" i="252"/>
  <c r="H269" i="252"/>
  <c r="H268" i="252"/>
  <c r="H267" i="252"/>
  <c r="H266" i="252"/>
  <c r="H265" i="252"/>
  <c r="H264" i="252"/>
  <c r="H263" i="252"/>
  <c r="H262" i="252"/>
  <c r="H261" i="252"/>
  <c r="H260" i="252"/>
  <c r="H259" i="252"/>
  <c r="H258" i="252"/>
  <c r="H257" i="252"/>
  <c r="H256" i="252"/>
  <c r="H255" i="252"/>
  <c r="H254" i="252"/>
  <c r="H253" i="252"/>
  <c r="H252" i="252"/>
  <c r="H251" i="252"/>
  <c r="H250" i="252"/>
  <c r="H249" i="252"/>
  <c r="H248" i="252"/>
  <c r="H247" i="252"/>
  <c r="H246" i="252"/>
  <c r="H245" i="252"/>
  <c r="H244" i="252"/>
  <c r="H243" i="252"/>
  <c r="H242" i="252"/>
  <c r="H241" i="252"/>
  <c r="H240" i="252"/>
  <c r="H239" i="252"/>
  <c r="H238" i="252"/>
  <c r="H237" i="252"/>
  <c r="H236" i="252"/>
  <c r="H235" i="252"/>
  <c r="H234" i="252"/>
  <c r="H233" i="252"/>
  <c r="H232" i="252"/>
  <c r="H231" i="252"/>
  <c r="H230" i="252"/>
  <c r="H229" i="252"/>
  <c r="H228" i="252"/>
  <c r="H227" i="252"/>
  <c r="H226" i="252"/>
  <c r="H225" i="252"/>
  <c r="H224" i="252"/>
  <c r="H223" i="252"/>
  <c r="H222" i="252"/>
  <c r="H221" i="252"/>
  <c r="H220" i="252"/>
  <c r="H219" i="252"/>
  <c r="H218" i="252"/>
  <c r="H217" i="252"/>
  <c r="H216" i="252"/>
  <c r="H215" i="252"/>
  <c r="H214" i="252"/>
  <c r="H213" i="252"/>
  <c r="H212" i="252"/>
  <c r="H211" i="252"/>
  <c r="H210" i="252"/>
  <c r="H209" i="252"/>
  <c r="H208" i="252"/>
  <c r="H207" i="252"/>
  <c r="H206" i="252"/>
  <c r="H205" i="252"/>
  <c r="H204" i="252"/>
  <c r="H203" i="252"/>
  <c r="H202" i="252"/>
  <c r="H201" i="252"/>
  <c r="H200" i="252"/>
  <c r="H199" i="252"/>
  <c r="H198" i="252"/>
  <c r="H197" i="252"/>
  <c r="H196" i="252"/>
  <c r="H195" i="252"/>
  <c r="H194" i="252"/>
  <c r="H193" i="252"/>
  <c r="H192" i="252"/>
  <c r="H191" i="252"/>
  <c r="H190" i="252"/>
  <c r="H189" i="252"/>
  <c r="H188" i="252"/>
  <c r="H187" i="252"/>
  <c r="H186" i="252"/>
  <c r="H185" i="252"/>
  <c r="H184" i="252"/>
  <c r="H183" i="252"/>
  <c r="H182" i="252"/>
  <c r="H181" i="252"/>
  <c r="H180" i="252"/>
  <c r="H179" i="252"/>
  <c r="H178" i="252"/>
  <c r="H177" i="252"/>
  <c r="H176" i="252"/>
  <c r="H175" i="252"/>
  <c r="H174" i="252"/>
  <c r="H173" i="252"/>
  <c r="H172" i="252"/>
  <c r="H171" i="252"/>
  <c r="H170" i="252"/>
  <c r="H169" i="252"/>
  <c r="H168" i="252"/>
  <c r="H167" i="252"/>
  <c r="H166" i="252"/>
  <c r="H165" i="252"/>
  <c r="H164" i="252"/>
  <c r="H163" i="252"/>
  <c r="H162" i="252"/>
  <c r="H161" i="252"/>
  <c r="H160" i="252"/>
  <c r="H159" i="252"/>
  <c r="H158" i="252"/>
  <c r="H157" i="252"/>
  <c r="H156" i="252"/>
  <c r="H155" i="252"/>
  <c r="H154" i="252"/>
  <c r="H153" i="252"/>
  <c r="H152" i="252"/>
  <c r="H151" i="252"/>
  <c r="H150" i="252"/>
  <c r="H149" i="252"/>
  <c r="H148" i="252"/>
  <c r="H147" i="252"/>
  <c r="H146" i="252"/>
  <c r="H145" i="252"/>
  <c r="H144" i="252"/>
  <c r="H143" i="252"/>
  <c r="H142" i="252"/>
  <c r="H141" i="252"/>
  <c r="H140" i="252"/>
  <c r="H139" i="252"/>
  <c r="H138" i="252"/>
  <c r="H137" i="252"/>
  <c r="H136" i="252"/>
  <c r="H135" i="252"/>
  <c r="H134" i="252"/>
  <c r="H133" i="252"/>
  <c r="H132" i="252"/>
  <c r="H131" i="252"/>
  <c r="H130" i="252"/>
  <c r="H129" i="252"/>
  <c r="H128" i="252"/>
  <c r="H127" i="252"/>
  <c r="H126" i="252"/>
  <c r="H125" i="252"/>
  <c r="H124" i="252"/>
  <c r="H123" i="252"/>
  <c r="H122" i="252"/>
  <c r="H121" i="252"/>
  <c r="H120" i="252"/>
  <c r="H119" i="252"/>
  <c r="H118" i="252"/>
  <c r="H117" i="252"/>
  <c r="H116" i="252"/>
  <c r="H115" i="252"/>
  <c r="H114" i="252"/>
  <c r="H113" i="252"/>
  <c r="H112" i="252"/>
  <c r="H111" i="252"/>
  <c r="H110" i="252"/>
  <c r="H109" i="252"/>
  <c r="H108" i="252"/>
  <c r="H107" i="252"/>
  <c r="H106" i="252"/>
  <c r="H105" i="252"/>
  <c r="H104" i="252"/>
  <c r="H103" i="252"/>
  <c r="H102" i="252"/>
  <c r="H101" i="252"/>
  <c r="H100" i="252"/>
  <c r="H99" i="252"/>
  <c r="H98" i="252"/>
  <c r="H97" i="252"/>
  <c r="H96" i="252"/>
  <c r="H95" i="252"/>
  <c r="H94" i="252"/>
  <c r="H93" i="252"/>
  <c r="H92" i="252"/>
  <c r="H91" i="252"/>
  <c r="H90" i="252"/>
  <c r="H89" i="252"/>
  <c r="H88" i="252"/>
  <c r="H87" i="252"/>
  <c r="H86" i="252"/>
  <c r="H85" i="252"/>
  <c r="H84" i="252"/>
  <c r="H83" i="252"/>
  <c r="H82" i="252"/>
  <c r="H81" i="252"/>
  <c r="H80" i="252"/>
  <c r="H79" i="252"/>
  <c r="H78" i="252"/>
  <c r="H77" i="252"/>
  <c r="H76" i="252"/>
  <c r="H75" i="252"/>
  <c r="H74" i="252"/>
  <c r="H73" i="252"/>
  <c r="H72" i="252"/>
  <c r="H71" i="252"/>
  <c r="H70" i="252"/>
  <c r="H69" i="252"/>
  <c r="H68" i="252"/>
  <c r="H67" i="252"/>
  <c r="H66" i="252"/>
  <c r="H65" i="252"/>
  <c r="H64" i="252"/>
  <c r="H63" i="252"/>
  <c r="H62" i="252"/>
  <c r="H61" i="252"/>
  <c r="H60" i="252"/>
  <c r="H59" i="252"/>
  <c r="H58" i="252"/>
  <c r="H57" i="252"/>
  <c r="H56" i="252"/>
  <c r="H55" i="252"/>
  <c r="H54" i="252"/>
  <c r="H53" i="252"/>
  <c r="H52" i="252"/>
  <c r="H51" i="252"/>
  <c r="H50" i="252"/>
  <c r="H49" i="252"/>
  <c r="H48" i="252"/>
  <c r="H22" i="252"/>
  <c r="H21" i="252"/>
  <c r="H21" i="251"/>
  <c r="H22" i="251"/>
  <c r="H58" i="251"/>
  <c r="H59" i="251"/>
  <c r="H60" i="251"/>
  <c r="H61" i="251"/>
  <c r="H62" i="251"/>
  <c r="H63" i="251"/>
  <c r="H64" i="251"/>
  <c r="H65" i="251"/>
  <c r="H66" i="251"/>
  <c r="H67" i="251"/>
  <c r="H68" i="251"/>
  <c r="H69" i="251"/>
  <c r="H70" i="251"/>
  <c r="H71" i="251"/>
  <c r="H72" i="251"/>
  <c r="H73" i="251"/>
  <c r="H74" i="251"/>
  <c r="H75" i="251"/>
  <c r="H76" i="251"/>
  <c r="H77" i="251"/>
  <c r="H78" i="251"/>
  <c r="H79" i="251"/>
  <c r="H80" i="251"/>
  <c r="H81" i="251"/>
  <c r="H82" i="251"/>
  <c r="H83" i="251"/>
  <c r="H84" i="251"/>
  <c r="H85" i="251"/>
  <c r="H86" i="251"/>
  <c r="H87" i="251"/>
  <c r="H88" i="251"/>
  <c r="H89" i="251"/>
  <c r="H90" i="251"/>
  <c r="H91" i="251"/>
  <c r="H92" i="251"/>
  <c r="H93" i="251"/>
  <c r="H94" i="251"/>
  <c r="H95" i="251"/>
  <c r="H96" i="251"/>
  <c r="H97" i="251"/>
  <c r="H98" i="251"/>
  <c r="H99" i="251"/>
  <c r="H100" i="251"/>
  <c r="H101" i="251"/>
  <c r="H102" i="251"/>
  <c r="H103" i="251"/>
  <c r="H104" i="251"/>
  <c r="H105" i="251"/>
  <c r="H106" i="251"/>
  <c r="H107" i="251"/>
  <c r="H108" i="251"/>
  <c r="H109" i="251"/>
  <c r="H110" i="251"/>
  <c r="H111" i="251"/>
  <c r="H112" i="251"/>
  <c r="H113" i="251"/>
  <c r="H114" i="251"/>
  <c r="H115" i="251"/>
  <c r="H116" i="251"/>
  <c r="H117" i="251"/>
  <c r="H118" i="251"/>
  <c r="H119" i="251"/>
  <c r="H120" i="251"/>
  <c r="H121" i="251"/>
  <c r="H122" i="251"/>
  <c r="H123" i="251"/>
  <c r="H124" i="251"/>
  <c r="H125" i="251"/>
  <c r="H126" i="251"/>
  <c r="H127" i="251"/>
  <c r="H128" i="251"/>
  <c r="H129" i="251"/>
  <c r="H130" i="251"/>
  <c r="H131" i="251"/>
  <c r="H132" i="251"/>
  <c r="H133" i="251"/>
  <c r="H134" i="251"/>
  <c r="H135" i="251"/>
  <c r="H136" i="251"/>
  <c r="H137" i="251"/>
  <c r="H138" i="251"/>
  <c r="H139" i="251"/>
  <c r="H140" i="251"/>
  <c r="H141" i="251"/>
  <c r="H142" i="251"/>
  <c r="H143" i="251"/>
  <c r="H144" i="251"/>
  <c r="H145" i="251"/>
  <c r="H146" i="251"/>
  <c r="H147" i="251"/>
  <c r="H148" i="251"/>
  <c r="H149" i="251"/>
  <c r="H150" i="251"/>
  <c r="H151" i="251"/>
  <c r="H152" i="251"/>
  <c r="H153" i="251"/>
  <c r="H154" i="251"/>
  <c r="H155" i="251"/>
  <c r="H156" i="251"/>
  <c r="H157" i="251"/>
  <c r="H158" i="251"/>
  <c r="H159" i="251"/>
  <c r="H160" i="251"/>
  <c r="H161" i="251"/>
  <c r="H162" i="251"/>
  <c r="H163" i="251"/>
  <c r="H164" i="251"/>
  <c r="H165" i="251"/>
  <c r="H166" i="251"/>
  <c r="H167" i="251"/>
  <c r="H168" i="251"/>
  <c r="H169" i="251"/>
  <c r="H170" i="251"/>
  <c r="H171" i="251"/>
  <c r="H172" i="251"/>
  <c r="H173" i="251"/>
  <c r="H174" i="251"/>
  <c r="H175" i="251"/>
  <c r="H176" i="251"/>
  <c r="H177" i="251"/>
  <c r="H178" i="251"/>
  <c r="H179" i="251"/>
  <c r="H180" i="251"/>
  <c r="H181" i="251"/>
  <c r="H182" i="251"/>
  <c r="H183" i="251"/>
  <c r="H184" i="251"/>
  <c r="H185" i="251"/>
  <c r="H186" i="251"/>
  <c r="H187" i="251"/>
  <c r="H188" i="251"/>
  <c r="H189" i="251"/>
  <c r="H190" i="251"/>
  <c r="H191" i="251"/>
  <c r="H192" i="251"/>
  <c r="H193" i="251"/>
  <c r="H194" i="251"/>
  <c r="H195" i="251"/>
  <c r="H196" i="251"/>
  <c r="H197" i="251"/>
  <c r="H198" i="251"/>
  <c r="H199" i="251"/>
  <c r="H200" i="251"/>
  <c r="H201" i="251"/>
  <c r="H202" i="251"/>
  <c r="H203" i="251"/>
  <c r="H204" i="251"/>
  <c r="H205" i="251"/>
  <c r="H206" i="251"/>
  <c r="H207" i="251"/>
  <c r="H208" i="251"/>
  <c r="H209" i="251"/>
  <c r="H210" i="251"/>
  <c r="H211" i="251"/>
  <c r="H212" i="251"/>
  <c r="H213" i="251"/>
  <c r="H214" i="251"/>
  <c r="H215" i="251"/>
  <c r="H216" i="251"/>
  <c r="H217" i="251"/>
  <c r="H218" i="251"/>
  <c r="H219" i="251"/>
  <c r="H220" i="251"/>
  <c r="H221" i="251"/>
  <c r="H222" i="251"/>
  <c r="H223" i="251"/>
  <c r="H224" i="251"/>
  <c r="H225" i="251"/>
  <c r="H226" i="251"/>
  <c r="H227" i="251"/>
  <c r="H228" i="251"/>
  <c r="H229" i="251"/>
  <c r="H230" i="251"/>
  <c r="H231" i="251"/>
  <c r="H232" i="251"/>
  <c r="H233" i="251"/>
  <c r="H234" i="251"/>
  <c r="H235" i="251"/>
  <c r="H236" i="251"/>
  <c r="H237" i="251"/>
  <c r="H238" i="251"/>
  <c r="H239" i="251"/>
  <c r="H240" i="251"/>
  <c r="H241" i="251"/>
  <c r="H242" i="251"/>
  <c r="H243" i="251"/>
  <c r="H244" i="251"/>
  <c r="H245" i="251"/>
  <c r="H246" i="251"/>
  <c r="H247" i="251"/>
  <c r="H248" i="251"/>
  <c r="H249" i="251"/>
  <c r="H250" i="251"/>
  <c r="H251" i="251"/>
  <c r="H252" i="251"/>
  <c r="H253" i="251"/>
  <c r="H254" i="251"/>
  <c r="H255" i="251"/>
  <c r="H256" i="251"/>
  <c r="H257" i="251"/>
  <c r="H258" i="251"/>
  <c r="H259" i="251"/>
  <c r="H260" i="251"/>
  <c r="H261" i="251"/>
  <c r="H262" i="251"/>
  <c r="H263" i="251"/>
  <c r="H264" i="251"/>
  <c r="H265" i="251"/>
  <c r="H266" i="251"/>
  <c r="H267" i="251"/>
  <c r="H268" i="251"/>
  <c r="H269" i="251"/>
  <c r="H270" i="251"/>
  <c r="H271" i="251"/>
  <c r="H272" i="251"/>
  <c r="H273" i="251"/>
  <c r="H274" i="251"/>
  <c r="H275" i="251"/>
  <c r="H276" i="251"/>
  <c r="H277" i="251"/>
  <c r="H278" i="251"/>
  <c r="H279" i="251"/>
  <c r="H280" i="251"/>
  <c r="H281" i="251"/>
  <c r="H282" i="251"/>
  <c r="H283" i="251"/>
  <c r="H284" i="251"/>
  <c r="H285" i="251"/>
  <c r="H286" i="251"/>
  <c r="H287" i="251"/>
  <c r="H288" i="251"/>
  <c r="H289" i="251"/>
  <c r="H290" i="251"/>
  <c r="H291" i="251"/>
  <c r="H292" i="251"/>
  <c r="H293" i="251"/>
  <c r="H294" i="251"/>
  <c r="H295" i="251"/>
  <c r="H296" i="251"/>
  <c r="H297" i="251"/>
  <c r="H298" i="251"/>
  <c r="H299" i="251"/>
  <c r="H300" i="251"/>
  <c r="H301" i="251"/>
  <c r="H302" i="251"/>
  <c r="H303" i="251"/>
  <c r="H304" i="251"/>
  <c r="H305" i="251"/>
  <c r="H306" i="251"/>
  <c r="H307" i="251"/>
  <c r="H308" i="251"/>
  <c r="H309" i="251"/>
  <c r="H310" i="251"/>
  <c r="H311" i="251"/>
  <c r="H312" i="251"/>
  <c r="H313" i="251"/>
  <c r="H314" i="251"/>
  <c r="H315" i="251"/>
  <c r="H316" i="251"/>
  <c r="H317" i="251"/>
  <c r="H318" i="251"/>
  <c r="H319" i="251"/>
  <c r="H320" i="251"/>
  <c r="H321" i="251"/>
  <c r="H322" i="251"/>
  <c r="H323" i="251"/>
  <c r="H324" i="251"/>
  <c r="H325" i="251"/>
  <c r="H326" i="251"/>
  <c r="H327" i="251"/>
  <c r="H328" i="251"/>
  <c r="H329" i="251"/>
  <c r="H330" i="251"/>
  <c r="H331" i="251"/>
  <c r="H332" i="251"/>
  <c r="H333" i="251"/>
  <c r="H334" i="251"/>
  <c r="H335" i="251"/>
  <c r="H336" i="251"/>
  <c r="H337" i="251"/>
  <c r="H338" i="251"/>
  <c r="H339" i="251"/>
  <c r="H340" i="251"/>
  <c r="H341" i="251"/>
  <c r="H342" i="251"/>
  <c r="H343" i="251"/>
  <c r="H344" i="251"/>
  <c r="H345" i="251"/>
  <c r="H346" i="251"/>
  <c r="H347" i="251"/>
  <c r="H348" i="251"/>
  <c r="H349" i="251"/>
  <c r="H350" i="251"/>
  <c r="H351" i="251"/>
  <c r="H352" i="251"/>
  <c r="H353" i="251"/>
  <c r="H354" i="251"/>
  <c r="H355" i="251"/>
  <c r="H356" i="251"/>
  <c r="H357" i="251"/>
  <c r="H358" i="251"/>
  <c r="H359" i="251"/>
  <c r="H360" i="251"/>
  <c r="H361" i="251"/>
  <c r="H362" i="251"/>
  <c r="H363" i="251"/>
  <c r="H364" i="251"/>
  <c r="H365" i="251"/>
  <c r="H366" i="251"/>
  <c r="H367" i="251"/>
  <c r="H368" i="251"/>
  <c r="H369" i="251"/>
  <c r="H370" i="251"/>
  <c r="H371" i="251"/>
  <c r="H372" i="251"/>
  <c r="H373" i="251"/>
  <c r="H374" i="251"/>
  <c r="H375" i="251"/>
  <c r="H376" i="251"/>
  <c r="H377" i="251"/>
  <c r="H378" i="251"/>
  <c r="H379" i="251"/>
  <c r="H380" i="251"/>
  <c r="H381" i="251"/>
  <c r="H382" i="251"/>
  <c r="H383" i="251"/>
  <c r="H384" i="251"/>
  <c r="H385" i="251"/>
  <c r="H386" i="251"/>
  <c r="H387" i="251"/>
  <c r="H388" i="251"/>
  <c r="H389" i="251"/>
  <c r="H390" i="251"/>
  <c r="H391" i="251"/>
  <c r="H392" i="251"/>
  <c r="H393" i="251"/>
  <c r="H394" i="251"/>
  <c r="H395" i="251"/>
  <c r="H396" i="251"/>
  <c r="H397" i="251"/>
  <c r="H398" i="251"/>
  <c r="H399" i="251"/>
  <c r="H400" i="251"/>
  <c r="H401" i="251"/>
  <c r="H402" i="251"/>
  <c r="H403" i="251"/>
  <c r="H404" i="251"/>
  <c r="H405" i="251"/>
  <c r="H406" i="251"/>
  <c r="H407" i="251"/>
  <c r="H408" i="251"/>
  <c r="H409" i="251"/>
  <c r="H410" i="251"/>
  <c r="H411" i="251"/>
  <c r="H412" i="251"/>
  <c r="H413" i="251"/>
  <c r="H414" i="251"/>
  <c r="H415" i="251"/>
  <c r="H416" i="251"/>
  <c r="H417" i="251"/>
  <c r="H418" i="251"/>
  <c r="H419" i="251"/>
  <c r="H420" i="251"/>
  <c r="H421" i="251"/>
  <c r="H422" i="251"/>
  <c r="H423" i="251"/>
  <c r="H424" i="251"/>
  <c r="H425" i="251"/>
  <c r="H426" i="251"/>
  <c r="H427" i="251"/>
  <c r="H428" i="251"/>
  <c r="H429" i="251"/>
  <c r="H430" i="251"/>
  <c r="H431" i="251"/>
  <c r="H432" i="251"/>
  <c r="H433" i="251"/>
  <c r="H434" i="251"/>
  <c r="H435" i="251"/>
  <c r="H436" i="251"/>
  <c r="H437" i="251"/>
  <c r="H438" i="251"/>
  <c r="H439" i="251"/>
  <c r="H440" i="251"/>
  <c r="H441" i="251"/>
  <c r="H442" i="251"/>
  <c r="H443" i="251"/>
  <c r="H444" i="251"/>
  <c r="H445" i="251"/>
  <c r="H446" i="251"/>
  <c r="H447" i="251"/>
  <c r="H448" i="251"/>
  <c r="H449" i="251"/>
  <c r="H450" i="251"/>
  <c r="H451" i="251"/>
  <c r="H452" i="251"/>
  <c r="H453" i="251"/>
  <c r="H454" i="251"/>
  <c r="H455" i="251"/>
  <c r="H456" i="251"/>
  <c r="H457" i="251"/>
  <c r="H458" i="251"/>
  <c r="H459" i="251"/>
  <c r="H460" i="251"/>
  <c r="H461" i="251"/>
  <c r="H462" i="251"/>
  <c r="H463" i="251"/>
  <c r="H464" i="251"/>
  <c r="H465" i="251"/>
  <c r="H466" i="251"/>
  <c r="H467" i="251"/>
  <c r="H468" i="251"/>
  <c r="H469" i="251"/>
  <c r="H470" i="251"/>
  <c r="H471" i="251"/>
  <c r="H472" i="251"/>
  <c r="H473" i="251"/>
  <c r="H474" i="251"/>
  <c r="H475" i="251"/>
  <c r="H476" i="251"/>
  <c r="H477" i="251"/>
  <c r="H478" i="251"/>
  <c r="H479" i="251"/>
  <c r="H480" i="251"/>
  <c r="H481" i="251"/>
  <c r="H482" i="251"/>
  <c r="H483" i="251"/>
  <c r="H484" i="251"/>
  <c r="H485" i="251"/>
  <c r="H486" i="251"/>
  <c r="H487" i="251"/>
  <c r="H488" i="251"/>
  <c r="H489" i="251"/>
  <c r="H490" i="251"/>
  <c r="H491" i="251"/>
  <c r="H492" i="251"/>
  <c r="H493" i="251"/>
  <c r="H494" i="251"/>
  <c r="H495" i="251"/>
  <c r="H496" i="251"/>
  <c r="H497" i="251"/>
  <c r="H498" i="251"/>
  <c r="H499" i="251"/>
  <c r="H500" i="251"/>
  <c r="D66" i="190"/>
  <c r="E66" i="190"/>
  <c r="F66" i="190"/>
  <c r="G66" i="190"/>
  <c r="H66" i="190"/>
  <c r="I66" i="190"/>
  <c r="J66" i="190"/>
  <c r="K66" i="190"/>
  <c r="L66" i="190"/>
  <c r="M66" i="190"/>
  <c r="N66" i="190"/>
  <c r="O66" i="190"/>
  <c r="P66" i="190"/>
  <c r="Q66" i="190"/>
  <c r="R66" i="190"/>
  <c r="D67" i="190"/>
  <c r="E67" i="190"/>
  <c r="F67" i="190"/>
  <c r="G67" i="190"/>
  <c r="H67" i="190"/>
  <c r="I67" i="190"/>
  <c r="J67" i="190"/>
  <c r="K67" i="190"/>
  <c r="L67" i="190"/>
  <c r="M67" i="190"/>
  <c r="N67" i="190"/>
  <c r="O67" i="190"/>
  <c r="P67" i="190"/>
  <c r="Q67" i="190"/>
  <c r="R67" i="190"/>
  <c r="D68" i="190"/>
  <c r="E68" i="190"/>
  <c r="F68" i="190"/>
  <c r="G68" i="190"/>
  <c r="H68" i="190"/>
  <c r="I68" i="190"/>
  <c r="J68" i="190"/>
  <c r="K68" i="190"/>
  <c r="L68" i="190"/>
  <c r="M68" i="190"/>
  <c r="N68" i="190"/>
  <c r="O68" i="190"/>
  <c r="P68" i="190"/>
  <c r="Q68" i="190"/>
  <c r="R68" i="190"/>
  <c r="D69" i="190"/>
  <c r="E69" i="190"/>
  <c r="F69" i="190"/>
  <c r="G69" i="190"/>
  <c r="H69" i="190"/>
  <c r="I69" i="190"/>
  <c r="J69" i="190"/>
  <c r="K69" i="190"/>
  <c r="L69" i="190"/>
  <c r="M69" i="190"/>
  <c r="N69" i="190"/>
  <c r="O69" i="190"/>
  <c r="P69" i="190"/>
  <c r="Q69" i="190"/>
  <c r="R69" i="190"/>
  <c r="D70" i="190"/>
  <c r="E70" i="190"/>
  <c r="F70" i="190"/>
  <c r="G70" i="190"/>
  <c r="H70" i="190"/>
  <c r="I70" i="190"/>
  <c r="J70" i="190"/>
  <c r="K70" i="190"/>
  <c r="L70" i="190"/>
  <c r="M70" i="190"/>
  <c r="N70" i="190"/>
  <c r="O70" i="190"/>
  <c r="P70" i="190"/>
  <c r="Q70" i="190"/>
  <c r="R70" i="190"/>
  <c r="D71" i="190"/>
  <c r="E71" i="190"/>
  <c r="F71" i="190"/>
  <c r="G71" i="190"/>
  <c r="H71" i="190"/>
  <c r="I71" i="190"/>
  <c r="J71" i="190"/>
  <c r="K71" i="190"/>
  <c r="L71" i="190"/>
  <c r="M71" i="190"/>
  <c r="N71" i="190"/>
  <c r="O71" i="190"/>
  <c r="P71" i="190"/>
  <c r="Q71" i="190"/>
  <c r="R71" i="190"/>
  <c r="D72" i="190"/>
  <c r="E72" i="190"/>
  <c r="F72" i="190"/>
  <c r="G72" i="190"/>
  <c r="H72" i="190"/>
  <c r="I72" i="190"/>
  <c r="J72" i="190"/>
  <c r="K72" i="190"/>
  <c r="L72" i="190"/>
  <c r="M72" i="190"/>
  <c r="N72" i="190"/>
  <c r="O72" i="190"/>
  <c r="P72" i="190"/>
  <c r="Q72" i="190"/>
  <c r="R72" i="190"/>
  <c r="D73" i="190"/>
  <c r="E73" i="190"/>
  <c r="F73" i="190"/>
  <c r="G73" i="190"/>
  <c r="H73" i="190"/>
  <c r="I73" i="190"/>
  <c r="J73" i="190"/>
  <c r="K73" i="190"/>
  <c r="L73" i="190"/>
  <c r="M73" i="190"/>
  <c r="N73" i="190"/>
  <c r="O73" i="190"/>
  <c r="P73" i="190"/>
  <c r="Q73" i="190"/>
  <c r="R73" i="190"/>
  <c r="D74" i="190"/>
  <c r="E74" i="190"/>
  <c r="F74" i="190"/>
  <c r="G74" i="190"/>
  <c r="H74" i="190"/>
  <c r="I74" i="190"/>
  <c r="J74" i="190"/>
  <c r="K74" i="190"/>
  <c r="L74" i="190"/>
  <c r="M74" i="190"/>
  <c r="N74" i="190"/>
  <c r="O74" i="190"/>
  <c r="P74" i="190"/>
  <c r="Q74" i="190"/>
  <c r="R74" i="190"/>
  <c r="D75" i="190"/>
  <c r="E75" i="190"/>
  <c r="F75" i="190"/>
  <c r="G75" i="190"/>
  <c r="H75" i="190"/>
  <c r="I75" i="190"/>
  <c r="J75" i="190"/>
  <c r="K75" i="190"/>
  <c r="L75" i="190"/>
  <c r="M75" i="190"/>
  <c r="N75" i="190"/>
  <c r="O75" i="190"/>
  <c r="P75" i="190"/>
  <c r="Q75" i="190"/>
  <c r="R75" i="190"/>
  <c r="D76" i="190"/>
  <c r="E76" i="190"/>
  <c r="F76" i="190"/>
  <c r="G76" i="190"/>
  <c r="H76" i="190"/>
  <c r="I76" i="190"/>
  <c r="J76" i="190"/>
  <c r="K76" i="190"/>
  <c r="L76" i="190"/>
  <c r="M76" i="190"/>
  <c r="N76" i="190"/>
  <c r="O76" i="190"/>
  <c r="P76" i="190"/>
  <c r="Q76" i="190"/>
  <c r="R76" i="190"/>
  <c r="D77" i="190"/>
  <c r="E77" i="190"/>
  <c r="F77" i="190"/>
  <c r="G77" i="190"/>
  <c r="H77" i="190"/>
  <c r="I77" i="190"/>
  <c r="J77" i="190"/>
  <c r="K77" i="190"/>
  <c r="L77" i="190"/>
  <c r="M77" i="190"/>
  <c r="N77" i="190"/>
  <c r="O77" i="190"/>
  <c r="P77" i="190"/>
  <c r="Q77" i="190"/>
  <c r="R77" i="190"/>
  <c r="C36" i="190"/>
  <c r="N37" i="190" s="1"/>
  <c r="C67" i="190"/>
  <c r="C68" i="190"/>
  <c r="C69" i="190"/>
  <c r="C70" i="190"/>
  <c r="C71" i="190"/>
  <c r="C72" i="190"/>
  <c r="C73" i="190"/>
  <c r="C74" i="190"/>
  <c r="C75" i="190"/>
  <c r="C76" i="190"/>
  <c r="C77" i="190"/>
  <c r="C66" i="190"/>
  <c r="A1" i="288" a="1"/>
  <c r="A1" i="288" s="1"/>
  <c r="F47" i="180" a="1"/>
  <c r="F104" i="180" a="1"/>
  <c r="F59" i="180" a="1"/>
  <c r="F13" i="180" a="1"/>
  <c r="F76" i="180" a="1"/>
  <c r="F99" i="180" a="1"/>
  <c r="F28" i="180" a="1"/>
  <c r="F80" i="180" a="1"/>
  <c r="F51" i="180" a="1"/>
  <c r="F79" i="180" a="1"/>
  <c r="F29" i="180" a="1"/>
  <c r="F90" i="180" a="1"/>
  <c r="F72" i="180" a="1"/>
  <c r="F49" i="180" a="1"/>
  <c r="F42" i="180" a="1"/>
  <c r="F53" i="180" a="1"/>
  <c r="F54" i="180" a="1"/>
  <c r="F103" i="180" a="1"/>
  <c r="F82" i="180" a="1"/>
  <c r="F95" i="180" a="1"/>
  <c r="F93" i="180" a="1"/>
  <c r="F86" i="180" a="1"/>
  <c r="F10" i="180" a="1"/>
  <c r="F50" i="180" a="1"/>
  <c r="F34" i="180" a="1"/>
  <c r="F81" i="180" a="1"/>
  <c r="F39" i="180" a="1"/>
  <c r="F58" i="180" a="1"/>
  <c r="F11" i="180" a="1"/>
  <c r="F19" i="180" a="1"/>
  <c r="F75" i="180" a="1"/>
  <c r="F83" i="180" a="1"/>
  <c r="F32" i="180" a="1"/>
  <c r="F52" i="180" a="1"/>
  <c r="F77" i="180" a="1"/>
  <c r="F73" i="180" a="1"/>
  <c r="F45" i="180" a="1"/>
  <c r="F48" i="180" a="1"/>
  <c r="F55" i="180" a="1"/>
  <c r="F87" i="180" a="1"/>
  <c r="F68" i="180" a="1"/>
  <c r="F94" i="180" a="1"/>
  <c r="F12" i="180" a="1"/>
  <c r="F61" i="180" a="1"/>
  <c r="F101" i="180" a="1"/>
  <c r="F89" i="180" a="1"/>
  <c r="F41" i="180" a="1"/>
  <c r="F36" i="180" a="1"/>
  <c r="F25" i="180" a="1"/>
  <c r="F65" i="180" a="1"/>
  <c r="F23" i="180" a="1"/>
  <c r="F35" i="180" a="1"/>
  <c r="F84" i="180" a="1"/>
  <c r="F31" i="180" a="1"/>
  <c r="F38" i="180" a="1"/>
  <c r="F43" i="180" a="1"/>
  <c r="F102" i="180" a="1"/>
  <c r="F14" i="180" a="1"/>
  <c r="F9" i="180" a="1"/>
  <c r="F66" i="180" a="1"/>
  <c r="F17" i="180" a="1"/>
  <c r="F16" i="180" a="1"/>
  <c r="F20" i="180" a="1"/>
  <c r="F26" i="180" a="1"/>
  <c r="F67" i="180" a="1"/>
  <c r="F91" i="180" a="1"/>
  <c r="F64" i="180" a="1"/>
  <c r="F57" i="180" a="1"/>
  <c r="F62" i="180" a="1"/>
  <c r="F40" i="180" a="1"/>
  <c r="F15" i="180" a="1"/>
  <c r="F97" i="180" a="1"/>
  <c r="F44" i="180" a="1"/>
  <c r="F37" i="180" a="1"/>
  <c r="F27" i="180" a="1"/>
  <c r="F70" i="180" a="1"/>
  <c r="F85" i="180" a="1"/>
  <c r="F24" i="180" a="1"/>
  <c r="F78" i="180" a="1"/>
  <c r="F71" i="180" a="1"/>
  <c r="F74" i="180" a="1"/>
  <c r="F88" i="180" a="1"/>
  <c r="F98" i="180" a="1"/>
  <c r="F96" i="180" a="1"/>
  <c r="F56" i="180" a="1"/>
  <c r="F18" i="180" a="1"/>
  <c r="F21" i="180" a="1"/>
  <c r="F22" i="180" a="1"/>
  <c r="F60" i="180" a="1"/>
  <c r="F92" i="180" a="1"/>
  <c r="F8" i="180" a="1"/>
  <c r="F30" i="180" a="1"/>
  <c r="F33" i="180" a="1"/>
  <c r="F63" i="180" a="1"/>
  <c r="F100" i="180" a="1"/>
  <c r="F46" i="180" a="1"/>
  <c r="F69" i="180" a="1"/>
  <c r="C84" i="190" l="1"/>
  <c r="C85" i="190" s="1"/>
  <c r="R84" i="190"/>
  <c r="R85" i="190" s="1"/>
  <c r="Q84" i="190"/>
  <c r="Q85" i="190" s="1"/>
  <c r="P84" i="190"/>
  <c r="P85" i="190" s="1"/>
  <c r="O84" i="190"/>
  <c r="O85" i="190" s="1"/>
  <c r="N84" i="190"/>
  <c r="N85" i="190" s="1"/>
  <c r="M84" i="190"/>
  <c r="M85" i="190" s="1"/>
  <c r="L84" i="190"/>
  <c r="L85" i="190" s="1"/>
  <c r="K84" i="190"/>
  <c r="K85" i="190" s="1"/>
  <c r="J84" i="190"/>
  <c r="J85" i="190" s="1"/>
  <c r="I84" i="190"/>
  <c r="I85" i="190" s="1"/>
  <c r="H84" i="190"/>
  <c r="H85" i="190" s="1"/>
  <c r="G84" i="190"/>
  <c r="G85" i="190" s="1"/>
  <c r="F84" i="190"/>
  <c r="F85" i="190" s="1"/>
  <c r="E84" i="190"/>
  <c r="E85" i="190" s="1"/>
  <c r="D84" i="190"/>
  <c r="D85" i="190" s="1"/>
  <c r="O37" i="190"/>
  <c r="F102" i="180"/>
  <c r="F100" i="180"/>
  <c r="F98" i="180"/>
  <c r="F96" i="180"/>
  <c r="F94" i="180"/>
  <c r="F104" i="180"/>
  <c r="F103" i="180"/>
  <c r="F101" i="180"/>
  <c r="F99" i="180"/>
  <c r="F97" i="180"/>
  <c r="F95" i="180"/>
  <c r="F92" i="180"/>
  <c r="F90" i="180"/>
  <c r="F93" i="180"/>
  <c r="F91" i="180"/>
  <c r="F89" i="180"/>
  <c r="F75" i="180"/>
  <c r="F88" i="180"/>
  <c r="F87" i="180"/>
  <c r="F86" i="180"/>
  <c r="F85" i="180"/>
  <c r="F84" i="180"/>
  <c r="F83" i="180"/>
  <c r="F82" i="180"/>
  <c r="F81" i="180"/>
  <c r="F80" i="180"/>
  <c r="F79" i="180"/>
  <c r="F78" i="180"/>
  <c r="F77" i="180"/>
  <c r="F76" i="180"/>
  <c r="F43" i="180"/>
  <c r="F74" i="180"/>
  <c r="F73" i="180"/>
  <c r="F72" i="180"/>
  <c r="F71" i="180"/>
  <c r="F70" i="180"/>
  <c r="F69" i="180"/>
  <c r="F68" i="180"/>
  <c r="F67" i="180"/>
  <c r="F66" i="180"/>
  <c r="F65" i="180"/>
  <c r="F64" i="180"/>
  <c r="F63" i="180"/>
  <c r="F62" i="180"/>
  <c r="F59" i="180"/>
  <c r="F61" i="180"/>
  <c r="F60" i="180"/>
  <c r="F58" i="180"/>
  <c r="F57" i="180"/>
  <c r="F47" i="180"/>
  <c r="F45" i="180"/>
  <c r="F56" i="180"/>
  <c r="F55" i="180"/>
  <c r="F54" i="180"/>
  <c r="F53" i="180"/>
  <c r="F52" i="180"/>
  <c r="F51" i="180"/>
  <c r="F50" i="180"/>
  <c r="F49" i="180"/>
  <c r="F48" i="180"/>
  <c r="F28" i="180"/>
  <c r="F46" i="180"/>
  <c r="F44" i="180"/>
  <c r="F42" i="180"/>
  <c r="F30" i="180"/>
  <c r="F31" i="180"/>
  <c r="F41" i="180"/>
  <c r="F40" i="180"/>
  <c r="F39" i="180"/>
  <c r="F38" i="180"/>
  <c r="F37" i="180"/>
  <c r="F36" i="180"/>
  <c r="F35" i="180"/>
  <c r="F34" i="180"/>
  <c r="F33" i="180"/>
  <c r="F32" i="180"/>
  <c r="F27" i="180"/>
  <c r="F26" i="180"/>
  <c r="F25" i="180"/>
  <c r="F24" i="180"/>
  <c r="F23" i="180"/>
  <c r="F22" i="180"/>
  <c r="F29" i="180"/>
  <c r="F21" i="180"/>
  <c r="F20" i="180"/>
  <c r="F19" i="180"/>
  <c r="F18" i="180"/>
  <c r="F17" i="180"/>
  <c r="F16" i="180"/>
  <c r="F15" i="180"/>
  <c r="F14" i="180"/>
  <c r="F13" i="180"/>
  <c r="F12" i="180"/>
  <c r="F11" i="180"/>
  <c r="F10" i="180"/>
  <c r="F9" i="180"/>
  <c r="F8" i="180"/>
  <c r="G44" i="180" l="1"/>
  <c r="G43" i="293"/>
  <c r="E39" i="299" s="1"/>
  <c r="G46" i="180"/>
  <c r="G45" i="293"/>
  <c r="E41" i="299" s="1"/>
  <c r="G84" i="180"/>
  <c r="G83" i="293"/>
  <c r="E79" i="299" s="1"/>
  <c r="G93" i="180"/>
  <c r="G92" i="293"/>
  <c r="E88" i="299" s="1"/>
  <c r="G104" i="180"/>
  <c r="G103" i="293"/>
  <c r="E99" i="299" s="1"/>
  <c r="G37" i="180"/>
  <c r="G36" i="293"/>
  <c r="E32" i="299" s="1"/>
  <c r="G27" i="180"/>
  <c r="G26" i="293"/>
  <c r="E22" i="299" s="1"/>
  <c r="G94" i="180"/>
  <c r="G93" i="293"/>
  <c r="E89" i="299" s="1"/>
  <c r="G10" i="180"/>
  <c r="G9" i="293"/>
  <c r="E5" i="299" s="1"/>
  <c r="G60" i="180"/>
  <c r="G59" i="293"/>
  <c r="E55" i="299" s="1"/>
  <c r="G83" i="180"/>
  <c r="G82" i="293"/>
  <c r="E78" i="299" s="1"/>
  <c r="G68" i="180"/>
  <c r="G67" i="293"/>
  <c r="E63" i="299" s="1"/>
  <c r="G62" i="180"/>
  <c r="G61" i="293"/>
  <c r="E57" i="299" s="1"/>
  <c r="G78" i="180"/>
  <c r="G77" i="293"/>
  <c r="E73" i="299" s="1"/>
  <c r="G86" i="180"/>
  <c r="G85" i="293"/>
  <c r="E81" i="299" s="1"/>
  <c r="G92" i="180"/>
  <c r="G91" i="293"/>
  <c r="E87" i="299" s="1"/>
  <c r="G96" i="180"/>
  <c r="G95" i="293"/>
  <c r="E91" i="299" s="1"/>
  <c r="G18" i="180"/>
  <c r="G17" i="293"/>
  <c r="E13" i="299" s="1"/>
  <c r="G43" i="180"/>
  <c r="G42" i="293"/>
  <c r="E38" i="299" s="1"/>
  <c r="G91" i="180"/>
  <c r="G90" i="293"/>
  <c r="E86" i="299" s="1"/>
  <c r="G26" i="180"/>
  <c r="G25" i="293"/>
  <c r="E21" i="299" s="1"/>
  <c r="G54" i="180"/>
  <c r="G53" i="293"/>
  <c r="E49" i="299" s="1"/>
  <c r="G76" i="180"/>
  <c r="G75" i="293"/>
  <c r="E71" i="299" s="1"/>
  <c r="G12" i="180"/>
  <c r="G11" i="293"/>
  <c r="E7" i="299" s="1"/>
  <c r="G69" i="180"/>
  <c r="G68" i="293"/>
  <c r="E64" i="299" s="1"/>
  <c r="G32" i="180"/>
  <c r="G31" i="293"/>
  <c r="E27" i="299" s="1"/>
  <c r="G14" i="180"/>
  <c r="G13" i="293"/>
  <c r="E9" i="299" s="1"/>
  <c r="G33" i="180"/>
  <c r="G32" i="293"/>
  <c r="E28" i="299" s="1"/>
  <c r="G41" i="180"/>
  <c r="G40" i="293"/>
  <c r="E36" i="299" s="1"/>
  <c r="G49" i="180"/>
  <c r="G48" i="293"/>
  <c r="E44" i="299" s="1"/>
  <c r="G45" i="180"/>
  <c r="G44" i="293"/>
  <c r="E40" i="299" s="1"/>
  <c r="G63" i="180"/>
  <c r="G62" i="293"/>
  <c r="E58" i="299" s="1"/>
  <c r="G71" i="180"/>
  <c r="G70" i="293"/>
  <c r="E66" i="299" s="1"/>
  <c r="G79" i="180"/>
  <c r="G78" i="293"/>
  <c r="E74" i="299" s="1"/>
  <c r="G87" i="180"/>
  <c r="G86" i="293"/>
  <c r="E82" i="299" s="1"/>
  <c r="G95" i="180"/>
  <c r="G94" i="293"/>
  <c r="E90" i="299" s="1"/>
  <c r="G98" i="180"/>
  <c r="G97" i="293"/>
  <c r="E93" i="299" s="1"/>
  <c r="G67" i="180"/>
  <c r="G66" i="293"/>
  <c r="E62" i="299" s="1"/>
  <c r="G103" i="180"/>
  <c r="G102" i="293"/>
  <c r="E98" i="299" s="1"/>
  <c r="G38" i="180"/>
  <c r="G37" i="293"/>
  <c r="E33" i="299" s="1"/>
  <c r="G20" i="180"/>
  <c r="G19" i="293"/>
  <c r="E15" i="299" s="1"/>
  <c r="G55" i="180"/>
  <c r="G54" i="293"/>
  <c r="E50" i="299" s="1"/>
  <c r="G90" i="180"/>
  <c r="G89" i="293"/>
  <c r="E85" i="299" s="1"/>
  <c r="G40" i="180"/>
  <c r="G39" i="293"/>
  <c r="E35" i="299" s="1"/>
  <c r="G56" i="180"/>
  <c r="G55" i="293"/>
  <c r="E51" i="299" s="1"/>
  <c r="G70" i="180"/>
  <c r="G69" i="293"/>
  <c r="E65" i="299" s="1"/>
  <c r="G29" i="180"/>
  <c r="G28" i="293"/>
  <c r="E24" i="299" s="1"/>
  <c r="G15" i="180"/>
  <c r="G14" i="293"/>
  <c r="E10" i="299" s="1"/>
  <c r="G22" i="180"/>
  <c r="G21" i="293"/>
  <c r="E17" i="299" s="1"/>
  <c r="G34" i="180"/>
  <c r="G33" i="293"/>
  <c r="E29" i="299" s="1"/>
  <c r="G31" i="180"/>
  <c r="G30" i="293"/>
  <c r="E26" i="299" s="1"/>
  <c r="G50" i="180"/>
  <c r="G49" i="293"/>
  <c r="E45" i="299" s="1"/>
  <c r="G47" i="180"/>
  <c r="G46" i="293"/>
  <c r="E42" i="299" s="1"/>
  <c r="G64" i="180"/>
  <c r="G63" i="293"/>
  <c r="E59" i="299" s="1"/>
  <c r="G72" i="180"/>
  <c r="G71" i="293"/>
  <c r="E67" i="299" s="1"/>
  <c r="G80" i="180"/>
  <c r="G79" i="293"/>
  <c r="E75" i="299" s="1"/>
  <c r="G88" i="180"/>
  <c r="G87" i="293"/>
  <c r="E83" i="299" s="1"/>
  <c r="G97" i="180"/>
  <c r="G96" i="293"/>
  <c r="E92" i="299" s="1"/>
  <c r="G100" i="180"/>
  <c r="G99" i="293"/>
  <c r="E95" i="299" s="1"/>
  <c r="G53" i="180"/>
  <c r="G52" i="293"/>
  <c r="E48" i="299" s="1"/>
  <c r="G19" i="180"/>
  <c r="G18" i="293"/>
  <c r="E14" i="299" s="1"/>
  <c r="G61" i="180"/>
  <c r="G60" i="293"/>
  <c r="E56" i="299" s="1"/>
  <c r="G39" i="180"/>
  <c r="G38" i="293"/>
  <c r="E34" i="299" s="1"/>
  <c r="G77" i="180"/>
  <c r="G76" i="293"/>
  <c r="E72" i="299" s="1"/>
  <c r="G13" i="180"/>
  <c r="G12" i="293"/>
  <c r="E8" i="299" s="1"/>
  <c r="G8" i="180"/>
  <c r="G7" i="293"/>
  <c r="E3" i="299" s="1"/>
  <c r="G16" i="180"/>
  <c r="G15" i="293"/>
  <c r="E11" i="299" s="1"/>
  <c r="G23" i="180"/>
  <c r="G22" i="293"/>
  <c r="E18" i="299" s="1"/>
  <c r="G35" i="180"/>
  <c r="G34" i="293"/>
  <c r="E30" i="299" s="1"/>
  <c r="G30" i="180"/>
  <c r="G29" i="293"/>
  <c r="E25" i="299" s="1"/>
  <c r="G51" i="180"/>
  <c r="G50" i="293"/>
  <c r="E46" i="299" s="1"/>
  <c r="G57" i="180"/>
  <c r="G56" i="293"/>
  <c r="E52" i="299" s="1"/>
  <c r="G65" i="180"/>
  <c r="G64" i="293"/>
  <c r="E60" i="299" s="1"/>
  <c r="G73" i="180"/>
  <c r="G72" i="293"/>
  <c r="E68" i="299" s="1"/>
  <c r="G81" i="180"/>
  <c r="G80" i="293"/>
  <c r="E76" i="299" s="1"/>
  <c r="G75" i="180"/>
  <c r="G74" i="293"/>
  <c r="E70" i="299" s="1"/>
  <c r="G99" i="180"/>
  <c r="G98" i="293"/>
  <c r="E94" i="299" s="1"/>
  <c r="G102" i="180"/>
  <c r="G101" i="293"/>
  <c r="E97" i="299" s="1"/>
  <c r="G25" i="180"/>
  <c r="G24" i="293"/>
  <c r="E20" i="299" s="1"/>
  <c r="G11" i="180"/>
  <c r="G10" i="293"/>
  <c r="E6" i="299" s="1"/>
  <c r="G28" i="180"/>
  <c r="G27" i="293"/>
  <c r="E23" i="299" s="1"/>
  <c r="G59" i="180"/>
  <c r="G58" i="293"/>
  <c r="E54" i="299" s="1"/>
  <c r="G85" i="180"/>
  <c r="G84" i="293"/>
  <c r="E80" i="299" s="1"/>
  <c r="G21" i="180"/>
  <c r="G20" i="293"/>
  <c r="E16" i="299" s="1"/>
  <c r="G48" i="180"/>
  <c r="G47" i="293"/>
  <c r="E43" i="299" s="1"/>
  <c r="G9" i="180"/>
  <c r="G8" i="293"/>
  <c r="E4" i="299" s="1"/>
  <c r="G17" i="180"/>
  <c r="G16" i="293"/>
  <c r="E12" i="299" s="1"/>
  <c r="G24" i="180"/>
  <c r="G23" i="293"/>
  <c r="E19" i="299" s="1"/>
  <c r="G36" i="180"/>
  <c r="G35" i="293"/>
  <c r="E31" i="299" s="1"/>
  <c r="G42" i="180"/>
  <c r="G41" i="293"/>
  <c r="E37" i="299" s="1"/>
  <c r="G52" i="180"/>
  <c r="G51" i="293"/>
  <c r="E47" i="299" s="1"/>
  <c r="G58" i="180"/>
  <c r="G57" i="293"/>
  <c r="E53" i="299" s="1"/>
  <c r="G66" i="180"/>
  <c r="G65" i="293"/>
  <c r="E61" i="299" s="1"/>
  <c r="G74" i="180"/>
  <c r="G73" i="293"/>
  <c r="E69" i="299" s="1"/>
  <c r="G82" i="180"/>
  <c r="G81" i="293"/>
  <c r="E77" i="299" s="1"/>
  <c r="G89" i="180"/>
  <c r="G88" i="293"/>
  <c r="E84" i="299" s="1"/>
  <c r="G101" i="180"/>
  <c r="G100" i="293"/>
  <c r="E96" i="299" s="1"/>
  <c r="P44" i="278"/>
  <c r="O44" i="278"/>
  <c r="P43" i="278"/>
  <c r="O43" i="278"/>
  <c r="P40" i="278"/>
  <c r="O40" i="278"/>
  <c r="P39" i="278"/>
  <c r="O39" i="278"/>
  <c r="P36" i="278"/>
  <c r="O36" i="278"/>
  <c r="P35" i="278"/>
  <c r="O35" i="278"/>
  <c r="P32" i="278"/>
  <c r="O32" i="278"/>
  <c r="P31" i="278"/>
  <c r="O31" i="278"/>
  <c r="P28" i="278"/>
  <c r="O28" i="278"/>
  <c r="P27" i="278"/>
  <c r="O27" i="278"/>
  <c r="P24" i="278"/>
  <c r="O24" i="278"/>
  <c r="P23" i="278"/>
  <c r="O23" i="278"/>
  <c r="P20" i="278"/>
  <c r="O20" i="278"/>
  <c r="P19" i="278"/>
  <c r="O19" i="278"/>
  <c r="P16" i="278"/>
  <c r="O16" i="278"/>
  <c r="P15" i="278"/>
  <c r="O15" i="278"/>
  <c r="P11" i="278"/>
  <c r="O11" i="278"/>
  <c r="P10" i="278"/>
  <c r="O10" i="278"/>
  <c r="O44" i="277"/>
  <c r="P44" i="277"/>
  <c r="P43" i="277"/>
  <c r="O43" i="277"/>
  <c r="O40" i="277"/>
  <c r="P40" i="277"/>
  <c r="P39" i="277"/>
  <c r="O39" i="277"/>
  <c r="O36" i="277"/>
  <c r="P36" i="277"/>
  <c r="P35" i="277"/>
  <c r="O35" i="277"/>
  <c r="O32" i="277"/>
  <c r="P32" i="277"/>
  <c r="P31" i="277"/>
  <c r="O31" i="277"/>
  <c r="O28" i="277"/>
  <c r="P28" i="277"/>
  <c r="P27" i="277"/>
  <c r="O27" i="277"/>
  <c r="P23" i="277"/>
  <c r="O24" i="277"/>
  <c r="P24" i="277"/>
  <c r="O23" i="277"/>
  <c r="O20" i="277"/>
  <c r="P20" i="277"/>
  <c r="P19" i="277"/>
  <c r="O19" i="277"/>
  <c r="O16" i="277"/>
  <c r="P16" i="277"/>
  <c r="P15" i="277"/>
  <c r="O15" i="277"/>
  <c r="O11" i="277"/>
  <c r="P11" i="277"/>
  <c r="P10" i="277"/>
  <c r="O10" i="277"/>
  <c r="A1" i="275" a="1"/>
  <c r="A1" i="275" s="1"/>
  <c r="A1" i="274" a="1"/>
  <c r="A1" i="274" s="1"/>
  <c r="H100" i="293" l="1"/>
  <c r="F96" i="299" s="1"/>
  <c r="H88" i="293"/>
  <c r="F84" i="299" s="1"/>
  <c r="H81" i="293"/>
  <c r="F77" i="299" s="1"/>
  <c r="H73" i="293"/>
  <c r="F69" i="299" s="1"/>
  <c r="H65" i="293"/>
  <c r="F61" i="299" s="1"/>
  <c r="H57" i="293"/>
  <c r="F53" i="299" s="1"/>
  <c r="H51" i="293"/>
  <c r="F47" i="299" s="1"/>
  <c r="H41" i="293"/>
  <c r="F37" i="299" s="1"/>
  <c r="H35" i="293"/>
  <c r="F31" i="299" s="1"/>
  <c r="H23" i="293"/>
  <c r="F19" i="299" s="1"/>
  <c r="H16" i="293"/>
  <c r="F12" i="299" s="1"/>
  <c r="H8" i="293"/>
  <c r="F4" i="299" s="1"/>
  <c r="H47" i="293"/>
  <c r="F43" i="299" s="1"/>
  <c r="H20" i="293"/>
  <c r="F16" i="299" s="1"/>
  <c r="H84" i="293"/>
  <c r="F80" i="299" s="1"/>
  <c r="H58" i="293"/>
  <c r="F54" i="299" s="1"/>
  <c r="H27" i="293"/>
  <c r="F23" i="299" s="1"/>
  <c r="H10" i="293"/>
  <c r="F6" i="299" s="1"/>
  <c r="H24" i="293"/>
  <c r="F20" i="299" s="1"/>
  <c r="H101" i="293"/>
  <c r="F97" i="299" s="1"/>
  <c r="H98" i="293"/>
  <c r="F94" i="299" s="1"/>
  <c r="H74" i="293"/>
  <c r="F70" i="299" s="1"/>
  <c r="H80" i="293"/>
  <c r="F76" i="299" s="1"/>
  <c r="H72" i="293"/>
  <c r="F68" i="299" s="1"/>
  <c r="H64" i="293"/>
  <c r="F60" i="299" s="1"/>
  <c r="H56" i="293"/>
  <c r="F52" i="299" s="1"/>
  <c r="H50" i="293"/>
  <c r="F46" i="299" s="1"/>
  <c r="H29" i="293"/>
  <c r="F25" i="299" s="1"/>
  <c r="H34" i="293"/>
  <c r="F30" i="299" s="1"/>
  <c r="H22" i="293"/>
  <c r="F18" i="299" s="1"/>
  <c r="H15" i="293"/>
  <c r="F11" i="299" s="1"/>
  <c r="H7" i="293"/>
  <c r="F3" i="299" s="1"/>
  <c r="H12" i="293"/>
  <c r="F8" i="299" s="1"/>
  <c r="H76" i="293"/>
  <c r="F72" i="299" s="1"/>
  <c r="H38" i="293"/>
  <c r="F34" i="299" s="1"/>
  <c r="H60" i="293"/>
  <c r="F56" i="299" s="1"/>
  <c r="H18" i="293"/>
  <c r="F14" i="299" s="1"/>
  <c r="H52" i="293"/>
  <c r="F48" i="299" s="1"/>
  <c r="H99" i="293"/>
  <c r="F95" i="299" s="1"/>
  <c r="H96" i="293"/>
  <c r="F92" i="299" s="1"/>
  <c r="H87" i="293"/>
  <c r="F83" i="299" s="1"/>
  <c r="H79" i="293"/>
  <c r="F75" i="299" s="1"/>
  <c r="H71" i="293"/>
  <c r="F67" i="299" s="1"/>
  <c r="H63" i="293"/>
  <c r="F59" i="299" s="1"/>
  <c r="H46" i="293"/>
  <c r="F42" i="299" s="1"/>
  <c r="H49" i="293"/>
  <c r="F45" i="299" s="1"/>
  <c r="H30" i="293"/>
  <c r="F26" i="299" s="1"/>
  <c r="H33" i="293"/>
  <c r="F29" i="299" s="1"/>
  <c r="H21" i="293"/>
  <c r="F17" i="299" s="1"/>
  <c r="H14" i="293"/>
  <c r="F10" i="299" s="1"/>
  <c r="H28" i="293"/>
  <c r="F24" i="299" s="1"/>
  <c r="H69" i="293"/>
  <c r="F65" i="299" s="1"/>
  <c r="H55" i="293"/>
  <c r="F51" i="299" s="1"/>
  <c r="H39" i="293"/>
  <c r="F35" i="299" s="1"/>
  <c r="H89" i="293"/>
  <c r="F85" i="299" s="1"/>
  <c r="H54" i="293"/>
  <c r="F50" i="299" s="1"/>
  <c r="H19" i="293"/>
  <c r="F15" i="299" s="1"/>
  <c r="H37" i="293"/>
  <c r="F33" i="299" s="1"/>
  <c r="H102" i="293"/>
  <c r="F98" i="299" s="1"/>
  <c r="H66" i="293"/>
  <c r="F62" i="299" s="1"/>
  <c r="H97" i="293"/>
  <c r="F93" i="299" s="1"/>
  <c r="H94" i="293"/>
  <c r="F90" i="299" s="1"/>
  <c r="H86" i="293"/>
  <c r="F82" i="299" s="1"/>
  <c r="H78" i="293"/>
  <c r="F74" i="299" s="1"/>
  <c r="H70" i="293"/>
  <c r="F66" i="299" s="1"/>
  <c r="H62" i="293"/>
  <c r="F58" i="299" s="1"/>
  <c r="H44" i="293"/>
  <c r="F40" i="299" s="1"/>
  <c r="H48" i="293"/>
  <c r="F44" i="299" s="1"/>
  <c r="H40" i="293"/>
  <c r="F36" i="299" s="1"/>
  <c r="H32" i="293"/>
  <c r="F28" i="299" s="1"/>
  <c r="H13" i="293"/>
  <c r="F9" i="299" s="1"/>
  <c r="H31" i="293"/>
  <c r="F27" i="299" s="1"/>
  <c r="H68" i="293"/>
  <c r="F64" i="299" s="1"/>
  <c r="H11" i="293"/>
  <c r="F7" i="299" s="1"/>
  <c r="H75" i="293"/>
  <c r="F71" i="299" s="1"/>
  <c r="H53" i="293"/>
  <c r="F49" i="299" s="1"/>
  <c r="H25" i="293"/>
  <c r="F21" i="299" s="1"/>
  <c r="H90" i="293"/>
  <c r="F86" i="299" s="1"/>
  <c r="H42" i="293"/>
  <c r="F38" i="299" s="1"/>
  <c r="H17" i="293"/>
  <c r="F13" i="299" s="1"/>
  <c r="H95" i="293"/>
  <c r="F91" i="299" s="1"/>
  <c r="H91" i="293"/>
  <c r="F87" i="299" s="1"/>
  <c r="H85" i="293"/>
  <c r="F81" i="299" s="1"/>
  <c r="H77" i="293"/>
  <c r="F73" i="299" s="1"/>
  <c r="H61" i="293"/>
  <c r="F57" i="299" s="1"/>
  <c r="H67" i="293"/>
  <c r="F63" i="299" s="1"/>
  <c r="H82" i="293"/>
  <c r="F78" i="299" s="1"/>
  <c r="H59" i="293"/>
  <c r="F55" i="299" s="1"/>
  <c r="H9" i="293"/>
  <c r="F5" i="299" s="1"/>
  <c r="H93" i="293"/>
  <c r="F89" i="299" s="1"/>
  <c r="H26" i="293"/>
  <c r="F22" i="299" s="1"/>
  <c r="H36" i="293"/>
  <c r="F32" i="299" s="1"/>
  <c r="H103" i="293"/>
  <c r="F99" i="299" s="1"/>
  <c r="H92" i="293"/>
  <c r="F88" i="299" s="1"/>
  <c r="H83" i="293"/>
  <c r="F79" i="299" s="1"/>
  <c r="H45" i="293"/>
  <c r="F41" i="299" s="1"/>
  <c r="H43" i="293"/>
  <c r="F39" i="299" s="1"/>
  <c r="L7" i="278"/>
  <c r="L6" i="278"/>
  <c r="L7" i="277"/>
  <c r="L6" i="277"/>
  <c r="H44" i="264" l="1"/>
  <c r="H43" i="264"/>
  <c r="H42" i="264"/>
  <c r="H41" i="264"/>
  <c r="H40" i="264"/>
  <c r="H39" i="264"/>
  <c r="H38" i="264"/>
  <c r="H44" i="263"/>
  <c r="H43" i="263"/>
  <c r="H42" i="263"/>
  <c r="H41" i="263"/>
  <c r="H40" i="263"/>
  <c r="H39" i="263"/>
  <c r="H38" i="263"/>
  <c r="P12" i="260"/>
  <c r="M10" i="260" s="1"/>
  <c r="M11" i="260" s="1"/>
  <c r="P12" i="259"/>
  <c r="M10" i="259" s="1"/>
  <c r="M11" i="259" s="1"/>
  <c r="P12" i="258"/>
  <c r="M10" i="258" s="1"/>
  <c r="M11" i="258" s="1"/>
  <c r="P12" i="256"/>
  <c r="M10" i="256" s="1"/>
  <c r="M11" i="256" s="1"/>
  <c r="P12" i="253"/>
  <c r="M10" i="253" s="1"/>
  <c r="M11" i="253" s="1"/>
  <c r="P12" i="255"/>
  <c r="M10" i="255" s="1"/>
  <c r="M11" i="255" s="1"/>
  <c r="O4" i="242"/>
  <c r="L3" i="242"/>
  <c r="L6" i="242" s="1"/>
  <c r="L3" i="240"/>
  <c r="O4" i="240" s="1"/>
  <c r="L3" i="239"/>
  <c r="L6" i="239" s="1"/>
  <c r="L6" i="240" l="1"/>
  <c r="N5" i="240" s="1"/>
  <c r="O3" i="240"/>
  <c r="N5" i="242"/>
  <c r="N4" i="242"/>
  <c r="O3" i="242"/>
  <c r="N3" i="242"/>
  <c r="N5" i="239"/>
  <c r="N3" i="239"/>
  <c r="N4" i="239"/>
  <c r="O3" i="239"/>
  <c r="O4" i="239"/>
  <c r="N4" i="240" l="1"/>
  <c r="N3" i="240"/>
  <c r="H36" i="264"/>
  <c r="H28" i="264"/>
  <c r="H35" i="264"/>
  <c r="H34" i="264"/>
  <c r="H33" i="264"/>
  <c r="H31" i="264"/>
  <c r="H32" i="264"/>
  <c r="H30" i="264"/>
  <c r="H37" i="264"/>
  <c r="H29" i="264"/>
  <c r="H44" i="262"/>
  <c r="H36" i="262"/>
  <c r="H28" i="262"/>
  <c r="H43" i="262"/>
  <c r="H35" i="262"/>
  <c r="H27" i="262"/>
  <c r="H42" i="262"/>
  <c r="H34" i="262"/>
  <c r="H26" i="262"/>
  <c r="H41" i="262"/>
  <c r="H33" i="262"/>
  <c r="H31" i="262"/>
  <c r="H40" i="262"/>
  <c r="H32" i="262"/>
  <c r="H39" i="262"/>
  <c r="H38" i="262"/>
  <c r="H30" i="262"/>
  <c r="H37" i="262"/>
  <c r="H29" i="262"/>
  <c r="R19" i="239"/>
  <c r="R20" i="239"/>
  <c r="R21" i="239"/>
  <c r="R22" i="239"/>
  <c r="R23" i="239"/>
  <c r="R24" i="239"/>
  <c r="R25" i="239"/>
  <c r="R26" i="239"/>
  <c r="R27" i="239"/>
  <c r="R28" i="239"/>
  <c r="R29" i="239"/>
  <c r="R30" i="239"/>
  <c r="R31" i="239"/>
  <c r="R32" i="239"/>
  <c r="R33" i="239"/>
  <c r="R34" i="239"/>
  <c r="R35" i="239"/>
  <c r="R36" i="239"/>
  <c r="R37" i="239"/>
  <c r="R38" i="239"/>
  <c r="R39" i="239"/>
  <c r="R40" i="239"/>
  <c r="R41" i="239"/>
  <c r="R42" i="239"/>
  <c r="R43" i="239"/>
  <c r="R44" i="239"/>
  <c r="R45" i="239"/>
  <c r="R46" i="239"/>
  <c r="R47" i="239"/>
  <c r="R48" i="239"/>
  <c r="R49" i="239"/>
  <c r="R50" i="239"/>
  <c r="R51" i="239"/>
  <c r="R52" i="239"/>
  <c r="R53" i="239"/>
  <c r="R54" i="239"/>
  <c r="R55" i="239"/>
  <c r="R56" i="239"/>
  <c r="R57" i="239"/>
  <c r="R58" i="239"/>
  <c r="R59" i="239"/>
  <c r="R60" i="239"/>
  <c r="R61" i="239"/>
  <c r="R18" i="239"/>
  <c r="O4" i="238"/>
  <c r="L3" i="238"/>
  <c r="L6" i="238" s="1"/>
  <c r="L3" i="237"/>
  <c r="L3" i="236"/>
  <c r="L6" i="235"/>
  <c r="N4" i="235" s="1"/>
  <c r="E36" i="28"/>
  <c r="E35" i="28"/>
  <c r="D36" i="28"/>
  <c r="D35" i="28"/>
  <c r="D26" i="28"/>
  <c r="D27" i="28"/>
  <c r="D28" i="28"/>
  <c r="D29" i="28"/>
  <c r="D30" i="28"/>
  <c r="D31" i="28"/>
  <c r="D32" i="28"/>
  <c r="D25" i="28"/>
  <c r="E30" i="28"/>
  <c r="E31" i="28"/>
  <c r="E32" i="28"/>
  <c r="E29" i="28"/>
  <c r="Q25" i="28"/>
  <c r="N5" i="238" l="1"/>
  <c r="N4" i="238"/>
  <c r="O3" i="238"/>
  <c r="N3" i="238"/>
  <c r="L6" i="236"/>
  <c r="N3" i="236" s="1"/>
  <c r="L6" i="237"/>
  <c r="N5" i="237" s="1"/>
  <c r="O4" i="237"/>
  <c r="R15" i="239"/>
  <c r="R16" i="239"/>
  <c r="O3" i="237"/>
  <c r="O4" i="236"/>
  <c r="O3" i="236"/>
  <c r="N5" i="235"/>
  <c r="N3" i="237" l="1"/>
  <c r="N4" i="237"/>
  <c r="N4" i="236"/>
  <c r="N5" i="236"/>
  <c r="F7" i="180" a="1"/>
  <c r="F7" i="180" l="1"/>
  <c r="G7" i="180" l="1"/>
  <c r="G6" i="293"/>
  <c r="E2" i="299" s="1"/>
  <c r="AG27" i="219"/>
  <c r="AD27" i="219" s="1"/>
  <c r="AC26" i="219"/>
  <c r="AB26" i="219"/>
  <c r="AC25" i="219"/>
  <c r="AB25" i="219"/>
  <c r="Z25" i="219"/>
  <c r="AH24" i="219"/>
  <c r="AE24" i="219"/>
  <c r="BM24" i="219" s="1"/>
  <c r="AD23" i="219"/>
  <c r="AB23" i="219"/>
  <c r="AA23" i="219"/>
  <c r="Y23" i="219"/>
  <c r="X23" i="219"/>
  <c r="W23" i="219"/>
  <c r="V23" i="219"/>
  <c r="AD22" i="219"/>
  <c r="AC22" i="219"/>
  <c r="AB22" i="219"/>
  <c r="Y22" i="219"/>
  <c r="V22" i="219"/>
  <c r="AD21" i="219"/>
  <c r="AC21" i="219"/>
  <c r="AB21" i="219"/>
  <c r="Y21" i="219"/>
  <c r="AH20" i="219"/>
  <c r="AE20" i="219"/>
  <c r="BM20" i="219" s="1"/>
  <c r="AD19" i="219"/>
  <c r="AB19" i="219"/>
  <c r="AA19" i="219"/>
  <c r="Y19" i="219"/>
  <c r="X19" i="219"/>
  <c r="W19" i="219"/>
  <c r="V19" i="219"/>
  <c r="H6" i="293" l="1"/>
  <c r="F2" i="299" s="1"/>
  <c r="AH26" i="219"/>
  <c r="V27" i="219"/>
  <c r="AH19" i="219"/>
  <c r="AE23" i="219"/>
  <c r="BM23" i="219" s="1"/>
  <c r="AE21" i="219"/>
  <c r="BM21" i="219" s="1"/>
  <c r="AH21" i="219"/>
  <c r="AH22" i="219"/>
  <c r="AE25" i="219"/>
  <c r="BM25" i="219" s="1"/>
  <c r="AH25" i="219"/>
  <c r="Y27" i="219"/>
  <c r="Z27" i="219"/>
  <c r="AE19" i="219"/>
  <c r="BM19" i="219" s="1"/>
  <c r="AB27" i="219"/>
  <c r="AH23" i="219"/>
  <c r="AC27" i="219"/>
  <c r="AE22" i="219"/>
  <c r="BM22" i="219" s="1"/>
  <c r="AE26" i="219"/>
  <c r="BM26" i="219" s="1"/>
  <c r="AE27" i="219" l="1"/>
  <c r="BM27" i="219" s="1"/>
  <c r="AH27" i="219"/>
  <c r="L37" i="190" l="1"/>
  <c r="Q13" i="173" l="1"/>
  <c r="W13" i="173" s="1"/>
  <c r="J130" i="180"/>
  <c r="K130" i="180" s="1"/>
  <c r="Q14" i="173"/>
  <c r="W14" i="173" s="1"/>
  <c r="Q15" i="173"/>
  <c r="W15" i="173" s="1"/>
  <c r="Q16" i="173"/>
  <c r="W16" i="173" s="1"/>
  <c r="E27" i="173" l="1"/>
  <c r="Q131" i="180" s="1"/>
  <c r="M130" i="293" s="1" a="1"/>
  <c r="M130" i="293" s="1"/>
  <c r="K126" i="299" s="1"/>
  <c r="E29" i="173"/>
  <c r="O131" i="180" s="1"/>
  <c r="P131" i="180" s="1"/>
  <c r="E28" i="173"/>
  <c r="N131" i="180" s="1"/>
  <c r="O130" i="293" s="1" a="1"/>
  <c r="O130" i="293" s="1"/>
  <c r="M126" i="299" s="1"/>
  <c r="L130" i="180"/>
  <c r="I129" i="293" s="1" a="1"/>
  <c r="I129" i="293" s="1"/>
  <c r="G125" i="299" s="1"/>
  <c r="E21" i="173"/>
  <c r="I131" i="180" s="1"/>
  <c r="E22" i="173"/>
  <c r="J131" i="180" s="1"/>
  <c r="K131" i="180" s="1"/>
  <c r="E20" i="173"/>
  <c r="L131" i="180" s="1"/>
  <c r="I130" i="293" s="1" a="1"/>
  <c r="I130" i="293" s="1"/>
  <c r="G126" i="299" s="1"/>
  <c r="M37" i="190"/>
  <c r="F22" i="173"/>
  <c r="J134" i="180" s="1"/>
  <c r="K134" i="180" s="1"/>
  <c r="F20" i="173"/>
  <c r="L134" i="180" s="1"/>
  <c r="I133" i="293" s="1" a="1"/>
  <c r="I133" i="293" s="1"/>
  <c r="G129" i="299" s="1"/>
  <c r="C22" i="173"/>
  <c r="J132" i="180" s="1"/>
  <c r="K132" i="180" s="1"/>
  <c r="C20" i="173"/>
  <c r="L132" i="180" s="1"/>
  <c r="I131" i="293" s="1" a="1"/>
  <c r="I131" i="293" s="1"/>
  <c r="G127" i="299" s="1"/>
  <c r="G22" i="173"/>
  <c r="J133" i="180" s="1"/>
  <c r="K133" i="180" s="1"/>
  <c r="G20" i="173"/>
  <c r="L133" i="180" s="1"/>
  <c r="I132" i="293" s="1" a="1"/>
  <c r="I132" i="293" s="1"/>
  <c r="G128" i="299" s="1"/>
  <c r="Z129" i="293" a="1"/>
  <c r="AE132" i="180" a="1"/>
  <c r="AE130" i="180" a="1"/>
  <c r="AE134" i="180" a="1"/>
  <c r="AE133" i="180" a="1"/>
  <c r="Z130" i="293" a="1"/>
  <c r="Z132" i="293" a="1"/>
  <c r="Z133" i="293" a="1"/>
  <c r="AE131" i="180" a="1"/>
  <c r="Z131" i="293" a="1"/>
  <c r="P130" i="293" l="1" a="1"/>
  <c r="P130" i="293" s="1"/>
  <c r="N126" i="299" s="1"/>
  <c r="K130" i="293" a="1"/>
  <c r="K130" i="293" s="1"/>
  <c r="I126" i="299" s="1"/>
  <c r="AE130" i="180"/>
  <c r="AE134" i="180"/>
  <c r="AE131" i="180"/>
  <c r="AE133" i="180"/>
  <c r="AE132" i="180"/>
  <c r="Z133" i="293"/>
  <c r="W129" i="299" s="1"/>
  <c r="Z129" i="293"/>
  <c r="W125" i="299" s="1"/>
  <c r="Z130" i="293"/>
  <c r="W126" i="299" s="1"/>
  <c r="Z132" i="293"/>
  <c r="W128" i="299" s="1"/>
  <c r="Z131" i="293"/>
  <c r="W127" i="299" s="1"/>
  <c r="AB131" i="180"/>
  <c r="W130" i="293" s="1" a="1"/>
  <c r="W130" i="293" s="1"/>
  <c r="U126" i="299" s="1"/>
  <c r="L130" i="293" a="1"/>
  <c r="L130" i="293" s="1"/>
  <c r="J126" i="299" s="1"/>
  <c r="AB130" i="180"/>
  <c r="W129" i="293" s="1" a="1"/>
  <c r="W129" i="293" s="1"/>
  <c r="U125" i="299" s="1"/>
  <c r="L129" i="293" a="1"/>
  <c r="L129" i="293" s="1"/>
  <c r="J125" i="299" s="1"/>
  <c r="AB134" i="180" l="1"/>
  <c r="W133" i="293" s="1" a="1"/>
  <c r="W133" i="293" s="1"/>
  <c r="U129" i="299" s="1"/>
  <c r="L133" i="293" a="1"/>
  <c r="L133" i="293" s="1"/>
  <c r="J129" i="299" s="1"/>
  <c r="AB133" i="180"/>
  <c r="W132" i="293" s="1" a="1"/>
  <c r="W132" i="293" s="1"/>
  <c r="U128" i="299" s="1"/>
  <c r="L132" i="293" a="1"/>
  <c r="L132" i="293" s="1"/>
  <c r="J128" i="299" s="1"/>
  <c r="AB132" i="180"/>
  <c r="W131" i="293" s="1" a="1"/>
  <c r="W131" i="293" s="1"/>
  <c r="U127" i="299" s="1"/>
  <c r="L131" i="293" a="1"/>
  <c r="L131" i="293" s="1"/>
  <c r="J127" i="299" s="1"/>
  <c r="Q26" i="28" l="1"/>
  <c r="Q27" i="28"/>
  <c r="Q28" i="28"/>
  <c r="Q29" i="28"/>
  <c r="Q30" i="28"/>
  <c r="Q31" i="28"/>
  <c r="Q32" i="28"/>
  <c r="O14" i="28"/>
  <c r="N14" i="28"/>
  <c r="L14" i="28"/>
  <c r="K14" i="28"/>
  <c r="P35" i="28"/>
  <c r="O12" i="28"/>
  <c r="N12" i="28"/>
  <c r="L12" i="28"/>
  <c r="K12" i="28"/>
  <c r="K13" i="28" s="1"/>
  <c r="R34" i="28"/>
  <c r="J25" i="28"/>
  <c r="P25" i="28" s="1"/>
  <c r="R25" i="28" s="1"/>
  <c r="M26" i="28"/>
  <c r="H36" i="28"/>
  <c r="S25" i="28" l="1"/>
  <c r="T25" i="28"/>
  <c r="J31" i="28" l="1"/>
  <c r="P31" i="28" s="1"/>
  <c r="O16" i="28" l="1"/>
  <c r="O13" i="28"/>
  <c r="O15" i="28" s="1"/>
  <c r="N13" i="28"/>
  <c r="N15" i="28" s="1"/>
  <c r="M32" i="28"/>
  <c r="J32" i="28"/>
  <c r="R31" i="28"/>
  <c r="M31" i="28"/>
  <c r="N31" i="28" s="1"/>
  <c r="L31" i="28" s="1"/>
  <c r="M30" i="28"/>
  <c r="J30" i="28"/>
  <c r="P30" i="28" s="1"/>
  <c r="M29" i="28"/>
  <c r="J29" i="28"/>
  <c r="M28" i="28"/>
  <c r="J28" i="28"/>
  <c r="P28" i="28" s="1"/>
  <c r="M27" i="28"/>
  <c r="J27" i="28"/>
  <c r="P27" i="28" s="1"/>
  <c r="J26" i="28"/>
  <c r="M25" i="28"/>
  <c r="N25" i="28" s="1"/>
  <c r="L25" i="28" s="1"/>
  <c r="T31" i="28" l="1"/>
  <c r="S31" i="28"/>
  <c r="P26" i="28"/>
  <c r="R26" i="28" s="1"/>
  <c r="P32" i="28"/>
  <c r="R32" i="28" s="1"/>
  <c r="P29" i="28"/>
  <c r="R29" i="28" s="1"/>
  <c r="R30" i="28"/>
  <c r="R27" i="28"/>
  <c r="R28" i="28"/>
  <c r="J36" i="28"/>
  <c r="P36" i="28" s="1"/>
  <c r="N27" i="28"/>
  <c r="L27" i="28" s="1"/>
  <c r="N28" i="28"/>
  <c r="N32" i="28"/>
  <c r="L32" i="28" s="1"/>
  <c r="N29" i="28"/>
  <c r="L29" i="28" s="1"/>
  <c r="N26" i="28"/>
  <c r="L26" i="28" s="1"/>
  <c r="N30" i="28"/>
  <c r="L30" i="28" s="1"/>
  <c r="S28" i="28" l="1"/>
  <c r="T28" i="28"/>
  <c r="S27" i="28"/>
  <c r="T27" i="28"/>
  <c r="T32" i="28"/>
  <c r="S32" i="28"/>
  <c r="S26" i="28"/>
  <c r="T26" i="28"/>
  <c r="S30" i="28"/>
  <c r="T30" i="28"/>
  <c r="S29" i="28"/>
  <c r="T29" i="28"/>
  <c r="N36" i="28"/>
  <c r="M36" i="28" s="1"/>
  <c r="K36" i="28" s="1"/>
  <c r="Q36" i="28" s="1"/>
  <c r="L28" i="28"/>
  <c r="N35" i="28"/>
  <c r="L13" i="28"/>
  <c r="L15" i="28" s="1"/>
  <c r="K16" i="28"/>
  <c r="L16" i="28"/>
  <c r="L36" i="28" l="1"/>
  <c r="K17" i="28"/>
  <c r="K18" i="28" s="1"/>
  <c r="K15" i="28"/>
  <c r="L17" i="28"/>
  <c r="L35" i="28"/>
  <c r="M35" i="28"/>
  <c r="K35" i="28" s="1"/>
  <c r="L18" i="28" l="1"/>
  <c r="Q35" i="28"/>
  <c r="R35" i="28" s="1"/>
  <c r="S35" i="28" l="1"/>
  <c r="T35" i="28"/>
  <c r="B23" i="288" l="1" a="1"/>
  <c r="B23" i="288" s="1"/>
  <c r="B23" i="286" a="1"/>
  <c r="B23" i="286" s="1"/>
  <c r="B23" i="285" a="1"/>
  <c r="B23" i="285" s="1"/>
  <c r="B23" i="287" a="1"/>
  <c r="B23" i="287" s="1"/>
  <c r="B23" i="284" a="1"/>
  <c r="B23" i="284" s="1"/>
  <c r="B23" i="283" a="1"/>
  <c r="B23" i="283" s="1"/>
  <c r="B23" i="282" a="1"/>
  <c r="B23" i="282" s="1"/>
  <c r="B23" i="281" a="1"/>
  <c r="B23" i="281" s="1"/>
  <c r="B23" i="279" a="1"/>
  <c r="B23" i="279" s="1"/>
  <c r="B23" i="273" a="1"/>
  <c r="B23" i="273" s="1"/>
  <c r="B23" i="274" a="1"/>
  <c r="B23" i="274" s="1"/>
  <c r="B23" i="272" a="1"/>
  <c r="B23" i="272" s="1"/>
  <c r="B23" i="269" a="1"/>
  <c r="B23" i="269" s="1"/>
  <c r="B23" i="268" a="1"/>
  <c r="B23" i="268" s="1"/>
  <c r="B23" i="267" a="1"/>
  <c r="B23" i="267" s="1"/>
  <c r="B23" i="266" a="1"/>
  <c r="B23" i="266" s="1"/>
  <c r="B23" i="265" a="1"/>
  <c r="B23" i="265" s="1"/>
  <c r="B23" i="250" a="1"/>
  <c r="B23" i="250" s="1"/>
  <c r="B23" i="248" a="1"/>
  <c r="B23" i="248" s="1"/>
  <c r="B23" i="228" a="1"/>
  <c r="B23" i="228" s="1"/>
  <c r="B23" i="230" a="1"/>
  <c r="B23" i="230" s="1"/>
  <c r="B23" i="245" a="1"/>
  <c r="B23" i="245" s="1"/>
  <c r="B23" i="246" a="1"/>
  <c r="B23" i="246" s="1"/>
  <c r="B23" i="244" a="1"/>
  <c r="B23" i="244" s="1"/>
  <c r="B23" i="231" a="1"/>
  <c r="B23" i="231" s="1"/>
  <c r="B23" i="276" l="1" a="1"/>
  <c r="B23" i="276" s="1"/>
  <c r="P20" i="276" s="1"/>
  <c r="B23" i="278" a="1"/>
  <c r="B23" i="278" s="1"/>
  <c r="B23" i="277" a="1"/>
  <c r="B23" i="277" s="1"/>
  <c r="P18" i="276" l="1"/>
  <c r="O64" i="277"/>
  <c r="O62" i="277"/>
  <c r="O64" i="278"/>
  <c r="O62" i="278"/>
  <c r="B23" i="264" l="1" a="1"/>
  <c r="B23" i="264" s="1"/>
  <c r="B23" i="233" a="1"/>
  <c r="B23" i="233" s="1"/>
  <c r="B23" i="263" a="1"/>
  <c r="B23" i="263" s="1"/>
  <c r="B23" i="234" a="1"/>
  <c r="B23" i="234" s="1"/>
  <c r="D23" i="234" s="1" a="1"/>
  <c r="D23" i="234" s="1"/>
  <c r="B23" i="271" l="1" a="1"/>
  <c r="B23" i="271" s="1"/>
  <c r="B23" i="243" l="1" a="1"/>
  <c r="B23" i="243" s="1"/>
  <c r="B23" i="241" a="1"/>
  <c r="B23" i="241" s="1"/>
  <c r="B23" i="275" l="1" a="1"/>
  <c r="B23" i="275" s="1"/>
  <c r="B23" i="251" l="1" a="1"/>
  <c r="B23" i="251" s="1"/>
  <c r="B23" i="247" a="1"/>
  <c r="B23" i="247" s="1"/>
  <c r="B23" i="252" l="1" a="1"/>
  <c r="B23" i="252" s="1"/>
  <c r="B23" i="232" a="1"/>
  <c r="B23" i="232" s="1"/>
  <c r="B23" i="262" l="1" a="1"/>
  <c r="B23" i="262" s="1"/>
  <c r="B23" i="260" a="1"/>
  <c r="B23" i="260" s="1"/>
  <c r="B23" i="255" a="1"/>
  <c r="B23" i="255" s="1"/>
  <c r="B23" i="253" l="1" a="1"/>
  <c r="B23" i="253" s="1"/>
  <c r="B23" i="237" l="1" a="1"/>
  <c r="B23" i="237" s="1"/>
  <c r="B23" i="240" a="1"/>
  <c r="B23" i="240" s="1"/>
  <c r="B23" i="239" a="1"/>
  <c r="B23" i="239" s="1"/>
  <c r="B23" i="242" a="1"/>
  <c r="B23" i="242" s="1"/>
  <c r="B23" i="236" a="1"/>
  <c r="B23" i="236" s="1"/>
  <c r="B23" i="238" a="1"/>
  <c r="B23" i="238" s="1"/>
  <c r="B23" i="256" l="1" a="1"/>
  <c r="B23" i="256" s="1"/>
  <c r="B23" i="258" a="1"/>
  <c r="B23" i="258" s="1"/>
  <c r="B23" i="261" a="1"/>
  <c r="B23" i="261" s="1"/>
  <c r="B23" i="227" a="1"/>
  <c r="B23" i="227" s="1"/>
  <c r="B23" i="249" a="1"/>
  <c r="B23" i="249" s="1"/>
  <c r="B23" i="222" a="1"/>
  <c r="B23" i="222" s="1"/>
  <c r="B23" i="225" a="1"/>
  <c r="B23" i="225" s="1"/>
  <c r="B23" i="259" l="1" a="1"/>
  <c r="B23" i="259" s="1"/>
  <c r="B23" i="224" a="1"/>
  <c r="B23" i="224" s="1"/>
  <c r="B23" i="223" a="1"/>
  <c r="B23" i="223" s="1"/>
  <c r="B23" i="254" a="1"/>
  <c r="B23" i="254" s="1"/>
  <c r="B23" i="196" a="1"/>
  <c r="B23" i="196" s="1"/>
  <c r="B23" i="220" a="1"/>
  <c r="B23" i="220" s="1"/>
  <c r="B23" i="226" a="1"/>
  <c r="B23" i="226" s="1"/>
  <c r="G23" i="227" a="1"/>
  <c r="G23" i="227" s="1"/>
  <c r="C23" i="227" a="1"/>
  <c r="C23" i="227" s="1"/>
  <c r="F23" i="227" a="1"/>
  <c r="F23" i="227" s="1"/>
  <c r="D23" i="227" l="1" a="1"/>
  <c r="D23" i="227" s="1"/>
  <c r="D20" i="227" s="1"/>
  <c r="E23" i="227" a="1"/>
  <c r="E23" i="227" s="1"/>
  <c r="E19" i="227" s="1"/>
  <c r="G20" i="227"/>
  <c r="G19" i="227"/>
  <c r="G18" i="227"/>
  <c r="F19" i="227"/>
  <c r="F20" i="227"/>
  <c r="F18" i="227"/>
  <c r="F17" i="227" a="1"/>
  <c r="F17" i="227" s="1"/>
  <c r="D17" i="227" a="1"/>
  <c r="D17" i="227" s="1"/>
  <c r="X15" i="180" a="1"/>
  <c r="S15" i="180" a="1"/>
  <c r="J15" i="180" a="1"/>
  <c r="T15" i="180" a="1"/>
  <c r="E15" i="180" a="1"/>
  <c r="N15" i="180" a="1"/>
  <c r="W15" i="180" a="1"/>
  <c r="D19" i="227" l="1"/>
  <c r="N15" i="180"/>
  <c r="T15" i="180"/>
  <c r="W15" i="180"/>
  <c r="X15" i="180"/>
  <c r="J15" i="180"/>
  <c r="S15" i="180"/>
  <c r="E15" i="180"/>
  <c r="E20" i="227"/>
  <c r="I15" i="180" a="1"/>
  <c r="O15" i="180" a="1"/>
  <c r="R14" i="293" l="1" a="1"/>
  <c r="R14" i="293" s="1"/>
  <c r="P10" i="299" s="1"/>
  <c r="K15" i="180"/>
  <c r="Y15" i="180"/>
  <c r="U14" i="293" a="1"/>
  <c r="U14" i="293" s="1"/>
  <c r="S10" i="299" s="1"/>
  <c r="U15" i="180"/>
  <c r="O14" i="293" a="1"/>
  <c r="O14" i="293" s="1"/>
  <c r="M10" i="299" s="1"/>
  <c r="I15" i="180"/>
  <c r="V14" i="293" a="1"/>
  <c r="V14" i="293" s="1"/>
  <c r="T10" i="299" s="1"/>
  <c r="S14" i="293" a="1"/>
  <c r="S14" i="293" s="1"/>
  <c r="Q10" i="299" s="1"/>
  <c r="L14" i="293" a="1"/>
  <c r="L14" i="293" s="1"/>
  <c r="J10" i="299" s="1"/>
  <c r="AC15" i="180"/>
  <c r="F14" i="293"/>
  <c r="D10" i="299" s="1"/>
  <c r="Z15" i="180"/>
  <c r="V15" i="180"/>
  <c r="O15" i="180"/>
  <c r="D23" i="232" a="1"/>
  <c r="D23" i="232" s="1"/>
  <c r="B23" i="221" a="1"/>
  <c r="B23" i="221" s="1"/>
  <c r="C23" i="249" a="1"/>
  <c r="C23" i="249" s="1"/>
  <c r="E23" i="232" a="1"/>
  <c r="E23" i="232" s="1"/>
  <c r="G23" i="232" a="1"/>
  <c r="G23" i="232" s="1"/>
  <c r="C23" i="232" a="1"/>
  <c r="C23" i="232" s="1"/>
  <c r="F23" i="232" a="1"/>
  <c r="F23" i="232" s="1"/>
  <c r="G23" i="249" a="1"/>
  <c r="G23" i="249" s="1"/>
  <c r="F23" i="249" a="1"/>
  <c r="F23" i="249" s="1"/>
  <c r="D23" i="249" a="1"/>
  <c r="D23" i="249" s="1"/>
  <c r="E23" i="249" a="1"/>
  <c r="E23" i="249" s="1"/>
  <c r="X14" i="293" l="1"/>
  <c r="V10" i="299" s="1"/>
  <c r="P15" i="180"/>
  <c r="Q14" i="293" a="1"/>
  <c r="Q14" i="293" s="1"/>
  <c r="O10" i="299" s="1"/>
  <c r="T14" i="293" a="1"/>
  <c r="T14" i="293" s="1"/>
  <c r="R10" i="299" s="1"/>
  <c r="K14" i="293" a="1"/>
  <c r="K14" i="293" s="1"/>
  <c r="I10" i="299" s="1"/>
  <c r="P14" i="293" a="1"/>
  <c r="P14" i="293" s="1"/>
  <c r="N10" i="299" s="1"/>
  <c r="AB15" i="180"/>
  <c r="C23" i="221" a="1"/>
  <c r="C23" i="221" s="1"/>
  <c r="G23" i="221" a="1"/>
  <c r="G23" i="221" s="1"/>
  <c r="F23" i="221" a="1"/>
  <c r="F23" i="221" s="1"/>
  <c r="D23" i="221" a="1"/>
  <c r="D23" i="221" s="1"/>
  <c r="D20" i="221" s="1"/>
  <c r="E23" i="221" a="1"/>
  <c r="E23" i="221" s="1"/>
  <c r="D18" i="232"/>
  <c r="D20" i="232"/>
  <c r="D19" i="232"/>
  <c r="F18" i="232"/>
  <c r="F20" i="232"/>
  <c r="F19" i="232"/>
  <c r="F20" i="249"/>
  <c r="F18" i="249"/>
  <c r="F19" i="249"/>
  <c r="E18" i="249"/>
  <c r="E19" i="249"/>
  <c r="E20" i="249"/>
  <c r="E19" i="232"/>
  <c r="E18" i="232"/>
  <c r="E20" i="232"/>
  <c r="D20" i="249"/>
  <c r="D18" i="249"/>
  <c r="D19" i="249"/>
  <c r="G18" i="232"/>
  <c r="G20" i="232"/>
  <c r="G19" i="232"/>
  <c r="G19" i="249"/>
  <c r="G18" i="249"/>
  <c r="G20" i="249"/>
  <c r="D17" i="232" a="1"/>
  <c r="D17" i="232" s="1"/>
  <c r="F17" i="232" a="1"/>
  <c r="F17" i="232" s="1"/>
  <c r="D17" i="249" a="1"/>
  <c r="D17" i="249" s="1"/>
  <c r="F17" i="249" a="1"/>
  <c r="F17" i="249" s="1"/>
  <c r="J20" i="180" a="1"/>
  <c r="J90" i="180" a="1"/>
  <c r="M19" i="180" a="1"/>
  <c r="E57" i="180" a="1"/>
  <c r="S19" i="180" a="1"/>
  <c r="I20" i="180" a="1"/>
  <c r="E63" i="180" a="1"/>
  <c r="E20" i="180" a="1"/>
  <c r="N57" i="180" a="1"/>
  <c r="H50" i="180" a="1"/>
  <c r="S90" i="180" a="1"/>
  <c r="M20" i="180" a="1"/>
  <c r="O57" i="180" a="1"/>
  <c r="H90" i="180" a="1"/>
  <c r="J50" i="180" a="1"/>
  <c r="N19" i="180" a="1"/>
  <c r="T20" i="180" a="1"/>
  <c r="J63" i="180" a="1"/>
  <c r="I63" i="180" a="1"/>
  <c r="X63" i="180" a="1"/>
  <c r="I90" i="180" a="1"/>
  <c r="H19" i="180" a="1"/>
  <c r="H63" i="180" a="1"/>
  <c r="O50" i="180" a="1"/>
  <c r="E50" i="180" a="1"/>
  <c r="X19" i="180" a="1"/>
  <c r="W19" i="180" a="1"/>
  <c r="M50" i="180" a="1"/>
  <c r="O20" i="180" a="1"/>
  <c r="T50" i="180" a="1"/>
  <c r="W57" i="180" a="1"/>
  <c r="M57" i="180" a="1"/>
  <c r="N90" i="180" a="1"/>
  <c r="M90" i="180" a="1"/>
  <c r="W90" i="180" a="1"/>
  <c r="I50" i="180" a="1"/>
  <c r="S63" i="180" a="1"/>
  <c r="W20" i="180" a="1"/>
  <c r="E19" i="180" a="1"/>
  <c r="J19" i="180" a="1"/>
  <c r="H20" i="180" a="1"/>
  <c r="E90" i="180" a="1"/>
  <c r="T90" i="180" a="1"/>
  <c r="T63" i="180" a="1"/>
  <c r="T57" i="180" a="1"/>
  <c r="T19" i="180" a="1"/>
  <c r="W50" i="180" a="1"/>
  <c r="S57" i="180" a="1"/>
  <c r="I19" i="180" a="1"/>
  <c r="N63" i="180" a="1"/>
  <c r="I57" i="180" a="1"/>
  <c r="X90" i="180" a="1"/>
  <c r="O63" i="180" a="1"/>
  <c r="X20" i="180" a="1"/>
  <c r="X50" i="180" a="1"/>
  <c r="N20" i="180" a="1"/>
  <c r="J57" i="180" a="1"/>
  <c r="O19" i="180" a="1"/>
  <c r="N50" i="180" a="1"/>
  <c r="M63" i="180" a="1"/>
  <c r="O90" i="180" a="1"/>
  <c r="S20" i="180" a="1"/>
  <c r="W63" i="180" a="1"/>
  <c r="S50" i="180" a="1"/>
  <c r="X57" i="180" a="1"/>
  <c r="H57" i="180" a="1"/>
  <c r="W14" i="293" l="1" a="1"/>
  <c r="W14" i="293" s="1"/>
  <c r="U10" i="299" s="1"/>
  <c r="E23" i="220" a="1"/>
  <c r="E23" i="220" s="1"/>
  <c r="G23" i="225" a="1"/>
  <c r="G23" i="225" s="1"/>
  <c r="C23" i="222" a="1"/>
  <c r="C23" i="222" s="1"/>
  <c r="E23" i="196" a="1"/>
  <c r="E23" i="196" s="1"/>
  <c r="D23" i="222" a="1"/>
  <c r="D23" i="222" s="1"/>
  <c r="D23" i="196" a="1"/>
  <c r="D23" i="196" s="1"/>
  <c r="E23" i="225" a="1"/>
  <c r="E23" i="225" s="1"/>
  <c r="C23" i="220" a="1"/>
  <c r="C23" i="220" s="1"/>
  <c r="F23" i="224" a="1"/>
  <c r="F23" i="224" s="1"/>
  <c r="C23" i="223" a="1"/>
  <c r="C23" i="223" s="1"/>
  <c r="F23" i="220" a="1"/>
  <c r="F23" i="220" s="1"/>
  <c r="G23" i="220" a="1"/>
  <c r="G23" i="220" s="1"/>
  <c r="D23" i="220" a="1"/>
  <c r="D23" i="220" s="1"/>
  <c r="G23" i="224" a="1"/>
  <c r="G23" i="224" s="1"/>
  <c r="E23" i="226" a="1"/>
  <c r="E23" i="226" s="1"/>
  <c r="F23" i="226" a="1"/>
  <c r="F23" i="226" s="1"/>
  <c r="F23" i="223" a="1"/>
  <c r="F23" i="223" s="1"/>
  <c r="F23" i="225" a="1"/>
  <c r="F23" i="225" s="1"/>
  <c r="F23" i="222" a="1"/>
  <c r="F23" i="222" s="1"/>
  <c r="C23" i="225" a="1"/>
  <c r="C23" i="225" s="1"/>
  <c r="E23" i="224" a="1"/>
  <c r="E23" i="224" s="1"/>
  <c r="F23" i="196" a="1"/>
  <c r="F23" i="196" s="1"/>
  <c r="D23" i="224" a="1"/>
  <c r="D23" i="224" s="1"/>
  <c r="C23" i="224" a="1"/>
  <c r="C23" i="224" s="1"/>
  <c r="G23" i="223" a="1"/>
  <c r="G23" i="223" s="1"/>
  <c r="C23" i="226" a="1"/>
  <c r="C23" i="226" s="1"/>
  <c r="G23" i="226" a="1"/>
  <c r="G23" i="226" s="1"/>
  <c r="G23" i="222" a="1"/>
  <c r="G23" i="222" s="1"/>
  <c r="D23" i="225" a="1"/>
  <c r="D23" i="225" s="1"/>
  <c r="G23" i="196" a="1"/>
  <c r="G23" i="196" s="1"/>
  <c r="E23" i="222" a="1"/>
  <c r="E23" i="222" s="1"/>
  <c r="D23" i="223" a="1"/>
  <c r="D23" i="223" s="1"/>
  <c r="D23" i="226" a="1"/>
  <c r="D23" i="226" s="1"/>
  <c r="E23" i="223" a="1"/>
  <c r="E23" i="223" s="1"/>
  <c r="E23" i="278" a="1"/>
  <c r="E23" i="278" s="1"/>
  <c r="E23" i="277" a="1"/>
  <c r="E23" i="277" s="1"/>
  <c r="D23" i="277" a="1"/>
  <c r="D23" i="277" s="1"/>
  <c r="D23" i="278" a="1"/>
  <c r="D23" i="278" s="1"/>
  <c r="N90" i="180"/>
  <c r="N63" i="180"/>
  <c r="N50" i="180"/>
  <c r="N20" i="180"/>
  <c r="N19" i="180"/>
  <c r="I63" i="180"/>
  <c r="I50" i="180"/>
  <c r="I90" i="180"/>
  <c r="I19" i="180"/>
  <c r="I20" i="180"/>
  <c r="I57" i="180"/>
  <c r="N57" i="180"/>
  <c r="G23" i="276" a="1"/>
  <c r="G23" i="276" s="1"/>
  <c r="E23" i="287" a="1"/>
  <c r="E23" i="287" s="1"/>
  <c r="F23" i="287" a="1"/>
  <c r="F23" i="287" s="1"/>
  <c r="G23" i="275" a="1"/>
  <c r="G23" i="275" s="1"/>
  <c r="D23" i="282" a="1"/>
  <c r="D23" i="282" s="1"/>
  <c r="G23" i="285" a="1"/>
  <c r="G23" i="285" s="1"/>
  <c r="G23" i="272" a="1"/>
  <c r="G23" i="272" s="1"/>
  <c r="C23" i="283" a="1"/>
  <c r="C23" i="283" s="1"/>
  <c r="C23" i="274" a="1"/>
  <c r="C23" i="274" s="1"/>
  <c r="G23" i="288" a="1"/>
  <c r="G23" i="288" s="1"/>
  <c r="D23" i="271" a="1"/>
  <c r="D23" i="271" s="1"/>
  <c r="F23" i="269" a="1"/>
  <c r="F23" i="269" s="1"/>
  <c r="D23" i="274" a="1"/>
  <c r="D23" i="274" s="1"/>
  <c r="G23" i="287" a="1"/>
  <c r="G23" i="287" s="1"/>
  <c r="D23" i="273" a="1"/>
  <c r="D23" i="273" s="1"/>
  <c r="F23" i="272" a="1"/>
  <c r="F23" i="272" s="1"/>
  <c r="D23" i="285" a="1"/>
  <c r="D23" i="285" s="1"/>
  <c r="D23" i="276" a="1"/>
  <c r="E23" i="267" a="1"/>
  <c r="E23" i="267" s="1"/>
  <c r="E23" i="286" a="1"/>
  <c r="E23" i="286" s="1"/>
  <c r="E23" i="281" a="1"/>
  <c r="E23" i="281" s="1"/>
  <c r="D23" i="279" a="1"/>
  <c r="D23" i="279" s="1"/>
  <c r="E23" i="284" a="1"/>
  <c r="E23" i="284" s="1"/>
  <c r="E23" i="283" a="1"/>
  <c r="E23" i="283" s="1"/>
  <c r="C23" i="281" a="1"/>
  <c r="C23" i="281" s="1"/>
  <c r="E23" i="275" a="1"/>
  <c r="E23" i="275" s="1"/>
  <c r="C23" i="271" a="1"/>
  <c r="C23" i="271" s="1"/>
  <c r="G23" i="278" a="1"/>
  <c r="G23" i="278" s="1"/>
  <c r="G21" i="278" s="1"/>
  <c r="D23" i="283" a="1"/>
  <c r="D23" i="283" s="1"/>
  <c r="G23" i="282" a="1"/>
  <c r="G23" i="282" s="1"/>
  <c r="D23" i="275" a="1"/>
  <c r="D23" i="275" s="1"/>
  <c r="F23" i="274" a="1"/>
  <c r="F23" i="274" s="1"/>
  <c r="D23" i="286" a="1"/>
  <c r="D23" i="286" s="1"/>
  <c r="F23" i="267" a="1"/>
  <c r="F23" i="267" s="1"/>
  <c r="G23" i="277" a="1"/>
  <c r="G23" i="277" s="1"/>
  <c r="G21" i="277" s="1"/>
  <c r="D23" i="272" a="1"/>
  <c r="D23" i="272" s="1"/>
  <c r="F23" i="282" a="1"/>
  <c r="F23" i="282" s="1"/>
  <c r="F23" i="277" a="1"/>
  <c r="F23" i="277" s="1"/>
  <c r="F21" i="277" s="1"/>
  <c r="G23" i="268" a="1"/>
  <c r="G23" i="268" s="1"/>
  <c r="E23" i="279" a="1"/>
  <c r="E23" i="279" s="1"/>
  <c r="C23" i="276" a="1"/>
  <c r="C23" i="276" s="1"/>
  <c r="F23" i="278" a="1"/>
  <c r="F23" i="278" s="1"/>
  <c r="F21" i="278" s="1"/>
  <c r="C23" i="269" a="1"/>
  <c r="C23" i="269" s="1"/>
  <c r="C23" i="287" a="1"/>
  <c r="C23" i="287" s="1"/>
  <c r="C23" i="278" a="1"/>
  <c r="C23" i="278" s="1"/>
  <c r="C23" i="273" a="1"/>
  <c r="C23" i="273" s="1"/>
  <c r="C23" i="272" a="1"/>
  <c r="C23" i="272" s="1"/>
  <c r="D23" i="287" a="1"/>
  <c r="D23" i="287" s="1"/>
  <c r="C23" i="284" a="1"/>
  <c r="C23" i="284" s="1"/>
  <c r="F23" i="281" a="1"/>
  <c r="F23" i="281" s="1"/>
  <c r="D23" i="288" a="1"/>
  <c r="D23" i="288" s="1"/>
  <c r="D23" i="284" a="1"/>
  <c r="D23" i="284" s="1"/>
  <c r="G23" i="286" a="1"/>
  <c r="G23" i="286" s="1"/>
  <c r="E23" i="268" a="1"/>
  <c r="E23" i="268" s="1"/>
  <c r="E23" i="272" a="1"/>
  <c r="E23" i="272" s="1"/>
  <c r="E23" i="273" a="1"/>
  <c r="E23" i="273" s="1"/>
  <c r="E23" i="288" a="1"/>
  <c r="E23" i="288" s="1"/>
  <c r="E23" i="274" a="1"/>
  <c r="E23" i="274" s="1"/>
  <c r="F23" i="276" a="1"/>
  <c r="F23" i="276" s="1"/>
  <c r="D23" i="269" a="1"/>
  <c r="D23" i="269" s="1"/>
  <c r="G23" i="274" a="1"/>
  <c r="G23" i="274" s="1"/>
  <c r="F23" i="271" a="1"/>
  <c r="F23" i="271" s="1"/>
  <c r="C23" i="279" a="1"/>
  <c r="C23" i="279" s="1"/>
  <c r="C23" i="277" a="1"/>
  <c r="C23" i="277" s="1"/>
  <c r="G23" i="283" a="1"/>
  <c r="G23" i="283" s="1"/>
  <c r="C23" i="275" a="1"/>
  <c r="C23" i="275" s="1"/>
  <c r="D23" i="281" a="1"/>
  <c r="D23" i="281" s="1"/>
  <c r="F23" i="288" a="1"/>
  <c r="F23" i="288" s="1"/>
  <c r="G23" i="273" a="1"/>
  <c r="G23" i="273" s="1"/>
  <c r="G23" i="284" a="1"/>
  <c r="G23" i="284" s="1"/>
  <c r="E23" i="271" a="1"/>
  <c r="E23" i="271" s="1"/>
  <c r="G23" i="281" a="1"/>
  <c r="G23" i="281" s="1"/>
  <c r="G23" i="279" a="1"/>
  <c r="G23" i="279" s="1"/>
  <c r="E23" i="282" a="1"/>
  <c r="E23" i="282" s="1"/>
  <c r="E23" i="269" a="1"/>
  <c r="E23" i="269" s="1"/>
  <c r="F23" i="285" a="1"/>
  <c r="F23" i="285" s="1"/>
  <c r="C23" i="288" a="1"/>
  <c r="C23" i="288" s="1"/>
  <c r="C23" i="285" a="1"/>
  <c r="C23" i="285" s="1"/>
  <c r="F23" i="284" a="1"/>
  <c r="F23" i="284" s="1"/>
  <c r="G23" i="271" a="1"/>
  <c r="G23" i="271" s="1"/>
  <c r="E23" i="276" a="1"/>
  <c r="F23" i="279" a="1"/>
  <c r="F23" i="279" s="1"/>
  <c r="F23" i="283" a="1"/>
  <c r="F23" i="283" s="1"/>
  <c r="C23" i="282" a="1"/>
  <c r="C23" i="282" s="1"/>
  <c r="C23" i="268" a="1"/>
  <c r="C23" i="268" s="1"/>
  <c r="F23" i="286" a="1"/>
  <c r="F23" i="286" s="1"/>
  <c r="E23" i="285" a="1"/>
  <c r="E23" i="285" s="1"/>
  <c r="G23" i="269" a="1"/>
  <c r="G23" i="269" s="1"/>
  <c r="G23" i="267" a="1"/>
  <c r="G23" i="267" s="1"/>
  <c r="F23" i="268" a="1"/>
  <c r="F23" i="268" s="1"/>
  <c r="D23" i="268" a="1"/>
  <c r="D23" i="268" s="1"/>
  <c r="F23" i="275" a="1"/>
  <c r="F23" i="275" s="1"/>
  <c r="F23" i="273" a="1"/>
  <c r="F23" i="273" s="1"/>
  <c r="C23" i="267" a="1"/>
  <c r="C23" i="267" s="1"/>
  <c r="C23" i="286" a="1"/>
  <c r="C23" i="286" s="1"/>
  <c r="D23" i="267" a="1"/>
  <c r="D23" i="267" s="1"/>
  <c r="E19" i="180"/>
  <c r="E20" i="180"/>
  <c r="E50" i="180"/>
  <c r="E63" i="180"/>
  <c r="E90" i="180"/>
  <c r="X19" i="180"/>
  <c r="X20" i="180"/>
  <c r="X50" i="180"/>
  <c r="X63" i="180"/>
  <c r="X90" i="180"/>
  <c r="W19" i="180"/>
  <c r="W20" i="180"/>
  <c r="W50" i="180"/>
  <c r="W63" i="180"/>
  <c r="W90" i="180"/>
  <c r="O19" i="180"/>
  <c r="O20" i="180"/>
  <c r="O50" i="180"/>
  <c r="O63" i="180"/>
  <c r="O90" i="180"/>
  <c r="M19" i="180"/>
  <c r="M20" i="180"/>
  <c r="M50" i="180"/>
  <c r="M63" i="180"/>
  <c r="M90" i="180"/>
  <c r="T19" i="180"/>
  <c r="T20" i="180"/>
  <c r="T50" i="180"/>
  <c r="T63" i="180"/>
  <c r="T90" i="180"/>
  <c r="S19" i="180"/>
  <c r="S20" i="180"/>
  <c r="S50" i="180"/>
  <c r="S63" i="180"/>
  <c r="S90" i="180"/>
  <c r="J19" i="180"/>
  <c r="J20" i="180"/>
  <c r="J50" i="180"/>
  <c r="J63" i="180"/>
  <c r="J90" i="180"/>
  <c r="H19" i="180"/>
  <c r="H20" i="180"/>
  <c r="H50" i="180"/>
  <c r="H63" i="180"/>
  <c r="H90" i="180"/>
  <c r="E57" i="180"/>
  <c r="T57" i="180"/>
  <c r="X57" i="180"/>
  <c r="O57" i="180"/>
  <c r="W57" i="180"/>
  <c r="H57" i="180"/>
  <c r="M57" i="180"/>
  <c r="J57" i="180"/>
  <c r="S57" i="180"/>
  <c r="C23" i="261" a="1"/>
  <c r="G23" i="262" a="1"/>
  <c r="G23" i="262" s="1"/>
  <c r="D23" i="255" a="1"/>
  <c r="D23" i="255" s="1"/>
  <c r="D23" i="252" a="1"/>
  <c r="C23" i="260" a="1"/>
  <c r="C23" i="260" s="1"/>
  <c r="E23" i="262" a="1"/>
  <c r="E23" i="262" s="1"/>
  <c r="C23" i="264" a="1"/>
  <c r="F23" i="255" a="1"/>
  <c r="F23" i="255" s="1"/>
  <c r="D23" i="253" a="1"/>
  <c r="D23" i="253" s="1"/>
  <c r="C23" i="266" a="1"/>
  <c r="C23" i="266" s="1"/>
  <c r="E23" i="253" a="1"/>
  <c r="E23" i="253" s="1"/>
  <c r="D23" i="262" a="1"/>
  <c r="D23" i="262" s="1"/>
  <c r="C23" i="255" a="1"/>
  <c r="C23" i="255" s="1"/>
  <c r="E23" i="252" a="1"/>
  <c r="E23" i="252" s="1"/>
  <c r="E23" i="264" a="1"/>
  <c r="E23" i="264" s="1"/>
  <c r="F23" i="263" a="1"/>
  <c r="F23" i="263" s="1"/>
  <c r="G23" i="252" a="1"/>
  <c r="G23" i="252" s="1"/>
  <c r="E23" i="263" a="1"/>
  <c r="E23" i="263" s="1"/>
  <c r="F23" i="265" a="1"/>
  <c r="F23" i="265" s="1"/>
  <c r="F18" i="265" s="1"/>
  <c r="G23" i="255" a="1"/>
  <c r="G23" i="255" s="1"/>
  <c r="E23" i="255" a="1"/>
  <c r="E23" i="255" s="1"/>
  <c r="G23" i="253" a="1"/>
  <c r="G23" i="253" s="1"/>
  <c r="G23" i="265" a="1"/>
  <c r="G23" i="265" s="1"/>
  <c r="G18" i="265" s="1"/>
  <c r="C23" i="265" a="1"/>
  <c r="C23" i="265" s="1"/>
  <c r="E23" i="265" a="1"/>
  <c r="E23" i="265" s="1"/>
  <c r="E23" i="266" a="1"/>
  <c r="E23" i="266" s="1"/>
  <c r="D23" i="264" a="1"/>
  <c r="D23" i="264" s="1"/>
  <c r="G23" i="264" a="1"/>
  <c r="G23" i="264" s="1"/>
  <c r="C23" i="263" a="1"/>
  <c r="D23" i="263" a="1"/>
  <c r="D23" i="263" s="1"/>
  <c r="F23" i="256" a="1"/>
  <c r="F23" i="256" s="1"/>
  <c r="G23" i="263" a="1"/>
  <c r="G23" i="263" s="1"/>
  <c r="C23" i="258" a="1"/>
  <c r="C23" i="258" s="1"/>
  <c r="G23" i="258" a="1"/>
  <c r="G23" i="258" s="1"/>
  <c r="F23" i="258" a="1"/>
  <c r="F23" i="258" s="1"/>
  <c r="G23" i="266" a="1"/>
  <c r="G23" i="266" s="1"/>
  <c r="G18" i="266" s="1"/>
  <c r="D23" i="265" a="1"/>
  <c r="D23" i="265" s="1"/>
  <c r="F23" i="266" a="1"/>
  <c r="F23" i="266" s="1"/>
  <c r="F18" i="266" s="1"/>
  <c r="F23" i="259" a="1"/>
  <c r="F23" i="259" s="1"/>
  <c r="F23" i="264" a="1"/>
  <c r="F23" i="264" s="1"/>
  <c r="E23" i="259" a="1"/>
  <c r="E23" i="259" s="1"/>
  <c r="T10" i="259" s="1"/>
  <c r="E23" i="256" a="1"/>
  <c r="E23" i="256" s="1"/>
  <c r="G23" i="256" a="1"/>
  <c r="G23" i="256" s="1"/>
  <c r="D23" i="258" a="1"/>
  <c r="D23" i="258" s="1"/>
  <c r="E23" i="258" a="1"/>
  <c r="E23" i="258" s="1"/>
  <c r="C23" i="256" a="1"/>
  <c r="C23" i="256" s="1"/>
  <c r="D23" i="256" a="1"/>
  <c r="D23" i="256" s="1"/>
  <c r="F23" i="254" a="1"/>
  <c r="F23" i="254" s="1"/>
  <c r="C23" i="252" a="1"/>
  <c r="C23" i="252" s="1"/>
  <c r="C23" i="254" a="1"/>
  <c r="C23" i="254" s="1"/>
  <c r="E23" i="254" a="1"/>
  <c r="E23" i="254" s="1"/>
  <c r="D23" i="254" a="1"/>
  <c r="D23" i="254" s="1"/>
  <c r="G23" i="254" a="1"/>
  <c r="G23" i="254" s="1"/>
  <c r="C23" i="253" a="1"/>
  <c r="C23" i="253" s="1"/>
  <c r="D23" i="266" a="1"/>
  <c r="D23" i="266" s="1"/>
  <c r="C23" i="262" a="1"/>
  <c r="H25" i="262" s="1"/>
  <c r="F23" i="252" a="1"/>
  <c r="F23" i="252" s="1"/>
  <c r="G23" i="259" a="1"/>
  <c r="G23" i="259" s="1"/>
  <c r="D23" i="259" a="1"/>
  <c r="D23" i="259" s="1"/>
  <c r="C23" i="259" a="1"/>
  <c r="C23" i="259" s="1"/>
  <c r="F23" i="262" a="1"/>
  <c r="F23" i="262" s="1"/>
  <c r="F23" i="253" a="1"/>
  <c r="F23" i="253" s="1"/>
  <c r="B23" i="235" a="1"/>
  <c r="B23" i="235" s="1"/>
  <c r="G23" i="244" a="1"/>
  <c r="G23" i="244" s="1"/>
  <c r="C23" i="233" a="1"/>
  <c r="C23" i="233" s="1"/>
  <c r="F23" i="239" a="1"/>
  <c r="C23" i="244" a="1"/>
  <c r="C23" i="244" s="1"/>
  <c r="C23" i="234" a="1"/>
  <c r="C23" i="234" s="1"/>
  <c r="E23" i="233" a="1"/>
  <c r="E23" i="233" s="1"/>
  <c r="D23" i="242" a="1"/>
  <c r="D23" i="251" a="1"/>
  <c r="C23" i="247" a="1"/>
  <c r="C23" i="247" s="1"/>
  <c r="D23" i="237" a="1"/>
  <c r="E23" i="239" a="1"/>
  <c r="C23" i="246" a="1"/>
  <c r="C23" i="246" s="1"/>
  <c r="G23" i="239" a="1"/>
  <c r="C23" i="243" a="1"/>
  <c r="C23" i="243" s="1"/>
  <c r="C23" i="228" a="1"/>
  <c r="C23" i="228" s="1"/>
  <c r="E23" i="243" a="1"/>
  <c r="E23" i="243" s="1"/>
  <c r="F23" i="230" a="1"/>
  <c r="F23" i="230" s="1"/>
  <c r="F23" i="234" a="1"/>
  <c r="F23" i="234" s="1"/>
  <c r="C23" i="248" a="1"/>
  <c r="C23" i="248" s="1"/>
  <c r="E23" i="246" a="1"/>
  <c r="E23" i="246" s="1"/>
  <c r="D23" i="247" a="1"/>
  <c r="D23" i="247" s="1"/>
  <c r="E23" i="242" a="1"/>
  <c r="D23" i="239" a="1"/>
  <c r="D23" i="245" a="1"/>
  <c r="D23" i="245" s="1"/>
  <c r="D23" i="236" a="1"/>
  <c r="C23" i="231" a="1"/>
  <c r="C23" i="231" s="1"/>
  <c r="G23" i="240" a="1"/>
  <c r="F23" i="246" a="1"/>
  <c r="F23" i="246" s="1"/>
  <c r="D23" i="238" a="1"/>
  <c r="G23" i="245" a="1"/>
  <c r="G23" i="245" s="1"/>
  <c r="E23" i="244" a="1"/>
  <c r="E23" i="244" s="1"/>
  <c r="C23" i="251" a="1"/>
  <c r="C23" i="251" s="1"/>
  <c r="D23" i="244" a="1"/>
  <c r="D23" i="244" s="1"/>
  <c r="D23" i="248" a="1"/>
  <c r="D23" i="248" s="1"/>
  <c r="F23" i="237" a="1"/>
  <c r="E23" i="237" a="1"/>
  <c r="C23" i="242" a="1"/>
  <c r="C23" i="242" s="1"/>
  <c r="E23" i="247" a="1"/>
  <c r="E23" i="247" s="1"/>
  <c r="C23" i="239" a="1"/>
  <c r="C23" i="239" s="1"/>
  <c r="C23" i="245" a="1"/>
  <c r="C23" i="245" s="1"/>
  <c r="G23" i="246" a="1"/>
  <c r="G23" i="246" s="1"/>
  <c r="F23" i="243" a="1"/>
  <c r="F23" i="243" s="1"/>
  <c r="F23" i="233" a="1"/>
  <c r="F23" i="233" s="1"/>
  <c r="C23" i="238" a="1"/>
  <c r="C23" i="238" s="1"/>
  <c r="D23" i="233" a="1"/>
  <c r="D23" i="233" s="1"/>
  <c r="F23" i="251" a="1"/>
  <c r="F23" i="251" s="1"/>
  <c r="D23" i="241" a="1"/>
  <c r="D23" i="241" s="1"/>
  <c r="D23" i="250" a="1"/>
  <c r="D23" i="250" s="1"/>
  <c r="F23" i="242" a="1"/>
  <c r="E23" i="238" a="1"/>
  <c r="F23" i="245" a="1"/>
  <c r="F23" i="245" s="1"/>
  <c r="E23" i="248" a="1"/>
  <c r="E23" i="248" s="1"/>
  <c r="G23" i="248" a="1"/>
  <c r="G23" i="248" s="1"/>
  <c r="C23" i="236" a="1"/>
  <c r="C23" i="236" s="1"/>
  <c r="D23" i="231" a="1"/>
  <c r="D23" i="231" s="1"/>
  <c r="E23" i="231" a="1"/>
  <c r="E23" i="231" s="1"/>
  <c r="G23" i="243" a="1"/>
  <c r="G23" i="243" s="1"/>
  <c r="G23" i="231" a="1"/>
  <c r="G23" i="231" s="1"/>
  <c r="G23" i="228" a="1"/>
  <c r="G23" i="228" s="1"/>
  <c r="E23" i="240" a="1"/>
  <c r="E23" i="251" a="1"/>
  <c r="E23" i="251" s="1"/>
  <c r="C23" i="240" a="1"/>
  <c r="C23" i="240" s="1"/>
  <c r="G23" i="247" a="1"/>
  <c r="G23" i="247" s="1"/>
  <c r="E23" i="250" a="1"/>
  <c r="E23" i="250" s="1"/>
  <c r="G23" i="236" a="1"/>
  <c r="D23" i="246" a="1"/>
  <c r="D23" i="246" s="1"/>
  <c r="C23" i="250" a="1"/>
  <c r="C23" i="250" s="1"/>
  <c r="E23" i="245" a="1"/>
  <c r="E23" i="245" s="1"/>
  <c r="G23" i="241" a="1"/>
  <c r="G23" i="241" s="1"/>
  <c r="F23" i="231" a="1"/>
  <c r="F23" i="231" s="1"/>
  <c r="G23" i="233" a="1"/>
  <c r="G23" i="233" s="1"/>
  <c r="C23" i="241" a="1"/>
  <c r="C23" i="241" s="1"/>
  <c r="D23" i="243" a="1"/>
  <c r="D23" i="243" s="1"/>
  <c r="F23" i="250" a="1"/>
  <c r="F23" i="250" s="1"/>
  <c r="C23" i="237" a="1"/>
  <c r="C23" i="237" s="1"/>
  <c r="C23" i="230" a="1"/>
  <c r="C23" i="230" s="1"/>
  <c r="F23" i="240" a="1"/>
  <c r="G23" i="230" a="1"/>
  <c r="G23" i="230" s="1"/>
  <c r="G23" i="250" a="1"/>
  <c r="G23" i="250" s="1"/>
  <c r="F23" i="238" a="1"/>
  <c r="G23" i="234" a="1"/>
  <c r="G23" i="234" s="1"/>
  <c r="E23" i="236" a="1"/>
  <c r="F23" i="228" a="1"/>
  <c r="F23" i="228" s="1"/>
  <c r="E23" i="241" a="1"/>
  <c r="E23" i="241" s="1"/>
  <c r="G23" i="251" a="1"/>
  <c r="G23" i="251" s="1"/>
  <c r="F23" i="236" a="1"/>
  <c r="G23" i="238" a="1"/>
  <c r="F23" i="241" a="1"/>
  <c r="F23" i="241" s="1"/>
  <c r="F23" i="244" a="1"/>
  <c r="F23" i="244" s="1"/>
  <c r="G23" i="242" a="1"/>
  <c r="E23" i="234" a="1"/>
  <c r="E23" i="234" s="1"/>
  <c r="F23" i="248" a="1"/>
  <c r="F23" i="248" s="1"/>
  <c r="F23" i="247" a="1"/>
  <c r="F23" i="247" s="1"/>
  <c r="G23" i="237" a="1"/>
  <c r="D23" i="240" a="1"/>
  <c r="E18" i="221"/>
  <c r="E20" i="221"/>
  <c r="E19" i="221"/>
  <c r="D18" i="221"/>
  <c r="D19" i="221"/>
  <c r="F19" i="221"/>
  <c r="F18" i="221"/>
  <c r="F20" i="221"/>
  <c r="G20" i="221"/>
  <c r="G19" i="221"/>
  <c r="G18" i="221"/>
  <c r="F17" i="221" a="1"/>
  <c r="F17" i="221" s="1"/>
  <c r="D17" i="221" a="1"/>
  <c r="D17" i="221" s="1"/>
  <c r="H9" i="180" a="1"/>
  <c r="W9" i="180" a="1"/>
  <c r="I9" i="180" a="1"/>
  <c r="M9" i="180" a="1"/>
  <c r="O9" i="180" a="1"/>
  <c r="W95" i="180" a="1"/>
  <c r="S9" i="180" a="1"/>
  <c r="N9" i="180" a="1"/>
  <c r="S95" i="180" a="1"/>
  <c r="T9" i="180" a="1"/>
  <c r="S94" i="180" a="1"/>
  <c r="E9" i="180" a="1"/>
  <c r="J9" i="180" a="1"/>
  <c r="W94" i="180" a="1"/>
  <c r="X9" i="180" a="1"/>
  <c r="R56" i="293" l="1" a="1"/>
  <c r="R56" i="293" s="1"/>
  <c r="P52" i="299" s="1"/>
  <c r="K57" i="180"/>
  <c r="N56" i="293" a="1"/>
  <c r="N56" i="293" s="1"/>
  <c r="L52" i="299" s="1"/>
  <c r="J56" i="293" a="1"/>
  <c r="J56" i="293" s="1"/>
  <c r="H52" i="299" s="1"/>
  <c r="U56" i="293" a="1"/>
  <c r="U56" i="293" s="1"/>
  <c r="S52" i="299" s="1"/>
  <c r="P57" i="180"/>
  <c r="Y57" i="180"/>
  <c r="U57" i="180"/>
  <c r="J89" i="293" a="1"/>
  <c r="J89" i="293" s="1"/>
  <c r="H85" i="299" s="1"/>
  <c r="J62" i="293" a="1"/>
  <c r="J62" i="293" s="1"/>
  <c r="H58" i="299" s="1"/>
  <c r="J49" i="293" a="1"/>
  <c r="J49" i="293" s="1"/>
  <c r="H45" i="299" s="1"/>
  <c r="J19" i="293" a="1"/>
  <c r="J19" i="293" s="1"/>
  <c r="H15" i="299" s="1"/>
  <c r="J18" i="293" a="1"/>
  <c r="J18" i="293" s="1"/>
  <c r="H14" i="299" s="1"/>
  <c r="K90" i="180"/>
  <c r="K63" i="180"/>
  <c r="K50" i="180"/>
  <c r="K20" i="180"/>
  <c r="K19" i="180"/>
  <c r="R89" i="293" a="1"/>
  <c r="R89" i="293" s="1"/>
  <c r="P85" i="299" s="1"/>
  <c r="R62" i="293" a="1"/>
  <c r="R62" i="293" s="1"/>
  <c r="P58" i="299" s="1"/>
  <c r="R49" i="293" a="1"/>
  <c r="R49" i="293" s="1"/>
  <c r="P45" i="299" s="1"/>
  <c r="R19" i="293" a="1"/>
  <c r="R19" i="293" s="1"/>
  <c r="P15" i="299" s="1"/>
  <c r="R18" i="293" a="1"/>
  <c r="R18" i="293" s="1"/>
  <c r="P14" i="299" s="1"/>
  <c r="U90" i="180"/>
  <c r="U63" i="180"/>
  <c r="U50" i="180"/>
  <c r="U20" i="180"/>
  <c r="U19" i="180"/>
  <c r="N89" i="293" a="1"/>
  <c r="N89" i="293" s="1"/>
  <c r="L85" i="299" s="1"/>
  <c r="N62" i="293" a="1"/>
  <c r="N62" i="293" s="1"/>
  <c r="L58" i="299" s="1"/>
  <c r="N49" i="293" a="1"/>
  <c r="N49" i="293" s="1"/>
  <c r="L45" i="299" s="1"/>
  <c r="N19" i="293" a="1"/>
  <c r="N19" i="293" s="1"/>
  <c r="L15" i="299" s="1"/>
  <c r="N18" i="293" a="1"/>
  <c r="N18" i="293" s="1"/>
  <c r="L14" i="299" s="1"/>
  <c r="P90" i="180"/>
  <c r="P63" i="180"/>
  <c r="P50" i="180"/>
  <c r="P20" i="180"/>
  <c r="P19" i="180"/>
  <c r="U89" i="293" a="1"/>
  <c r="U89" i="293" s="1"/>
  <c r="S85" i="299" s="1"/>
  <c r="U62" i="293" a="1"/>
  <c r="U62" i="293" s="1"/>
  <c r="S58" i="299" s="1"/>
  <c r="U49" i="293" a="1"/>
  <c r="U49" i="293" s="1"/>
  <c r="S45" i="299" s="1"/>
  <c r="U19" i="293" a="1"/>
  <c r="U19" i="293" s="1"/>
  <c r="S15" i="299" s="1"/>
  <c r="U18" i="293" a="1"/>
  <c r="U18" i="293" s="1"/>
  <c r="S14" i="299" s="1"/>
  <c r="Y90" i="180"/>
  <c r="Y63" i="180"/>
  <c r="Y50" i="180"/>
  <c r="Y20" i="180"/>
  <c r="Y19" i="180"/>
  <c r="O56" i="293" a="1"/>
  <c r="O56" i="293" s="1"/>
  <c r="M52" i="299" s="1"/>
  <c r="K56" i="293" a="1"/>
  <c r="K56" i="293" s="1"/>
  <c r="I52" i="299" s="1"/>
  <c r="K19" i="293" a="1"/>
  <c r="K19" i="293" s="1"/>
  <c r="I15" i="299" s="1"/>
  <c r="K18" i="293" a="1"/>
  <c r="K18" i="293" s="1"/>
  <c r="I14" i="299" s="1"/>
  <c r="K89" i="293" a="1"/>
  <c r="K89" i="293" s="1"/>
  <c r="I85" i="299" s="1"/>
  <c r="K49" i="293" a="1"/>
  <c r="K49" i="293" s="1"/>
  <c r="I45" i="299" s="1"/>
  <c r="K62" i="293" a="1"/>
  <c r="K62" i="293" s="1"/>
  <c r="I58" i="299" s="1"/>
  <c r="O18" i="293" a="1"/>
  <c r="O18" i="293" s="1"/>
  <c r="M14" i="299" s="1"/>
  <c r="O19" i="293" a="1"/>
  <c r="O19" i="293" s="1"/>
  <c r="M15" i="299" s="1"/>
  <c r="O49" i="293" a="1"/>
  <c r="O49" i="293" s="1"/>
  <c r="M45" i="299" s="1"/>
  <c r="O62" i="293" a="1"/>
  <c r="O62" i="293" s="1"/>
  <c r="M58" i="299" s="1"/>
  <c r="O89" i="293" a="1"/>
  <c r="O89" i="293" s="1"/>
  <c r="M85" i="299" s="1"/>
  <c r="G19" i="223"/>
  <c r="G18" i="223"/>
  <c r="G20" i="223"/>
  <c r="D19" i="223"/>
  <c r="D20" i="223"/>
  <c r="D18" i="223"/>
  <c r="D17" i="224" a="1"/>
  <c r="D17" i="224" s="1"/>
  <c r="F17" i="224" a="1"/>
  <c r="F17" i="224" s="1"/>
  <c r="F20" i="226"/>
  <c r="F19" i="226"/>
  <c r="F18" i="226"/>
  <c r="D17" i="220" a="1"/>
  <c r="D17" i="220" s="1"/>
  <c r="F17" i="220" a="1"/>
  <c r="F17" i="220" s="1"/>
  <c r="E19" i="222"/>
  <c r="E20" i="222"/>
  <c r="E18" i="222"/>
  <c r="D18" i="224"/>
  <c r="D19" i="224"/>
  <c r="D20" i="224"/>
  <c r="E20" i="226"/>
  <c r="E19" i="226"/>
  <c r="E19" i="225"/>
  <c r="E20" i="225"/>
  <c r="G18" i="196"/>
  <c r="G19" i="196"/>
  <c r="G20" i="196"/>
  <c r="F19" i="196"/>
  <c r="F18" i="196"/>
  <c r="F20" i="196"/>
  <c r="G18" i="224"/>
  <c r="G20" i="224"/>
  <c r="G19" i="224"/>
  <c r="D19" i="225"/>
  <c r="D20" i="225"/>
  <c r="E20" i="224"/>
  <c r="E18" i="224"/>
  <c r="E19" i="224"/>
  <c r="D20" i="220"/>
  <c r="D18" i="220"/>
  <c r="D19" i="220"/>
  <c r="D19" i="222"/>
  <c r="D20" i="222"/>
  <c r="D18" i="222"/>
  <c r="G18" i="222"/>
  <c r="G19" i="222"/>
  <c r="G20" i="222"/>
  <c r="D17" i="225" a="1"/>
  <c r="D17" i="225" s="1"/>
  <c r="F17" i="225" a="1"/>
  <c r="F17" i="225" s="1"/>
  <c r="G19" i="220"/>
  <c r="G20" i="220"/>
  <c r="G18" i="220"/>
  <c r="E20" i="196"/>
  <c r="E19" i="196"/>
  <c r="E18" i="196"/>
  <c r="D17" i="222" a="1"/>
  <c r="D17" i="222" s="1"/>
  <c r="F17" i="222" a="1"/>
  <c r="F17" i="222" s="1"/>
  <c r="G18" i="226"/>
  <c r="G20" i="226"/>
  <c r="G19" i="226"/>
  <c r="F19" i="222"/>
  <c r="F18" i="222"/>
  <c r="F20" i="222"/>
  <c r="F20" i="220"/>
  <c r="F18" i="220"/>
  <c r="F19" i="220"/>
  <c r="E19" i="223"/>
  <c r="E20" i="223"/>
  <c r="E18" i="223"/>
  <c r="F17" i="226" a="1"/>
  <c r="F17" i="226" s="1"/>
  <c r="D17" i="226" a="1"/>
  <c r="D17" i="226" s="1"/>
  <c r="F19" i="225"/>
  <c r="F20" i="225"/>
  <c r="F18" i="225"/>
  <c r="F17" i="223" a="1"/>
  <c r="F17" i="223" s="1"/>
  <c r="D17" i="223" a="1"/>
  <c r="D17" i="223" s="1"/>
  <c r="G19" i="225"/>
  <c r="G20" i="225"/>
  <c r="G18" i="225"/>
  <c r="D20" i="226"/>
  <c r="D19" i="226"/>
  <c r="F20" i="223"/>
  <c r="F18" i="223"/>
  <c r="F19" i="223"/>
  <c r="F20" i="224"/>
  <c r="F18" i="224"/>
  <c r="F19" i="224"/>
  <c r="E20" i="220"/>
  <c r="E19" i="220"/>
  <c r="E18" i="220"/>
  <c r="V56" i="293" a="1"/>
  <c r="V56" i="293" s="1"/>
  <c r="T52" i="299" s="1"/>
  <c r="V19" i="293" a="1"/>
  <c r="V19" i="293" s="1"/>
  <c r="T15" i="299" s="1"/>
  <c r="V18" i="293" a="1"/>
  <c r="V18" i="293" s="1"/>
  <c r="T14" i="299" s="1"/>
  <c r="V49" i="293" a="1"/>
  <c r="V49" i="293" s="1"/>
  <c r="T45" i="299" s="1"/>
  <c r="V89" i="293" a="1"/>
  <c r="V89" i="293" s="1"/>
  <c r="T85" i="299" s="1"/>
  <c r="V62" i="293" a="1"/>
  <c r="V62" i="293" s="1"/>
  <c r="T58" i="299" s="1"/>
  <c r="S49" i="293" a="1"/>
  <c r="S49" i="293" s="1"/>
  <c r="Q45" i="299" s="1"/>
  <c r="S19" i="293" a="1"/>
  <c r="S19" i="293" s="1"/>
  <c r="Q15" i="299" s="1"/>
  <c r="S18" i="293" a="1"/>
  <c r="S18" i="293" s="1"/>
  <c r="Q14" i="299" s="1"/>
  <c r="S56" i="293" a="1"/>
  <c r="S56" i="293" s="1"/>
  <c r="Q52" i="299" s="1"/>
  <c r="S89" i="293" a="1"/>
  <c r="S89" i="293" s="1"/>
  <c r="Q85" i="299" s="1"/>
  <c r="S62" i="293" a="1"/>
  <c r="S62" i="293" s="1"/>
  <c r="Q58" i="299" s="1"/>
  <c r="P18" i="293" a="1"/>
  <c r="P18" i="293" s="1"/>
  <c r="N14" i="299" s="1"/>
  <c r="P89" i="293" a="1"/>
  <c r="P89" i="293" s="1"/>
  <c r="N85" i="299" s="1"/>
  <c r="P62" i="293" a="1"/>
  <c r="P62" i="293" s="1"/>
  <c r="N58" i="299" s="1"/>
  <c r="P49" i="293" a="1"/>
  <c r="P49" i="293" s="1"/>
  <c r="N45" i="299" s="1"/>
  <c r="P56" i="293" a="1"/>
  <c r="P56" i="293" s="1"/>
  <c r="N52" i="299" s="1"/>
  <c r="P19" i="293" a="1"/>
  <c r="P19" i="293" s="1"/>
  <c r="N15" i="299" s="1"/>
  <c r="L62" i="293" a="1"/>
  <c r="L62" i="293" s="1"/>
  <c r="J58" i="299" s="1"/>
  <c r="L89" i="293" a="1"/>
  <c r="L89" i="293" s="1"/>
  <c r="J85" i="299" s="1"/>
  <c r="L49" i="293" a="1"/>
  <c r="L49" i="293" s="1"/>
  <c r="J45" i="299" s="1"/>
  <c r="L56" i="293" a="1"/>
  <c r="L56" i="293" s="1"/>
  <c r="J52" i="299" s="1"/>
  <c r="L19" i="293" a="1"/>
  <c r="L19" i="293" s="1"/>
  <c r="J15" i="299" s="1"/>
  <c r="L18" i="293" a="1"/>
  <c r="L18" i="293" s="1"/>
  <c r="J14" i="299" s="1"/>
  <c r="AC63" i="180"/>
  <c r="F62" i="293"/>
  <c r="D58" i="299" s="1"/>
  <c r="AC50" i="180"/>
  <c r="F49" i="293"/>
  <c r="D45" i="299" s="1"/>
  <c r="AC20" i="180"/>
  <c r="F19" i="293"/>
  <c r="D15" i="299" s="1"/>
  <c r="AC19" i="180"/>
  <c r="F18" i="293"/>
  <c r="D14" i="299" s="1"/>
  <c r="AC57" i="180"/>
  <c r="F56" i="293"/>
  <c r="D52" i="299" s="1"/>
  <c r="AC90" i="180"/>
  <c r="F89" i="293"/>
  <c r="D85" i="299" s="1"/>
  <c r="D21" i="278"/>
  <c r="M62" i="278"/>
  <c r="K57" i="278" s="1"/>
  <c r="M64" i="278"/>
  <c r="K59" i="278" s="1"/>
  <c r="D21" i="277"/>
  <c r="M64" i="277"/>
  <c r="K59" i="277" s="1"/>
  <c r="M62" i="277"/>
  <c r="K57" i="277" s="1"/>
  <c r="E21" i="277"/>
  <c r="O63" i="277"/>
  <c r="N64" i="277"/>
  <c r="L59" i="277" s="1"/>
  <c r="N62" i="277"/>
  <c r="N62" i="278"/>
  <c r="L57" i="278" s="1"/>
  <c r="N64" i="278"/>
  <c r="L59" i="278" s="1"/>
  <c r="E21" i="278"/>
  <c r="O63" i="278"/>
  <c r="Z20" i="180"/>
  <c r="Z63" i="180"/>
  <c r="Z57" i="180"/>
  <c r="Z50" i="180"/>
  <c r="E23" i="276"/>
  <c r="F21" i="276"/>
  <c r="D23" i="276"/>
  <c r="D18" i="276" s="1"/>
  <c r="G21" i="276"/>
  <c r="N17" i="28"/>
  <c r="N18" i="28" s="1"/>
  <c r="O17" i="28"/>
  <c r="V19" i="180"/>
  <c r="V20" i="180"/>
  <c r="V90" i="180"/>
  <c r="V63" i="180"/>
  <c r="V57" i="180"/>
  <c r="V50" i="180"/>
  <c r="AB19" i="180"/>
  <c r="I9" i="180"/>
  <c r="N9" i="180"/>
  <c r="AB20" i="180"/>
  <c r="AB57" i="180"/>
  <c r="AB90" i="180"/>
  <c r="AB63" i="180"/>
  <c r="AB50" i="180"/>
  <c r="F19" i="268"/>
  <c r="F18" i="268"/>
  <c r="F20" i="268"/>
  <c r="D20" i="284"/>
  <c r="D19" i="284"/>
  <c r="D18" i="284"/>
  <c r="G19" i="278"/>
  <c r="G18" i="278"/>
  <c r="G20" i="278"/>
  <c r="E20" i="286"/>
  <c r="E19" i="286"/>
  <c r="E18" i="286"/>
  <c r="G20" i="285"/>
  <c r="G18" i="285"/>
  <c r="G19" i="285"/>
  <c r="F20" i="275"/>
  <c r="F19" i="275"/>
  <c r="F18" i="275"/>
  <c r="F17" i="282" a="1"/>
  <c r="F17" i="282" s="1"/>
  <c r="D17" i="282" a="1"/>
  <c r="D17" i="282" s="1"/>
  <c r="F20" i="285"/>
  <c r="F18" i="285"/>
  <c r="F19" i="285"/>
  <c r="G18" i="273"/>
  <c r="G20" i="273"/>
  <c r="G19" i="273"/>
  <c r="F18" i="271"/>
  <c r="F20" i="271"/>
  <c r="F19" i="271"/>
  <c r="E19" i="268"/>
  <c r="E18" i="268"/>
  <c r="E20" i="268"/>
  <c r="F17" i="273" a="1"/>
  <c r="F17" i="273" s="1"/>
  <c r="D17" i="273" a="1"/>
  <c r="D17" i="273" s="1"/>
  <c r="F18" i="277"/>
  <c r="F19" i="277"/>
  <c r="G20" i="282"/>
  <c r="G18" i="282"/>
  <c r="G19" i="282"/>
  <c r="D20" i="279"/>
  <c r="D19" i="279"/>
  <c r="D18" i="279"/>
  <c r="F19" i="272"/>
  <c r="F20" i="272"/>
  <c r="F18" i="272"/>
  <c r="F17" i="283" a="1"/>
  <c r="F17" i="283" s="1"/>
  <c r="D17" i="283" a="1"/>
  <c r="D17" i="283" s="1"/>
  <c r="D18" i="268"/>
  <c r="D20" i="268"/>
  <c r="D19" i="268"/>
  <c r="F19" i="283"/>
  <c r="F20" i="283"/>
  <c r="F18" i="283"/>
  <c r="E19" i="269"/>
  <c r="E18" i="269"/>
  <c r="E20" i="269"/>
  <c r="F18" i="288"/>
  <c r="F19" i="288"/>
  <c r="F20" i="288"/>
  <c r="G19" i="274"/>
  <c r="G18" i="274"/>
  <c r="G20" i="274"/>
  <c r="G20" i="286"/>
  <c r="G18" i="286"/>
  <c r="G19" i="286"/>
  <c r="D17" i="278" a="1"/>
  <c r="D17" i="278" s="1"/>
  <c r="F17" i="278" a="1"/>
  <c r="F17" i="278" s="1"/>
  <c r="F19" i="282"/>
  <c r="F20" i="282"/>
  <c r="F18" i="282"/>
  <c r="D20" i="283"/>
  <c r="D19" i="283"/>
  <c r="D18" i="283"/>
  <c r="E19" i="281"/>
  <c r="E20" i="281"/>
  <c r="E18" i="281"/>
  <c r="D18" i="273"/>
  <c r="D19" i="273"/>
  <c r="D20" i="273"/>
  <c r="G20" i="272"/>
  <c r="G18" i="272"/>
  <c r="G19" i="272"/>
  <c r="G19" i="267"/>
  <c r="G20" i="267"/>
  <c r="G18" i="267"/>
  <c r="G20" i="279"/>
  <c r="G19" i="279"/>
  <c r="G18" i="279"/>
  <c r="D17" i="275" a="1"/>
  <c r="D17" i="275" s="1"/>
  <c r="F17" i="275" a="1"/>
  <c r="F17" i="275" s="1"/>
  <c r="F19" i="276"/>
  <c r="F18" i="276"/>
  <c r="D20" i="288"/>
  <c r="D19" i="288"/>
  <c r="D18" i="288"/>
  <c r="F17" i="269" a="1"/>
  <c r="F17" i="269" s="1"/>
  <c r="D17" i="269" a="1"/>
  <c r="D17" i="269" s="1"/>
  <c r="G19" i="277"/>
  <c r="G18" i="277"/>
  <c r="F17" i="271" a="1"/>
  <c r="F17" i="271" s="1"/>
  <c r="D17" i="271" a="1"/>
  <c r="D17" i="271" s="1"/>
  <c r="E18" i="267"/>
  <c r="E20" i="267"/>
  <c r="E19" i="267"/>
  <c r="D20" i="274"/>
  <c r="D18" i="274"/>
  <c r="D19" i="274"/>
  <c r="D20" i="282"/>
  <c r="D18" i="282"/>
  <c r="D19" i="282"/>
  <c r="E20" i="282"/>
  <c r="E18" i="282"/>
  <c r="E19" i="282"/>
  <c r="D19" i="281"/>
  <c r="D20" i="281"/>
  <c r="D18" i="281"/>
  <c r="D19" i="272"/>
  <c r="D20" i="272"/>
  <c r="D18" i="272"/>
  <c r="D20" i="267"/>
  <c r="D19" i="267"/>
  <c r="D18" i="267"/>
  <c r="G18" i="269"/>
  <c r="G19" i="269"/>
  <c r="G20" i="269"/>
  <c r="G18" i="271"/>
  <c r="G20" i="271"/>
  <c r="G19" i="271"/>
  <c r="G20" i="281"/>
  <c r="G18" i="281"/>
  <c r="G19" i="281"/>
  <c r="G19" i="283"/>
  <c r="G20" i="283"/>
  <c r="G18" i="283"/>
  <c r="E19" i="274"/>
  <c r="E18" i="274"/>
  <c r="H32" i="219" s="1"/>
  <c r="AQ18" i="219" s="1"/>
  <c r="E20" i="274"/>
  <c r="F27" i="190" s="1"/>
  <c r="F18" i="281"/>
  <c r="F19" i="281"/>
  <c r="F20" i="281"/>
  <c r="F18" i="278"/>
  <c r="F20" i="278"/>
  <c r="F19" i="278"/>
  <c r="F20" i="267"/>
  <c r="F18" i="267"/>
  <c r="F19" i="267"/>
  <c r="E18" i="275"/>
  <c r="E29" i="190" s="1"/>
  <c r="L29" i="190" s="1"/>
  <c r="E19" i="275"/>
  <c r="E20" i="275"/>
  <c r="E19" i="277"/>
  <c r="E18" i="277"/>
  <c r="F19" i="269"/>
  <c r="F20" i="269"/>
  <c r="F18" i="269"/>
  <c r="G19" i="275"/>
  <c r="G20" i="275"/>
  <c r="J29" i="190" s="1"/>
  <c r="G18" i="275"/>
  <c r="I29" i="190" s="1"/>
  <c r="F17" i="286" a="1"/>
  <c r="F17" i="286" s="1"/>
  <c r="D17" i="286" a="1"/>
  <c r="D17" i="286" s="1"/>
  <c r="E20" i="285"/>
  <c r="E18" i="285"/>
  <c r="E19" i="285"/>
  <c r="F18" i="284"/>
  <c r="F20" i="284"/>
  <c r="F19" i="284"/>
  <c r="E19" i="278"/>
  <c r="E18" i="278"/>
  <c r="D17" i="277" a="1"/>
  <c r="D17" i="277" s="1"/>
  <c r="F17" i="277" a="1"/>
  <c r="F17" i="277" s="1"/>
  <c r="E19" i="288"/>
  <c r="E20" i="288"/>
  <c r="F28" i="190" s="1"/>
  <c r="E18" i="288"/>
  <c r="I32" i="219" s="1"/>
  <c r="AR18" i="219" s="1"/>
  <c r="D17" i="284" a="1"/>
  <c r="D17" i="284" s="1"/>
  <c r="F17" i="284" a="1"/>
  <c r="F17" i="284" s="1"/>
  <c r="D17" i="276" a="1"/>
  <c r="D17" i="276" s="1"/>
  <c r="F17" i="276" a="1"/>
  <c r="F17" i="276" s="1"/>
  <c r="D18" i="286"/>
  <c r="D20" i="286"/>
  <c r="D19" i="286"/>
  <c r="D17" i="281" a="1"/>
  <c r="D17" i="281" s="1"/>
  <c r="F17" i="281" a="1"/>
  <c r="F17" i="281" s="1"/>
  <c r="D18" i="271"/>
  <c r="D19" i="271"/>
  <c r="D20" i="271"/>
  <c r="F20" i="287"/>
  <c r="F19" i="287"/>
  <c r="F18" i="287"/>
  <c r="D17" i="267" a="1"/>
  <c r="D17" i="267" s="1"/>
  <c r="F17" i="267" a="1"/>
  <c r="F17" i="267" s="1"/>
  <c r="F20" i="286"/>
  <c r="F18" i="286"/>
  <c r="F19" i="286"/>
  <c r="F17" i="285" a="1"/>
  <c r="F17" i="285" s="1"/>
  <c r="D17" i="285" a="1"/>
  <c r="D17" i="285" s="1"/>
  <c r="E19" i="271"/>
  <c r="E20" i="271"/>
  <c r="E18" i="271"/>
  <c r="F17" i="279" a="1"/>
  <c r="F17" i="279" s="1"/>
  <c r="D17" i="279" a="1"/>
  <c r="D17" i="279" s="1"/>
  <c r="E19" i="273"/>
  <c r="E20" i="273"/>
  <c r="E18" i="273"/>
  <c r="D18" i="287"/>
  <c r="D19" i="287"/>
  <c r="D20" i="287"/>
  <c r="E20" i="279"/>
  <c r="E19" i="279"/>
  <c r="E18" i="279"/>
  <c r="F18" i="274"/>
  <c r="F19" i="274"/>
  <c r="F20" i="274"/>
  <c r="E18" i="283"/>
  <c r="E19" i="283"/>
  <c r="E20" i="283"/>
  <c r="D19" i="277"/>
  <c r="D18" i="277"/>
  <c r="G20" i="288"/>
  <c r="G18" i="288"/>
  <c r="G19" i="288"/>
  <c r="E19" i="287"/>
  <c r="E18" i="287"/>
  <c r="E20" i="287"/>
  <c r="F20" i="279"/>
  <c r="F18" i="279"/>
  <c r="F19" i="279"/>
  <c r="D19" i="269"/>
  <c r="D20" i="269"/>
  <c r="D18" i="269"/>
  <c r="F17" i="287" a="1"/>
  <c r="F17" i="287" s="1"/>
  <c r="D17" i="287" a="1"/>
  <c r="D17" i="287" s="1"/>
  <c r="G20" i="287"/>
  <c r="G19" i="287"/>
  <c r="G18" i="287"/>
  <c r="F18" i="273"/>
  <c r="F19" i="273"/>
  <c r="F20" i="273"/>
  <c r="F17" i="268" a="1"/>
  <c r="F17" i="268" s="1"/>
  <c r="D17" i="268" a="1"/>
  <c r="D17" i="268" s="1"/>
  <c r="F17" i="288" a="1"/>
  <c r="F17" i="288" s="1"/>
  <c r="D17" i="288" a="1"/>
  <c r="D17" i="288" s="1"/>
  <c r="G20" i="284"/>
  <c r="G18" i="284"/>
  <c r="G19" i="284"/>
  <c r="D19" i="278"/>
  <c r="D18" i="278"/>
  <c r="E18" i="272"/>
  <c r="E19" i="272"/>
  <c r="E20" i="272"/>
  <c r="D17" i="272" a="1"/>
  <c r="D17" i="272" s="1"/>
  <c r="F17" i="272" a="1"/>
  <c r="F17" i="272" s="1"/>
  <c r="G18" i="268"/>
  <c r="G19" i="268"/>
  <c r="G20" i="268"/>
  <c r="D20" i="275"/>
  <c r="D19" i="275"/>
  <c r="D18" i="275"/>
  <c r="E19" i="284"/>
  <c r="E18" i="284"/>
  <c r="E20" i="284"/>
  <c r="D19" i="285"/>
  <c r="D18" i="285"/>
  <c r="D20" i="285"/>
  <c r="D17" i="274" a="1"/>
  <c r="D17" i="274" s="1"/>
  <c r="F17" i="274" a="1"/>
  <c r="F17" i="274" s="1"/>
  <c r="G18" i="276"/>
  <c r="G19" i="276"/>
  <c r="L57" i="180"/>
  <c r="L90" i="180"/>
  <c r="L50" i="180"/>
  <c r="H29" i="251"/>
  <c r="H37" i="251"/>
  <c r="H45" i="251"/>
  <c r="H53" i="251"/>
  <c r="H30" i="251"/>
  <c r="H38" i="251"/>
  <c r="H46" i="251"/>
  <c r="H54" i="251"/>
  <c r="H31" i="251"/>
  <c r="H39" i="251"/>
  <c r="H47" i="251"/>
  <c r="H55" i="251"/>
  <c r="H24" i="251"/>
  <c r="H32" i="251"/>
  <c r="H40" i="251"/>
  <c r="H48" i="251"/>
  <c r="H56" i="251"/>
  <c r="H25" i="251"/>
  <c r="H33" i="251"/>
  <c r="H41" i="251"/>
  <c r="H49" i="251"/>
  <c r="H57" i="251"/>
  <c r="H28" i="251"/>
  <c r="H44" i="251"/>
  <c r="H52" i="251"/>
  <c r="H26" i="251"/>
  <c r="H34" i="251"/>
  <c r="H42" i="251"/>
  <c r="H50" i="251"/>
  <c r="H27" i="251"/>
  <c r="H35" i="251"/>
  <c r="H43" i="251"/>
  <c r="H51" i="251"/>
  <c r="H36" i="251"/>
  <c r="D23" i="252"/>
  <c r="H23" i="252" s="1"/>
  <c r="H44" i="252"/>
  <c r="H36" i="252"/>
  <c r="H28" i="252"/>
  <c r="H43" i="252"/>
  <c r="H35" i="252"/>
  <c r="H27" i="252"/>
  <c r="H42" i="252"/>
  <c r="H34" i="252"/>
  <c r="H26" i="252"/>
  <c r="H41" i="252"/>
  <c r="H33" i="252"/>
  <c r="H25" i="252"/>
  <c r="H37" i="252"/>
  <c r="H40" i="252"/>
  <c r="H32" i="252"/>
  <c r="H24" i="252"/>
  <c r="H47" i="252"/>
  <c r="H39" i="252"/>
  <c r="H31" i="252"/>
  <c r="H29" i="252"/>
  <c r="H46" i="252"/>
  <c r="H38" i="252"/>
  <c r="H30" i="252"/>
  <c r="H45" i="252"/>
  <c r="L20" i="180"/>
  <c r="D23" i="251"/>
  <c r="H23" i="251" s="1"/>
  <c r="L63" i="180"/>
  <c r="Z90" i="180"/>
  <c r="Z19" i="180"/>
  <c r="Q19" i="180"/>
  <c r="Q57" i="180"/>
  <c r="L19" i="180"/>
  <c r="Q90" i="180"/>
  <c r="Q20" i="180"/>
  <c r="Q50" i="180"/>
  <c r="W94" i="180"/>
  <c r="S9" i="180"/>
  <c r="E9" i="180"/>
  <c r="H9" i="180"/>
  <c r="W9" i="180"/>
  <c r="J9" i="180"/>
  <c r="S95" i="180"/>
  <c r="X9" i="180"/>
  <c r="O9" i="180"/>
  <c r="T9" i="180"/>
  <c r="M9" i="180"/>
  <c r="W95" i="180"/>
  <c r="S94" i="180"/>
  <c r="Q63" i="180"/>
  <c r="G20" i="265"/>
  <c r="G19" i="265"/>
  <c r="D20" i="265"/>
  <c r="D19" i="265"/>
  <c r="D18" i="265"/>
  <c r="F17" i="265" a="1"/>
  <c r="F17" i="265" s="1"/>
  <c r="D17" i="265" a="1"/>
  <c r="D17" i="265" s="1"/>
  <c r="F19" i="265"/>
  <c r="F20" i="265"/>
  <c r="E20" i="265"/>
  <c r="E18" i="265"/>
  <c r="E19" i="265"/>
  <c r="H24" i="262"/>
  <c r="C23" i="262"/>
  <c r="F20" i="254"/>
  <c r="F19" i="254"/>
  <c r="F20" i="264"/>
  <c r="F19" i="264"/>
  <c r="G20" i="263"/>
  <c r="G19" i="263"/>
  <c r="F20" i="263"/>
  <c r="F19" i="263"/>
  <c r="U10" i="255"/>
  <c r="U11" i="255"/>
  <c r="F19" i="255"/>
  <c r="F21" i="255"/>
  <c r="D20" i="266"/>
  <c r="D19" i="266"/>
  <c r="D18" i="266"/>
  <c r="S10" i="256"/>
  <c r="S11" i="256"/>
  <c r="D18" i="256"/>
  <c r="D19" i="256"/>
  <c r="D21" i="256"/>
  <c r="U10" i="259"/>
  <c r="U11" i="259"/>
  <c r="F21" i="259"/>
  <c r="F19" i="259"/>
  <c r="U11" i="256"/>
  <c r="U10" i="256"/>
  <c r="F19" i="256"/>
  <c r="F21" i="256"/>
  <c r="E20" i="264"/>
  <c r="E18" i="264"/>
  <c r="E19" i="264"/>
  <c r="H24" i="264"/>
  <c r="H27" i="264"/>
  <c r="H26" i="264"/>
  <c r="C23" i="264"/>
  <c r="H25" i="264"/>
  <c r="F21" i="253"/>
  <c r="U10" i="253"/>
  <c r="U11" i="253"/>
  <c r="F19" i="253"/>
  <c r="H23" i="253" a="1"/>
  <c r="H23" i="253" s="1"/>
  <c r="D17" i="253" a="1"/>
  <c r="D17" i="253" s="1"/>
  <c r="F17" i="253" a="1"/>
  <c r="F17" i="253" s="1"/>
  <c r="H23" i="256" a="1"/>
  <c r="H23" i="256" s="1"/>
  <c r="F17" i="256" a="1"/>
  <c r="F17" i="256" s="1"/>
  <c r="D17" i="256" a="1"/>
  <c r="D17" i="256" s="1"/>
  <c r="F20" i="266"/>
  <c r="F19" i="266"/>
  <c r="D18" i="263"/>
  <c r="D20" i="263"/>
  <c r="D19" i="263"/>
  <c r="G21" i="253"/>
  <c r="V10" i="253"/>
  <c r="V11" i="253"/>
  <c r="G19" i="253"/>
  <c r="E18" i="252"/>
  <c r="E20" i="252"/>
  <c r="E19" i="252"/>
  <c r="E20" i="262"/>
  <c r="E21" i="262"/>
  <c r="E19" i="262"/>
  <c r="E18" i="262"/>
  <c r="F20" i="262"/>
  <c r="F21" i="262"/>
  <c r="F19" i="262"/>
  <c r="G19" i="254"/>
  <c r="G20" i="254"/>
  <c r="T11" i="258"/>
  <c r="T10" i="258"/>
  <c r="E18" i="258"/>
  <c r="E21" i="258"/>
  <c r="E19" i="258"/>
  <c r="H33" i="263"/>
  <c r="H28" i="263"/>
  <c r="H29" i="263"/>
  <c r="H30" i="263"/>
  <c r="C23" i="263"/>
  <c r="H27" i="263"/>
  <c r="H25" i="263"/>
  <c r="H35" i="263"/>
  <c r="H32" i="263"/>
  <c r="H37" i="263"/>
  <c r="H36" i="263"/>
  <c r="H26" i="263"/>
  <c r="H24" i="263"/>
  <c r="H31" i="263"/>
  <c r="H34" i="263"/>
  <c r="E21" i="255"/>
  <c r="T11" i="255"/>
  <c r="T10" i="255"/>
  <c r="E18" i="255"/>
  <c r="E19" i="255"/>
  <c r="H23" i="255" a="1"/>
  <c r="H23" i="255" s="1"/>
  <c r="D17" i="255" a="1"/>
  <c r="D17" i="255" s="1"/>
  <c r="F17" i="255" a="1"/>
  <c r="F17" i="255" s="1"/>
  <c r="H23" i="260" a="1"/>
  <c r="H23" i="260" s="1"/>
  <c r="F17" i="260" a="1"/>
  <c r="F17" i="260" s="1"/>
  <c r="D17" i="260" a="1"/>
  <c r="D17" i="260" s="1"/>
  <c r="H23" i="259" a="1"/>
  <c r="H23" i="259" s="1"/>
  <c r="D17" i="259" a="1"/>
  <c r="D17" i="259" s="1"/>
  <c r="F17" i="259" a="1"/>
  <c r="F17" i="259" s="1"/>
  <c r="D20" i="254"/>
  <c r="D18" i="254"/>
  <c r="D19" i="254"/>
  <c r="S11" i="258"/>
  <c r="S10" i="258"/>
  <c r="D18" i="258"/>
  <c r="D21" i="258"/>
  <c r="D19" i="258"/>
  <c r="G19" i="266"/>
  <c r="G20" i="266"/>
  <c r="G20" i="264"/>
  <c r="G19" i="264"/>
  <c r="V11" i="255"/>
  <c r="V10" i="255"/>
  <c r="G19" i="255"/>
  <c r="G21" i="255"/>
  <c r="D18" i="262"/>
  <c r="D21" i="262"/>
  <c r="D20" i="262"/>
  <c r="D19" i="262"/>
  <c r="S10" i="259"/>
  <c r="S11" i="259"/>
  <c r="D18" i="259"/>
  <c r="D19" i="259"/>
  <c r="D21" i="259"/>
  <c r="E18" i="254"/>
  <c r="E20" i="254"/>
  <c r="E19" i="254"/>
  <c r="V10" i="256"/>
  <c r="V11" i="256"/>
  <c r="G21" i="256"/>
  <c r="G19" i="256"/>
  <c r="U11" i="258"/>
  <c r="U10" i="258"/>
  <c r="F21" i="258"/>
  <c r="F19" i="258"/>
  <c r="D19" i="264"/>
  <c r="D20" i="264"/>
  <c r="D18" i="264"/>
  <c r="E19" i="253"/>
  <c r="T10" i="253"/>
  <c r="T11" i="253"/>
  <c r="E21" i="253"/>
  <c r="E18" i="253"/>
  <c r="S11" i="255"/>
  <c r="S10" i="255"/>
  <c r="D21" i="255"/>
  <c r="D19" i="255"/>
  <c r="D18" i="255"/>
  <c r="V11" i="259"/>
  <c r="V10" i="259"/>
  <c r="G21" i="259"/>
  <c r="G19" i="259"/>
  <c r="H23" i="254" a="1"/>
  <c r="H23" i="254" s="1"/>
  <c r="F17" i="254" a="1"/>
  <c r="F17" i="254" s="1"/>
  <c r="D17" i="254" a="1"/>
  <c r="D17" i="254" s="1"/>
  <c r="T11" i="256"/>
  <c r="T10" i="256"/>
  <c r="E19" i="256"/>
  <c r="E18" i="256"/>
  <c r="E21" i="256"/>
  <c r="V10" i="258"/>
  <c r="V11" i="258"/>
  <c r="G21" i="258"/>
  <c r="G19" i="258"/>
  <c r="E19" i="266"/>
  <c r="E18" i="266"/>
  <c r="E20" i="266"/>
  <c r="E18" i="263"/>
  <c r="E19" i="263"/>
  <c r="E20" i="263"/>
  <c r="F17" i="266" a="1"/>
  <c r="F17" i="266" s="1"/>
  <c r="D17" i="266" a="1"/>
  <c r="D17" i="266" s="1"/>
  <c r="G19" i="262"/>
  <c r="G21" i="262"/>
  <c r="G20" i="262"/>
  <c r="F20" i="252"/>
  <c r="F18" i="252"/>
  <c r="F19" i="252"/>
  <c r="D17" i="252" a="1"/>
  <c r="D17" i="252" s="1"/>
  <c r="F17" i="252" a="1"/>
  <c r="F17" i="252" s="1"/>
  <c r="T11" i="259"/>
  <c r="E19" i="259"/>
  <c r="E18" i="259"/>
  <c r="E21" i="259"/>
  <c r="D17" i="258" a="1"/>
  <c r="D17" i="258" s="1"/>
  <c r="H23" i="258" a="1"/>
  <c r="H23" i="258" s="1"/>
  <c r="F17" i="258" a="1"/>
  <c r="F17" i="258" s="1"/>
  <c r="G18" i="252"/>
  <c r="G19" i="252"/>
  <c r="G20" i="252"/>
  <c r="D18" i="253"/>
  <c r="D19" i="253"/>
  <c r="D21" i="253"/>
  <c r="S11" i="253"/>
  <c r="S10" i="253"/>
  <c r="H26" i="261"/>
  <c r="H25" i="261"/>
  <c r="H29" i="261"/>
  <c r="H37" i="261"/>
  <c r="H41" i="261"/>
  <c r="H43" i="261"/>
  <c r="H24" i="261"/>
  <c r="H35" i="261"/>
  <c r="H32" i="261"/>
  <c r="H40" i="261"/>
  <c r="H28" i="261"/>
  <c r="C23" i="261"/>
  <c r="H36" i="261"/>
  <c r="H27" i="261"/>
  <c r="H44" i="261"/>
  <c r="H30" i="261"/>
  <c r="H38" i="261"/>
  <c r="H39" i="261"/>
  <c r="H42" i="261"/>
  <c r="H33" i="261"/>
  <c r="H31" i="261"/>
  <c r="H34" i="261"/>
  <c r="E18" i="234"/>
  <c r="E19" i="234"/>
  <c r="E20" i="234"/>
  <c r="E19" i="241"/>
  <c r="E18" i="241"/>
  <c r="E20" i="241"/>
  <c r="F17" i="230" a="1"/>
  <c r="F17" i="230" s="1"/>
  <c r="D17" i="230" a="1"/>
  <c r="D17" i="230" s="1"/>
  <c r="E19" i="245"/>
  <c r="E20" i="245"/>
  <c r="E18" i="245"/>
  <c r="E23" i="240"/>
  <c r="E19" i="248"/>
  <c r="E18" i="248"/>
  <c r="E20" i="248"/>
  <c r="D17" i="238" a="1"/>
  <c r="D17" i="238" s="1"/>
  <c r="F17" i="238" a="1"/>
  <c r="F17" i="238" s="1"/>
  <c r="E23" i="237"/>
  <c r="F18" i="246"/>
  <c r="F20" i="246"/>
  <c r="F19" i="246"/>
  <c r="E20" i="246"/>
  <c r="E19" i="246"/>
  <c r="E18" i="246"/>
  <c r="F17" i="246" a="1"/>
  <c r="F17" i="246" s="1"/>
  <c r="D17" i="246" a="1"/>
  <c r="D17" i="246" s="1"/>
  <c r="F17" i="244" a="1"/>
  <c r="F17" i="244" s="1"/>
  <c r="D17" i="244" a="1"/>
  <c r="D17" i="244" s="1"/>
  <c r="G23" i="242"/>
  <c r="F20" i="228"/>
  <c r="F19" i="228"/>
  <c r="F18" i="228"/>
  <c r="F17" i="237" a="1"/>
  <c r="F17" i="237" s="1"/>
  <c r="D17" i="237" a="1"/>
  <c r="D17" i="237" s="1"/>
  <c r="F17" i="250" a="1"/>
  <c r="F17" i="250" s="1"/>
  <c r="D17" i="250" a="1"/>
  <c r="D17" i="250" s="1"/>
  <c r="G18" i="228"/>
  <c r="G19" i="228"/>
  <c r="G20" i="228"/>
  <c r="F19" i="245"/>
  <c r="F20" i="245"/>
  <c r="F18" i="245"/>
  <c r="F18" i="233"/>
  <c r="F19" i="233"/>
  <c r="F20" i="233"/>
  <c r="F23" i="237"/>
  <c r="G23" i="240"/>
  <c r="F17" i="248" a="1"/>
  <c r="F17" i="248" s="1"/>
  <c r="D17" i="248" a="1"/>
  <c r="D17" i="248" s="1"/>
  <c r="E23" i="239"/>
  <c r="F23" i="239"/>
  <c r="F19" i="244"/>
  <c r="F18" i="244"/>
  <c r="F20" i="244"/>
  <c r="E23" i="236"/>
  <c r="F19" i="250"/>
  <c r="F20" i="250"/>
  <c r="F18" i="250"/>
  <c r="D19" i="246"/>
  <c r="D18" i="246"/>
  <c r="D20" i="246"/>
  <c r="G20" i="231"/>
  <c r="G18" i="231"/>
  <c r="G19" i="231"/>
  <c r="E23" i="238"/>
  <c r="F20" i="243"/>
  <c r="F18" i="243"/>
  <c r="F19" i="243"/>
  <c r="D18" i="248"/>
  <c r="D20" i="248"/>
  <c r="D19" i="248"/>
  <c r="F17" i="231" a="1"/>
  <c r="F17" i="231" s="1"/>
  <c r="D17" i="231" a="1"/>
  <c r="D17" i="231" s="1"/>
  <c r="F18" i="234"/>
  <c r="F20" i="234"/>
  <c r="F19" i="234"/>
  <c r="D23" i="237"/>
  <c r="F17" i="233" a="1"/>
  <c r="F17" i="233" s="1"/>
  <c r="D17" i="233" a="1"/>
  <c r="D17" i="233" s="1"/>
  <c r="F20" i="241"/>
  <c r="F19" i="241"/>
  <c r="F18" i="241"/>
  <c r="G18" i="234"/>
  <c r="G19" i="234"/>
  <c r="G20" i="234"/>
  <c r="D19" i="243"/>
  <c r="D20" i="243"/>
  <c r="D18" i="243"/>
  <c r="G23" i="236"/>
  <c r="G19" i="243"/>
  <c r="G20" i="243"/>
  <c r="G18" i="243"/>
  <c r="F23" i="242"/>
  <c r="G18" i="246"/>
  <c r="G20" i="246"/>
  <c r="G19" i="246"/>
  <c r="D18" i="244"/>
  <c r="D19" i="244"/>
  <c r="D20" i="244"/>
  <c r="D23" i="236"/>
  <c r="F19" i="230"/>
  <c r="F18" i="230"/>
  <c r="F20" i="230"/>
  <c r="F17" i="247" a="1"/>
  <c r="F17" i="247" s="1"/>
  <c r="D17" i="247" a="1"/>
  <c r="D17" i="247" s="1"/>
  <c r="G20" i="244"/>
  <c r="G19" i="244"/>
  <c r="G18" i="244"/>
  <c r="D23" i="240"/>
  <c r="G23" i="238"/>
  <c r="F23" i="238"/>
  <c r="F17" i="241" a="1"/>
  <c r="F17" i="241" s="1"/>
  <c r="D17" i="241" a="1"/>
  <c r="D17" i="241" s="1"/>
  <c r="E20" i="250"/>
  <c r="E19" i="250"/>
  <c r="E18" i="250"/>
  <c r="E18" i="231"/>
  <c r="E19" i="231"/>
  <c r="E20" i="231"/>
  <c r="D20" i="250"/>
  <c r="D18" i="250"/>
  <c r="D19" i="250"/>
  <c r="D17" i="245" a="1"/>
  <c r="D17" i="245" s="1"/>
  <c r="F17" i="245" a="1"/>
  <c r="F17" i="245" s="1"/>
  <c r="F17" i="251" a="1"/>
  <c r="F17" i="251" s="1"/>
  <c r="D17" i="251" a="1"/>
  <c r="D17" i="251" s="1"/>
  <c r="D19" i="245"/>
  <c r="D20" i="245"/>
  <c r="D18" i="245"/>
  <c r="E19" i="243"/>
  <c r="E20" i="243"/>
  <c r="E18" i="243"/>
  <c r="F23" i="235" a="1"/>
  <c r="F23" i="235" s="1"/>
  <c r="N9" i="235" s="1"/>
  <c r="C23" i="235" a="1"/>
  <c r="C23" i="235" s="1"/>
  <c r="G23" i="235" a="1"/>
  <c r="G23" i="235" s="1"/>
  <c r="O8" i="235" s="1"/>
  <c r="D23" i="235" a="1"/>
  <c r="D23" i="235" s="1"/>
  <c r="L8" i="235" s="1"/>
  <c r="E23" i="235" a="1"/>
  <c r="E23" i="235" s="1"/>
  <c r="M9" i="235" s="1"/>
  <c r="G23" i="237"/>
  <c r="D20" i="234"/>
  <c r="D18" i="234"/>
  <c r="D19" i="234"/>
  <c r="G20" i="250"/>
  <c r="G19" i="250"/>
  <c r="G18" i="250"/>
  <c r="G20" i="233"/>
  <c r="G18" i="233"/>
  <c r="G19" i="233"/>
  <c r="G19" i="247"/>
  <c r="G20" i="247"/>
  <c r="G18" i="247"/>
  <c r="D20" i="231"/>
  <c r="D19" i="231"/>
  <c r="D18" i="231"/>
  <c r="D20" i="241"/>
  <c r="D19" i="241"/>
  <c r="D18" i="241"/>
  <c r="D17" i="239" a="1"/>
  <c r="D17" i="239" s="1"/>
  <c r="F17" i="239" a="1"/>
  <c r="F17" i="239" s="1"/>
  <c r="E20" i="244"/>
  <c r="E19" i="244"/>
  <c r="E18" i="244"/>
  <c r="D23" i="239"/>
  <c r="F17" i="228" a="1"/>
  <c r="F17" i="228" s="1"/>
  <c r="D17" i="228" a="1"/>
  <c r="D17" i="228" s="1"/>
  <c r="D23" i="242"/>
  <c r="F18" i="247"/>
  <c r="F19" i="247"/>
  <c r="F20" i="247"/>
  <c r="F23" i="236"/>
  <c r="G18" i="230"/>
  <c r="G20" i="230"/>
  <c r="G19" i="230"/>
  <c r="F18" i="231"/>
  <c r="F20" i="231"/>
  <c r="F19" i="231"/>
  <c r="F17" i="240" a="1"/>
  <c r="F17" i="240" s="1"/>
  <c r="D17" i="240" a="1"/>
  <c r="D17" i="240" s="1"/>
  <c r="D17" i="236" a="1"/>
  <c r="D17" i="236" s="1"/>
  <c r="F17" i="236" a="1"/>
  <c r="F17" i="236" s="1"/>
  <c r="F19" i="251"/>
  <c r="F20" i="251"/>
  <c r="F18" i="251"/>
  <c r="E19" i="247"/>
  <c r="E18" i="247"/>
  <c r="E20" i="247"/>
  <c r="G20" i="245"/>
  <c r="G18" i="245"/>
  <c r="G19" i="245"/>
  <c r="E23" i="242"/>
  <c r="D17" i="243" a="1"/>
  <c r="D17" i="243" s="1"/>
  <c r="F17" i="243" a="1"/>
  <c r="F17" i="243" s="1"/>
  <c r="E19" i="233"/>
  <c r="E20" i="233"/>
  <c r="E18" i="233"/>
  <c r="F18" i="248"/>
  <c r="F20" i="248"/>
  <c r="F19" i="248"/>
  <c r="G19" i="251"/>
  <c r="G18" i="251"/>
  <c r="G20" i="251"/>
  <c r="F23" i="240"/>
  <c r="G20" i="241"/>
  <c r="G19" i="241"/>
  <c r="G18" i="241"/>
  <c r="E18" i="251"/>
  <c r="E19" i="251"/>
  <c r="E20" i="251"/>
  <c r="G18" i="248"/>
  <c r="G20" i="248"/>
  <c r="G19" i="248"/>
  <c r="D20" i="233"/>
  <c r="D19" i="233"/>
  <c r="D18" i="233"/>
  <c r="D17" i="242" a="1"/>
  <c r="D17" i="242" s="1"/>
  <c r="F17" i="242" a="1"/>
  <c r="F17" i="242" s="1"/>
  <c r="D23" i="238"/>
  <c r="D18" i="247"/>
  <c r="D20" i="247"/>
  <c r="D19" i="247"/>
  <c r="G23" i="239"/>
  <c r="F17" i="234" a="1"/>
  <c r="F17" i="234" s="1"/>
  <c r="D17" i="234" a="1"/>
  <c r="D17" i="234" s="1"/>
  <c r="C23" i="196" a="1"/>
  <c r="C23" i="196" s="1"/>
  <c r="H97" i="180" a="1"/>
  <c r="M91" i="180" a="1"/>
  <c r="J11" i="180" a="1"/>
  <c r="E37" i="180" a="1"/>
  <c r="E38" i="180" a="1"/>
  <c r="E26" i="180" a="1"/>
  <c r="I94" i="180" a="1"/>
  <c r="S52" i="180" a="1"/>
  <c r="J47" i="180" a="1"/>
  <c r="E62" i="180" a="1"/>
  <c r="N11" i="180" a="1"/>
  <c r="M12" i="180" a="1"/>
  <c r="E41" i="180" a="1"/>
  <c r="M97" i="180" a="1"/>
  <c r="M60" i="180" a="1"/>
  <c r="O8" i="180" a="1"/>
  <c r="O42" i="180" a="1"/>
  <c r="S102" i="180" a="1"/>
  <c r="S74" i="180" a="1"/>
  <c r="I82" i="180" a="1"/>
  <c r="E85" i="180" a="1"/>
  <c r="O65" i="180" a="1"/>
  <c r="O64" i="180" a="1"/>
  <c r="M73" i="180" a="1"/>
  <c r="S103" i="180" a="1"/>
  <c r="E64" i="180" a="1"/>
  <c r="W49" i="180" a="1"/>
  <c r="I55" i="180" a="1"/>
  <c r="H54" i="180" a="1"/>
  <c r="N95" i="180" a="1"/>
  <c r="I95" i="180" a="1"/>
  <c r="N67" i="180" a="1"/>
  <c r="M69" i="180" a="1"/>
  <c r="N98" i="180" a="1"/>
  <c r="H55" i="180" a="1"/>
  <c r="H56" i="180" a="1"/>
  <c r="J97" i="180" a="1"/>
  <c r="E40" i="180" a="1"/>
  <c r="X73" i="180" a="1"/>
  <c r="I21" i="180" a="1"/>
  <c r="H41" i="180" a="1"/>
  <c r="M98" i="180" a="1"/>
  <c r="J104" i="180" a="1"/>
  <c r="M81" i="180" a="1"/>
  <c r="E93" i="180" a="1"/>
  <c r="H51" i="180" a="1"/>
  <c r="E24" i="180" a="1"/>
  <c r="O41" i="180" a="1"/>
  <c r="N97" i="180" a="1"/>
  <c r="S55" i="180" a="1"/>
  <c r="W58" i="180" a="1"/>
  <c r="T42" i="180" a="1"/>
  <c r="M62" i="180" a="1"/>
  <c r="H40" i="180" a="1"/>
  <c r="N46" i="180" a="1"/>
  <c r="W64" i="180" a="1"/>
  <c r="T55" i="180" a="1"/>
  <c r="S70" i="180" a="1"/>
  <c r="X65" i="180" a="1"/>
  <c r="H101" i="180" a="1"/>
  <c r="M61" i="180" a="1"/>
  <c r="M103" i="180" a="1"/>
  <c r="O92" i="180" a="1"/>
  <c r="J85" i="180" a="1"/>
  <c r="S66" i="180" a="1"/>
  <c r="I60" i="180" a="1"/>
  <c r="N44" i="180" a="1"/>
  <c r="N102" i="180" a="1"/>
  <c r="I62" i="180" a="1"/>
  <c r="E59" i="180" a="1"/>
  <c r="X96" i="180" a="1"/>
  <c r="X11" i="180" a="1"/>
  <c r="I101" i="180" a="1"/>
  <c r="M84" i="180" a="1"/>
  <c r="X97" i="180" a="1"/>
  <c r="S85" i="180" a="1"/>
  <c r="H39" i="180" a="1"/>
  <c r="E73" i="180" a="1"/>
  <c r="M82" i="180" a="1"/>
  <c r="E12" i="180" a="1"/>
  <c r="I79" i="180" a="1"/>
  <c r="H46" i="180" a="1"/>
  <c r="E94" i="180" a="1"/>
  <c r="T11" i="180" a="1"/>
  <c r="O95" i="180" a="1"/>
  <c r="X100" i="180" a="1"/>
  <c r="N93" i="180" a="1"/>
  <c r="M54" i="180" a="1"/>
  <c r="W96" i="180" a="1"/>
  <c r="N70" i="180" a="1"/>
  <c r="X87" i="180" a="1"/>
  <c r="N43" i="180" a="1"/>
  <c r="M41" i="180" a="1"/>
  <c r="S62" i="180" a="1"/>
  <c r="X61" i="180" a="1"/>
  <c r="E95" i="180" a="1"/>
  <c r="W100" i="180" a="1"/>
  <c r="S86" i="180" a="1"/>
  <c r="E104" i="180" a="1"/>
  <c r="J49" i="180" a="1"/>
  <c r="E35" i="180" a="1"/>
  <c r="W87" i="180" a="1"/>
  <c r="E76" i="180" a="1"/>
  <c r="O60" i="180" a="1"/>
  <c r="E43" i="180" a="1"/>
  <c r="M7" i="180" a="1"/>
  <c r="M47" i="180" a="1"/>
  <c r="N73" i="180" a="1"/>
  <c r="E75" i="180" a="1"/>
  <c r="S49" i="180" a="1"/>
  <c r="M46" i="180" a="1"/>
  <c r="T103" i="180" a="1"/>
  <c r="M92" i="180" a="1"/>
  <c r="E55" i="180" a="1"/>
  <c r="H102" i="180" a="1"/>
  <c r="X12" i="180" a="1"/>
  <c r="W59" i="180" a="1"/>
  <c r="M48" i="180" a="1"/>
  <c r="O52" i="180" a="1"/>
  <c r="J60" i="180" a="1"/>
  <c r="O70" i="180" a="1"/>
  <c r="E82" i="180" a="1"/>
  <c r="H93" i="180" a="1"/>
  <c r="X84" i="180" a="1"/>
  <c r="T46" i="180" a="1"/>
  <c r="S71" i="180" a="1"/>
  <c r="X47" i="180" a="1"/>
  <c r="N49" i="180" a="1"/>
  <c r="J86" i="180" a="1"/>
  <c r="J46" i="180" a="1"/>
  <c r="S12" i="180" a="1"/>
  <c r="H60" i="180" a="1"/>
  <c r="I14" i="180" a="1"/>
  <c r="E99" i="180" a="1"/>
  <c r="X104" i="180" a="1"/>
  <c r="T21" i="180" a="1"/>
  <c r="X42" i="180" a="1"/>
  <c r="E28" i="180" a="1"/>
  <c r="M58" i="180" a="1"/>
  <c r="T85" i="180" a="1"/>
  <c r="O56" i="180" a="1"/>
  <c r="W85" i="180" a="1"/>
  <c r="X103" i="180" a="1"/>
  <c r="M49" i="180" a="1"/>
  <c r="M64" i="180" a="1"/>
  <c r="S21" i="180" a="1"/>
  <c r="T48" i="180" a="1"/>
  <c r="W53" i="180" a="1"/>
  <c r="J51" i="180" a="1"/>
  <c r="S10" i="180" a="1"/>
  <c r="W55" i="180" a="1"/>
  <c r="I100" i="180" a="1"/>
  <c r="W39" i="180" a="1"/>
  <c r="J52" i="180" a="1"/>
  <c r="O81" i="180" a="1"/>
  <c r="X18" i="180" a="1"/>
  <c r="M11" i="180" a="1"/>
  <c r="S16" i="180" a="1"/>
  <c r="M80" i="180" a="1"/>
  <c r="O7" i="180" a="1"/>
  <c r="S89" i="180" a="1"/>
  <c r="T95" i="180" a="1"/>
  <c r="E103" i="180" a="1"/>
  <c r="X80" i="180" a="1"/>
  <c r="I48" i="180" a="1"/>
  <c r="N48" i="180" a="1"/>
  <c r="E98" i="180" a="1"/>
  <c r="J39" i="180" a="1"/>
  <c r="M51" i="180" a="1"/>
  <c r="H92" i="180" a="1"/>
  <c r="N58" i="180" a="1"/>
  <c r="M88" i="180" a="1"/>
  <c r="I13" i="180" a="1"/>
  <c r="T54" i="180" a="1"/>
  <c r="W89" i="180" a="1"/>
  <c r="X58" i="180" a="1"/>
  <c r="W92" i="180" a="1"/>
  <c r="W62" i="180" a="1"/>
  <c r="S60" i="180" a="1"/>
  <c r="J56" i="180" a="1"/>
  <c r="J99" i="180" a="1"/>
  <c r="N53" i="180" a="1"/>
  <c r="T18" i="180" a="1"/>
  <c r="W102" i="180" a="1"/>
  <c r="T17" i="180" a="1"/>
  <c r="S11" i="180" a="1"/>
  <c r="X101" i="180" a="1"/>
  <c r="J61" i="180" a="1"/>
  <c r="E18" i="180" a="1"/>
  <c r="T70" i="180" a="1"/>
  <c r="W14" i="180" a="1"/>
  <c r="O13" i="180" a="1"/>
  <c r="E81" i="180" a="1"/>
  <c r="X81" i="180" a="1"/>
  <c r="W73" i="180" a="1"/>
  <c r="H12" i="180" a="1"/>
  <c r="M10" i="180" a="1"/>
  <c r="E42" i="180" a="1"/>
  <c r="S56" i="180" a="1"/>
  <c r="W91" i="180" a="1"/>
  <c r="I89" i="180" a="1"/>
  <c r="J64" i="180" a="1"/>
  <c r="W8" i="180" a="1"/>
  <c r="J92" i="180" a="1"/>
  <c r="M95" i="180" a="1"/>
  <c r="S13" i="180" a="1"/>
  <c r="O101" i="180" a="1"/>
  <c r="M94" i="180" a="1"/>
  <c r="N40" i="180" a="1"/>
  <c r="I102" i="180" a="1"/>
  <c r="H99" i="180" a="1"/>
  <c r="H104" i="180" a="1"/>
  <c r="N69" i="180" a="1"/>
  <c r="T10" i="180" a="1"/>
  <c r="I64" i="180" a="1"/>
  <c r="W66" i="180" a="1"/>
  <c r="X74" i="180" a="1"/>
  <c r="S65" i="180" a="1"/>
  <c r="I12" i="180" a="1"/>
  <c r="S39" i="180" a="1"/>
  <c r="M66" i="180" a="1"/>
  <c r="T89" i="180" a="1"/>
  <c r="I43" i="180" a="1"/>
  <c r="E91" i="180" a="1"/>
  <c r="H80" i="180" a="1"/>
  <c r="O96" i="180" a="1"/>
  <c r="N64" i="180" a="1"/>
  <c r="T80" i="180" a="1"/>
  <c r="E56" i="180" a="1"/>
  <c r="W52" i="180" a="1"/>
  <c r="X62" i="180" a="1"/>
  <c r="S18" i="180" a="1"/>
  <c r="N59" i="180" a="1"/>
  <c r="X56" i="180" a="1"/>
  <c r="N60" i="180" a="1"/>
  <c r="H74" i="180" a="1"/>
  <c r="N42" i="180" a="1"/>
  <c r="W7" i="180" a="1"/>
  <c r="E31" i="180" a="1"/>
  <c r="X95" i="180" a="1"/>
  <c r="J21" i="180" a="1"/>
  <c r="I39" i="180" a="1"/>
  <c r="E33" i="180" a="1"/>
  <c r="N8" i="180" a="1"/>
  <c r="H61" i="180" a="1"/>
  <c r="O91" i="180" a="1"/>
  <c r="N41" i="180" a="1"/>
  <c r="J13" i="180" a="1"/>
  <c r="I99" i="180" a="1"/>
  <c r="I85" i="180" a="1"/>
  <c r="N54" i="180" a="1"/>
  <c r="T56" i="180" a="1"/>
  <c r="O103" i="180" a="1"/>
  <c r="I47" i="180" a="1"/>
  <c r="J7" i="180" a="1"/>
  <c r="H44" i="180" a="1"/>
  <c r="E69" i="180" a="1"/>
  <c r="J103" i="180" a="1"/>
  <c r="T98" i="180" a="1"/>
  <c r="T102" i="180" a="1"/>
  <c r="T41" i="180" a="1"/>
  <c r="X52" i="180" a="1"/>
  <c r="T97" i="180" a="1"/>
  <c r="M74" i="180" a="1"/>
  <c r="O53" i="180" a="1"/>
  <c r="T58" i="180" a="1"/>
  <c r="E53" i="180" a="1"/>
  <c r="N86" i="180" a="1"/>
  <c r="X46" i="180" a="1"/>
  <c r="I42" i="180" a="1"/>
  <c r="E17" i="180" a="1"/>
  <c r="M52" i="180" a="1"/>
  <c r="N51" i="180" a="1"/>
  <c r="O100" i="180" a="1"/>
  <c r="E78" i="180" a="1"/>
  <c r="T47" i="180" a="1"/>
  <c r="N12" i="180" a="1"/>
  <c r="N80" i="180" a="1"/>
  <c r="E96" i="180" a="1"/>
  <c r="I44" i="180" a="1"/>
  <c r="M8" i="180" a="1"/>
  <c r="I67" i="180" a="1"/>
  <c r="X102" i="180" a="1"/>
  <c r="T99" i="180" a="1"/>
  <c r="N104" i="180" a="1"/>
  <c r="I54" i="180" a="1"/>
  <c r="X60" i="180" a="1"/>
  <c r="N81" i="180" a="1"/>
  <c r="J80" i="180" a="1"/>
  <c r="S97" i="180" a="1"/>
  <c r="W54" i="180" a="1"/>
  <c r="J70" i="180" a="1"/>
  <c r="X94" i="180" a="1"/>
  <c r="E74" i="180" a="1"/>
  <c r="O51" i="180" a="1"/>
  <c r="W13" i="180" a="1"/>
  <c r="O11" i="180" a="1"/>
  <c r="T65" i="180" a="1"/>
  <c r="J42" i="180" a="1"/>
  <c r="T84" i="180" a="1"/>
  <c r="M39" i="180" a="1"/>
  <c r="W61" i="180" a="1"/>
  <c r="O14" i="180" a="1"/>
  <c r="J62" i="180" a="1"/>
  <c r="T16" i="180" a="1"/>
  <c r="O10" i="180" a="1"/>
  <c r="M40" i="180" a="1"/>
  <c r="H100" i="180" a="1"/>
  <c r="X98" i="180" a="1"/>
  <c r="I80" i="180" a="1"/>
  <c r="O47" i="180" a="1"/>
  <c r="H49" i="180" a="1"/>
  <c r="T93" i="180" a="1"/>
  <c r="N52" i="180" a="1"/>
  <c r="S58" i="180" a="1"/>
  <c r="I86" i="180" a="1"/>
  <c r="E58" i="180" a="1"/>
  <c r="I58" i="180" a="1"/>
  <c r="E27" i="180" a="1"/>
  <c r="N85" i="180" a="1"/>
  <c r="M101" i="180" a="1"/>
  <c r="S80" i="180" a="1"/>
  <c r="O39" i="180" a="1"/>
  <c r="I59" i="180" a="1"/>
  <c r="I10" i="180" a="1"/>
  <c r="M53" i="180" a="1"/>
  <c r="H47" i="180" a="1"/>
  <c r="O49" i="180" a="1"/>
  <c r="T64" i="180" a="1"/>
  <c r="O54" i="180" a="1"/>
  <c r="W18" i="180" a="1"/>
  <c r="I46" i="180" a="1"/>
  <c r="X70" i="180" a="1"/>
  <c r="X91" i="180" a="1"/>
  <c r="S53" i="180" a="1"/>
  <c r="X85" i="180" a="1"/>
  <c r="N82" i="180" a="1"/>
  <c r="O61" i="180" a="1"/>
  <c r="J93" i="180" a="1"/>
  <c r="T74" i="180" a="1"/>
  <c r="S73" i="180" a="1"/>
  <c r="W81" i="180" a="1"/>
  <c r="E16" i="180" a="1"/>
  <c r="S8" i="180" a="1"/>
  <c r="E34" i="180" a="1"/>
  <c r="E54" i="180" a="1"/>
  <c r="M43" i="180" a="1"/>
  <c r="N94" i="180" a="1"/>
  <c r="O97" i="180" a="1"/>
  <c r="E87" i="180" a="1"/>
  <c r="E88" i="180" a="1"/>
  <c r="X71" i="180" a="1"/>
  <c r="H48" i="180" a="1"/>
  <c r="N91" i="180" a="1"/>
  <c r="H64" i="180" a="1"/>
  <c r="N7" i="180" a="1"/>
  <c r="O12" i="180" a="1"/>
  <c r="T60" i="180" a="1"/>
  <c r="M21" i="180" a="1"/>
  <c r="E21" i="180" a="1"/>
  <c r="I41" i="180" a="1"/>
  <c r="I69" i="180" a="1"/>
  <c r="S7" i="180" a="1"/>
  <c r="S81" i="180" a="1"/>
  <c r="J59" i="180" a="1"/>
  <c r="X51" i="180" a="1"/>
  <c r="I92" i="180" a="1"/>
  <c r="S92" i="180" a="1"/>
  <c r="X21" i="180" a="1"/>
  <c r="O98" i="180" a="1"/>
  <c r="M100" i="180" a="1"/>
  <c r="I53" i="180" a="1"/>
  <c r="T81" i="180" a="1"/>
  <c r="N62" i="180" a="1"/>
  <c r="N99" i="180" a="1"/>
  <c r="W98" i="180" a="1"/>
  <c r="E39" i="180" a="1"/>
  <c r="H68" i="180" a="1"/>
  <c r="T52" i="180" a="1"/>
  <c r="E80" i="180" a="1"/>
  <c r="E71" i="180" a="1"/>
  <c r="W93" i="180" a="1"/>
  <c r="N14" i="180" a="1"/>
  <c r="I61" i="180" a="1"/>
  <c r="H70" i="180" a="1"/>
  <c r="W88" i="180" a="1"/>
  <c r="T13" i="180" a="1"/>
  <c r="X55" i="180" a="1"/>
  <c r="X66" i="180" a="1"/>
  <c r="W74" i="180" a="1"/>
  <c r="T73" i="180" a="1"/>
  <c r="S104" i="180" a="1"/>
  <c r="T62" i="180" a="1"/>
  <c r="T86" i="180" a="1"/>
  <c r="M104" i="180" a="1"/>
  <c r="E60" i="180" a="1"/>
  <c r="I91" i="180" a="1"/>
  <c r="N84" i="180" a="1"/>
  <c r="E52" i="180" a="1"/>
  <c r="T61" i="180" a="1"/>
  <c r="M67" i="180" a="1"/>
  <c r="I104" i="180" a="1"/>
  <c r="J55" i="180" a="1"/>
  <c r="M55" i="180" a="1"/>
  <c r="H7" i="180" a="1"/>
  <c r="X89" i="180" a="1"/>
  <c r="J95" i="180" a="1"/>
  <c r="H10" i="180" a="1"/>
  <c r="N100" i="180" a="1"/>
  <c r="S101" i="180" a="1"/>
  <c r="J100" i="180" a="1"/>
  <c r="I88" i="180" a="1"/>
  <c r="E67" i="180" a="1"/>
  <c r="T88" i="180" a="1"/>
  <c r="J53" i="180" a="1"/>
  <c r="N88" i="180" a="1"/>
  <c r="H11" i="180" a="1"/>
  <c r="O85" i="180" a="1"/>
  <c r="E10" i="180" a="1"/>
  <c r="E13" i="180" a="1"/>
  <c r="S51" i="180" a="1"/>
  <c r="O93" i="180" a="1"/>
  <c r="O66" i="180" a="1"/>
  <c r="W70" i="180" a="1"/>
  <c r="O84" i="180" a="1"/>
  <c r="J96" i="180" a="1"/>
  <c r="T59" i="180" a="1"/>
  <c r="H69" i="180" a="1"/>
  <c r="H59" i="180" a="1"/>
  <c r="W21" i="180" a="1"/>
  <c r="X64" i="180" a="1"/>
  <c r="E102" i="180" a="1"/>
  <c r="E72" i="180" a="1"/>
  <c r="S59" i="180" a="1"/>
  <c r="E66" i="180" a="1"/>
  <c r="N13" i="180" a="1"/>
  <c r="N96" i="180" a="1"/>
  <c r="J41" i="180" a="1"/>
  <c r="I51" i="180" a="1"/>
  <c r="J101" i="180" a="1"/>
  <c r="N66" i="180" a="1"/>
  <c r="W10" i="180" a="1"/>
  <c r="X53" i="180" a="1"/>
  <c r="N92" i="180" a="1"/>
  <c r="H87" i="180" a="1"/>
  <c r="M89" i="180" a="1"/>
  <c r="T39" i="180" a="1"/>
  <c r="E65" i="180" a="1"/>
  <c r="J12" i="180" a="1"/>
  <c r="T101" i="180" a="1"/>
  <c r="H42" i="180" a="1"/>
  <c r="S61" i="180" a="1"/>
  <c r="E89" i="180" a="1"/>
  <c r="T100" i="180" a="1"/>
  <c r="W60" i="180" a="1"/>
  <c r="T66" i="180" a="1"/>
  <c r="X39" i="180" a="1"/>
  <c r="S96" i="180" a="1"/>
  <c r="E83" i="180" a="1"/>
  <c r="I103" i="180" a="1"/>
  <c r="J102" i="180" a="1"/>
  <c r="H91" i="180" a="1"/>
  <c r="J94" i="180" a="1"/>
  <c r="E84" i="180" a="1"/>
  <c r="X7" i="180" a="1"/>
  <c r="I98" i="180" a="1"/>
  <c r="W99" i="180" a="1"/>
  <c r="O21" i="180" a="1"/>
  <c r="I11" i="180" a="1"/>
  <c r="E14" i="180" a="1"/>
  <c r="I7" i="180" a="1"/>
  <c r="I73" i="180" a="1"/>
  <c r="W104" i="180" a="1"/>
  <c r="X41" i="180" a="1"/>
  <c r="T92" i="180" a="1"/>
  <c r="M102" i="180" a="1"/>
  <c r="X93" i="180" a="1"/>
  <c r="O86" i="180" a="1"/>
  <c r="M93" i="180" a="1"/>
  <c r="N101" i="180" a="1"/>
  <c r="X10" i="180" a="1"/>
  <c r="I49" i="180" a="1"/>
  <c r="X99" i="180" a="1"/>
  <c r="X13" i="180" a="1"/>
  <c r="M59" i="180" a="1"/>
  <c r="O99" i="180" a="1"/>
  <c r="H73" i="180" a="1"/>
  <c r="E92" i="180" a="1"/>
  <c r="M79" i="180" a="1"/>
  <c r="H82" i="180" a="1"/>
  <c r="H71" i="180" a="1"/>
  <c r="H21" i="180" a="1"/>
  <c r="H103" i="180" a="1"/>
  <c r="E36" i="180" a="1"/>
  <c r="W101" i="180" a="1"/>
  <c r="N65" i="180" a="1"/>
  <c r="J48" i="180" a="1"/>
  <c r="X49" i="180" a="1"/>
  <c r="W103" i="180" a="1"/>
  <c r="S91" i="180" a="1"/>
  <c r="S64" i="180" a="1"/>
  <c r="J10" i="180" a="1"/>
  <c r="O94" i="180" a="1"/>
  <c r="M85" i="180" a="1"/>
  <c r="W84" i="180" a="1"/>
  <c r="I74" i="180" a="1"/>
  <c r="O62" i="180" a="1"/>
  <c r="E97" i="180" a="1"/>
  <c r="W16" i="180" a="1"/>
  <c r="X17" i="180" a="1"/>
  <c r="I97" i="180" a="1"/>
  <c r="E70" i="180" a="1"/>
  <c r="S17" i="180" a="1"/>
  <c r="O46" i="180" a="1"/>
  <c r="E49" i="180" a="1"/>
  <c r="H89" i="180" a="1"/>
  <c r="E7" i="180" a="1"/>
  <c r="N89" i="180" a="1"/>
  <c r="T91" i="180" a="1"/>
  <c r="X16" i="180" a="1"/>
  <c r="T12" i="180" a="1"/>
  <c r="I96" i="180" a="1"/>
  <c r="W17" i="180" a="1"/>
  <c r="T8" i="180" a="1"/>
  <c r="N39" i="180" a="1"/>
  <c r="H85" i="180" a="1"/>
  <c r="T49" i="180" a="1"/>
  <c r="I70" i="180" a="1"/>
  <c r="M44" i="180" a="1"/>
  <c r="W80" i="180" a="1"/>
  <c r="N47" i="180" a="1"/>
  <c r="H95" i="180" a="1"/>
  <c r="M99" i="180" a="1"/>
  <c r="N56" i="180" a="1"/>
  <c r="H96" i="180" a="1"/>
  <c r="M56" i="180" a="1"/>
  <c r="E32" i="180" a="1"/>
  <c r="M42" i="180" a="1"/>
  <c r="E61" i="180" a="1"/>
  <c r="O58" i="180" a="1"/>
  <c r="T53" i="180" a="1"/>
  <c r="O55" i="180" a="1"/>
  <c r="T94" i="180" a="1"/>
  <c r="X92" i="180" a="1"/>
  <c r="S99" i="180" a="1"/>
  <c r="J91" i="180" a="1"/>
  <c r="M68" i="180" a="1"/>
  <c r="T87" i="180" a="1"/>
  <c r="M70" i="180" a="1"/>
  <c r="S84" i="180" a="1"/>
  <c r="I52" i="180" a="1"/>
  <c r="W11" i="180" a="1"/>
  <c r="W12" i="180" a="1"/>
  <c r="N55" i="180" a="1"/>
  <c r="I93" i="180" a="1"/>
  <c r="S54" i="180" a="1"/>
  <c r="W71" i="180" a="1"/>
  <c r="T14" i="180" a="1"/>
  <c r="J58" i="180" a="1"/>
  <c r="M65" i="180" a="1"/>
  <c r="H94" i="180" a="1"/>
  <c r="M96" i="180" a="1"/>
  <c r="S88" i="180" a="1"/>
  <c r="O102" i="180" a="1"/>
  <c r="T7" i="180" a="1"/>
  <c r="S93" i="180" a="1"/>
  <c r="W65" i="180" a="1"/>
  <c r="X14" i="180" a="1"/>
  <c r="E11" i="180" a="1"/>
  <c r="E101" i="180" a="1"/>
  <c r="J54" i="180" a="1"/>
  <c r="H86" i="180" a="1"/>
  <c r="W56" i="180" a="1"/>
  <c r="H98" i="180" a="1"/>
  <c r="T51" i="180" a="1"/>
  <c r="N74" i="180" a="1"/>
  <c r="T96" i="180" a="1"/>
  <c r="W51" i="180" a="1"/>
  <c r="X88" i="180" a="1"/>
  <c r="O80" i="180" a="1"/>
  <c r="H52" i="180" a="1"/>
  <c r="T104" i="180" a="1"/>
  <c r="H58" i="180" a="1"/>
  <c r="E100" i="180" a="1"/>
  <c r="S98" i="180" a="1"/>
  <c r="M86" i="180" a="1"/>
  <c r="N68" i="180" a="1"/>
  <c r="W97" i="180" a="1"/>
  <c r="S14" i="180" a="1"/>
  <c r="X59" i="180" a="1"/>
  <c r="H79" i="180" a="1"/>
  <c r="N103" i="180" a="1"/>
  <c r="X54" i="180" a="1"/>
  <c r="N10" i="180" a="1"/>
  <c r="E86" i="180" a="1"/>
  <c r="I56" i="180" a="1"/>
  <c r="O59" i="180" a="1"/>
  <c r="H67" i="180" a="1"/>
  <c r="X8" i="180" a="1"/>
  <c r="E25" i="180" a="1"/>
  <c r="H62" i="180" a="1"/>
  <c r="S87" i="180" a="1"/>
  <c r="H53" i="180" a="1"/>
  <c r="J14" i="180" a="1"/>
  <c r="I40" i="180" a="1"/>
  <c r="S100" i="180" a="1"/>
  <c r="N61" i="180" a="1"/>
  <c r="E77" i="180" a="1"/>
  <c r="O104" i="180" a="1"/>
  <c r="E68" i="180" a="1"/>
  <c r="E51" i="180" a="1"/>
  <c r="H88" i="180" a="1"/>
  <c r="E79" i="180" a="1"/>
  <c r="E30" i="180" a="1"/>
  <c r="X86" i="180" a="1"/>
  <c r="E44" i="180" a="1"/>
  <c r="N21" i="180" a="1"/>
  <c r="O48" i="180" a="1"/>
  <c r="T71" i="180" a="1"/>
  <c r="W86" i="180" a="1"/>
  <c r="X48" i="180" a="1"/>
  <c r="E29" i="180" a="1"/>
  <c r="J98" i="180" a="1"/>
  <c r="H43" i="180" a="1"/>
  <c r="I68" i="180" a="1"/>
  <c r="N79" i="180" a="1"/>
  <c r="I35" i="219" l="1"/>
  <c r="I28" i="190"/>
  <c r="I36" i="219"/>
  <c r="J28" i="190"/>
  <c r="H36" i="219"/>
  <c r="J27" i="190"/>
  <c r="O27" i="190" s="1"/>
  <c r="H35" i="219"/>
  <c r="I27" i="190"/>
  <c r="N27" i="190" s="1"/>
  <c r="O28" i="190"/>
  <c r="N28" i="190"/>
  <c r="N29" i="190"/>
  <c r="O29" i="190"/>
  <c r="X89" i="293"/>
  <c r="V85" i="299" s="1"/>
  <c r="X56" i="293"/>
  <c r="V52" i="299" s="1"/>
  <c r="X18" i="293"/>
  <c r="V14" i="299" s="1"/>
  <c r="X19" i="293"/>
  <c r="V15" i="299" s="1"/>
  <c r="X49" i="293"/>
  <c r="V45" i="299" s="1"/>
  <c r="X62" i="293"/>
  <c r="V58" i="299" s="1"/>
  <c r="M62" i="293" a="1"/>
  <c r="M62" i="293" s="1"/>
  <c r="K58" i="299" s="1"/>
  <c r="R93" i="293" a="1"/>
  <c r="R93" i="293" s="1"/>
  <c r="P89" i="299" s="1"/>
  <c r="U94" i="293" a="1"/>
  <c r="U94" i="293" s="1"/>
  <c r="S90" i="299" s="1"/>
  <c r="N8" i="293" a="1"/>
  <c r="N8" i="293" s="1"/>
  <c r="L4" i="299" s="1"/>
  <c r="U9" i="180"/>
  <c r="P9" i="180"/>
  <c r="Y9" i="180"/>
  <c r="R94" i="293" a="1"/>
  <c r="R94" i="293" s="1"/>
  <c r="P90" i="299" s="1"/>
  <c r="K9" i="180"/>
  <c r="U8" i="293" a="1"/>
  <c r="U8" i="293" s="1"/>
  <c r="S4" i="299" s="1"/>
  <c r="J8" i="293" a="1"/>
  <c r="J8" i="293" s="1"/>
  <c r="H4" i="299" s="1"/>
  <c r="R8" i="293" a="1"/>
  <c r="R8" i="293" s="1"/>
  <c r="P4" i="299" s="1"/>
  <c r="U93" i="293" a="1"/>
  <c r="U93" i="293" s="1"/>
  <c r="S89" i="299" s="1"/>
  <c r="M49" i="293" a="1"/>
  <c r="M49" i="293" s="1"/>
  <c r="K45" i="299" s="1"/>
  <c r="M19" i="293" a="1"/>
  <c r="M19" i="293" s="1"/>
  <c r="K15" i="299" s="1"/>
  <c r="M89" i="293" a="1"/>
  <c r="M89" i="293" s="1"/>
  <c r="K85" i="299" s="1"/>
  <c r="I18" i="293" a="1"/>
  <c r="I18" i="293" s="1"/>
  <c r="G14" i="299" s="1"/>
  <c r="M56" i="293" a="1"/>
  <c r="M56" i="293" s="1"/>
  <c r="K52" i="299" s="1"/>
  <c r="M18" i="293" a="1"/>
  <c r="M18" i="293" s="1"/>
  <c r="K14" i="299" s="1"/>
  <c r="T18" i="293" a="1"/>
  <c r="T18" i="293" s="1"/>
  <c r="R14" i="299" s="1"/>
  <c r="T89" i="293" a="1"/>
  <c r="T89" i="293" s="1"/>
  <c r="R85" i="299" s="1"/>
  <c r="I62" i="293" a="1"/>
  <c r="I62" i="293" s="1"/>
  <c r="G58" i="299" s="1"/>
  <c r="I19" i="293" a="1"/>
  <c r="I19" i="293" s="1"/>
  <c r="G15" i="299" s="1"/>
  <c r="I49" i="293" a="1"/>
  <c r="I49" i="293" s="1"/>
  <c r="G45" i="299" s="1"/>
  <c r="I89" i="293" a="1"/>
  <c r="I89" i="293" s="1"/>
  <c r="G85" i="299" s="1"/>
  <c r="I56" i="293" a="1"/>
  <c r="I56" i="293" s="1"/>
  <c r="G52" i="299" s="1"/>
  <c r="W49" i="293" a="1"/>
  <c r="W49" i="293" s="1"/>
  <c r="U45" i="299" s="1"/>
  <c r="W62" i="293" a="1"/>
  <c r="W62" i="293" s="1"/>
  <c r="U58" i="299" s="1"/>
  <c r="W89" i="293" a="1"/>
  <c r="W89" i="293" s="1"/>
  <c r="U85" i="299" s="1"/>
  <c r="W56" i="293" a="1"/>
  <c r="W56" i="293" s="1"/>
  <c r="U52" i="299" s="1"/>
  <c r="W19" i="293" a="1"/>
  <c r="W19" i="293" s="1"/>
  <c r="U15" i="299" s="1"/>
  <c r="O8" i="293" a="1"/>
  <c r="O8" i="293" s="1"/>
  <c r="M4" i="299" s="1"/>
  <c r="K8" i="293" a="1"/>
  <c r="K8" i="293" s="1"/>
  <c r="I4" i="299" s="1"/>
  <c r="W18" i="293" a="1"/>
  <c r="W18" i="293" s="1"/>
  <c r="U14" i="299" s="1"/>
  <c r="Q49" i="293" a="1"/>
  <c r="Q49" i="293" s="1"/>
  <c r="O45" i="299" s="1"/>
  <c r="Q56" i="293" a="1"/>
  <c r="Q56" i="293" s="1"/>
  <c r="O52" i="299" s="1"/>
  <c r="Q62" i="293" a="1"/>
  <c r="Q62" i="293" s="1"/>
  <c r="O58" i="299" s="1"/>
  <c r="Q89" i="293" a="1"/>
  <c r="Q89" i="293" s="1"/>
  <c r="O85" i="299" s="1"/>
  <c r="Q19" i="293" a="1"/>
  <c r="Q19" i="293" s="1"/>
  <c r="O15" i="299" s="1"/>
  <c r="Q18" i="293" a="1"/>
  <c r="Q18" i="293" s="1"/>
  <c r="O14" i="299" s="1"/>
  <c r="T49" i="293" a="1"/>
  <c r="T49" i="293" s="1"/>
  <c r="R45" i="299" s="1"/>
  <c r="T56" i="293" a="1"/>
  <c r="T56" i="293" s="1"/>
  <c r="R52" i="299" s="1"/>
  <c r="T62" i="293" a="1"/>
  <c r="T62" i="293" s="1"/>
  <c r="R58" i="299" s="1"/>
  <c r="T19" i="293" a="1"/>
  <c r="T19" i="293" s="1"/>
  <c r="R15" i="299" s="1"/>
  <c r="N9" i="237"/>
  <c r="N8" i="237"/>
  <c r="N8" i="239"/>
  <c r="N9" i="239"/>
  <c r="N11" i="239" s="1"/>
  <c r="F20" i="239" s="1"/>
  <c r="N8" i="240"/>
  <c r="N9" i="240"/>
  <c r="N9" i="236"/>
  <c r="N8" i="236"/>
  <c r="N10" i="236"/>
  <c r="O9" i="236"/>
  <c r="O10" i="236"/>
  <c r="O8" i="236"/>
  <c r="M10" i="238"/>
  <c r="M8" i="238"/>
  <c r="M9" i="238"/>
  <c r="N8" i="238"/>
  <c r="N9" i="238"/>
  <c r="N10" i="238"/>
  <c r="M10" i="242"/>
  <c r="M8" i="242"/>
  <c r="M11" i="242" s="1"/>
  <c r="E20" i="242" s="1"/>
  <c r="M9" i="242"/>
  <c r="N10" i="242"/>
  <c r="N8" i="242"/>
  <c r="N9" i="242"/>
  <c r="O10" i="242"/>
  <c r="O8" i="242"/>
  <c r="O9" i="242"/>
  <c r="E21" i="236"/>
  <c r="M9" i="236"/>
  <c r="M8" i="236"/>
  <c r="M10" i="236"/>
  <c r="O8" i="239"/>
  <c r="O9" i="239"/>
  <c r="M8" i="240"/>
  <c r="M9" i="240"/>
  <c r="O9" i="238"/>
  <c r="O10" i="238"/>
  <c r="O8" i="238"/>
  <c r="O8" i="240"/>
  <c r="O9" i="240"/>
  <c r="O11" i="240" s="1"/>
  <c r="G20" i="240" s="1"/>
  <c r="O9" i="237"/>
  <c r="O8" i="237"/>
  <c r="M9" i="239"/>
  <c r="M8" i="239"/>
  <c r="M8" i="237"/>
  <c r="M9" i="237"/>
  <c r="L10" i="238"/>
  <c r="L9" i="238"/>
  <c r="L8" i="238"/>
  <c r="L10" i="242"/>
  <c r="L8" i="242"/>
  <c r="L9" i="242"/>
  <c r="D18" i="239"/>
  <c r="L9" i="239"/>
  <c r="L8" i="239"/>
  <c r="L9" i="240"/>
  <c r="L8" i="240"/>
  <c r="L10" i="236"/>
  <c r="L9" i="236"/>
  <c r="L8" i="236"/>
  <c r="L8" i="237"/>
  <c r="L9" i="237"/>
  <c r="N7" i="180"/>
  <c r="I14" i="180"/>
  <c r="T13" i="180"/>
  <c r="S7" i="180"/>
  <c r="I7" i="180"/>
  <c r="W8" i="180"/>
  <c r="M98" i="180"/>
  <c r="M10" i="180"/>
  <c r="O7" i="180"/>
  <c r="J14" i="180"/>
  <c r="T7" i="180"/>
  <c r="E10" i="180"/>
  <c r="E98" i="180"/>
  <c r="E13" i="180"/>
  <c r="H7" i="180"/>
  <c r="X12" i="180"/>
  <c r="O13" i="180"/>
  <c r="O98" i="180"/>
  <c r="O10" i="180"/>
  <c r="E12" i="180"/>
  <c r="W13" i="180"/>
  <c r="E14" i="180"/>
  <c r="T98" i="180"/>
  <c r="T10" i="180"/>
  <c r="M8" i="180"/>
  <c r="X10" i="180"/>
  <c r="X98" i="180"/>
  <c r="J7" i="180"/>
  <c r="W12" i="180"/>
  <c r="N13" i="180"/>
  <c r="N98" i="180"/>
  <c r="N10" i="180"/>
  <c r="H11" i="180"/>
  <c r="S12" i="180"/>
  <c r="X13" i="180"/>
  <c r="S98" i="180"/>
  <c r="S10" i="180"/>
  <c r="N8" i="180"/>
  <c r="N12" i="180"/>
  <c r="T8" i="180"/>
  <c r="N14" i="180"/>
  <c r="J11" i="180"/>
  <c r="T12" i="180"/>
  <c r="M11" i="180"/>
  <c r="O8" i="180"/>
  <c r="W98" i="180"/>
  <c r="W10" i="180"/>
  <c r="M12" i="180"/>
  <c r="S8" i="180"/>
  <c r="O14" i="180"/>
  <c r="E7" i="180"/>
  <c r="I11" i="180"/>
  <c r="E11" i="180"/>
  <c r="O11" i="180"/>
  <c r="W7" i="180"/>
  <c r="H98" i="180"/>
  <c r="H10" i="180"/>
  <c r="O12" i="180"/>
  <c r="J12" i="180"/>
  <c r="S14" i="180"/>
  <c r="X11" i="180"/>
  <c r="S11" i="180"/>
  <c r="N11" i="180"/>
  <c r="X14" i="180"/>
  <c r="X7" i="180"/>
  <c r="J98" i="180"/>
  <c r="J10" i="180"/>
  <c r="J13" i="180"/>
  <c r="X8" i="180"/>
  <c r="I12" i="180"/>
  <c r="W11" i="180"/>
  <c r="M7" i="180"/>
  <c r="T11" i="180"/>
  <c r="S13" i="180"/>
  <c r="W14" i="180"/>
  <c r="I98" i="180"/>
  <c r="I10" i="180"/>
  <c r="I13" i="180"/>
  <c r="H12" i="180"/>
  <c r="T14" i="180"/>
  <c r="E18" i="225"/>
  <c r="E18" i="226"/>
  <c r="E18" i="227"/>
  <c r="D18" i="227"/>
  <c r="D18" i="225"/>
  <c r="D18" i="226"/>
  <c r="V8" i="293" a="1"/>
  <c r="V8" i="293" s="1"/>
  <c r="T4" i="299" s="1"/>
  <c r="S8" i="293" a="1"/>
  <c r="S8" i="293" s="1"/>
  <c r="Q4" i="299" s="1"/>
  <c r="P8" i="293" a="1"/>
  <c r="P8" i="293" s="1"/>
  <c r="N4" i="299" s="1"/>
  <c r="L8" i="293" a="1"/>
  <c r="L8" i="293" s="1"/>
  <c r="J4" i="299" s="1"/>
  <c r="AC9" i="180"/>
  <c r="F8" i="293"/>
  <c r="D4" i="299" s="1"/>
  <c r="D19" i="276"/>
  <c r="O18" i="28"/>
  <c r="M63" i="277"/>
  <c r="K58" i="277" s="1"/>
  <c r="D20" i="277" s="1"/>
  <c r="N63" i="278"/>
  <c r="L58" i="278" s="1"/>
  <c r="E20" i="278" s="1"/>
  <c r="N63" i="277"/>
  <c r="L58" i="277" s="1"/>
  <c r="L57" i="277"/>
  <c r="M63" i="278"/>
  <c r="K58" i="278" s="1"/>
  <c r="D20" i="278" s="1"/>
  <c r="H16" i="259"/>
  <c r="P19" i="276"/>
  <c r="N20" i="276"/>
  <c r="N18" i="276"/>
  <c r="L13" i="276" s="1"/>
  <c r="E19" i="276"/>
  <c r="O18" i="276"/>
  <c r="O20" i="276"/>
  <c r="M15" i="276" s="1"/>
  <c r="Q9" i="180"/>
  <c r="V94" i="180"/>
  <c r="Z94" i="180"/>
  <c r="V95" i="180"/>
  <c r="E18" i="276"/>
  <c r="D21" i="276"/>
  <c r="E21" i="276"/>
  <c r="V9" i="180"/>
  <c r="H21" i="256"/>
  <c r="G28" i="190"/>
  <c r="I34" i="219"/>
  <c r="BJ18" i="219" s="1"/>
  <c r="G29" i="190"/>
  <c r="F29" i="190"/>
  <c r="M29" i="190" s="1"/>
  <c r="G27" i="190"/>
  <c r="H34" i="219"/>
  <c r="BI18" i="219" s="1"/>
  <c r="I21" i="180"/>
  <c r="I80" i="180"/>
  <c r="N84" i="180"/>
  <c r="N65" i="180"/>
  <c r="N80" i="180"/>
  <c r="N21" i="180"/>
  <c r="I55" i="180"/>
  <c r="I54" i="180"/>
  <c r="N55" i="180"/>
  <c r="N54" i="180"/>
  <c r="I79" i="180"/>
  <c r="I40" i="180"/>
  <c r="N68" i="180"/>
  <c r="N43" i="180"/>
  <c r="N79" i="180"/>
  <c r="N40" i="180"/>
  <c r="N42" i="180"/>
  <c r="N41" i="180"/>
  <c r="I69" i="180"/>
  <c r="I44" i="180"/>
  <c r="I41" i="180"/>
  <c r="I42" i="180"/>
  <c r="N69" i="180"/>
  <c r="N44" i="180"/>
  <c r="N81" i="180"/>
  <c r="N66" i="180"/>
  <c r="I68" i="180"/>
  <c r="I43" i="180"/>
  <c r="N92" i="180"/>
  <c r="N51" i="180"/>
  <c r="I61" i="180"/>
  <c r="I62" i="180"/>
  <c r="I73" i="180"/>
  <c r="I88" i="180"/>
  <c r="I74" i="180"/>
  <c r="N86" i="180"/>
  <c r="N85" i="180"/>
  <c r="N88" i="180"/>
  <c r="N74" i="180"/>
  <c r="N73" i="180"/>
  <c r="I51" i="180"/>
  <c r="I92" i="180"/>
  <c r="I85" i="180"/>
  <c r="I86" i="180"/>
  <c r="N62" i="180"/>
  <c r="N61" i="180"/>
  <c r="N47" i="180"/>
  <c r="I47" i="180"/>
  <c r="N64" i="180"/>
  <c r="I91" i="180"/>
  <c r="I64" i="180"/>
  <c r="I48" i="180"/>
  <c r="I102" i="180"/>
  <c r="I89" i="180"/>
  <c r="N102" i="180"/>
  <c r="I100" i="180"/>
  <c r="I39" i="180"/>
  <c r="N97" i="180"/>
  <c r="N52" i="180"/>
  <c r="N104" i="180"/>
  <c r="N100" i="180"/>
  <c r="I70" i="180"/>
  <c r="I52" i="180"/>
  <c r="N53" i="180"/>
  <c r="I56" i="180"/>
  <c r="N82" i="180"/>
  <c r="I46" i="180"/>
  <c r="I58" i="180"/>
  <c r="N58" i="180"/>
  <c r="I104" i="180"/>
  <c r="I93" i="180"/>
  <c r="N99" i="180"/>
  <c r="N49" i="180"/>
  <c r="I60" i="180"/>
  <c r="I59" i="180"/>
  <c r="I53" i="180"/>
  <c r="N94" i="180"/>
  <c r="N48" i="180"/>
  <c r="N101" i="180"/>
  <c r="N91" i="180"/>
  <c r="N89" i="180"/>
  <c r="N93" i="180"/>
  <c r="N96" i="180"/>
  <c r="I49" i="180"/>
  <c r="I94" i="180"/>
  <c r="N95" i="180"/>
  <c r="I95" i="180"/>
  <c r="I101" i="180"/>
  <c r="N59" i="180"/>
  <c r="N39" i="180"/>
  <c r="N46" i="180"/>
  <c r="I99" i="180"/>
  <c r="N60" i="180"/>
  <c r="I97" i="180"/>
  <c r="N56" i="180"/>
  <c r="I67" i="180"/>
  <c r="I82" i="180"/>
  <c r="N67" i="180"/>
  <c r="I103" i="180"/>
  <c r="N70" i="180"/>
  <c r="I96" i="180"/>
  <c r="N103" i="180"/>
  <c r="AB9" i="180"/>
  <c r="H19" i="256"/>
  <c r="S12" i="253"/>
  <c r="D20" i="253" s="1"/>
  <c r="D19" i="252"/>
  <c r="D18" i="252"/>
  <c r="D20" i="252"/>
  <c r="H20" i="252" s="1"/>
  <c r="D18" i="251"/>
  <c r="H18" i="251" s="1"/>
  <c r="D20" i="251"/>
  <c r="H20" i="251" s="1"/>
  <c r="D19" i="251"/>
  <c r="X71" i="180"/>
  <c r="X87" i="180"/>
  <c r="O101" i="180"/>
  <c r="W96" i="180"/>
  <c r="T85" i="180"/>
  <c r="T86" i="180"/>
  <c r="H61" i="180"/>
  <c r="H62" i="180"/>
  <c r="J104" i="180"/>
  <c r="M91" i="180"/>
  <c r="H71" i="180"/>
  <c r="H87" i="180"/>
  <c r="E73" i="180"/>
  <c r="E74" i="180"/>
  <c r="E88" i="180"/>
  <c r="M102" i="180"/>
  <c r="T61" i="180"/>
  <c r="T62" i="180"/>
  <c r="S70" i="180"/>
  <c r="W70" i="180"/>
  <c r="H93" i="180"/>
  <c r="W73" i="180"/>
  <c r="W74" i="180"/>
  <c r="W88" i="180"/>
  <c r="S71" i="180"/>
  <c r="S87" i="180"/>
  <c r="J85" i="180"/>
  <c r="J86" i="180"/>
  <c r="J100" i="180"/>
  <c r="X103" i="180"/>
  <c r="M61" i="180"/>
  <c r="M62" i="180"/>
  <c r="E100" i="180"/>
  <c r="O96" i="180"/>
  <c r="W85" i="180"/>
  <c r="W86" i="180"/>
  <c r="W89" i="180"/>
  <c r="M101" i="180"/>
  <c r="J62" i="180"/>
  <c r="J61" i="180"/>
  <c r="M100" i="180"/>
  <c r="O91" i="180"/>
  <c r="E93" i="180"/>
  <c r="E71" i="180"/>
  <c r="E87" i="180"/>
  <c r="M89" i="180"/>
  <c r="O102" i="180"/>
  <c r="S93" i="180"/>
  <c r="X70" i="180"/>
  <c r="S99" i="180"/>
  <c r="W99" i="180"/>
  <c r="M96" i="180"/>
  <c r="W71" i="180"/>
  <c r="W87" i="180"/>
  <c r="E51" i="180"/>
  <c r="E92" i="180"/>
  <c r="W101" i="180"/>
  <c r="S85" i="180"/>
  <c r="S86" i="180"/>
  <c r="H104" i="180"/>
  <c r="S104" i="180"/>
  <c r="E103" i="180"/>
  <c r="M73" i="180"/>
  <c r="M74" i="180"/>
  <c r="M88" i="180"/>
  <c r="T93" i="180"/>
  <c r="J93" i="180"/>
  <c r="M99" i="180"/>
  <c r="E62" i="180"/>
  <c r="E61" i="180"/>
  <c r="W93" i="180"/>
  <c r="H85" i="180"/>
  <c r="H86" i="180"/>
  <c r="T99" i="180"/>
  <c r="S100" i="180"/>
  <c r="S51" i="180"/>
  <c r="S92" i="180"/>
  <c r="X99" i="180"/>
  <c r="S102" i="180"/>
  <c r="W102" i="180"/>
  <c r="H101" i="180"/>
  <c r="O51" i="180"/>
  <c r="O92" i="180"/>
  <c r="X101" i="180"/>
  <c r="W104" i="180"/>
  <c r="M85" i="180"/>
  <c r="M86" i="180"/>
  <c r="E102" i="180"/>
  <c r="E101" i="180"/>
  <c r="X91" i="180"/>
  <c r="H51" i="180"/>
  <c r="H92" i="180"/>
  <c r="O99" i="180"/>
  <c r="O93" i="180"/>
  <c r="X93" i="180"/>
  <c r="M70" i="180"/>
  <c r="T100" i="180"/>
  <c r="T51" i="180"/>
  <c r="T92" i="180"/>
  <c r="T102" i="180"/>
  <c r="X102" i="180"/>
  <c r="S64" i="180"/>
  <c r="H73" i="180"/>
  <c r="H74" i="180"/>
  <c r="H88" i="180"/>
  <c r="O85" i="180"/>
  <c r="O86" i="180"/>
  <c r="T104" i="180"/>
  <c r="E70" i="180"/>
  <c r="T89" i="180"/>
  <c r="W100" i="180"/>
  <c r="W91" i="180"/>
  <c r="J51" i="180"/>
  <c r="J92" i="180"/>
  <c r="M93" i="180"/>
  <c r="W64" i="180"/>
  <c r="O70" i="180"/>
  <c r="S73" i="180"/>
  <c r="S74" i="180"/>
  <c r="S88" i="180"/>
  <c r="T91" i="180"/>
  <c r="E99" i="180"/>
  <c r="M103" i="180"/>
  <c r="J101" i="180"/>
  <c r="J102" i="180"/>
  <c r="M51" i="180"/>
  <c r="M92" i="180"/>
  <c r="X104" i="180"/>
  <c r="T64" i="180"/>
  <c r="M64" i="180"/>
  <c r="J91" i="180"/>
  <c r="T101" i="180"/>
  <c r="S89" i="180"/>
  <c r="X100" i="180"/>
  <c r="X62" i="180"/>
  <c r="X61" i="180"/>
  <c r="H99" i="180"/>
  <c r="E91" i="180"/>
  <c r="E89" i="180"/>
  <c r="H64" i="180"/>
  <c r="T73" i="180"/>
  <c r="T74" i="180"/>
  <c r="T88" i="180"/>
  <c r="S91" i="180"/>
  <c r="T96" i="180"/>
  <c r="H102" i="180"/>
  <c r="X96" i="180"/>
  <c r="H89" i="180"/>
  <c r="E96" i="180"/>
  <c r="E104" i="180"/>
  <c r="O104" i="180"/>
  <c r="E64" i="180"/>
  <c r="S103" i="180"/>
  <c r="J103" i="180"/>
  <c r="S101" i="180"/>
  <c r="T70" i="180"/>
  <c r="H70" i="180"/>
  <c r="J99" i="180"/>
  <c r="X64" i="180"/>
  <c r="W51" i="180"/>
  <c r="W92" i="180"/>
  <c r="H100" i="180"/>
  <c r="J96" i="180"/>
  <c r="E85" i="180"/>
  <c r="E86" i="180"/>
  <c r="O103" i="180"/>
  <c r="S96" i="180"/>
  <c r="M104" i="180"/>
  <c r="O100" i="180"/>
  <c r="O64" i="180"/>
  <c r="T103" i="180"/>
  <c r="H91" i="180"/>
  <c r="H103" i="180"/>
  <c r="S62" i="180"/>
  <c r="S61" i="180"/>
  <c r="W62" i="180"/>
  <c r="W61" i="180"/>
  <c r="J70" i="180"/>
  <c r="X73" i="180"/>
  <c r="X74" i="180"/>
  <c r="X88" i="180"/>
  <c r="T71" i="180"/>
  <c r="T87" i="180"/>
  <c r="X51" i="180"/>
  <c r="X92" i="180"/>
  <c r="W103" i="180"/>
  <c r="O61" i="180"/>
  <c r="O62" i="180"/>
  <c r="H96" i="180"/>
  <c r="J64" i="180"/>
  <c r="X85" i="180"/>
  <c r="X86" i="180"/>
  <c r="X89" i="180"/>
  <c r="H33" i="219"/>
  <c r="AZ18" i="219" s="1"/>
  <c r="M27" i="190"/>
  <c r="E27" i="190"/>
  <c r="L27" i="190" s="1"/>
  <c r="E28" i="190"/>
  <c r="L28" i="190" s="1"/>
  <c r="I33" i="219"/>
  <c r="BA18" i="219" s="1"/>
  <c r="M28" i="190"/>
  <c r="H16" i="251"/>
  <c r="H17" i="251"/>
  <c r="H17" i="252"/>
  <c r="H16" i="252"/>
  <c r="H18" i="259"/>
  <c r="Z9" i="180"/>
  <c r="Z95" i="180"/>
  <c r="V12" i="258"/>
  <c r="G20" i="258" s="1"/>
  <c r="L9" i="180"/>
  <c r="E29" i="180"/>
  <c r="E32" i="180"/>
  <c r="E33" i="180"/>
  <c r="H21" i="180"/>
  <c r="H80" i="180"/>
  <c r="J21" i="180"/>
  <c r="J80" i="180"/>
  <c r="O84" i="180"/>
  <c r="O65" i="180"/>
  <c r="M65" i="180"/>
  <c r="M84" i="180"/>
  <c r="X65" i="180"/>
  <c r="X84" i="180"/>
  <c r="W65" i="180"/>
  <c r="W84" i="180"/>
  <c r="M21" i="180"/>
  <c r="M80" i="180"/>
  <c r="O21" i="180"/>
  <c r="O80" i="180"/>
  <c r="W54" i="180"/>
  <c r="W55" i="180"/>
  <c r="X55" i="180"/>
  <c r="X54" i="180"/>
  <c r="S65" i="180"/>
  <c r="S84" i="180"/>
  <c r="T65" i="180"/>
  <c r="T84" i="180"/>
  <c r="E24" i="180"/>
  <c r="E27" i="180"/>
  <c r="E28" i="180"/>
  <c r="E30" i="180"/>
  <c r="E31" i="180"/>
  <c r="E78" i="180"/>
  <c r="E16" i="180"/>
  <c r="E17" i="180"/>
  <c r="E36" i="180"/>
  <c r="E35" i="180"/>
  <c r="E77" i="180"/>
  <c r="E75" i="180"/>
  <c r="W21" i="180"/>
  <c r="W80" i="180"/>
  <c r="X21" i="180"/>
  <c r="X80" i="180"/>
  <c r="H54" i="180"/>
  <c r="H55" i="180"/>
  <c r="J54" i="180"/>
  <c r="J55" i="180"/>
  <c r="E65" i="180"/>
  <c r="E84" i="180"/>
  <c r="E54" i="180"/>
  <c r="E55" i="180"/>
  <c r="E21" i="180"/>
  <c r="E80" i="180"/>
  <c r="T21" i="180"/>
  <c r="T80" i="180"/>
  <c r="S21" i="180"/>
  <c r="S80" i="180"/>
  <c r="S54" i="180"/>
  <c r="S55" i="180"/>
  <c r="T54" i="180"/>
  <c r="T55" i="180"/>
  <c r="X16" i="180"/>
  <c r="X17" i="180"/>
  <c r="W16" i="180"/>
  <c r="W17" i="180"/>
  <c r="E25" i="180"/>
  <c r="E26" i="180"/>
  <c r="E76" i="180"/>
  <c r="E72" i="180"/>
  <c r="S16" i="180"/>
  <c r="S17" i="180"/>
  <c r="T16" i="180"/>
  <c r="T17" i="180"/>
  <c r="E34" i="180"/>
  <c r="E38" i="180"/>
  <c r="E37" i="180"/>
  <c r="M54" i="180"/>
  <c r="M55" i="180"/>
  <c r="O54" i="180"/>
  <c r="O55" i="180"/>
  <c r="H40" i="180"/>
  <c r="H79" i="180"/>
  <c r="X66" i="180"/>
  <c r="X81" i="180"/>
  <c r="W66" i="180"/>
  <c r="W81" i="180"/>
  <c r="E44" i="180"/>
  <c r="E69" i="180"/>
  <c r="M82" i="180"/>
  <c r="E66" i="180"/>
  <c r="E81" i="180"/>
  <c r="S66" i="180"/>
  <c r="S81" i="180"/>
  <c r="T66" i="180"/>
  <c r="T81" i="180"/>
  <c r="M43" i="180"/>
  <c r="M68" i="180"/>
  <c r="E41" i="180"/>
  <c r="E42" i="180"/>
  <c r="M40" i="180"/>
  <c r="M79" i="180"/>
  <c r="O41" i="180"/>
  <c r="O42" i="180"/>
  <c r="M41" i="180"/>
  <c r="M42" i="180"/>
  <c r="H44" i="180"/>
  <c r="H69" i="180"/>
  <c r="H42" i="180"/>
  <c r="H41" i="180"/>
  <c r="J41" i="180"/>
  <c r="J42" i="180"/>
  <c r="M44" i="180"/>
  <c r="M69" i="180"/>
  <c r="X42" i="180"/>
  <c r="X41" i="180"/>
  <c r="O66" i="180"/>
  <c r="O81" i="180"/>
  <c r="M66" i="180"/>
  <c r="M81" i="180"/>
  <c r="E43" i="180"/>
  <c r="E68" i="180"/>
  <c r="E40" i="180"/>
  <c r="E79" i="180"/>
  <c r="H43" i="180"/>
  <c r="H68" i="180"/>
  <c r="T41" i="180"/>
  <c r="T42" i="180"/>
  <c r="E83" i="180"/>
  <c r="H47" i="180"/>
  <c r="E95" i="180"/>
  <c r="W18" i="180"/>
  <c r="O60" i="180"/>
  <c r="J97" i="180"/>
  <c r="O59" i="180"/>
  <c r="T49" i="180"/>
  <c r="J47" i="180"/>
  <c r="W52" i="180"/>
  <c r="X59" i="180"/>
  <c r="J53" i="180"/>
  <c r="H67" i="180"/>
  <c r="X52" i="180"/>
  <c r="H49" i="180"/>
  <c r="E58" i="180"/>
  <c r="S18" i="180"/>
  <c r="H53" i="180"/>
  <c r="W97" i="180"/>
  <c r="M39" i="180"/>
  <c r="J46" i="180"/>
  <c r="X48" i="180"/>
  <c r="E59" i="180"/>
  <c r="M52" i="180"/>
  <c r="J52" i="180"/>
  <c r="W58" i="180"/>
  <c r="H58" i="180"/>
  <c r="H39" i="180"/>
  <c r="J49" i="180"/>
  <c r="X56" i="180"/>
  <c r="W39" i="180"/>
  <c r="X97" i="180"/>
  <c r="E49" i="180"/>
  <c r="O56" i="180"/>
  <c r="O53" i="180"/>
  <c r="E18" i="180"/>
  <c r="O47" i="180"/>
  <c r="H48" i="180"/>
  <c r="H82" i="180"/>
  <c r="X94" i="180"/>
  <c r="T46" i="180"/>
  <c r="T94" i="180"/>
  <c r="H94" i="180"/>
  <c r="T47" i="180"/>
  <c r="H95" i="180"/>
  <c r="E94" i="180"/>
  <c r="H52" i="180"/>
  <c r="T53" i="180"/>
  <c r="W60" i="180"/>
  <c r="T39" i="180"/>
  <c r="H46" i="180"/>
  <c r="E67" i="180"/>
  <c r="M46" i="180"/>
  <c r="M48" i="180"/>
  <c r="O52" i="180"/>
  <c r="X49" i="180"/>
  <c r="T18" i="180"/>
  <c r="H60" i="180"/>
  <c r="X39" i="180"/>
  <c r="M56" i="180"/>
  <c r="T97" i="180"/>
  <c r="J39" i="180"/>
  <c r="O48" i="180"/>
  <c r="J94" i="180"/>
  <c r="X47" i="180"/>
  <c r="M95" i="180"/>
  <c r="J95" i="180"/>
  <c r="J48" i="180"/>
  <c r="X58" i="180"/>
  <c r="S53" i="180"/>
  <c r="S97" i="180"/>
  <c r="J58" i="180"/>
  <c r="S39" i="180"/>
  <c r="T59" i="180"/>
  <c r="H56" i="180"/>
  <c r="T60" i="180"/>
  <c r="E60" i="180"/>
  <c r="T56" i="180"/>
  <c r="O58" i="180"/>
  <c r="M47" i="180"/>
  <c r="E39" i="180"/>
  <c r="X53" i="180"/>
  <c r="S52" i="180"/>
  <c r="M60" i="180"/>
  <c r="H97" i="180"/>
  <c r="M97" i="180"/>
  <c r="X60" i="180"/>
  <c r="H59" i="180"/>
  <c r="T58" i="180"/>
  <c r="E97" i="180"/>
  <c r="S60" i="180"/>
  <c r="S56" i="180"/>
  <c r="M58" i="180"/>
  <c r="X46" i="180"/>
  <c r="O94" i="180"/>
  <c r="E82" i="180"/>
  <c r="O95" i="180"/>
  <c r="W59" i="180"/>
  <c r="O39" i="180"/>
  <c r="O49" i="180"/>
  <c r="T52" i="180"/>
  <c r="O97" i="180"/>
  <c r="W56" i="180"/>
  <c r="S58" i="180"/>
  <c r="S59" i="180"/>
  <c r="J56" i="180"/>
  <c r="E53" i="180"/>
  <c r="M53" i="180"/>
  <c r="W53" i="180"/>
  <c r="X18" i="180"/>
  <c r="W49" i="180"/>
  <c r="M59" i="180"/>
  <c r="M49" i="180"/>
  <c r="E52" i="180"/>
  <c r="J60" i="180"/>
  <c r="J59" i="180"/>
  <c r="S49" i="180"/>
  <c r="E56" i="180"/>
  <c r="M94" i="180"/>
  <c r="M67" i="180"/>
  <c r="O46" i="180"/>
  <c r="T48" i="180"/>
  <c r="T95" i="180"/>
  <c r="X95" i="180"/>
  <c r="H19" i="263"/>
  <c r="T12" i="259"/>
  <c r="E20" i="259" s="1"/>
  <c r="T12" i="256"/>
  <c r="E20" i="256" s="1"/>
  <c r="T12" i="253"/>
  <c r="E20" i="253" s="1"/>
  <c r="H20" i="263"/>
  <c r="H18" i="256"/>
  <c r="H21" i="259"/>
  <c r="V12" i="256"/>
  <c r="G20" i="256" s="1"/>
  <c r="S12" i="259"/>
  <c r="D20" i="259" s="1"/>
  <c r="H19" i="255"/>
  <c r="H21" i="262"/>
  <c r="H21" i="253"/>
  <c r="V12" i="255"/>
  <c r="G20" i="255" s="1"/>
  <c r="U12" i="259"/>
  <c r="F20" i="259" s="1"/>
  <c r="U12" i="258"/>
  <c r="F20" i="258" s="1"/>
  <c r="S12" i="258"/>
  <c r="D20" i="258" s="1"/>
  <c r="T12" i="255"/>
  <c r="E20" i="255" s="1"/>
  <c r="U12" i="256"/>
  <c r="F20" i="256" s="1"/>
  <c r="F18" i="256"/>
  <c r="G18" i="256"/>
  <c r="F18" i="255"/>
  <c r="G18" i="255"/>
  <c r="G18" i="263"/>
  <c r="F18" i="263"/>
  <c r="U12" i="255"/>
  <c r="F20" i="255" s="1"/>
  <c r="H19" i="253"/>
  <c r="H19" i="259"/>
  <c r="H19" i="254"/>
  <c r="H21" i="255"/>
  <c r="H19" i="258"/>
  <c r="S12" i="256"/>
  <c r="D20" i="256" s="1"/>
  <c r="D17" i="262" a="1"/>
  <c r="D17" i="262" s="1"/>
  <c r="H23" i="262"/>
  <c r="F17" i="262" a="1"/>
  <c r="F17" i="262" s="1"/>
  <c r="G18" i="264"/>
  <c r="F18" i="264"/>
  <c r="G18" i="259"/>
  <c r="F18" i="259"/>
  <c r="H18" i="254"/>
  <c r="G18" i="254"/>
  <c r="F18" i="254"/>
  <c r="H21" i="258"/>
  <c r="H19" i="264"/>
  <c r="S12" i="255"/>
  <c r="D20" i="255" s="1"/>
  <c r="F18" i="262"/>
  <c r="G18" i="262"/>
  <c r="H20" i="254"/>
  <c r="H18" i="262"/>
  <c r="U12" i="253"/>
  <c r="F20" i="253" s="1"/>
  <c r="H18" i="264"/>
  <c r="F17" i="261" a="1"/>
  <c r="F17" i="261" s="1"/>
  <c r="D17" i="261" a="1"/>
  <c r="D17" i="261" s="1"/>
  <c r="H23" i="261"/>
  <c r="F18" i="253"/>
  <c r="G18" i="253"/>
  <c r="H18" i="263"/>
  <c r="D17" i="263" a="1"/>
  <c r="D17" i="263" s="1"/>
  <c r="F17" i="263" a="1"/>
  <c r="F17" i="263" s="1"/>
  <c r="H23" i="263"/>
  <c r="T12" i="258"/>
  <c r="E20" i="258" s="1"/>
  <c r="H19" i="262"/>
  <c r="V12" i="253"/>
  <c r="G20" i="253" s="1"/>
  <c r="H20" i="264"/>
  <c r="H18" i="253"/>
  <c r="V12" i="259"/>
  <c r="G20" i="259" s="1"/>
  <c r="F18" i="258"/>
  <c r="H18" i="258"/>
  <c r="G18" i="258"/>
  <c r="H18" i="255"/>
  <c r="H20" i="262"/>
  <c r="F17" i="264" a="1"/>
  <c r="F17" i="264" s="1"/>
  <c r="D17" i="264" a="1"/>
  <c r="D17" i="264" s="1"/>
  <c r="H23" i="264"/>
  <c r="L9" i="235"/>
  <c r="L10" i="235" s="1"/>
  <c r="D20" i="235" s="1"/>
  <c r="F18" i="240"/>
  <c r="F19" i="240"/>
  <c r="F21" i="240"/>
  <c r="D21" i="242"/>
  <c r="D18" i="242"/>
  <c r="D19" i="242"/>
  <c r="E19" i="236"/>
  <c r="E18" i="236"/>
  <c r="F18" i="239"/>
  <c r="F19" i="239"/>
  <c r="F21" i="239"/>
  <c r="E19" i="237"/>
  <c r="E21" i="237"/>
  <c r="E18" i="237"/>
  <c r="E18" i="240"/>
  <c r="E19" i="240"/>
  <c r="E21" i="240"/>
  <c r="M8" i="235"/>
  <c r="M10" i="235" s="1"/>
  <c r="E20" i="235" s="1"/>
  <c r="G21" i="235"/>
  <c r="G18" i="235"/>
  <c r="G19" i="235"/>
  <c r="G19" i="238"/>
  <c r="G18" i="238"/>
  <c r="G21" i="238"/>
  <c r="F21" i="237"/>
  <c r="F18" i="237"/>
  <c r="F19" i="237"/>
  <c r="G19" i="239"/>
  <c r="G21" i="239"/>
  <c r="G18" i="239"/>
  <c r="N8" i="235"/>
  <c r="N10" i="235" s="1"/>
  <c r="F20" i="235" s="1"/>
  <c r="E19" i="239"/>
  <c r="E18" i="239"/>
  <c r="E21" i="239"/>
  <c r="G18" i="242"/>
  <c r="G19" i="242"/>
  <c r="G21" i="242"/>
  <c r="E21" i="235"/>
  <c r="E18" i="235"/>
  <c r="E19" i="235"/>
  <c r="G19" i="236"/>
  <c r="G21" i="236"/>
  <c r="G18" i="236"/>
  <c r="F19" i="236"/>
  <c r="F21" i="236"/>
  <c r="F18" i="236"/>
  <c r="D17" i="235" a="1"/>
  <c r="D17" i="235" s="1"/>
  <c r="F17" i="235" a="1"/>
  <c r="F17" i="235" s="1"/>
  <c r="D18" i="236"/>
  <c r="D21" i="236"/>
  <c r="D19" i="236"/>
  <c r="F21" i="235"/>
  <c r="F19" i="235"/>
  <c r="F18" i="235"/>
  <c r="D18" i="240"/>
  <c r="D21" i="240"/>
  <c r="D19" i="240"/>
  <c r="F21" i="242"/>
  <c r="F18" i="242"/>
  <c r="F19" i="242"/>
  <c r="E19" i="238"/>
  <c r="E21" i="238"/>
  <c r="E18" i="238"/>
  <c r="D18" i="238"/>
  <c r="D21" i="238"/>
  <c r="D19" i="238"/>
  <c r="D21" i="239"/>
  <c r="D19" i="239"/>
  <c r="G21" i="237"/>
  <c r="G19" i="237"/>
  <c r="G18" i="237"/>
  <c r="D21" i="235"/>
  <c r="D18" i="235"/>
  <c r="D19" i="235"/>
  <c r="F21" i="238"/>
  <c r="F19" i="238"/>
  <c r="F18" i="238"/>
  <c r="G18" i="240"/>
  <c r="G21" i="240"/>
  <c r="G19" i="240"/>
  <c r="E21" i="242"/>
  <c r="E19" i="242"/>
  <c r="E18" i="242"/>
  <c r="O9" i="235"/>
  <c r="O10" i="235" s="1"/>
  <c r="G20" i="235" s="1"/>
  <c r="D19" i="237"/>
  <c r="D18" i="237"/>
  <c r="D21" i="237"/>
  <c r="D17" i="196" a="1"/>
  <c r="D17" i="196" s="1"/>
  <c r="F17" i="196" a="1"/>
  <c r="F17" i="196" s="1"/>
  <c r="D20" i="196"/>
  <c r="D18" i="196"/>
  <c r="D19" i="196"/>
  <c r="M38" i="180" a="1"/>
  <c r="N35" i="180" a="1"/>
  <c r="H34" i="180" a="1"/>
  <c r="T23" i="180" a="1"/>
  <c r="M78" i="180" a="1"/>
  <c r="J22" i="180" a="1"/>
  <c r="E48" i="180" a="1"/>
  <c r="O89" i="180" a="1"/>
  <c r="N78" i="180" a="1"/>
  <c r="O40" i="180" a="1"/>
  <c r="I33" i="180" a="1"/>
  <c r="W29" i="180" a="1"/>
  <c r="S35" i="180" a="1"/>
  <c r="M87" i="180" a="1"/>
  <c r="M31" i="180" a="1"/>
  <c r="S36" i="180" a="1"/>
  <c r="M14" i="180" a="1"/>
  <c r="W37" i="180" a="1"/>
  <c r="N25" i="180" a="1"/>
  <c r="W79" i="180" a="1"/>
  <c r="W32" i="180" a="1"/>
  <c r="W27" i="180" a="1"/>
  <c r="T67" i="180" a="1"/>
  <c r="N36" i="180" a="1"/>
  <c r="T68" i="180" a="1"/>
  <c r="I22" i="180" a="1"/>
  <c r="M35" i="180" a="1"/>
  <c r="N77" i="180" a="1"/>
  <c r="W25" i="180" a="1"/>
  <c r="W28" i="180" a="1"/>
  <c r="S82" i="180" a="1"/>
  <c r="S67" i="180" a="1"/>
  <c r="S22" i="180" a="1"/>
  <c r="X31" i="180" a="1"/>
  <c r="O79" i="180" a="1"/>
  <c r="S40" i="180" a="1"/>
  <c r="W77" i="180" a="1"/>
  <c r="H15" i="180" a="1"/>
  <c r="X30" i="180" a="1"/>
  <c r="E22" i="180" a="1"/>
  <c r="S29" i="180" a="1"/>
  <c r="S31" i="180" a="1"/>
  <c r="X67" i="180" a="1"/>
  <c r="W44" i="180" a="1"/>
  <c r="M75" i="180" a="1"/>
  <c r="W42" i="180" a="1"/>
  <c r="X44" i="180" a="1"/>
  <c r="M72" i="180" a="1"/>
  <c r="M26" i="180" a="1"/>
  <c r="O23" i="180" a="1"/>
  <c r="S72" i="180" a="1"/>
  <c r="H26" i="180" a="1"/>
  <c r="S38" i="180" a="1"/>
  <c r="S25" i="180" a="1"/>
  <c r="I30" i="180" a="1"/>
  <c r="W23" i="180" a="1"/>
  <c r="I37" i="180" a="1"/>
  <c r="M76" i="180" a="1"/>
  <c r="H28" i="180" a="1"/>
  <c r="I23" i="180" a="1"/>
  <c r="M24" i="180" a="1"/>
  <c r="N32" i="180" a="1"/>
  <c r="X82" i="180" a="1"/>
  <c r="S79" i="180" a="1"/>
  <c r="M15" i="180" a="1"/>
  <c r="M27" i="180" a="1"/>
  <c r="M71" i="180" a="1"/>
  <c r="T82" i="180" a="1"/>
  <c r="I32" i="180" a="1"/>
  <c r="H65" i="180" a="1"/>
  <c r="O44" i="180" a="1"/>
  <c r="H13" i="180" a="1"/>
  <c r="H31" i="180" a="1"/>
  <c r="H33" i="180" a="1"/>
  <c r="S34" i="180" a="1"/>
  <c r="I84" i="180" a="1"/>
  <c r="T36" i="180" a="1"/>
  <c r="I71" i="180" a="1"/>
  <c r="T77" i="180" a="1"/>
  <c r="I8" i="180" a="1"/>
  <c r="E8" i="180" a="1"/>
  <c r="I78" i="180" a="1"/>
  <c r="S76" i="180" a="1"/>
  <c r="W43" i="180" a="1"/>
  <c r="X69" i="180" a="1"/>
  <c r="M22" i="180" a="1"/>
  <c r="J82" i="180" a="1"/>
  <c r="S32" i="180" a="1"/>
  <c r="T40" i="180" a="1"/>
  <c r="S30" i="180" a="1"/>
  <c r="I25" i="180" a="1"/>
  <c r="S42" i="180" a="1"/>
  <c r="H84" i="180" a="1"/>
  <c r="W78" i="180" a="1"/>
  <c r="O82" i="180" a="1"/>
  <c r="O29" i="180" a="1"/>
  <c r="N31" i="180" a="1"/>
  <c r="S41" i="180" a="1"/>
  <c r="M36" i="180" a="1"/>
  <c r="N37" i="180" a="1"/>
  <c r="X78" i="180" a="1"/>
  <c r="T79" i="180" a="1"/>
  <c r="T43" i="180" a="1"/>
  <c r="W26" i="180" a="1"/>
  <c r="M28" i="180" a="1"/>
  <c r="H32" i="180" a="1"/>
  <c r="X40" i="180" a="1"/>
  <c r="S77" i="180" a="1"/>
  <c r="I28" i="180" a="1"/>
  <c r="M29" i="180" a="1"/>
  <c r="H22" i="180" a="1"/>
  <c r="I75" i="180" a="1"/>
  <c r="J79" i="180" a="1"/>
  <c r="T44" i="180" a="1"/>
  <c r="I24" i="180" a="1"/>
  <c r="W38" i="180" a="1"/>
  <c r="H77" i="180" a="1"/>
  <c r="N29" i="180" a="1"/>
  <c r="W47" i="180" a="1"/>
  <c r="S46" i="180" a="1"/>
  <c r="I72" i="180" a="1"/>
  <c r="H25" i="180" a="1"/>
  <c r="H78" i="180" a="1"/>
  <c r="S28" i="180" a="1"/>
  <c r="J68" i="180" a="1"/>
  <c r="O22" i="180" a="1"/>
  <c r="X23" i="180" a="1"/>
  <c r="H36" i="180" a="1"/>
  <c r="H30" i="180" a="1"/>
  <c r="S26" i="180" a="1"/>
  <c r="W46" i="180" a="1"/>
  <c r="J43" i="180" a="1"/>
  <c r="N24" i="180" a="1"/>
  <c r="W40" i="180" a="1"/>
  <c r="H81" i="180" a="1"/>
  <c r="S69" i="180" a="1"/>
  <c r="X68" i="180" a="1"/>
  <c r="M30" i="180" a="1"/>
  <c r="S48" i="180" a="1"/>
  <c r="I65" i="180" a="1"/>
  <c r="W75" i="180" a="1"/>
  <c r="X79" i="180" a="1"/>
  <c r="W68" i="180" a="1"/>
  <c r="J66" i="180" a="1"/>
  <c r="I31" i="180" a="1"/>
  <c r="H23" i="180" a="1"/>
  <c r="E23" i="180" a="1"/>
  <c r="S75" i="180" a="1"/>
  <c r="I36" i="180" a="1"/>
  <c r="J69" i="180" a="1"/>
  <c r="W33" i="180" a="1"/>
  <c r="W24" i="180" a="1"/>
  <c r="E47" i="180" a="1"/>
  <c r="W48" i="180" a="1"/>
  <c r="W76" i="180" a="1"/>
  <c r="W31" i="180" a="1"/>
  <c r="I27" i="180" a="1"/>
  <c r="N76" i="180" a="1"/>
  <c r="W41" i="180" a="1"/>
  <c r="O43" i="180" a="1"/>
  <c r="W67" i="180" a="1"/>
  <c r="I34" i="180" a="1"/>
  <c r="S37" i="180" a="1"/>
  <c r="H37" i="180" a="1"/>
  <c r="S27" i="180" a="1"/>
  <c r="T75" i="180" a="1"/>
  <c r="N27" i="180" a="1"/>
  <c r="I66" i="180" a="1"/>
  <c r="J44" i="180" a="1"/>
  <c r="H75" i="180" a="1"/>
  <c r="N23" i="180" a="1"/>
  <c r="N34" i="180" a="1"/>
  <c r="S44" i="180" a="1"/>
  <c r="S78" i="180" a="1"/>
  <c r="S24" i="180" a="1"/>
  <c r="H27" i="180" a="1"/>
  <c r="W82" i="180" a="1"/>
  <c r="I38" i="180" a="1"/>
  <c r="O67" i="180" a="1"/>
  <c r="H66" i="180" a="1"/>
  <c r="S33" i="180" a="1"/>
  <c r="M34" i="180" a="1"/>
  <c r="J89" i="180" a="1"/>
  <c r="M23" i="180" a="1"/>
  <c r="N26" i="180" a="1"/>
  <c r="J65" i="180" a="1"/>
  <c r="H14" i="180" a="1"/>
  <c r="M33" i="180" a="1"/>
  <c r="W34" i="180" a="1"/>
  <c r="N75" i="180" a="1"/>
  <c r="J40" i="180" a="1"/>
  <c r="J8" i="180" a="1"/>
  <c r="I76" i="180" a="1"/>
  <c r="H29" i="180" a="1"/>
  <c r="O69" i="180" a="1"/>
  <c r="H38" i="180" a="1"/>
  <c r="M37" i="180" a="1"/>
  <c r="S47" i="180" a="1"/>
  <c r="T35" i="180" a="1"/>
  <c r="H8" i="180" a="1"/>
  <c r="I26" i="180" a="1"/>
  <c r="S43" i="180" a="1"/>
  <c r="M25" i="180" a="1"/>
  <c r="H72" i="180" a="1"/>
  <c r="T69" i="180" a="1"/>
  <c r="W30" i="180" a="1"/>
  <c r="J84" i="180" a="1"/>
  <c r="W72" i="180" a="1"/>
  <c r="W35" i="180" a="1"/>
  <c r="N22" i="180" a="1"/>
  <c r="N72" i="180" a="1"/>
  <c r="M77" i="180" a="1"/>
  <c r="H76" i="180" a="1"/>
  <c r="W22" i="180" a="1"/>
  <c r="M13" i="180" a="1"/>
  <c r="J81" i="180" a="1"/>
  <c r="T22" i="180" a="1"/>
  <c r="J23" i="180" a="1"/>
  <c r="X22" i="180" a="1"/>
  <c r="O68" i="180" a="1"/>
  <c r="W69" i="180" a="1"/>
  <c r="I35" i="180" a="1"/>
  <c r="I81" i="180" a="1"/>
  <c r="J67" i="180" a="1"/>
  <c r="X43" i="180" a="1"/>
  <c r="N71" i="180" a="1"/>
  <c r="N28" i="180" a="1"/>
  <c r="I87" i="180" a="1"/>
  <c r="E46" i="180" a="1"/>
  <c r="S23" i="180" a="1"/>
  <c r="N87" i="180" a="1"/>
  <c r="I29" i="180" a="1"/>
  <c r="I77" i="180" a="1"/>
  <c r="N33" i="180" a="1"/>
  <c r="O33" i="180" a="1"/>
  <c r="S68" i="180" a="1"/>
  <c r="H24" i="180" a="1"/>
  <c r="W36" i="180" a="1"/>
  <c r="O32" i="180" a="1"/>
  <c r="M32" i="180" a="1"/>
  <c r="H35" i="180" a="1"/>
  <c r="N30" i="180" a="1"/>
  <c r="E45" i="180" a="1"/>
  <c r="N38" i="180" a="1"/>
  <c r="N11" i="236" l="1"/>
  <c r="F20" i="236" s="1"/>
  <c r="O11" i="239"/>
  <c r="G20" i="239" s="1"/>
  <c r="M11" i="237"/>
  <c r="E20" i="237" s="1"/>
  <c r="N11" i="240"/>
  <c r="F20" i="240" s="1"/>
  <c r="G31" i="190"/>
  <c r="G32" i="190"/>
  <c r="G30" i="190"/>
  <c r="G34" i="190"/>
  <c r="G33" i="190"/>
  <c r="K6" i="293" a="1"/>
  <c r="K6" i="293" s="1"/>
  <c r="L11" i="238"/>
  <c r="D20" i="238" s="1"/>
  <c r="M11" i="240"/>
  <c r="E20" i="240" s="1"/>
  <c r="O11" i="242"/>
  <c r="G20" i="242" s="1"/>
  <c r="N11" i="238"/>
  <c r="F20" i="238" s="1"/>
  <c r="O11" i="236"/>
  <c r="G20" i="236" s="1"/>
  <c r="N11" i="237"/>
  <c r="F20" i="237" s="1"/>
  <c r="O11" i="238"/>
  <c r="G20" i="238" s="1"/>
  <c r="M11" i="239"/>
  <c r="E20" i="239" s="1"/>
  <c r="N11" i="242"/>
  <c r="F20" i="242" s="1"/>
  <c r="M11" i="236"/>
  <c r="E20" i="236" s="1"/>
  <c r="M11" i="238"/>
  <c r="E20" i="238" s="1"/>
  <c r="O11" i="237"/>
  <c r="G20" i="237" s="1"/>
  <c r="L11" i="242"/>
  <c r="D20" i="242" s="1"/>
  <c r="L11" i="236"/>
  <c r="D20" i="236" s="1"/>
  <c r="X8" i="293"/>
  <c r="V4" i="299" s="1"/>
  <c r="Y95" i="180"/>
  <c r="U95" i="180"/>
  <c r="U48" i="180"/>
  <c r="P46" i="180"/>
  <c r="N66" i="293" a="1"/>
  <c r="N66" i="293" s="1"/>
  <c r="L62" i="299" s="1"/>
  <c r="N93" i="293" a="1"/>
  <c r="N93" i="293" s="1"/>
  <c r="L89" i="299" s="1"/>
  <c r="R48" i="293" a="1"/>
  <c r="R48" i="293" s="1"/>
  <c r="P44" i="299" s="1"/>
  <c r="K59" i="180"/>
  <c r="K60" i="180"/>
  <c r="N48" i="293" a="1"/>
  <c r="N48" i="293" s="1"/>
  <c r="L44" i="299" s="1"/>
  <c r="N58" i="293" a="1"/>
  <c r="N58" i="293" s="1"/>
  <c r="L54" i="299" s="1"/>
  <c r="U48" i="293" a="1"/>
  <c r="U48" i="293" s="1"/>
  <c r="S44" i="299" s="1"/>
  <c r="Y18" i="180"/>
  <c r="U52" i="293" a="1"/>
  <c r="U52" i="293" s="1"/>
  <c r="S48" i="299" s="1"/>
  <c r="N52" i="293" a="1"/>
  <c r="N52" i="293" s="1"/>
  <c r="L48" i="299" s="1"/>
  <c r="K56" i="180"/>
  <c r="R58" i="293" a="1"/>
  <c r="R58" i="293" s="1"/>
  <c r="P54" i="299" s="1"/>
  <c r="R57" i="293" a="1"/>
  <c r="R57" i="293" s="1"/>
  <c r="P53" i="299" s="1"/>
  <c r="U55" i="293" a="1"/>
  <c r="U55" i="293" s="1"/>
  <c r="S51" i="299" s="1"/>
  <c r="P97" i="180"/>
  <c r="U52" i="180"/>
  <c r="P49" i="180"/>
  <c r="P39" i="180"/>
  <c r="U58" i="293" a="1"/>
  <c r="U58" i="293" s="1"/>
  <c r="S54" i="299" s="1"/>
  <c r="P95" i="180"/>
  <c r="P94" i="180"/>
  <c r="Y46" i="180"/>
  <c r="J31" i="190" s="1"/>
  <c r="O31" i="190" s="1"/>
  <c r="N57" i="293" a="1"/>
  <c r="N57" i="293" s="1"/>
  <c r="L53" i="299" s="1"/>
  <c r="R55" i="293" a="1"/>
  <c r="R55" i="293" s="1"/>
  <c r="P51" i="299" s="1"/>
  <c r="R59" i="293" a="1"/>
  <c r="R59" i="293" s="1"/>
  <c r="P55" i="299" s="1"/>
  <c r="U58" i="180"/>
  <c r="J58" i="293" a="1"/>
  <c r="J58" i="293" s="1"/>
  <c r="H54" i="299" s="1"/>
  <c r="Y60" i="180"/>
  <c r="N96" i="293" a="1"/>
  <c r="N96" i="293" s="1"/>
  <c r="L92" i="299" s="1"/>
  <c r="J96" i="293" a="1"/>
  <c r="J96" i="293" s="1"/>
  <c r="H92" i="299" s="1"/>
  <c r="N59" i="293" a="1"/>
  <c r="N59" i="293" s="1"/>
  <c r="L55" i="299" s="1"/>
  <c r="R51" i="293" a="1"/>
  <c r="R51" i="293" s="1"/>
  <c r="P47" i="299" s="1"/>
  <c r="Y53" i="180"/>
  <c r="N46" i="293" a="1"/>
  <c r="N46" i="293" s="1"/>
  <c r="L42" i="299" s="1"/>
  <c r="P58" i="180"/>
  <c r="U56" i="180"/>
  <c r="U60" i="180"/>
  <c r="J55" i="293" a="1"/>
  <c r="J55" i="293" s="1"/>
  <c r="H51" i="299" s="1"/>
  <c r="U59" i="180"/>
  <c r="R38" i="293" a="1"/>
  <c r="R38" i="293" s="1"/>
  <c r="P34" i="299" s="1"/>
  <c r="K58" i="180"/>
  <c r="R96" i="293" a="1"/>
  <c r="R96" i="293" s="1"/>
  <c r="P92" i="299" s="1"/>
  <c r="R52" i="293" a="1"/>
  <c r="R52" i="293" s="1"/>
  <c r="P48" i="299" s="1"/>
  <c r="Y58" i="180"/>
  <c r="K48" i="180"/>
  <c r="K95" i="180"/>
  <c r="N94" i="293" a="1"/>
  <c r="N94" i="293" s="1"/>
  <c r="L90" i="299" s="1"/>
  <c r="Y47" i="180"/>
  <c r="K94" i="180"/>
  <c r="P48" i="180"/>
  <c r="K39" i="180"/>
  <c r="U97" i="180"/>
  <c r="N55" i="293" a="1"/>
  <c r="N55" i="293" s="1"/>
  <c r="L51" i="299" s="1"/>
  <c r="Y39" i="180"/>
  <c r="J26" i="190" s="1"/>
  <c r="O26" i="190" s="1"/>
  <c r="J59" i="293" a="1"/>
  <c r="J59" i="293" s="1"/>
  <c r="H55" i="299" s="1"/>
  <c r="U18" i="180"/>
  <c r="Y49" i="180"/>
  <c r="J30" i="190" s="1"/>
  <c r="O30" i="190" s="1"/>
  <c r="P52" i="180"/>
  <c r="N47" i="293" a="1"/>
  <c r="N47" i="293" s="1"/>
  <c r="L43" i="299" s="1"/>
  <c r="N45" i="293" a="1"/>
  <c r="N45" i="293" s="1"/>
  <c r="L41" i="299" s="1"/>
  <c r="J45" i="293" a="1"/>
  <c r="J45" i="293" s="1"/>
  <c r="H41" i="299" s="1"/>
  <c r="U39" i="180"/>
  <c r="U59" i="293" a="1"/>
  <c r="U59" i="293" s="1"/>
  <c r="S55" i="299" s="1"/>
  <c r="U53" i="180"/>
  <c r="J51" i="293" a="1"/>
  <c r="J51" i="293" s="1"/>
  <c r="H47" i="299" s="1"/>
  <c r="J94" i="293" a="1"/>
  <c r="J94" i="293" s="1"/>
  <c r="H90" i="299" s="1"/>
  <c r="U47" i="180"/>
  <c r="J93" i="293" a="1"/>
  <c r="J93" i="293" s="1"/>
  <c r="H89" i="299" s="1"/>
  <c r="U94" i="180"/>
  <c r="U46" i="180"/>
  <c r="Y94" i="180"/>
  <c r="J81" i="293" a="1"/>
  <c r="J81" i="293" s="1"/>
  <c r="H77" i="299" s="1"/>
  <c r="J47" i="293" a="1"/>
  <c r="J47" i="293" s="1"/>
  <c r="H43" i="299" s="1"/>
  <c r="P47" i="180"/>
  <c r="P53" i="180"/>
  <c r="P56" i="180"/>
  <c r="Y97" i="180"/>
  <c r="U38" i="293" a="1"/>
  <c r="U38" i="293" s="1"/>
  <c r="S34" i="299" s="1"/>
  <c r="Y56" i="180"/>
  <c r="K49" i="180"/>
  <c r="J38" i="293" a="1"/>
  <c r="J38" i="293" s="1"/>
  <c r="H34" i="299" s="1"/>
  <c r="J57" i="293" a="1"/>
  <c r="J57" i="293" s="1"/>
  <c r="H53" i="299" s="1"/>
  <c r="U57" i="293" a="1"/>
  <c r="U57" i="293" s="1"/>
  <c r="S53" i="299" s="1"/>
  <c r="K52" i="180"/>
  <c r="N51" i="293" a="1"/>
  <c r="N51" i="293" s="1"/>
  <c r="L47" i="299" s="1"/>
  <c r="Y48" i="180"/>
  <c r="K46" i="180"/>
  <c r="N38" i="293" a="1"/>
  <c r="N38" i="293" s="1"/>
  <c r="L34" i="299" s="1"/>
  <c r="U96" i="293" a="1"/>
  <c r="U96" i="293" s="1"/>
  <c r="S92" i="299" s="1"/>
  <c r="J52" i="293" a="1"/>
  <c r="J52" i="293" s="1"/>
  <c r="H48" i="299" s="1"/>
  <c r="R17" i="293" a="1"/>
  <c r="R17" i="293" s="1"/>
  <c r="P13" i="299" s="1"/>
  <c r="J48" i="293" a="1"/>
  <c r="J48" i="293" s="1"/>
  <c r="H44" i="299" s="1"/>
  <c r="Y52" i="180"/>
  <c r="J66" i="293" a="1"/>
  <c r="J66" i="293" s="1"/>
  <c r="H62" i="299" s="1"/>
  <c r="K53" i="180"/>
  <c r="Y59" i="180"/>
  <c r="U51" i="293" a="1"/>
  <c r="U51" i="293" s="1"/>
  <c r="S47" i="299" s="1"/>
  <c r="K47" i="180"/>
  <c r="U49" i="180"/>
  <c r="P59" i="180"/>
  <c r="K97" i="180"/>
  <c r="P60" i="180"/>
  <c r="U17" i="293" a="1"/>
  <c r="U17" i="293" s="1"/>
  <c r="S13" i="299" s="1"/>
  <c r="J46" i="293" a="1"/>
  <c r="J46" i="293" s="1"/>
  <c r="H42" i="299" s="1"/>
  <c r="U42" i="180"/>
  <c r="U41" i="180"/>
  <c r="J67" i="293" a="1"/>
  <c r="J67" i="293" s="1"/>
  <c r="H63" i="299" s="1"/>
  <c r="J42" i="293" a="1"/>
  <c r="J42" i="293" s="1"/>
  <c r="H38" i="299" s="1"/>
  <c r="N80" i="293" a="1"/>
  <c r="N80" i="293" s="1"/>
  <c r="L76" i="299" s="1"/>
  <c r="N65" i="293" a="1"/>
  <c r="N65" i="293" s="1"/>
  <c r="L61" i="299" s="1"/>
  <c r="P81" i="180"/>
  <c r="P66" i="180"/>
  <c r="Y41" i="180"/>
  <c r="J24" i="190" s="1"/>
  <c r="Y42" i="180"/>
  <c r="N68" i="293" a="1"/>
  <c r="N68" i="293" s="1"/>
  <c r="L64" i="299" s="1"/>
  <c r="N43" i="293" a="1"/>
  <c r="N43" i="293" s="1"/>
  <c r="L39" i="299" s="1"/>
  <c r="K42" i="180"/>
  <c r="K41" i="180"/>
  <c r="J40" i="293" a="1"/>
  <c r="J40" i="293" s="1"/>
  <c r="H36" i="299" s="1"/>
  <c r="J41" i="293" a="1"/>
  <c r="J41" i="293" s="1"/>
  <c r="H37" i="299" s="1"/>
  <c r="J68" i="293" a="1"/>
  <c r="J68" i="293" s="1"/>
  <c r="H64" i="299" s="1"/>
  <c r="J43" i="293" a="1"/>
  <c r="J43" i="293" s="1"/>
  <c r="H39" i="299" s="1"/>
  <c r="N41" i="293" a="1"/>
  <c r="N41" i="293" s="1"/>
  <c r="L37" i="299" s="1"/>
  <c r="N40" i="293" a="1"/>
  <c r="N40" i="293" s="1"/>
  <c r="L36" i="299" s="1"/>
  <c r="P42" i="180"/>
  <c r="P41" i="180"/>
  <c r="N78" i="293" a="1"/>
  <c r="N78" i="293" s="1"/>
  <c r="L74" i="299" s="1"/>
  <c r="N39" i="293" a="1"/>
  <c r="N39" i="293" s="1"/>
  <c r="L35" i="299" s="1"/>
  <c r="N67" i="293" a="1"/>
  <c r="N67" i="293" s="1"/>
  <c r="L63" i="299" s="1"/>
  <c r="N42" i="293" a="1"/>
  <c r="N42" i="293" s="1"/>
  <c r="L38" i="299" s="1"/>
  <c r="U81" i="180"/>
  <c r="U66" i="180"/>
  <c r="R80" i="293" a="1"/>
  <c r="R80" i="293" s="1"/>
  <c r="P76" i="299" s="1"/>
  <c r="R65" i="293" a="1"/>
  <c r="R65" i="293" s="1"/>
  <c r="P61" i="299" s="1"/>
  <c r="N81" i="293" a="1"/>
  <c r="N81" i="293" s="1"/>
  <c r="L77" i="299" s="1"/>
  <c r="U80" i="293" a="1"/>
  <c r="U80" i="293" s="1"/>
  <c r="S76" i="299" s="1"/>
  <c r="U65" i="293" a="1"/>
  <c r="U65" i="293" s="1"/>
  <c r="S61" i="299" s="1"/>
  <c r="Y81" i="180"/>
  <c r="Y66" i="180"/>
  <c r="J32" i="190" s="1"/>
  <c r="O32" i="190" s="1"/>
  <c r="J78" i="293" a="1"/>
  <c r="J78" i="293" s="1"/>
  <c r="H74" i="299" s="1"/>
  <c r="J39" i="293" a="1"/>
  <c r="J39" i="293" s="1"/>
  <c r="H35" i="299" s="1"/>
  <c r="P55" i="180"/>
  <c r="P54" i="180"/>
  <c r="N54" i="293" a="1"/>
  <c r="N54" i="293" s="1"/>
  <c r="L50" i="299" s="1"/>
  <c r="N53" i="293" a="1"/>
  <c r="N53" i="293" s="1"/>
  <c r="L49" i="299" s="1"/>
  <c r="U17" i="180"/>
  <c r="U16" i="180"/>
  <c r="R16" i="293" a="1"/>
  <c r="R16" i="293" s="1"/>
  <c r="P12" i="299" s="1"/>
  <c r="R15" i="293" a="1"/>
  <c r="R15" i="293" s="1"/>
  <c r="P11" i="299" s="1"/>
  <c r="U16" i="293" a="1"/>
  <c r="U16" i="293" s="1"/>
  <c r="S12" i="299" s="1"/>
  <c r="U15" i="293" a="1"/>
  <c r="U15" i="293" s="1"/>
  <c r="S11" i="299" s="1"/>
  <c r="Y17" i="180"/>
  <c r="Y16" i="180"/>
  <c r="J35" i="190" s="1"/>
  <c r="O35" i="190" s="1"/>
  <c r="U55" i="180"/>
  <c r="U54" i="180"/>
  <c r="R54" i="293" a="1"/>
  <c r="R54" i="293" s="1"/>
  <c r="P50" i="299" s="1"/>
  <c r="R53" i="293" a="1"/>
  <c r="R53" i="293" s="1"/>
  <c r="P49" i="299" s="1"/>
  <c r="R79" i="293" a="1"/>
  <c r="R79" i="293" s="1"/>
  <c r="P75" i="299" s="1"/>
  <c r="R20" i="293" a="1"/>
  <c r="R20" i="293" s="1"/>
  <c r="P16" i="299" s="1"/>
  <c r="U80" i="180"/>
  <c r="U21" i="180"/>
  <c r="K55" i="180"/>
  <c r="K54" i="180"/>
  <c r="J54" i="293" a="1"/>
  <c r="J54" i="293" s="1"/>
  <c r="H50" i="299" s="1"/>
  <c r="J53" i="293" a="1"/>
  <c r="J53" i="293" s="1"/>
  <c r="H49" i="299" s="1"/>
  <c r="Y80" i="180"/>
  <c r="Y21" i="180"/>
  <c r="U79" i="293" a="1"/>
  <c r="U79" i="293" s="1"/>
  <c r="S75" i="299" s="1"/>
  <c r="U20" i="293" a="1"/>
  <c r="U20" i="293" s="1"/>
  <c r="S16" i="299" s="1"/>
  <c r="U84" i="180"/>
  <c r="U65" i="180"/>
  <c r="R83" i="293" a="1"/>
  <c r="R83" i="293" s="1"/>
  <c r="P79" i="299" s="1"/>
  <c r="R64" i="293" a="1"/>
  <c r="R64" i="293" s="1"/>
  <c r="P60" i="299" s="1"/>
  <c r="Y54" i="180"/>
  <c r="Y55" i="180"/>
  <c r="U54" i="293" a="1"/>
  <c r="U54" i="293" s="1"/>
  <c r="S50" i="299" s="1"/>
  <c r="U53" i="293" a="1"/>
  <c r="U53" i="293" s="1"/>
  <c r="S49" i="299" s="1"/>
  <c r="P80" i="180"/>
  <c r="P21" i="180"/>
  <c r="N79" i="293" a="1"/>
  <c r="N79" i="293" s="1"/>
  <c r="L75" i="299" s="1"/>
  <c r="N20" i="293" a="1"/>
  <c r="N20" i="293" s="1"/>
  <c r="L16" i="299" s="1"/>
  <c r="U83" i="293" a="1"/>
  <c r="U83" i="293" s="1"/>
  <c r="S79" i="299" s="1"/>
  <c r="U64" i="293" a="1"/>
  <c r="U64" i="293" s="1"/>
  <c r="S60" i="299" s="1"/>
  <c r="Y84" i="180"/>
  <c r="Y65" i="180"/>
  <c r="J33" i="190" s="1"/>
  <c r="O33" i="190" s="1"/>
  <c r="N83" i="293" a="1"/>
  <c r="N83" i="293" s="1"/>
  <c r="L79" i="299" s="1"/>
  <c r="N64" i="293" a="1"/>
  <c r="N64" i="293" s="1"/>
  <c r="L60" i="299" s="1"/>
  <c r="P65" i="180"/>
  <c r="P84" i="180"/>
  <c r="K80" i="180"/>
  <c r="K21" i="180"/>
  <c r="J79" i="293" a="1"/>
  <c r="J79" i="293" s="1"/>
  <c r="H75" i="299" s="1"/>
  <c r="J20" i="293" a="1"/>
  <c r="J20" i="293" s="1"/>
  <c r="H16" i="299" s="1"/>
  <c r="I8" i="293" a="1"/>
  <c r="I8" i="293" s="1"/>
  <c r="G4" i="299" s="1"/>
  <c r="T94" i="293" a="1"/>
  <c r="T94" i="293" s="1"/>
  <c r="R90" i="299" s="1"/>
  <c r="T8" i="293" a="1"/>
  <c r="T8" i="293" s="1"/>
  <c r="R4" i="299" s="1"/>
  <c r="Y89" i="180"/>
  <c r="J20" i="190" s="1"/>
  <c r="O20" i="190" s="1"/>
  <c r="Y86" i="180"/>
  <c r="F36" i="219" s="1"/>
  <c r="Y85" i="180"/>
  <c r="K64" i="180"/>
  <c r="J95" i="293" a="1"/>
  <c r="J95" i="293" s="1"/>
  <c r="H91" i="299" s="1"/>
  <c r="P62" i="180"/>
  <c r="P61" i="180"/>
  <c r="U102" i="293" a="1"/>
  <c r="U102" i="293" s="1"/>
  <c r="S98" i="299" s="1"/>
  <c r="Y92" i="180"/>
  <c r="Y51" i="180"/>
  <c r="U87" i="180"/>
  <c r="U71" i="180"/>
  <c r="Y88" i="180"/>
  <c r="J19" i="190" s="1"/>
  <c r="O19" i="190" s="1"/>
  <c r="Y74" i="180"/>
  <c r="Y73" i="180"/>
  <c r="K70" i="180"/>
  <c r="U60" i="293" a="1"/>
  <c r="U60" i="293" s="1"/>
  <c r="S56" i="299" s="1"/>
  <c r="U61" i="293" a="1"/>
  <c r="U61" i="293" s="1"/>
  <c r="S57" i="299" s="1"/>
  <c r="R60" i="293" a="1"/>
  <c r="R60" i="293" s="1"/>
  <c r="P56" i="299" s="1"/>
  <c r="R61" i="293" a="1"/>
  <c r="R61" i="293" s="1"/>
  <c r="P57" i="299" s="1"/>
  <c r="J102" i="293" a="1"/>
  <c r="J102" i="293" s="1"/>
  <c r="H98" i="299" s="1"/>
  <c r="J90" i="293" a="1"/>
  <c r="J90" i="293" s="1"/>
  <c r="H86" i="299" s="1"/>
  <c r="U103" i="180"/>
  <c r="P64" i="180"/>
  <c r="P100" i="180"/>
  <c r="N103" i="293" a="1"/>
  <c r="N103" i="293" s="1"/>
  <c r="L99" i="299" s="1"/>
  <c r="R95" i="293" a="1"/>
  <c r="R95" i="293" s="1"/>
  <c r="P91" i="299" s="1"/>
  <c r="P103" i="180"/>
  <c r="K96" i="180"/>
  <c r="J99" i="293" a="1"/>
  <c r="J99" i="293" s="1"/>
  <c r="H95" i="299" s="1"/>
  <c r="U91" i="293" a="1"/>
  <c r="U91" i="293" s="1"/>
  <c r="S87" i="299" s="1"/>
  <c r="U50" i="293" a="1"/>
  <c r="U50" i="293" s="1"/>
  <c r="S46" i="299" s="1"/>
  <c r="Y64" i="180"/>
  <c r="J34" i="190" s="1"/>
  <c r="O34" i="190" s="1"/>
  <c r="K99" i="180"/>
  <c r="J69" i="293" a="1"/>
  <c r="J69" i="293" s="1"/>
  <c r="H65" i="299" s="1"/>
  <c r="U70" i="180"/>
  <c r="R100" i="293" a="1"/>
  <c r="R100" i="293" s="1"/>
  <c r="P96" i="299" s="1"/>
  <c r="K103" i="180"/>
  <c r="R102" i="293" a="1"/>
  <c r="R102" i="293" s="1"/>
  <c r="P98" i="299" s="1"/>
  <c r="P104" i="180"/>
  <c r="F95" i="293"/>
  <c r="D91" i="299" s="1"/>
  <c r="J88" i="293" a="1"/>
  <c r="J88" i="293" s="1"/>
  <c r="H84" i="299" s="1"/>
  <c r="Y96" i="180"/>
  <c r="J101" i="293" a="1"/>
  <c r="J101" i="293" s="1"/>
  <c r="H97" i="299" s="1"/>
  <c r="U96" i="180"/>
  <c r="R90" i="293" a="1"/>
  <c r="R90" i="293" s="1"/>
  <c r="P86" i="299" s="1"/>
  <c r="U88" i="180"/>
  <c r="U74" i="180"/>
  <c r="U73" i="180"/>
  <c r="J63" i="293" a="1"/>
  <c r="J63" i="293" s="1"/>
  <c r="H59" i="299" s="1"/>
  <c r="J98" i="293" a="1"/>
  <c r="J98" i="293" s="1"/>
  <c r="H94" i="299" s="1"/>
  <c r="Y61" i="180"/>
  <c r="Y62" i="180"/>
  <c r="Y100" i="180"/>
  <c r="R88" i="293" a="1"/>
  <c r="R88" i="293" s="1"/>
  <c r="P84" i="299" s="1"/>
  <c r="U101" i="180"/>
  <c r="K91" i="180"/>
  <c r="N63" i="293" a="1"/>
  <c r="N63" i="293" s="1"/>
  <c r="L59" i="299" s="1"/>
  <c r="U64" i="180"/>
  <c r="Y104" i="180"/>
  <c r="N91" i="293" a="1"/>
  <c r="N91" i="293" s="1"/>
  <c r="L87" i="299" s="1"/>
  <c r="N50" i="293" a="1"/>
  <c r="N50" i="293" s="1"/>
  <c r="L46" i="299" s="1"/>
  <c r="K102" i="180"/>
  <c r="K101" i="180"/>
  <c r="N102" i="293" a="1"/>
  <c r="N102" i="293" s="1"/>
  <c r="L98" i="299" s="1"/>
  <c r="U91" i="180"/>
  <c r="R87" i="293" a="1"/>
  <c r="R87" i="293" s="1"/>
  <c r="P83" i="299" s="1"/>
  <c r="R73" i="293" a="1"/>
  <c r="R73" i="293" s="1"/>
  <c r="P69" i="299" s="1"/>
  <c r="R72" i="293" a="1"/>
  <c r="R72" i="293" s="1"/>
  <c r="P68" i="299" s="1"/>
  <c r="P70" i="180"/>
  <c r="U63" i="293" a="1"/>
  <c r="U63" i="293" s="1"/>
  <c r="S59" i="299" s="1"/>
  <c r="N92" i="293" a="1"/>
  <c r="N92" i="293" s="1"/>
  <c r="L88" i="299" s="1"/>
  <c r="K92" i="180"/>
  <c r="K51" i="180"/>
  <c r="U90" i="293" a="1"/>
  <c r="U90" i="293" s="1"/>
  <c r="S86" i="299" s="1"/>
  <c r="U99" i="293" a="1"/>
  <c r="U99" i="293" s="1"/>
  <c r="S95" i="299" s="1"/>
  <c r="U89" i="180"/>
  <c r="U104" i="180"/>
  <c r="P86" i="180"/>
  <c r="P85" i="180"/>
  <c r="J87" i="293" a="1"/>
  <c r="J87" i="293" s="1"/>
  <c r="H83" i="299" s="1"/>
  <c r="J73" i="293" a="1"/>
  <c r="J73" i="293" s="1"/>
  <c r="H69" i="299" s="1"/>
  <c r="J72" i="293" a="1"/>
  <c r="J72" i="293" s="1"/>
  <c r="H68" i="299" s="1"/>
  <c r="R63" i="293" a="1"/>
  <c r="R63" i="293" s="1"/>
  <c r="P59" i="299" s="1"/>
  <c r="Y102" i="180"/>
  <c r="U102" i="180"/>
  <c r="U92" i="180"/>
  <c r="U51" i="180"/>
  <c r="U100" i="180"/>
  <c r="N69" i="293" a="1"/>
  <c r="N69" i="293" s="1"/>
  <c r="L65" i="299" s="1"/>
  <c r="Y93" i="180"/>
  <c r="P93" i="180"/>
  <c r="P99" i="180"/>
  <c r="J91" i="293" a="1"/>
  <c r="J91" i="293" s="1"/>
  <c r="H87" i="299" s="1"/>
  <c r="J50" i="293" a="1"/>
  <c r="J50" i="293" s="1"/>
  <c r="H46" i="299" s="1"/>
  <c r="Y91" i="180"/>
  <c r="N85" i="293" a="1"/>
  <c r="N85" i="293" s="1"/>
  <c r="L81" i="299" s="1"/>
  <c r="N84" i="293" a="1"/>
  <c r="N84" i="293" s="1"/>
  <c r="L80" i="299" s="1"/>
  <c r="U103" i="293" a="1"/>
  <c r="U103" i="293" s="1"/>
  <c r="S99" i="299" s="1"/>
  <c r="Y101" i="180"/>
  <c r="P92" i="180"/>
  <c r="P51" i="180"/>
  <c r="J100" i="293" a="1"/>
  <c r="J100" i="293" s="1"/>
  <c r="H96" i="299" s="1"/>
  <c r="U101" i="293" a="1"/>
  <c r="U101" i="293" s="1"/>
  <c r="S97" i="299" s="1"/>
  <c r="R101" i="293" a="1"/>
  <c r="R101" i="293" s="1"/>
  <c r="P97" i="299" s="1"/>
  <c r="Y99" i="180"/>
  <c r="R91" i="293" a="1"/>
  <c r="R91" i="293" s="1"/>
  <c r="P87" i="299" s="1"/>
  <c r="R50" i="293" a="1"/>
  <c r="R50" i="293" s="1"/>
  <c r="P46" i="299" s="1"/>
  <c r="R99" i="293" a="1"/>
  <c r="R99" i="293" s="1"/>
  <c r="P95" i="299" s="1"/>
  <c r="U99" i="180"/>
  <c r="J85" i="293" a="1"/>
  <c r="J85" i="293" s="1"/>
  <c r="H81" i="299" s="1"/>
  <c r="J84" i="293" a="1"/>
  <c r="J84" i="293" s="1"/>
  <c r="H80" i="299" s="1"/>
  <c r="U92" i="293" a="1"/>
  <c r="U92" i="293" s="1"/>
  <c r="S88" i="299" s="1"/>
  <c r="N98" i="293" a="1"/>
  <c r="N98" i="293" s="1"/>
  <c r="L94" i="299" s="1"/>
  <c r="K93" i="180"/>
  <c r="U93" i="180"/>
  <c r="N87" i="293" a="1"/>
  <c r="N87" i="293" s="1"/>
  <c r="L83" i="299" s="1"/>
  <c r="N73" i="293" a="1"/>
  <c r="N73" i="293" s="1"/>
  <c r="L69" i="299" s="1"/>
  <c r="N72" i="293" a="1"/>
  <c r="N72" i="293" s="1"/>
  <c r="L68" i="299" s="1"/>
  <c r="R103" i="293" a="1"/>
  <c r="R103" i="293" s="1"/>
  <c r="P99" i="299" s="1"/>
  <c r="J103" i="293" a="1"/>
  <c r="J103" i="293" s="1"/>
  <c r="H99" i="299" s="1"/>
  <c r="R85" i="293" a="1"/>
  <c r="R85" i="293" s="1"/>
  <c r="P81" i="299" s="1"/>
  <c r="R84" i="293" a="1"/>
  <c r="R84" i="293" s="1"/>
  <c r="P80" i="299" s="1"/>
  <c r="U100" i="293" a="1"/>
  <c r="U100" i="293" s="1"/>
  <c r="S96" i="299" s="1"/>
  <c r="U86" i="293" a="1"/>
  <c r="U86" i="293" s="1"/>
  <c r="S82" i="299" s="1"/>
  <c r="U70" i="293" a="1"/>
  <c r="U70" i="293" s="1"/>
  <c r="S66" i="299" s="1"/>
  <c r="N95" i="293" a="1"/>
  <c r="N95" i="293" s="1"/>
  <c r="L91" i="299" s="1"/>
  <c r="U98" i="293" a="1"/>
  <c r="U98" i="293" s="1"/>
  <c r="S94" i="299" s="1"/>
  <c r="R98" i="293" a="1"/>
  <c r="R98" i="293" s="1"/>
  <c r="P94" i="299" s="1"/>
  <c r="Y70" i="180"/>
  <c r="R92" i="293" a="1"/>
  <c r="R92" i="293" s="1"/>
  <c r="P88" i="299" s="1"/>
  <c r="P102" i="180"/>
  <c r="N88" i="293" a="1"/>
  <c r="N88" i="293" s="1"/>
  <c r="L84" i="299" s="1"/>
  <c r="P91" i="180"/>
  <c r="N99" i="293" a="1"/>
  <c r="N99" i="293" s="1"/>
  <c r="L95" i="299" s="1"/>
  <c r="K61" i="180"/>
  <c r="K62" i="180"/>
  <c r="N100" i="293" a="1"/>
  <c r="N100" i="293" s="1"/>
  <c r="L96" i="299" s="1"/>
  <c r="U88" i="293" a="1"/>
  <c r="U88" i="293" s="1"/>
  <c r="S84" i="299" s="1"/>
  <c r="U85" i="293" a="1"/>
  <c r="U85" i="293" s="1"/>
  <c r="S81" i="299" s="1"/>
  <c r="U84" i="293" a="1"/>
  <c r="U84" i="293" s="1"/>
  <c r="S80" i="299" s="1"/>
  <c r="P96" i="180"/>
  <c r="N61" i="293" a="1"/>
  <c r="N61" i="293" s="1"/>
  <c r="L57" i="299" s="1"/>
  <c r="N60" i="293" a="1"/>
  <c r="N60" i="293" s="1"/>
  <c r="L56" i="299" s="1"/>
  <c r="Y103" i="180"/>
  <c r="K100" i="180"/>
  <c r="K86" i="180"/>
  <c r="K85" i="180"/>
  <c r="R86" i="293" a="1"/>
  <c r="R86" i="293" s="1"/>
  <c r="P82" i="299" s="1"/>
  <c r="R70" i="293" a="1"/>
  <c r="R70" i="293" s="1"/>
  <c r="P66" i="299" s="1"/>
  <c r="U87" i="293" a="1"/>
  <c r="U87" i="293" s="1"/>
  <c r="S83" i="299" s="1"/>
  <c r="U73" i="293" a="1"/>
  <c r="U73" i="293" s="1"/>
  <c r="S69" i="299" s="1"/>
  <c r="U72" i="293" a="1"/>
  <c r="U72" i="293" s="1"/>
  <c r="S68" i="299" s="1"/>
  <c r="J92" i="293" a="1"/>
  <c r="J92" i="293" s="1"/>
  <c r="H88" i="299" s="1"/>
  <c r="U69" i="293" a="1"/>
  <c r="U69" i="293" s="1"/>
  <c r="S65" i="299" s="1"/>
  <c r="R69" i="293" a="1"/>
  <c r="R69" i="293" s="1"/>
  <c r="P65" i="299" s="1"/>
  <c r="U62" i="180"/>
  <c r="U61" i="180"/>
  <c r="N101" i="293" a="1"/>
  <c r="N101" i="293" s="1"/>
  <c r="L97" i="299" s="1"/>
  <c r="J86" i="293" a="1"/>
  <c r="J86" i="293" s="1"/>
  <c r="H82" i="299" s="1"/>
  <c r="J70" i="293" a="1"/>
  <c r="J70" i="293" s="1"/>
  <c r="H66" i="299" s="1"/>
  <c r="N90" i="293" a="1"/>
  <c r="N90" i="293" s="1"/>
  <c r="L86" i="299" s="1"/>
  <c r="K104" i="180"/>
  <c r="J61" i="293" a="1"/>
  <c r="J61" i="293" s="1"/>
  <c r="H57" i="299" s="1"/>
  <c r="J60" i="293" a="1"/>
  <c r="J60" i="293" s="1"/>
  <c r="H56" i="299" s="1"/>
  <c r="U86" i="180"/>
  <c r="U85" i="180"/>
  <c r="U95" i="293" a="1"/>
  <c r="U95" i="293" s="1"/>
  <c r="S91" i="299" s="1"/>
  <c r="P101" i="180"/>
  <c r="Y87" i="180"/>
  <c r="C36" i="219" s="1"/>
  <c r="Y71" i="180"/>
  <c r="W8" i="293" a="1"/>
  <c r="W8" i="293" s="1"/>
  <c r="U4" i="299" s="1"/>
  <c r="O102" i="293" a="1"/>
  <c r="O102" i="293" s="1"/>
  <c r="M98" i="299" s="1"/>
  <c r="K95" i="293" a="1"/>
  <c r="K95" i="293" s="1"/>
  <c r="I91" i="299" s="1"/>
  <c r="O69" i="293" a="1"/>
  <c r="O69" i="293" s="1"/>
  <c r="M65" i="299" s="1"/>
  <c r="K102" i="293" a="1"/>
  <c r="K102" i="293" s="1"/>
  <c r="I98" i="299" s="1"/>
  <c r="O66" i="293" a="1"/>
  <c r="O66" i="293" s="1"/>
  <c r="M62" i="299" s="1"/>
  <c r="K81" i="293" a="1"/>
  <c r="K81" i="293" s="1"/>
  <c r="I77" i="299" s="1"/>
  <c r="K66" i="293" a="1"/>
  <c r="K66" i="293" s="1"/>
  <c r="I62" i="299" s="1"/>
  <c r="O55" i="293" a="1"/>
  <c r="O55" i="293" s="1"/>
  <c r="M51" i="299" s="1"/>
  <c r="K96" i="293" a="1"/>
  <c r="K96" i="293" s="1"/>
  <c r="I92" i="299" s="1"/>
  <c r="O59" i="293" a="1"/>
  <c r="O59" i="293" s="1"/>
  <c r="M55" i="299" s="1"/>
  <c r="K98" i="293" a="1"/>
  <c r="K98" i="293" s="1"/>
  <c r="I94" i="299" s="1"/>
  <c r="O45" i="293" a="1"/>
  <c r="O45" i="293" s="1"/>
  <c r="M41" i="299" s="1"/>
  <c r="O38" i="293" a="1"/>
  <c r="O38" i="293" s="1"/>
  <c r="M34" i="299" s="1"/>
  <c r="O58" i="293" a="1"/>
  <c r="O58" i="293" s="1"/>
  <c r="M54" i="299" s="1"/>
  <c r="K100" i="293" a="1"/>
  <c r="K100" i="293" s="1"/>
  <c r="I96" i="299" s="1"/>
  <c r="K94" i="293" a="1"/>
  <c r="K94" i="293" s="1"/>
  <c r="I90" i="299" s="1"/>
  <c r="O94" i="293" a="1"/>
  <c r="O94" i="293" s="1"/>
  <c r="M90" i="299" s="1"/>
  <c r="K93" i="293" a="1"/>
  <c r="K93" i="293" s="1"/>
  <c r="I89" i="299" s="1"/>
  <c r="K48" i="293" a="1"/>
  <c r="K48" i="293" s="1"/>
  <c r="I44" i="299" s="1"/>
  <c r="O95" i="293" a="1"/>
  <c r="O95" i="293" s="1"/>
  <c r="M91" i="299" s="1"/>
  <c r="O92" i="293" a="1"/>
  <c r="O92" i="293" s="1"/>
  <c r="M88" i="299" s="1"/>
  <c r="O88" i="293" a="1"/>
  <c r="O88" i="293" s="1"/>
  <c r="M84" i="299" s="1"/>
  <c r="O90" i="293" a="1"/>
  <c r="O90" i="293" s="1"/>
  <c r="M86" i="299" s="1"/>
  <c r="O100" i="293" a="1"/>
  <c r="O100" i="293" s="1"/>
  <c r="M96" i="299" s="1"/>
  <c r="O47" i="293" a="1"/>
  <c r="O47" i="293" s="1"/>
  <c r="M43" i="299" s="1"/>
  <c r="O93" i="293" a="1"/>
  <c r="O93" i="293" s="1"/>
  <c r="M89" i="299" s="1"/>
  <c r="K52" i="293" a="1"/>
  <c r="K52" i="293" s="1"/>
  <c r="I48" i="299" s="1"/>
  <c r="K58" i="293" a="1"/>
  <c r="K58" i="293" s="1"/>
  <c r="I54" i="299" s="1"/>
  <c r="K59" i="293" a="1"/>
  <c r="K59" i="293" s="1"/>
  <c r="I55" i="299" s="1"/>
  <c r="O48" i="293" a="1"/>
  <c r="O48" i="293" s="1"/>
  <c r="M44" i="299" s="1"/>
  <c r="O98" i="293" a="1"/>
  <c r="O98" i="293" s="1"/>
  <c r="M94" i="299" s="1"/>
  <c r="K92" i="293" a="1"/>
  <c r="K92" i="293" s="1"/>
  <c r="I88" i="299" s="1"/>
  <c r="K103" i="293" a="1"/>
  <c r="K103" i="293" s="1"/>
  <c r="I99" i="299" s="1"/>
  <c r="O57" i="293" a="1"/>
  <c r="O57" i="293" s="1"/>
  <c r="M53" i="299" s="1"/>
  <c r="K57" i="293" a="1"/>
  <c r="K57" i="293" s="1"/>
  <c r="I53" i="299" s="1"/>
  <c r="K45" i="293" a="1"/>
  <c r="K45" i="293" s="1"/>
  <c r="I41" i="299" s="1"/>
  <c r="O81" i="293" a="1"/>
  <c r="O81" i="293" s="1"/>
  <c r="M77" i="299" s="1"/>
  <c r="K55" i="293" a="1"/>
  <c r="K55" i="293" s="1"/>
  <c r="I51" i="299" s="1"/>
  <c r="O52" i="293" a="1"/>
  <c r="O52" i="293" s="1"/>
  <c r="M48" i="299" s="1"/>
  <c r="K51" i="293" a="1"/>
  <c r="K51" i="293" s="1"/>
  <c r="I47" i="299" s="1"/>
  <c r="K69" i="293" a="1"/>
  <c r="K69" i="293" s="1"/>
  <c r="I65" i="299" s="1"/>
  <c r="O99" i="293" a="1"/>
  <c r="O99" i="293" s="1"/>
  <c r="M95" i="299" s="1"/>
  <c r="O103" i="293" a="1"/>
  <c r="O103" i="293" s="1"/>
  <c r="M99" i="299" s="1"/>
  <c r="O51" i="293" a="1"/>
  <c r="O51" i="293" s="1"/>
  <c r="M47" i="299" s="1"/>
  <c r="O96" i="293" a="1"/>
  <c r="O96" i="293" s="1"/>
  <c r="M92" i="299" s="1"/>
  <c r="K38" i="293" a="1"/>
  <c r="K38" i="293" s="1"/>
  <c r="I34" i="299" s="1"/>
  <c r="K99" i="293" a="1"/>
  <c r="K99" i="293" s="1"/>
  <c r="I95" i="299" s="1"/>
  <c r="O101" i="293" a="1"/>
  <c r="O101" i="293" s="1"/>
  <c r="M97" i="299" s="1"/>
  <c r="K88" i="293" a="1"/>
  <c r="K88" i="293" s="1"/>
  <c r="I84" i="299" s="1"/>
  <c r="K101" i="293" a="1"/>
  <c r="K101" i="293" s="1"/>
  <c r="I97" i="299" s="1"/>
  <c r="K47" i="293" a="1"/>
  <c r="K47" i="293" s="1"/>
  <c r="I43" i="299" s="1"/>
  <c r="K63" i="293" a="1"/>
  <c r="K63" i="293" s="1"/>
  <c r="I59" i="299" s="1"/>
  <c r="K90" i="293" a="1"/>
  <c r="K90" i="293" s="1"/>
  <c r="I86" i="299" s="1"/>
  <c r="O63" i="293" a="1"/>
  <c r="O63" i="293" s="1"/>
  <c r="M59" i="299" s="1"/>
  <c r="K46" i="293" a="1"/>
  <c r="K46" i="293" s="1"/>
  <c r="I42" i="299" s="1"/>
  <c r="O46" i="293" a="1"/>
  <c r="O46" i="293" s="1"/>
  <c r="M42" i="299" s="1"/>
  <c r="O60" i="293" a="1"/>
  <c r="O60" i="293" s="1"/>
  <c r="M56" i="299" s="1"/>
  <c r="O61" i="293" a="1"/>
  <c r="O61" i="293" s="1"/>
  <c r="M57" i="299" s="1"/>
  <c r="K85" i="293" a="1"/>
  <c r="K85" i="293" s="1"/>
  <c r="I81" i="299" s="1"/>
  <c r="K84" i="293" a="1"/>
  <c r="K84" i="293" s="1"/>
  <c r="I80" i="299" s="1"/>
  <c r="K91" i="293" a="1"/>
  <c r="K91" i="293" s="1"/>
  <c r="I87" i="299" s="1"/>
  <c r="K50" i="293" a="1"/>
  <c r="K50" i="293" s="1"/>
  <c r="I46" i="299" s="1"/>
  <c r="O72" i="293" a="1"/>
  <c r="O72" i="293" s="1"/>
  <c r="M68" i="299" s="1"/>
  <c r="O73" i="293" a="1"/>
  <c r="O73" i="293" s="1"/>
  <c r="M69" i="299" s="1"/>
  <c r="O87" i="293" a="1"/>
  <c r="O87" i="293" s="1"/>
  <c r="M83" i="299" s="1"/>
  <c r="O84" i="293" a="1"/>
  <c r="O84" i="293" s="1"/>
  <c r="M80" i="299" s="1"/>
  <c r="O85" i="293" a="1"/>
  <c r="O85" i="293" s="1"/>
  <c r="M81" i="299" s="1"/>
  <c r="K73" i="293" a="1"/>
  <c r="K73" i="293" s="1"/>
  <c r="I69" i="299" s="1"/>
  <c r="K87" i="293" a="1"/>
  <c r="K87" i="293" s="1"/>
  <c r="I83" i="299" s="1"/>
  <c r="K72" i="293" a="1"/>
  <c r="K72" i="293" s="1"/>
  <c r="I68" i="299" s="1"/>
  <c r="K61" i="293" a="1"/>
  <c r="K61" i="293" s="1"/>
  <c r="I57" i="299" s="1"/>
  <c r="K60" i="293" a="1"/>
  <c r="K60" i="293" s="1"/>
  <c r="I56" i="299" s="1"/>
  <c r="O50" i="293" a="1"/>
  <c r="O50" i="293" s="1"/>
  <c r="M46" i="299" s="1"/>
  <c r="O91" i="293" a="1"/>
  <c r="O91" i="293" s="1"/>
  <c r="M87" i="299" s="1"/>
  <c r="K42" i="293" a="1"/>
  <c r="K42" i="293" s="1"/>
  <c r="I38" i="299" s="1"/>
  <c r="K67" i="293" a="1"/>
  <c r="K67" i="293" s="1"/>
  <c r="I63" i="299" s="1"/>
  <c r="O65" i="293" a="1"/>
  <c r="O65" i="293" s="1"/>
  <c r="M61" i="299" s="1"/>
  <c r="O80" i="293" a="1"/>
  <c r="O80" i="293" s="1"/>
  <c r="M76" i="299" s="1"/>
  <c r="O43" i="293" a="1"/>
  <c r="O43" i="293" s="1"/>
  <c r="M39" i="299" s="1"/>
  <c r="O68" i="293" a="1"/>
  <c r="O68" i="293" s="1"/>
  <c r="M64" i="299" s="1"/>
  <c r="K41" i="293" a="1"/>
  <c r="K41" i="293" s="1"/>
  <c r="I37" i="299" s="1"/>
  <c r="K40" i="293" a="1"/>
  <c r="K40" i="293" s="1"/>
  <c r="I36" i="299" s="1"/>
  <c r="K43" i="293" a="1"/>
  <c r="K43" i="293" s="1"/>
  <c r="I39" i="299" s="1"/>
  <c r="K68" i="293" a="1"/>
  <c r="K68" i="293" s="1"/>
  <c r="I64" i="299" s="1"/>
  <c r="O40" i="293" a="1"/>
  <c r="O40" i="293" s="1"/>
  <c r="M36" i="299" s="1"/>
  <c r="O41" i="293" a="1"/>
  <c r="O41" i="293" s="1"/>
  <c r="M37" i="299" s="1"/>
  <c r="O39" i="293" a="1"/>
  <c r="O39" i="293" s="1"/>
  <c r="M35" i="299" s="1"/>
  <c r="O78" i="293" a="1"/>
  <c r="O78" i="293" s="1"/>
  <c r="M74" i="299" s="1"/>
  <c r="O42" i="293" a="1"/>
  <c r="O42" i="293" s="1"/>
  <c r="M38" i="299" s="1"/>
  <c r="O67" i="293" a="1"/>
  <c r="O67" i="293" s="1"/>
  <c r="M63" i="299" s="1"/>
  <c r="K39" i="293" a="1"/>
  <c r="K39" i="293" s="1"/>
  <c r="I35" i="299" s="1"/>
  <c r="K78" i="293" a="1"/>
  <c r="K78" i="293" s="1"/>
  <c r="I74" i="299" s="1"/>
  <c r="O53" i="293" a="1"/>
  <c r="O53" i="293" s="1"/>
  <c r="M49" i="299" s="1"/>
  <c r="O54" i="293" a="1"/>
  <c r="O54" i="293" s="1"/>
  <c r="M50" i="299" s="1"/>
  <c r="K53" i="293" a="1"/>
  <c r="K53" i="293" s="1"/>
  <c r="I49" i="299" s="1"/>
  <c r="K54" i="293" a="1"/>
  <c r="K54" i="293" s="1"/>
  <c r="I50" i="299" s="1"/>
  <c r="O20" i="293" a="1"/>
  <c r="O20" i="293" s="1"/>
  <c r="M16" i="299" s="1"/>
  <c r="O79" i="293" a="1"/>
  <c r="O79" i="293" s="1"/>
  <c r="M75" i="299" s="1"/>
  <c r="O64" i="293" a="1"/>
  <c r="O64" i="293" s="1"/>
  <c r="M60" i="299" s="1"/>
  <c r="O83" i="293" a="1"/>
  <c r="O83" i="293" s="1"/>
  <c r="M79" i="299" s="1"/>
  <c r="K79" i="293" a="1"/>
  <c r="K79" i="293" s="1"/>
  <c r="I75" i="299" s="1"/>
  <c r="K20" i="293" a="1"/>
  <c r="K20" i="293" s="1"/>
  <c r="I16" i="299" s="1"/>
  <c r="Q8" i="293" a="1"/>
  <c r="Q8" i="293" s="1"/>
  <c r="O4" i="299" s="1"/>
  <c r="Q94" i="293" a="1"/>
  <c r="Q94" i="293" s="1"/>
  <c r="O90" i="299" s="1"/>
  <c r="T93" i="293" a="1"/>
  <c r="T93" i="293" s="1"/>
  <c r="R89" i="299" s="1"/>
  <c r="Q93" i="293" a="1"/>
  <c r="Q93" i="293" s="1"/>
  <c r="O89" i="299" s="1"/>
  <c r="M8" i="293" a="1"/>
  <c r="M8" i="293" s="1"/>
  <c r="K4" i="299" s="1"/>
  <c r="K12" i="293" a="1"/>
  <c r="K12" i="293" s="1"/>
  <c r="I8" i="299" s="1"/>
  <c r="K9" i="293" a="1"/>
  <c r="K9" i="293" s="1"/>
  <c r="I5" i="299" s="1"/>
  <c r="K97" i="293" a="1"/>
  <c r="K97" i="293" s="1"/>
  <c r="I93" i="299" s="1"/>
  <c r="N6" i="293" a="1"/>
  <c r="N6" i="293" s="1"/>
  <c r="L2" i="299" s="1"/>
  <c r="K11" i="293" a="1"/>
  <c r="K11" i="293" s="1"/>
  <c r="I7" i="299" s="1"/>
  <c r="O10" i="293" a="1"/>
  <c r="O10" i="293" s="1"/>
  <c r="M6" i="299" s="1"/>
  <c r="K10" i="293" a="1"/>
  <c r="K10" i="293" s="1"/>
  <c r="I6" i="299" s="1"/>
  <c r="O13" i="293" a="1"/>
  <c r="O13" i="293" s="1"/>
  <c r="M9" i="299" s="1"/>
  <c r="O11" i="293" a="1"/>
  <c r="O11" i="293" s="1"/>
  <c r="M7" i="299" s="1"/>
  <c r="O7" i="293" a="1"/>
  <c r="O7" i="293" s="1"/>
  <c r="M3" i="299" s="1"/>
  <c r="O9" i="293" a="1"/>
  <c r="O9" i="293" s="1"/>
  <c r="M5" i="299" s="1"/>
  <c r="O97" i="293" a="1"/>
  <c r="O97" i="293" s="1"/>
  <c r="M93" i="299" s="1"/>
  <c r="O12" i="293" a="1"/>
  <c r="O12" i="293" s="1"/>
  <c r="M8" i="299" s="1"/>
  <c r="I2" i="299"/>
  <c r="K13" i="293" a="1"/>
  <c r="K13" i="293" s="1"/>
  <c r="I9" i="299" s="1"/>
  <c r="O6" i="293" a="1"/>
  <c r="O6" i="293" s="1"/>
  <c r="M2" i="299" s="1"/>
  <c r="L11" i="237"/>
  <c r="D20" i="237" s="1"/>
  <c r="F92" i="293"/>
  <c r="D88" i="299" s="1"/>
  <c r="AC93" i="180"/>
  <c r="F93" i="293"/>
  <c r="D89" i="299" s="1"/>
  <c r="AC94" i="180"/>
  <c r="F94" i="293"/>
  <c r="D90" i="299" s="1"/>
  <c r="AC95" i="180"/>
  <c r="L11" i="240"/>
  <c r="D20" i="240" s="1"/>
  <c r="H35" i="180"/>
  <c r="H36" i="180"/>
  <c r="H77" i="180"/>
  <c r="H75" i="180"/>
  <c r="H14" i="180"/>
  <c r="H13" i="180"/>
  <c r="H15" i="180"/>
  <c r="M15" i="180"/>
  <c r="M14" i="180"/>
  <c r="M13" i="180"/>
  <c r="U14" i="180"/>
  <c r="S13" i="293" a="1"/>
  <c r="S13" i="293" s="1"/>
  <c r="Q9" i="299" s="1"/>
  <c r="Y14" i="180"/>
  <c r="V13" i="293" a="1"/>
  <c r="V13" i="293" s="1"/>
  <c r="T9" i="299" s="1"/>
  <c r="J97" i="293" a="1"/>
  <c r="J97" i="293" s="1"/>
  <c r="H93" i="299" s="1"/>
  <c r="L98" i="180"/>
  <c r="N11" i="293" a="1"/>
  <c r="N11" i="293" s="1"/>
  <c r="L7" i="299" s="1"/>
  <c r="Q12" i="180"/>
  <c r="U8" i="180"/>
  <c r="S7" i="293" a="1"/>
  <c r="S7" i="293" s="1"/>
  <c r="Q3" i="299" s="1"/>
  <c r="U10" i="180"/>
  <c r="S9" i="293" a="1"/>
  <c r="S9" i="293" s="1"/>
  <c r="Q5" i="299" s="1"/>
  <c r="Y12" i="180"/>
  <c r="V11" i="293" a="1"/>
  <c r="V11" i="293" s="1"/>
  <c r="T7" i="299" s="1"/>
  <c r="N9" i="293" a="1"/>
  <c r="N9" i="293" s="1"/>
  <c r="L5" i="299" s="1"/>
  <c r="Q10" i="180"/>
  <c r="J11" i="293" a="1"/>
  <c r="J11" i="293" s="1"/>
  <c r="H7" i="299" s="1"/>
  <c r="L12" i="180"/>
  <c r="U10" i="293" a="1"/>
  <c r="U10" i="293" s="1"/>
  <c r="S6" i="299" s="1"/>
  <c r="Z11" i="180"/>
  <c r="U6" i="293" a="1"/>
  <c r="U6" i="293" s="1"/>
  <c r="S2" i="299" s="1"/>
  <c r="Z7" i="180"/>
  <c r="U9" i="293" a="1"/>
  <c r="U9" i="293" s="1"/>
  <c r="S5" i="299" s="1"/>
  <c r="Z10" i="180"/>
  <c r="U98" i="180"/>
  <c r="S97" i="293" a="1"/>
  <c r="S97" i="293" s="1"/>
  <c r="Q93" i="299" s="1"/>
  <c r="L7" i="180"/>
  <c r="J6" i="293" a="1"/>
  <c r="J6" i="293" s="1"/>
  <c r="H2" i="299" s="1"/>
  <c r="N97" i="293" a="1"/>
  <c r="N97" i="293" s="1"/>
  <c r="L93" i="299" s="1"/>
  <c r="Q98" i="180"/>
  <c r="R10" i="293" a="1"/>
  <c r="R10" i="293" s="1"/>
  <c r="P6" i="299" s="1"/>
  <c r="V11" i="180"/>
  <c r="P11" i="180"/>
  <c r="P10" i="293" a="1"/>
  <c r="P10" i="293" s="1"/>
  <c r="N6" i="299" s="1"/>
  <c r="U97" i="293" a="1"/>
  <c r="U97" i="293" s="1"/>
  <c r="S93" i="299" s="1"/>
  <c r="Z98" i="180"/>
  <c r="AC14" i="180"/>
  <c r="F13" i="293"/>
  <c r="D9" i="299" s="1"/>
  <c r="F12" i="293"/>
  <c r="D8" i="299" s="1"/>
  <c r="AC13" i="180"/>
  <c r="U7" i="293" a="1"/>
  <c r="U7" i="293" s="1"/>
  <c r="S3" i="299" s="1"/>
  <c r="Z8" i="180"/>
  <c r="Y8" i="180"/>
  <c r="V7" i="293" a="1"/>
  <c r="V7" i="293" s="1"/>
  <c r="T3" i="299" s="1"/>
  <c r="Y11" i="180"/>
  <c r="V10" i="293" a="1"/>
  <c r="V10" i="293" s="1"/>
  <c r="T6" i="299" s="1"/>
  <c r="F10" i="293"/>
  <c r="D6" i="299" s="1"/>
  <c r="AC11" i="180"/>
  <c r="P8" i="180"/>
  <c r="P7" i="293" a="1"/>
  <c r="P7" i="293" s="1"/>
  <c r="N3" i="299" s="1"/>
  <c r="R9" i="293" a="1"/>
  <c r="R9" i="293" s="1"/>
  <c r="P5" i="299" s="1"/>
  <c r="V10" i="180"/>
  <c r="U11" i="293" a="1"/>
  <c r="U11" i="293" s="1"/>
  <c r="S7" i="299" s="1"/>
  <c r="Z12" i="180"/>
  <c r="U12" i="293" a="1"/>
  <c r="U12" i="293" s="1"/>
  <c r="S8" i="299" s="1"/>
  <c r="Z13" i="180"/>
  <c r="AC98" i="180"/>
  <c r="F97" i="293"/>
  <c r="D93" i="299" s="1"/>
  <c r="K13" i="180"/>
  <c r="AB13" i="180"/>
  <c r="L12" i="293" a="1"/>
  <c r="L12" i="293" s="1"/>
  <c r="J8" i="299" s="1"/>
  <c r="R13" i="293" a="1"/>
  <c r="R13" i="293" s="1"/>
  <c r="P9" i="299" s="1"/>
  <c r="V14" i="180"/>
  <c r="N10" i="293" a="1"/>
  <c r="N10" i="293" s="1"/>
  <c r="L6" i="299" s="1"/>
  <c r="Q11" i="180"/>
  <c r="R97" i="293" a="1"/>
  <c r="R97" i="293" s="1"/>
  <c r="P93" i="299" s="1"/>
  <c r="V98" i="180"/>
  <c r="L6" i="293" a="1"/>
  <c r="L6" i="293" s="1"/>
  <c r="J2" i="299" s="1"/>
  <c r="K7" i="180"/>
  <c r="AB7" i="180"/>
  <c r="AC12" i="180"/>
  <c r="F11" i="293"/>
  <c r="D7" i="299" s="1"/>
  <c r="F9" i="293"/>
  <c r="D5" i="299" s="1"/>
  <c r="AC10" i="180"/>
  <c r="R6" i="293" a="1"/>
  <c r="R6" i="293" s="1"/>
  <c r="P2" i="299" s="1"/>
  <c r="V7" i="180"/>
  <c r="U13" i="293" a="1"/>
  <c r="U13" i="293" s="1"/>
  <c r="S9" i="299" s="1"/>
  <c r="Z14" i="180"/>
  <c r="K10" i="180"/>
  <c r="L9" i="293" a="1"/>
  <c r="L9" i="293" s="1"/>
  <c r="J5" i="299" s="1"/>
  <c r="AB10" i="180"/>
  <c r="K12" i="180"/>
  <c r="AB12" i="180"/>
  <c r="L11" i="293" a="1"/>
  <c r="L11" i="293" s="1"/>
  <c r="J7" i="299" s="1"/>
  <c r="F6" i="293"/>
  <c r="D2" i="299" s="1"/>
  <c r="AC7" i="180"/>
  <c r="U12" i="180"/>
  <c r="S11" i="293" a="1"/>
  <c r="S11" i="293" s="1"/>
  <c r="Q7" i="299" s="1"/>
  <c r="Y13" i="180"/>
  <c r="V12" i="293" a="1"/>
  <c r="V12" i="293" s="1"/>
  <c r="T8" i="299" s="1"/>
  <c r="Y98" i="180"/>
  <c r="V97" i="293" a="1"/>
  <c r="V97" i="293" s="1"/>
  <c r="T93" i="299" s="1"/>
  <c r="P10" i="180"/>
  <c r="P9" i="293" a="1"/>
  <c r="P9" i="293" s="1"/>
  <c r="N5" i="299" s="1"/>
  <c r="U7" i="180"/>
  <c r="S6" i="293" a="1"/>
  <c r="S6" i="293" s="1"/>
  <c r="Q2" i="299" s="1"/>
  <c r="U13" i="180"/>
  <c r="S12" i="293" a="1"/>
  <c r="S12" i="293" s="1"/>
  <c r="Q8" i="299" s="1"/>
  <c r="R12" i="293" a="1"/>
  <c r="R12" i="293" s="1"/>
  <c r="P8" i="299" s="1"/>
  <c r="V13" i="180"/>
  <c r="K98" i="180"/>
  <c r="AB98" i="180"/>
  <c r="L97" i="293" a="1"/>
  <c r="L97" i="293" s="1"/>
  <c r="J93" i="299" s="1"/>
  <c r="P12" i="180"/>
  <c r="P11" i="293" a="1"/>
  <c r="P11" i="293" s="1"/>
  <c r="N7" i="299" s="1"/>
  <c r="P14" i="180"/>
  <c r="P13" i="293" a="1"/>
  <c r="P13" i="293" s="1"/>
  <c r="N9" i="299" s="1"/>
  <c r="K11" i="180"/>
  <c r="AB11" i="180"/>
  <c r="L10" i="293" a="1"/>
  <c r="L10" i="293" s="1"/>
  <c r="J6" i="299" s="1"/>
  <c r="R11" i="293" a="1"/>
  <c r="R11" i="293" s="1"/>
  <c r="P7" i="299" s="1"/>
  <c r="V12" i="180"/>
  <c r="Y10" i="180"/>
  <c r="V9" i="293" a="1"/>
  <c r="V9" i="293" s="1"/>
  <c r="T5" i="299" s="1"/>
  <c r="P98" i="180"/>
  <c r="P97" i="293" a="1"/>
  <c r="P97" i="293" s="1"/>
  <c r="N93" i="299" s="1"/>
  <c r="K14" i="180"/>
  <c r="L13" i="293" a="1"/>
  <c r="L13" i="293" s="1"/>
  <c r="J9" i="299" s="1"/>
  <c r="AB14" i="180"/>
  <c r="U11" i="180"/>
  <c r="S10" i="293" a="1"/>
  <c r="S10" i="293" s="1"/>
  <c r="Q6" i="299" s="1"/>
  <c r="Y7" i="180"/>
  <c r="V6" i="293" a="1"/>
  <c r="V6" i="293" s="1"/>
  <c r="T2" i="299" s="1"/>
  <c r="J9" i="293" a="1"/>
  <c r="J9" i="293" s="1"/>
  <c r="H5" i="299" s="1"/>
  <c r="L10" i="180"/>
  <c r="R7" i="293" a="1"/>
  <c r="R7" i="293" s="1"/>
  <c r="P3" i="299" s="1"/>
  <c r="V8" i="180"/>
  <c r="J10" i="293" a="1"/>
  <c r="J10" i="293" s="1"/>
  <c r="H6" i="299" s="1"/>
  <c r="L11" i="180"/>
  <c r="N7" i="293" a="1"/>
  <c r="N7" i="293" s="1"/>
  <c r="L3" i="299" s="1"/>
  <c r="Q8" i="180"/>
  <c r="P13" i="180"/>
  <c r="P12" i="293" a="1"/>
  <c r="P12" i="293" s="1"/>
  <c r="N8" i="299" s="1"/>
  <c r="P7" i="180"/>
  <c r="P6" i="293" a="1"/>
  <c r="P6" i="293" s="1"/>
  <c r="N2" i="299" s="1"/>
  <c r="V59" i="293" a="1"/>
  <c r="V59" i="293" s="1"/>
  <c r="T55" i="299" s="1"/>
  <c r="V15" i="293" a="1"/>
  <c r="V15" i="293" s="1"/>
  <c r="T11" i="299" s="1"/>
  <c r="V87" i="293" a="1"/>
  <c r="V87" i="293" s="1"/>
  <c r="T83" i="299" s="1"/>
  <c r="V101" i="293" a="1"/>
  <c r="V101" i="293" s="1"/>
  <c r="T97" i="299" s="1"/>
  <c r="V55" i="293" a="1"/>
  <c r="V55" i="293" s="1"/>
  <c r="T51" i="299" s="1"/>
  <c r="V47" i="293" a="1"/>
  <c r="V47" i="293" s="1"/>
  <c r="T43" i="299" s="1"/>
  <c r="V51" i="293" a="1"/>
  <c r="V51" i="293" s="1"/>
  <c r="T47" i="299" s="1"/>
  <c r="V73" i="293" a="1"/>
  <c r="V73" i="293" s="1"/>
  <c r="T69" i="299" s="1"/>
  <c r="V100" i="293" a="1"/>
  <c r="V100" i="293" s="1"/>
  <c r="T96" i="299" s="1"/>
  <c r="V52" i="293" a="1"/>
  <c r="V52" i="293" s="1"/>
  <c r="T48" i="299" s="1"/>
  <c r="V17" i="293" a="1"/>
  <c r="V17" i="293" s="1"/>
  <c r="T13" i="299" s="1"/>
  <c r="V45" i="293" a="1"/>
  <c r="V45" i="293" s="1"/>
  <c r="T41" i="299" s="1"/>
  <c r="V80" i="293" a="1"/>
  <c r="V80" i="293" s="1"/>
  <c r="T76" i="299" s="1"/>
  <c r="V72" i="293" a="1"/>
  <c r="V72" i="293" s="1"/>
  <c r="T68" i="299" s="1"/>
  <c r="V95" i="293" a="1"/>
  <c r="V95" i="293" s="1"/>
  <c r="T91" i="299" s="1"/>
  <c r="V57" i="293" a="1"/>
  <c r="V57" i="293" s="1"/>
  <c r="T53" i="299" s="1"/>
  <c r="V94" i="293" a="1"/>
  <c r="V94" i="293" s="1"/>
  <c r="T90" i="299" s="1"/>
  <c r="V40" i="293" a="1"/>
  <c r="V40" i="293" s="1"/>
  <c r="T36" i="299" s="1"/>
  <c r="V65" i="293" a="1"/>
  <c r="V65" i="293" s="1"/>
  <c r="T61" i="299" s="1"/>
  <c r="V79" i="293" a="1"/>
  <c r="V79" i="293" s="1"/>
  <c r="T75" i="299" s="1"/>
  <c r="V53" i="293" a="1"/>
  <c r="V53" i="293" s="1"/>
  <c r="T49" i="299" s="1"/>
  <c r="V90" i="293" a="1"/>
  <c r="V90" i="293" s="1"/>
  <c r="T86" i="299" s="1"/>
  <c r="V86" i="293" a="1"/>
  <c r="V86" i="293" s="1"/>
  <c r="T82" i="299" s="1"/>
  <c r="V38" i="293" a="1"/>
  <c r="V38" i="293" s="1"/>
  <c r="T34" i="299" s="1"/>
  <c r="V58" i="293" a="1"/>
  <c r="V58" i="293" s="1"/>
  <c r="T54" i="299" s="1"/>
  <c r="V41" i="293" a="1"/>
  <c r="V41" i="293" s="1"/>
  <c r="T37" i="299" s="1"/>
  <c r="V20" i="293" a="1"/>
  <c r="V20" i="293" s="1"/>
  <c r="T16" i="299" s="1"/>
  <c r="V54" i="293" a="1"/>
  <c r="V54" i="293" s="1"/>
  <c r="T50" i="299" s="1"/>
  <c r="V88" i="293" a="1"/>
  <c r="V88" i="293" s="1"/>
  <c r="T84" i="299" s="1"/>
  <c r="V91" i="293" a="1"/>
  <c r="V91" i="293" s="1"/>
  <c r="T87" i="299" s="1"/>
  <c r="V69" i="293" a="1"/>
  <c r="V69" i="293" s="1"/>
  <c r="T65" i="299" s="1"/>
  <c r="V70" i="293" a="1"/>
  <c r="V70" i="293" s="1"/>
  <c r="T66" i="299" s="1"/>
  <c r="V83" i="293" a="1"/>
  <c r="V83" i="293" s="1"/>
  <c r="T79" i="299" s="1"/>
  <c r="V85" i="293" a="1"/>
  <c r="V85" i="293" s="1"/>
  <c r="T81" i="299" s="1"/>
  <c r="V50" i="293" a="1"/>
  <c r="V50" i="293" s="1"/>
  <c r="T46" i="299" s="1"/>
  <c r="V60" i="293" a="1"/>
  <c r="V60" i="293" s="1"/>
  <c r="T56" i="299" s="1"/>
  <c r="V103" i="293" a="1"/>
  <c r="V103" i="293" s="1"/>
  <c r="T99" i="299" s="1"/>
  <c r="V46" i="293" a="1"/>
  <c r="V46" i="293" s="1"/>
  <c r="T42" i="299" s="1"/>
  <c r="V64" i="293" a="1"/>
  <c r="V64" i="293" s="1"/>
  <c r="T60" i="299" s="1"/>
  <c r="V84" i="293" a="1"/>
  <c r="V84" i="293" s="1"/>
  <c r="T80" i="299" s="1"/>
  <c r="V63" i="293" a="1"/>
  <c r="V63" i="293" s="1"/>
  <c r="T59" i="299" s="1"/>
  <c r="V61" i="293" a="1"/>
  <c r="V61" i="293" s="1"/>
  <c r="T57" i="299" s="1"/>
  <c r="V92" i="293" a="1"/>
  <c r="V92" i="293" s="1"/>
  <c r="T88" i="299" s="1"/>
  <c r="V48" i="293" a="1"/>
  <c r="V48" i="293" s="1"/>
  <c r="T44" i="299" s="1"/>
  <c r="V93" i="293" a="1"/>
  <c r="V93" i="293" s="1"/>
  <c r="T89" i="299" s="1"/>
  <c r="V96" i="293" a="1"/>
  <c r="V96" i="293" s="1"/>
  <c r="T92" i="299" s="1"/>
  <c r="V16" i="293" a="1"/>
  <c r="V16" i="293" s="1"/>
  <c r="T12" i="299" s="1"/>
  <c r="V99" i="293" a="1"/>
  <c r="V99" i="293" s="1"/>
  <c r="T95" i="299" s="1"/>
  <c r="V98" i="293" a="1"/>
  <c r="V98" i="293" s="1"/>
  <c r="T94" i="299" s="1"/>
  <c r="V102" i="293" a="1"/>
  <c r="V102" i="293" s="1"/>
  <c r="T98" i="299" s="1"/>
  <c r="S58" i="293" a="1"/>
  <c r="S58" i="293" s="1"/>
  <c r="Q54" i="299" s="1"/>
  <c r="S16" i="293" a="1"/>
  <c r="S16" i="293" s="1"/>
  <c r="Q12" i="299" s="1"/>
  <c r="S57" i="293" a="1"/>
  <c r="S57" i="293" s="1"/>
  <c r="Q53" i="299" s="1"/>
  <c r="S17" i="293" a="1"/>
  <c r="S17" i="293" s="1"/>
  <c r="Q13" i="299" s="1"/>
  <c r="S45" i="293" a="1"/>
  <c r="S45" i="293" s="1"/>
  <c r="Q41" i="299" s="1"/>
  <c r="S15" i="293" a="1"/>
  <c r="S15" i="293" s="1"/>
  <c r="Q11" i="299" s="1"/>
  <c r="S86" i="293" a="1"/>
  <c r="S86" i="293" s="1"/>
  <c r="Q82" i="299" s="1"/>
  <c r="S87" i="293" a="1"/>
  <c r="S87" i="293" s="1"/>
  <c r="Q83" i="299" s="1"/>
  <c r="S47" i="293" a="1"/>
  <c r="S47" i="293" s="1"/>
  <c r="Q43" i="299" s="1"/>
  <c r="S38" i="293" a="1"/>
  <c r="S38" i="293" s="1"/>
  <c r="Q34" i="299" s="1"/>
  <c r="S93" i="293" a="1"/>
  <c r="S93" i="293" s="1"/>
  <c r="Q89" i="299" s="1"/>
  <c r="S52" i="293" a="1"/>
  <c r="S52" i="293" s="1"/>
  <c r="Q48" i="299" s="1"/>
  <c r="S48" i="293" a="1"/>
  <c r="S48" i="293" s="1"/>
  <c r="Q44" i="299" s="1"/>
  <c r="S41" i="293" a="1"/>
  <c r="S41" i="293" s="1"/>
  <c r="Q37" i="299" s="1"/>
  <c r="S80" i="293" a="1"/>
  <c r="S80" i="293" s="1"/>
  <c r="Q76" i="299" s="1"/>
  <c r="S79" i="293" a="1"/>
  <c r="S79" i="293" s="1"/>
  <c r="Q75" i="299" s="1"/>
  <c r="S83" i="293" a="1"/>
  <c r="S83" i="293" s="1"/>
  <c r="Q79" i="299" s="1"/>
  <c r="S70" i="293" a="1"/>
  <c r="S70" i="293" s="1"/>
  <c r="Q66" i="299" s="1"/>
  <c r="S73" i="293" a="1"/>
  <c r="S73" i="293" s="1"/>
  <c r="Q69" i="299" s="1"/>
  <c r="S88" i="293" a="1"/>
  <c r="S88" i="293" s="1"/>
  <c r="Q84" i="299" s="1"/>
  <c r="S85" i="293" a="1"/>
  <c r="S85" i="293" s="1"/>
  <c r="Q81" i="299" s="1"/>
  <c r="S40" i="293" a="1"/>
  <c r="S40" i="293" s="1"/>
  <c r="Q36" i="299" s="1"/>
  <c r="S65" i="293" a="1"/>
  <c r="S65" i="293" s="1"/>
  <c r="Q61" i="299" s="1"/>
  <c r="S20" i="293" a="1"/>
  <c r="S20" i="293" s="1"/>
  <c r="Q16" i="299" s="1"/>
  <c r="S64" i="293" a="1"/>
  <c r="S64" i="293" s="1"/>
  <c r="Q60" i="299" s="1"/>
  <c r="S72" i="293" a="1"/>
  <c r="S72" i="293" s="1"/>
  <c r="Q68" i="299" s="1"/>
  <c r="S84" i="293" a="1"/>
  <c r="S84" i="293" s="1"/>
  <c r="Q80" i="299" s="1"/>
  <c r="S54" i="293" a="1"/>
  <c r="S54" i="293" s="1"/>
  <c r="Q50" i="299" s="1"/>
  <c r="S69" i="293" a="1"/>
  <c r="S69" i="293" s="1"/>
  <c r="Q65" i="299" s="1"/>
  <c r="S100" i="293" a="1"/>
  <c r="S100" i="293" s="1"/>
  <c r="Q96" i="299" s="1"/>
  <c r="S103" i="293" a="1"/>
  <c r="S103" i="293" s="1"/>
  <c r="Q99" i="299" s="1"/>
  <c r="S101" i="293" a="1"/>
  <c r="S101" i="293" s="1"/>
  <c r="Q97" i="299" s="1"/>
  <c r="S55" i="293" a="1"/>
  <c r="S55" i="293" s="1"/>
  <c r="Q51" i="299" s="1"/>
  <c r="S96" i="293" a="1"/>
  <c r="S96" i="293" s="1"/>
  <c r="Q92" i="299" s="1"/>
  <c r="S53" i="293" a="1"/>
  <c r="S53" i="293" s="1"/>
  <c r="Q49" i="299" s="1"/>
  <c r="S102" i="293" a="1"/>
  <c r="S102" i="293" s="1"/>
  <c r="Q98" i="299" s="1"/>
  <c r="S91" i="293" a="1"/>
  <c r="S91" i="293" s="1"/>
  <c r="Q87" i="299" s="1"/>
  <c r="S51" i="293" a="1"/>
  <c r="S51" i="293" s="1"/>
  <c r="Q47" i="299" s="1"/>
  <c r="S59" i="293" a="1"/>
  <c r="S59" i="293" s="1"/>
  <c r="Q55" i="299" s="1"/>
  <c r="S46" i="293" a="1"/>
  <c r="S46" i="293" s="1"/>
  <c r="Q42" i="299" s="1"/>
  <c r="S50" i="293" a="1"/>
  <c r="S50" i="293" s="1"/>
  <c r="Q46" i="299" s="1"/>
  <c r="S98" i="293" a="1"/>
  <c r="S98" i="293" s="1"/>
  <c r="Q94" i="299" s="1"/>
  <c r="S92" i="293" a="1"/>
  <c r="S92" i="293" s="1"/>
  <c r="Q88" i="299" s="1"/>
  <c r="S61" i="293" a="1"/>
  <c r="S61" i="293" s="1"/>
  <c r="Q57" i="299" s="1"/>
  <c r="S94" i="293" a="1"/>
  <c r="S94" i="293" s="1"/>
  <c r="Q90" i="299" s="1"/>
  <c r="S95" i="293" a="1"/>
  <c r="S95" i="293" s="1"/>
  <c r="Q91" i="299" s="1"/>
  <c r="S63" i="293" a="1"/>
  <c r="S63" i="293" s="1"/>
  <c r="Q59" i="299" s="1"/>
  <c r="S90" i="293" a="1"/>
  <c r="S90" i="293" s="1"/>
  <c r="Q86" i="299" s="1"/>
  <c r="S99" i="293" a="1"/>
  <c r="S99" i="293" s="1"/>
  <c r="Q95" i="299" s="1"/>
  <c r="S60" i="293" a="1"/>
  <c r="S60" i="293" s="1"/>
  <c r="Q56" i="299" s="1"/>
  <c r="P38" i="293" a="1"/>
  <c r="P38" i="293" s="1"/>
  <c r="N34" i="299" s="1"/>
  <c r="P52" i="293" a="1"/>
  <c r="P52" i="293" s="1"/>
  <c r="N48" i="299" s="1"/>
  <c r="P99" i="293" a="1"/>
  <c r="P99" i="293" s="1"/>
  <c r="N95" i="299" s="1"/>
  <c r="P55" i="293" a="1"/>
  <c r="P55" i="293" s="1"/>
  <c r="N51" i="299" s="1"/>
  <c r="P96" i="293" a="1"/>
  <c r="P96" i="293" s="1"/>
  <c r="N92" i="299" s="1"/>
  <c r="P45" i="293" a="1"/>
  <c r="P45" i="293" s="1"/>
  <c r="N41" i="299" s="1"/>
  <c r="P94" i="293" a="1"/>
  <c r="P94" i="293" s="1"/>
  <c r="N90" i="299" s="1"/>
  <c r="P54" i="293" a="1"/>
  <c r="P54" i="293" s="1"/>
  <c r="N50" i="299" s="1"/>
  <c r="P103" i="293" a="1"/>
  <c r="P103" i="293" s="1"/>
  <c r="N99" i="299" s="1"/>
  <c r="P101" i="293" a="1"/>
  <c r="P101" i="293" s="1"/>
  <c r="N97" i="299" s="1"/>
  <c r="P41" i="293" a="1"/>
  <c r="P41" i="293" s="1"/>
  <c r="N37" i="299" s="1"/>
  <c r="P53" i="293" a="1"/>
  <c r="P53" i="293" s="1"/>
  <c r="N49" i="299" s="1"/>
  <c r="P79" i="293" a="1"/>
  <c r="P79" i="293" s="1"/>
  <c r="N75" i="299" s="1"/>
  <c r="P102" i="293" a="1"/>
  <c r="P102" i="293" s="1"/>
  <c r="N98" i="299" s="1"/>
  <c r="P92" i="293" a="1"/>
  <c r="P92" i="293" s="1"/>
  <c r="N88" i="299" s="1"/>
  <c r="P93" i="293" a="1"/>
  <c r="P93" i="293" s="1"/>
  <c r="N89" i="299" s="1"/>
  <c r="P57" i="293" a="1"/>
  <c r="P57" i="293" s="1"/>
  <c r="N53" i="299" s="1"/>
  <c r="P47" i="293" a="1"/>
  <c r="P47" i="293" s="1"/>
  <c r="N43" i="299" s="1"/>
  <c r="P51" i="293" a="1"/>
  <c r="P51" i="293" s="1"/>
  <c r="N47" i="299" s="1"/>
  <c r="P58" i="293" a="1"/>
  <c r="P58" i="293" s="1"/>
  <c r="N54" i="299" s="1"/>
  <c r="P40" i="293" a="1"/>
  <c r="P40" i="293" s="1"/>
  <c r="N36" i="299" s="1"/>
  <c r="P20" i="293" a="1"/>
  <c r="P20" i="293" s="1"/>
  <c r="N16" i="299" s="1"/>
  <c r="P69" i="293" a="1"/>
  <c r="P69" i="293" s="1"/>
  <c r="N65" i="299" s="1"/>
  <c r="P98" i="293" a="1"/>
  <c r="P98" i="293" s="1"/>
  <c r="N94" i="299" s="1"/>
  <c r="P64" i="293" a="1"/>
  <c r="P64" i="293" s="1"/>
  <c r="N60" i="299" s="1"/>
  <c r="P61" i="293" a="1"/>
  <c r="P61" i="293" s="1"/>
  <c r="N57" i="299" s="1"/>
  <c r="P80" i="293" a="1"/>
  <c r="P80" i="293" s="1"/>
  <c r="N76" i="299" s="1"/>
  <c r="P46" i="293" a="1"/>
  <c r="P46" i="293" s="1"/>
  <c r="N42" i="299" s="1"/>
  <c r="P59" i="293" a="1"/>
  <c r="P59" i="293" s="1"/>
  <c r="N55" i="299" s="1"/>
  <c r="P65" i="293" a="1"/>
  <c r="P65" i="293" s="1"/>
  <c r="N61" i="299" s="1"/>
  <c r="P83" i="293" a="1"/>
  <c r="P83" i="293" s="1"/>
  <c r="N79" i="299" s="1"/>
  <c r="P60" i="293" a="1"/>
  <c r="P60" i="293" s="1"/>
  <c r="N56" i="299" s="1"/>
  <c r="P85" i="293" a="1"/>
  <c r="P85" i="293" s="1"/>
  <c r="N81" i="299" s="1"/>
  <c r="P91" i="293" a="1"/>
  <c r="P91" i="293" s="1"/>
  <c r="N87" i="299" s="1"/>
  <c r="P100" i="293" a="1"/>
  <c r="P100" i="293" s="1"/>
  <c r="N96" i="299" s="1"/>
  <c r="P48" i="293" a="1"/>
  <c r="P48" i="293" s="1"/>
  <c r="N44" i="299" s="1"/>
  <c r="P63" i="293" a="1"/>
  <c r="P63" i="293" s="1"/>
  <c r="N59" i="299" s="1"/>
  <c r="P84" i="293" a="1"/>
  <c r="P84" i="293" s="1"/>
  <c r="N80" i="299" s="1"/>
  <c r="P50" i="293" a="1"/>
  <c r="P50" i="293" s="1"/>
  <c r="N46" i="299" s="1"/>
  <c r="P90" i="293" a="1"/>
  <c r="P90" i="293" s="1"/>
  <c r="N86" i="299" s="1"/>
  <c r="P95" i="293" a="1"/>
  <c r="P95" i="293" s="1"/>
  <c r="N91" i="299" s="1"/>
  <c r="L48" i="293" a="1"/>
  <c r="L48" i="293" s="1"/>
  <c r="J44" i="299" s="1"/>
  <c r="L45" i="293" a="1"/>
  <c r="L45" i="293" s="1"/>
  <c r="J41" i="299" s="1"/>
  <c r="L95" i="293" a="1"/>
  <c r="L95" i="293" s="1"/>
  <c r="J91" i="299" s="1"/>
  <c r="L90" i="293" a="1"/>
  <c r="L90" i="293" s="1"/>
  <c r="J86" i="299" s="1"/>
  <c r="L92" i="293" a="1"/>
  <c r="L92" i="293" s="1"/>
  <c r="J88" i="299" s="1"/>
  <c r="L84" i="293" a="1"/>
  <c r="L84" i="293" s="1"/>
  <c r="J80" i="299" s="1"/>
  <c r="L58" i="293" a="1"/>
  <c r="L58" i="293" s="1"/>
  <c r="J54" i="299" s="1"/>
  <c r="L47" i="293" a="1"/>
  <c r="L47" i="293" s="1"/>
  <c r="J43" i="299" s="1"/>
  <c r="L52" i="293" a="1"/>
  <c r="L52" i="293" s="1"/>
  <c r="J48" i="299" s="1"/>
  <c r="L79" i="293" a="1"/>
  <c r="L79" i="293" s="1"/>
  <c r="J75" i="299" s="1"/>
  <c r="L69" i="293" a="1"/>
  <c r="L69" i="293" s="1"/>
  <c r="J65" i="299" s="1"/>
  <c r="L102" i="293" a="1"/>
  <c r="L102" i="293" s="1"/>
  <c r="J98" i="299" s="1"/>
  <c r="L91" i="293" a="1"/>
  <c r="L91" i="293" s="1"/>
  <c r="J87" i="299" s="1"/>
  <c r="L20" i="293" a="1"/>
  <c r="L20" i="293" s="1"/>
  <c r="J16" i="299" s="1"/>
  <c r="L50" i="293" a="1"/>
  <c r="L50" i="293" s="1"/>
  <c r="J46" i="299" s="1"/>
  <c r="L103" i="293" a="1"/>
  <c r="L103" i="293" s="1"/>
  <c r="J99" i="299" s="1"/>
  <c r="L60" i="293" a="1"/>
  <c r="L60" i="293" s="1"/>
  <c r="J56" i="299" s="1"/>
  <c r="L94" i="293" a="1"/>
  <c r="L94" i="293" s="1"/>
  <c r="J90" i="299" s="1"/>
  <c r="L51" i="293" a="1"/>
  <c r="L51" i="293" s="1"/>
  <c r="J47" i="299" s="1"/>
  <c r="L46" i="293" a="1"/>
  <c r="L46" i="293" s="1"/>
  <c r="J42" i="299" s="1"/>
  <c r="L61" i="293" a="1"/>
  <c r="L61" i="293" s="1"/>
  <c r="J57" i="299" s="1"/>
  <c r="L59" i="293" a="1"/>
  <c r="L59" i="293" s="1"/>
  <c r="J55" i="299" s="1"/>
  <c r="L55" i="293" a="1"/>
  <c r="L55" i="293" s="1"/>
  <c r="J51" i="299" s="1"/>
  <c r="L57" i="293" a="1"/>
  <c r="L57" i="293" s="1"/>
  <c r="J53" i="299" s="1"/>
  <c r="L93" i="293" a="1"/>
  <c r="L93" i="293" s="1"/>
  <c r="J89" i="299" s="1"/>
  <c r="L41" i="293" a="1"/>
  <c r="L41" i="293" s="1"/>
  <c r="J37" i="299" s="1"/>
  <c r="L54" i="293" a="1"/>
  <c r="L54" i="293" s="1"/>
  <c r="J50" i="299" s="1"/>
  <c r="L63" i="293" a="1"/>
  <c r="L63" i="293" s="1"/>
  <c r="J59" i="299" s="1"/>
  <c r="L98" i="293" a="1"/>
  <c r="L98" i="293" s="1"/>
  <c r="J94" i="299" s="1"/>
  <c r="L40" i="293" a="1"/>
  <c r="L40" i="293" s="1"/>
  <c r="J36" i="299" s="1"/>
  <c r="L53" i="293" a="1"/>
  <c r="L53" i="293" s="1"/>
  <c r="J49" i="299" s="1"/>
  <c r="L101" i="293" a="1"/>
  <c r="L101" i="293" s="1"/>
  <c r="J97" i="299" s="1"/>
  <c r="L99" i="293" a="1"/>
  <c r="L99" i="293" s="1"/>
  <c r="J95" i="299" s="1"/>
  <c r="L38" i="293" a="1"/>
  <c r="L38" i="293" s="1"/>
  <c r="J34" i="299" s="1"/>
  <c r="L96" i="293" a="1"/>
  <c r="L96" i="293" s="1"/>
  <c r="J92" i="299" s="1"/>
  <c r="L100" i="293" a="1"/>
  <c r="L100" i="293" s="1"/>
  <c r="J96" i="299" s="1"/>
  <c r="L85" i="293" a="1"/>
  <c r="L85" i="293" s="1"/>
  <c r="J81" i="299" s="1"/>
  <c r="AC59" i="180"/>
  <c r="F58" i="293"/>
  <c r="D54" i="299" s="1"/>
  <c r="AC77" i="180"/>
  <c r="F76" i="293"/>
  <c r="D72" i="299" s="1"/>
  <c r="AC16" i="180"/>
  <c r="F15" i="293"/>
  <c r="D11" i="299" s="1"/>
  <c r="AC32" i="180"/>
  <c r="F31" i="293"/>
  <c r="D27" i="299" s="1"/>
  <c r="AC86" i="180"/>
  <c r="F85" i="293"/>
  <c r="D81" i="299" s="1"/>
  <c r="AC70" i="180"/>
  <c r="F69" i="293"/>
  <c r="D65" i="299" s="1"/>
  <c r="AC62" i="180"/>
  <c r="F61" i="293"/>
  <c r="D57" i="299" s="1"/>
  <c r="AC87" i="180"/>
  <c r="F86" i="293"/>
  <c r="D82" i="299" s="1"/>
  <c r="AC73" i="180"/>
  <c r="F72" i="293"/>
  <c r="D68" i="299" s="1"/>
  <c r="AC56" i="180"/>
  <c r="F55" i="293"/>
  <c r="D51" i="299" s="1"/>
  <c r="AC72" i="180"/>
  <c r="F71" i="293"/>
  <c r="D67" i="299" s="1"/>
  <c r="AC80" i="180"/>
  <c r="F79" i="293"/>
  <c r="D75" i="299" s="1"/>
  <c r="AC35" i="180"/>
  <c r="F34" i="293"/>
  <c r="D30" i="299" s="1"/>
  <c r="AC78" i="180"/>
  <c r="F77" i="293"/>
  <c r="D73" i="299" s="1"/>
  <c r="AC29" i="180"/>
  <c r="F28" i="293"/>
  <c r="D24" i="299" s="1"/>
  <c r="AC85" i="180"/>
  <c r="F84" i="293"/>
  <c r="D80" i="299" s="1"/>
  <c r="AC71" i="180"/>
  <c r="F70" i="293"/>
  <c r="D66" i="299" s="1"/>
  <c r="AC49" i="180"/>
  <c r="F48" i="293"/>
  <c r="D44" i="299" s="1"/>
  <c r="AC37" i="180"/>
  <c r="F36" i="293"/>
  <c r="D32" i="299" s="1"/>
  <c r="AC76" i="180"/>
  <c r="F75" i="293"/>
  <c r="D71" i="299" s="1"/>
  <c r="AC21" i="180"/>
  <c r="F20" i="293"/>
  <c r="D16" i="299" s="1"/>
  <c r="AC36" i="180"/>
  <c r="F35" i="293"/>
  <c r="D31" i="299" s="1"/>
  <c r="AC31" i="180"/>
  <c r="F30" i="293"/>
  <c r="D26" i="299" s="1"/>
  <c r="AC89" i="180"/>
  <c r="F88" i="293"/>
  <c r="D84" i="299" s="1"/>
  <c r="AC60" i="180"/>
  <c r="F59" i="293"/>
  <c r="D55" i="299" s="1"/>
  <c r="AC67" i="180"/>
  <c r="F66" i="293"/>
  <c r="D62" i="299" s="1"/>
  <c r="AC18" i="180"/>
  <c r="F17" i="293"/>
  <c r="D13" i="299" s="1"/>
  <c r="AC79" i="180"/>
  <c r="F78" i="293"/>
  <c r="D74" i="299" s="1"/>
  <c r="AC42" i="180"/>
  <c r="F41" i="293"/>
  <c r="D37" i="299" s="1"/>
  <c r="AC81" i="180"/>
  <c r="F80" i="293"/>
  <c r="D76" i="299" s="1"/>
  <c r="AC38" i="180"/>
  <c r="F37" i="293"/>
  <c r="D33" i="299" s="1"/>
  <c r="AC26" i="180"/>
  <c r="F25" i="293"/>
  <c r="D21" i="299" s="1"/>
  <c r="AC55" i="180"/>
  <c r="F54" i="293"/>
  <c r="D50" i="299" s="1"/>
  <c r="AC30" i="180"/>
  <c r="F29" i="293"/>
  <c r="D25" i="299" s="1"/>
  <c r="AC91" i="180"/>
  <c r="F90" i="293"/>
  <c r="D86" i="299" s="1"/>
  <c r="AC99" i="180"/>
  <c r="F98" i="293"/>
  <c r="D94" i="299" s="1"/>
  <c r="AC82" i="180"/>
  <c r="F81" i="293"/>
  <c r="D77" i="299" s="1"/>
  <c r="AC53" i="180"/>
  <c r="F52" i="293"/>
  <c r="D48" i="299" s="1"/>
  <c r="AC40" i="180"/>
  <c r="F39" i="293"/>
  <c r="D35" i="299" s="1"/>
  <c r="AC41" i="180"/>
  <c r="F40" i="293"/>
  <c r="D36" i="299" s="1"/>
  <c r="AC66" i="180"/>
  <c r="F65" i="293"/>
  <c r="D61" i="299" s="1"/>
  <c r="AC34" i="180"/>
  <c r="F33" i="293"/>
  <c r="D29" i="299" s="1"/>
  <c r="AC25" i="180"/>
  <c r="F24" i="293"/>
  <c r="D20" i="299" s="1"/>
  <c r="AC54" i="180"/>
  <c r="F53" i="293"/>
  <c r="D49" i="299" s="1"/>
  <c r="AC28" i="180"/>
  <c r="F27" i="293"/>
  <c r="D23" i="299" s="1"/>
  <c r="AC101" i="180"/>
  <c r="F100" i="293"/>
  <c r="D96" i="299" s="1"/>
  <c r="AC100" i="180"/>
  <c r="F99" i="293"/>
  <c r="D95" i="299" s="1"/>
  <c r="AC39" i="180"/>
  <c r="F38" i="293"/>
  <c r="D34" i="299" s="1"/>
  <c r="AC52" i="180"/>
  <c r="F51" i="293"/>
  <c r="D47" i="299" s="1"/>
  <c r="AC97" i="180"/>
  <c r="F96" i="293"/>
  <c r="D92" i="299" s="1"/>
  <c r="AC68" i="180"/>
  <c r="F67" i="293"/>
  <c r="D63" i="299" s="1"/>
  <c r="AC84" i="180"/>
  <c r="F83" i="293"/>
  <c r="D79" i="299" s="1"/>
  <c r="AC27" i="180"/>
  <c r="F26" i="293"/>
  <c r="D22" i="299" s="1"/>
  <c r="AC64" i="180"/>
  <c r="F63" i="293"/>
  <c r="D59" i="299" s="1"/>
  <c r="AC102" i="180"/>
  <c r="F101" i="293"/>
  <c r="D97" i="299" s="1"/>
  <c r="AC92" i="180"/>
  <c r="F91" i="293"/>
  <c r="D87" i="299" s="1"/>
  <c r="AC83" i="180"/>
  <c r="F82" i="293"/>
  <c r="D78" i="299" s="1"/>
  <c r="AC43" i="180"/>
  <c r="F42" i="293"/>
  <c r="D38" i="299" s="1"/>
  <c r="AC69" i="180"/>
  <c r="F68" i="293"/>
  <c r="D64" i="299" s="1"/>
  <c r="AC65" i="180"/>
  <c r="F64" i="293"/>
  <c r="D60" i="299" s="1"/>
  <c r="AC24" i="180"/>
  <c r="F23" i="293"/>
  <c r="D19" i="299" s="1"/>
  <c r="AC51" i="180"/>
  <c r="F50" i="293"/>
  <c r="D46" i="299" s="1"/>
  <c r="AC88" i="180"/>
  <c r="F87" i="293"/>
  <c r="D83" i="299" s="1"/>
  <c r="AC58" i="180"/>
  <c r="F57" i="293"/>
  <c r="D53" i="299" s="1"/>
  <c r="AC44" i="180"/>
  <c r="F43" i="293"/>
  <c r="D39" i="299" s="1"/>
  <c r="AC75" i="180"/>
  <c r="F74" i="293"/>
  <c r="D70" i="299" s="1"/>
  <c r="AC17" i="180"/>
  <c r="F16" i="293"/>
  <c r="D12" i="299" s="1"/>
  <c r="AC33" i="180"/>
  <c r="F32" i="293"/>
  <c r="D28" i="299" s="1"/>
  <c r="AC104" i="180"/>
  <c r="F103" i="293"/>
  <c r="D99" i="299" s="1"/>
  <c r="AC61" i="180"/>
  <c r="F60" i="293"/>
  <c r="D56" i="299" s="1"/>
  <c r="AC103" i="180"/>
  <c r="F102" i="293"/>
  <c r="D98" i="299" s="1"/>
  <c r="AC74" i="180"/>
  <c r="F73" i="293"/>
  <c r="D69" i="299" s="1"/>
  <c r="E20" i="277"/>
  <c r="I87" i="180"/>
  <c r="I71" i="180"/>
  <c r="J89" i="180"/>
  <c r="O89" i="180"/>
  <c r="N71" i="180"/>
  <c r="N87" i="180"/>
  <c r="O19" i="276"/>
  <c r="M14" i="276" s="1"/>
  <c r="M13" i="276"/>
  <c r="N19" i="276"/>
  <c r="L14" i="276" s="1"/>
  <c r="L15" i="276"/>
  <c r="Q21" i="180"/>
  <c r="Q51" i="180"/>
  <c r="V99" i="180"/>
  <c r="Q53" i="180"/>
  <c r="Q56" i="180"/>
  <c r="Z84" i="180"/>
  <c r="Z103" i="180"/>
  <c r="L100" i="180"/>
  <c r="L102" i="180"/>
  <c r="Q64" i="180"/>
  <c r="Q70" i="180"/>
  <c r="L101" i="180"/>
  <c r="Z101" i="180"/>
  <c r="Q100" i="180"/>
  <c r="Q59" i="180"/>
  <c r="Q40" i="180"/>
  <c r="V101" i="180"/>
  <c r="Z65" i="180"/>
  <c r="Z61" i="180"/>
  <c r="Z92" i="180"/>
  <c r="V103" i="180"/>
  <c r="L99" i="180"/>
  <c r="Z64" i="180"/>
  <c r="Z102" i="180"/>
  <c r="Q74" i="180"/>
  <c r="V93" i="180"/>
  <c r="Q62" i="180"/>
  <c r="Q102" i="180"/>
  <c r="Q47" i="180"/>
  <c r="Z49" i="180"/>
  <c r="Q91" i="180"/>
  <c r="F26" i="190"/>
  <c r="Z52" i="180"/>
  <c r="Q42" i="180"/>
  <c r="Q68" i="180"/>
  <c r="Z17" i="180"/>
  <c r="Z80" i="180"/>
  <c r="Z62" i="180"/>
  <c r="Q104" i="180"/>
  <c r="Z51" i="180"/>
  <c r="Q103" i="180"/>
  <c r="Q93" i="180"/>
  <c r="V102" i="180"/>
  <c r="Z93" i="180"/>
  <c r="Q73" i="180"/>
  <c r="Q61" i="180"/>
  <c r="Z74" i="180"/>
  <c r="Z60" i="180"/>
  <c r="Q44" i="180"/>
  <c r="Q43" i="180"/>
  <c r="V96" i="180"/>
  <c r="Q85" i="180"/>
  <c r="Q101" i="180"/>
  <c r="Z73" i="180"/>
  <c r="G24" i="190"/>
  <c r="Z104" i="180"/>
  <c r="V104" i="180"/>
  <c r="Z71" i="180"/>
  <c r="L93" i="180"/>
  <c r="F24" i="190"/>
  <c r="L96" i="180"/>
  <c r="L103" i="180"/>
  <c r="Z91" i="180"/>
  <c r="F21" i="190"/>
  <c r="F22" i="190" s="1"/>
  <c r="F23" i="190" s="1"/>
  <c r="Q99" i="180"/>
  <c r="L104" i="180"/>
  <c r="Q96" i="180"/>
  <c r="Z70" i="180"/>
  <c r="V97" i="180"/>
  <c r="Q92" i="180"/>
  <c r="Z100" i="180"/>
  <c r="V100" i="180"/>
  <c r="Z99" i="180"/>
  <c r="Z85" i="180"/>
  <c r="Z96" i="180"/>
  <c r="G19" i="190"/>
  <c r="G26" i="190"/>
  <c r="G20" i="190"/>
  <c r="G21" i="190"/>
  <c r="G22" i="190" s="1"/>
  <c r="G23" i="190" s="1"/>
  <c r="M71" i="180"/>
  <c r="M87" i="180"/>
  <c r="V18" i="180"/>
  <c r="V17" i="180"/>
  <c r="V21" i="180"/>
  <c r="V16" i="180"/>
  <c r="L91" i="180"/>
  <c r="L89" i="180"/>
  <c r="V86" i="180"/>
  <c r="L88" i="180"/>
  <c r="V85" i="180"/>
  <c r="V89" i="180"/>
  <c r="V88" i="180"/>
  <c r="L86" i="180"/>
  <c r="L85" i="180"/>
  <c r="L87" i="180"/>
  <c r="V91" i="180"/>
  <c r="V87" i="180"/>
  <c r="V84" i="180"/>
  <c r="L92" i="180"/>
  <c r="V92" i="180"/>
  <c r="V81" i="180"/>
  <c r="V71" i="180"/>
  <c r="V66" i="180"/>
  <c r="L70" i="180"/>
  <c r="V74" i="180"/>
  <c r="V73" i="180"/>
  <c r="V80" i="180"/>
  <c r="L74" i="180"/>
  <c r="L73" i="180"/>
  <c r="V70" i="180"/>
  <c r="L71" i="180"/>
  <c r="V61" i="180"/>
  <c r="V62" i="180"/>
  <c r="L64" i="180"/>
  <c r="L61" i="180"/>
  <c r="L62" i="180"/>
  <c r="V60" i="180"/>
  <c r="V65" i="180"/>
  <c r="V59" i="180"/>
  <c r="V58" i="180"/>
  <c r="V64" i="180"/>
  <c r="V53" i="180"/>
  <c r="L51" i="180"/>
  <c r="V51" i="180"/>
  <c r="V49" i="180"/>
  <c r="V56" i="180"/>
  <c r="V55" i="180"/>
  <c r="V52" i="180"/>
  <c r="V54" i="180"/>
  <c r="V39" i="180"/>
  <c r="AB70" i="180"/>
  <c r="AB56" i="180"/>
  <c r="F33" i="219"/>
  <c r="BI26" i="219"/>
  <c r="BI27" i="219"/>
  <c r="BI22" i="219"/>
  <c r="BI25" i="219"/>
  <c r="BI21" i="219"/>
  <c r="BI24" i="219"/>
  <c r="BI20" i="219"/>
  <c r="BI19" i="219"/>
  <c r="BI23" i="219"/>
  <c r="BJ20" i="219"/>
  <c r="BJ24" i="219"/>
  <c r="BJ23" i="219"/>
  <c r="BJ21" i="219"/>
  <c r="BJ22" i="219"/>
  <c r="BJ25" i="219"/>
  <c r="BJ26" i="219"/>
  <c r="BJ19" i="219"/>
  <c r="BJ27" i="219"/>
  <c r="BA20" i="219"/>
  <c r="BA24" i="219"/>
  <c r="BA19" i="219"/>
  <c r="BA21" i="219"/>
  <c r="BA25" i="219"/>
  <c r="BA26" i="219"/>
  <c r="BA22" i="219"/>
  <c r="BA23" i="219"/>
  <c r="BA27" i="219"/>
  <c r="AZ20" i="219"/>
  <c r="AZ24" i="219"/>
  <c r="AZ19" i="219"/>
  <c r="AZ21" i="219"/>
  <c r="AZ25" i="219"/>
  <c r="AZ22" i="219"/>
  <c r="AZ26" i="219"/>
  <c r="AZ23" i="219"/>
  <c r="AZ27" i="219"/>
  <c r="G33" i="219"/>
  <c r="J33" i="219"/>
  <c r="BC18" i="219" s="1"/>
  <c r="E33" i="219"/>
  <c r="AW18" i="219" s="1"/>
  <c r="D33" i="219"/>
  <c r="AV18" i="219" s="1"/>
  <c r="AB41" i="180"/>
  <c r="AB101" i="180"/>
  <c r="I72" i="180"/>
  <c r="I25" i="180"/>
  <c r="I26" i="180"/>
  <c r="I76" i="180"/>
  <c r="N33" i="180"/>
  <c r="N32" i="180"/>
  <c r="N29" i="180"/>
  <c r="I22" i="180"/>
  <c r="I23" i="180"/>
  <c r="I77" i="180"/>
  <c r="I35" i="180"/>
  <c r="I36" i="180"/>
  <c r="I75" i="180"/>
  <c r="I37" i="180"/>
  <c r="I34" i="180"/>
  <c r="I38" i="180"/>
  <c r="N38" i="180"/>
  <c r="N37" i="180"/>
  <c r="N34" i="180"/>
  <c r="I30" i="180"/>
  <c r="I78" i="180"/>
  <c r="I31" i="180"/>
  <c r="I28" i="180"/>
  <c r="I24" i="180"/>
  <c r="I27" i="180"/>
  <c r="N23" i="180"/>
  <c r="N22" i="180"/>
  <c r="N77" i="180"/>
  <c r="N75" i="180"/>
  <c r="N36" i="180"/>
  <c r="N35" i="180"/>
  <c r="N78" i="180"/>
  <c r="N31" i="180"/>
  <c r="N30" i="180"/>
  <c r="N76" i="180"/>
  <c r="N72" i="180"/>
  <c r="N26" i="180"/>
  <c r="N25" i="180"/>
  <c r="N28" i="180"/>
  <c r="N27" i="180"/>
  <c r="N24" i="180"/>
  <c r="I32" i="180"/>
  <c r="I29" i="180"/>
  <c r="I33" i="180"/>
  <c r="I65" i="180"/>
  <c r="I84" i="180"/>
  <c r="I81" i="180"/>
  <c r="I66" i="180"/>
  <c r="I8" i="180"/>
  <c r="H19" i="251"/>
  <c r="H19" i="252"/>
  <c r="AB42" i="180"/>
  <c r="AB92" i="180"/>
  <c r="AB55" i="180"/>
  <c r="AB96" i="180"/>
  <c r="AB91" i="180"/>
  <c r="AB103" i="180"/>
  <c r="AB102" i="180"/>
  <c r="AB60" i="180"/>
  <c r="AB54" i="180"/>
  <c r="AB85" i="180"/>
  <c r="AB59" i="180"/>
  <c r="AB53" i="180"/>
  <c r="AB80" i="180"/>
  <c r="AB51" i="180"/>
  <c r="AB47" i="180"/>
  <c r="AB52" i="180"/>
  <c r="AB93" i="180"/>
  <c r="AB100" i="180"/>
  <c r="AB58" i="180"/>
  <c r="AB94" i="180"/>
  <c r="AB86" i="180"/>
  <c r="AB39" i="180"/>
  <c r="AB97" i="180"/>
  <c r="AB49" i="180"/>
  <c r="AB46" i="180"/>
  <c r="AB64" i="180"/>
  <c r="AB61" i="180"/>
  <c r="AB48" i="180"/>
  <c r="AB95" i="180"/>
  <c r="AB21" i="180"/>
  <c r="AB99" i="180"/>
  <c r="AB62" i="180"/>
  <c r="AB104" i="180"/>
  <c r="J79" i="180"/>
  <c r="J40" i="180"/>
  <c r="J81" i="180"/>
  <c r="J66" i="180"/>
  <c r="H81" i="180"/>
  <c r="H66" i="180"/>
  <c r="H18" i="252"/>
  <c r="J84" i="180"/>
  <c r="J65" i="180"/>
  <c r="H84" i="180"/>
  <c r="H65" i="180"/>
  <c r="Z89" i="180"/>
  <c r="Z86" i="180"/>
  <c r="Q88" i="180"/>
  <c r="Q86" i="180"/>
  <c r="Z87" i="180"/>
  <c r="Q89" i="180"/>
  <c r="Z88" i="180"/>
  <c r="L41" i="180"/>
  <c r="L40" i="180"/>
  <c r="L39" i="180"/>
  <c r="L69" i="180"/>
  <c r="L56" i="180"/>
  <c r="L95" i="180"/>
  <c r="L60" i="180"/>
  <c r="L47" i="180"/>
  <c r="L55" i="180"/>
  <c r="L79" i="180"/>
  <c r="L21" i="180"/>
  <c r="L42" i="180"/>
  <c r="Q41" i="180"/>
  <c r="L43" i="180"/>
  <c r="L67" i="180"/>
  <c r="Q39" i="180"/>
  <c r="L97" i="180"/>
  <c r="Q46" i="180"/>
  <c r="Z53" i="180"/>
  <c r="Q58" i="180"/>
  <c r="L48" i="180"/>
  <c r="Q97" i="180"/>
  <c r="Q60" i="180"/>
  <c r="Z18" i="180"/>
  <c r="Q80" i="180"/>
  <c r="Q82" i="180"/>
  <c r="Q84" i="180"/>
  <c r="Q48" i="180"/>
  <c r="Q94" i="180"/>
  <c r="L46" i="180"/>
  <c r="Z39" i="180"/>
  <c r="Q95" i="180"/>
  <c r="L82" i="180"/>
  <c r="Z56" i="180"/>
  <c r="Q49" i="180"/>
  <c r="Q66" i="180"/>
  <c r="L49" i="180"/>
  <c r="L54" i="180"/>
  <c r="L68" i="180"/>
  <c r="L53" i="180"/>
  <c r="Z55" i="180"/>
  <c r="Z21" i="180"/>
  <c r="Z54" i="180"/>
  <c r="L59" i="180"/>
  <c r="Q67" i="180"/>
  <c r="L80" i="180"/>
  <c r="Q52" i="180"/>
  <c r="Q81" i="180"/>
  <c r="Q54" i="180"/>
  <c r="L52" i="180"/>
  <c r="Q79" i="180"/>
  <c r="Z59" i="180"/>
  <c r="Z58" i="180"/>
  <c r="Q69" i="180"/>
  <c r="L94" i="180"/>
  <c r="L44" i="180"/>
  <c r="Z81" i="180"/>
  <c r="Z16" i="180"/>
  <c r="L58" i="180"/>
  <c r="Z97" i="180"/>
  <c r="Q55" i="180"/>
  <c r="X69" i="180"/>
  <c r="X44" i="180"/>
  <c r="Q65" i="180"/>
  <c r="Z66" i="180"/>
  <c r="H25" i="180"/>
  <c r="H26" i="180"/>
  <c r="H72" i="180"/>
  <c r="H76" i="180"/>
  <c r="X22" i="180"/>
  <c r="X23" i="180"/>
  <c r="M32" i="180"/>
  <c r="M33" i="180"/>
  <c r="M29" i="180"/>
  <c r="O29" i="180"/>
  <c r="O32" i="180"/>
  <c r="O33" i="180"/>
  <c r="X31" i="180"/>
  <c r="X30" i="180"/>
  <c r="X78" i="180"/>
  <c r="W31" i="180"/>
  <c r="W30" i="180"/>
  <c r="W78" i="180"/>
  <c r="S34" i="180"/>
  <c r="S37" i="180"/>
  <c r="S38" i="180"/>
  <c r="H22" i="180"/>
  <c r="H23" i="180"/>
  <c r="W25" i="180"/>
  <c r="W26" i="180"/>
  <c r="W72" i="180"/>
  <c r="W76" i="180"/>
  <c r="H34" i="180"/>
  <c r="H37" i="180"/>
  <c r="H38" i="180"/>
  <c r="M34" i="180"/>
  <c r="M37" i="180"/>
  <c r="M38" i="180"/>
  <c r="S32" i="180"/>
  <c r="S33" i="180"/>
  <c r="S29" i="180"/>
  <c r="H31" i="180"/>
  <c r="H30" i="180"/>
  <c r="H78" i="180"/>
  <c r="S22" i="180"/>
  <c r="S23" i="180"/>
  <c r="H24" i="180"/>
  <c r="H27" i="180"/>
  <c r="H28" i="180"/>
  <c r="E22" i="180"/>
  <c r="E23" i="180"/>
  <c r="S24" i="180"/>
  <c r="S27" i="180"/>
  <c r="S28" i="180"/>
  <c r="W24" i="180"/>
  <c r="W27" i="180"/>
  <c r="W28" i="180"/>
  <c r="M22" i="180"/>
  <c r="M23" i="180"/>
  <c r="W32" i="180"/>
  <c r="W33" i="180"/>
  <c r="W29" i="180"/>
  <c r="M35" i="180"/>
  <c r="M36" i="180"/>
  <c r="M75" i="180"/>
  <c r="M77" i="180"/>
  <c r="T22" i="180"/>
  <c r="T23" i="180"/>
  <c r="W35" i="180"/>
  <c r="W36" i="180"/>
  <c r="W75" i="180"/>
  <c r="W77" i="180"/>
  <c r="S25" i="180"/>
  <c r="S26" i="180"/>
  <c r="S72" i="180"/>
  <c r="S76" i="180"/>
  <c r="W34" i="180"/>
  <c r="W37" i="180"/>
  <c r="W38" i="180"/>
  <c r="W22" i="180"/>
  <c r="W23" i="180"/>
  <c r="O22" i="180"/>
  <c r="O23" i="180"/>
  <c r="M30" i="180"/>
  <c r="M31" i="180"/>
  <c r="M78" i="180"/>
  <c r="M25" i="180"/>
  <c r="M26" i="180"/>
  <c r="M72" i="180"/>
  <c r="M76" i="180"/>
  <c r="T35" i="180"/>
  <c r="T36" i="180"/>
  <c r="T75" i="180"/>
  <c r="T77" i="180"/>
  <c r="S35" i="180"/>
  <c r="S36" i="180"/>
  <c r="S75" i="180"/>
  <c r="S77" i="180"/>
  <c r="M24" i="180"/>
  <c r="M28" i="180"/>
  <c r="M27" i="180"/>
  <c r="H29" i="180"/>
  <c r="H32" i="180"/>
  <c r="H33" i="180"/>
  <c r="S31" i="180"/>
  <c r="S30" i="180"/>
  <c r="S78" i="180"/>
  <c r="J22" i="180"/>
  <c r="J23" i="180"/>
  <c r="W44" i="180"/>
  <c r="W69" i="180"/>
  <c r="S44" i="180"/>
  <c r="S69" i="180"/>
  <c r="X40" i="180"/>
  <c r="X79" i="180"/>
  <c r="O44" i="180"/>
  <c r="O69" i="180"/>
  <c r="W40" i="180"/>
  <c r="W79" i="180"/>
  <c r="S40" i="180"/>
  <c r="S79" i="180"/>
  <c r="T40" i="180"/>
  <c r="T79" i="180"/>
  <c r="S42" i="180"/>
  <c r="S41" i="180"/>
  <c r="W42" i="180"/>
  <c r="W41" i="180"/>
  <c r="J43" i="180"/>
  <c r="J68" i="180"/>
  <c r="W43" i="180"/>
  <c r="W68" i="180"/>
  <c r="S43" i="180"/>
  <c r="S68" i="180"/>
  <c r="T43" i="180"/>
  <c r="T68" i="180"/>
  <c r="J44" i="180"/>
  <c r="J69" i="180"/>
  <c r="T44" i="180"/>
  <c r="T69" i="180"/>
  <c r="X43" i="180"/>
  <c r="X68" i="180"/>
  <c r="O40" i="180"/>
  <c r="O79" i="180"/>
  <c r="O43" i="180"/>
  <c r="O68" i="180"/>
  <c r="H8" i="180"/>
  <c r="J8" i="180"/>
  <c r="S46" i="180"/>
  <c r="W82" i="180"/>
  <c r="S67" i="180"/>
  <c r="X67" i="180"/>
  <c r="E45" i="180"/>
  <c r="J67" i="180"/>
  <c r="S48" i="180"/>
  <c r="W48" i="180"/>
  <c r="O82" i="180"/>
  <c r="E8" i="180"/>
  <c r="X82" i="180"/>
  <c r="E47" i="180"/>
  <c r="T67" i="180"/>
  <c r="O67" i="180"/>
  <c r="J82" i="180"/>
  <c r="E48" i="180"/>
  <c r="E46" i="180"/>
  <c r="S47" i="180"/>
  <c r="W47" i="180"/>
  <c r="W46" i="180"/>
  <c r="S82" i="180"/>
  <c r="W67" i="180"/>
  <c r="T82" i="180"/>
  <c r="H20" i="253"/>
  <c r="H20" i="259"/>
  <c r="L11" i="239"/>
  <c r="D20" i="239" s="1"/>
  <c r="H20" i="256"/>
  <c r="H20" i="255"/>
  <c r="H20" i="258"/>
  <c r="T27" i="180" a="1"/>
  <c r="T72" i="180" a="1"/>
  <c r="O78" i="180" a="1"/>
  <c r="J37" i="180" a="1"/>
  <c r="J34" i="180" a="1"/>
  <c r="T24" i="180" a="1"/>
  <c r="J74" i="180" a="1"/>
  <c r="J72" i="180" a="1"/>
  <c r="X32" i="180" a="1"/>
  <c r="J88" i="180" a="1"/>
  <c r="O30" i="180" a="1"/>
  <c r="T78" i="180" a="1"/>
  <c r="J30" i="180" a="1"/>
  <c r="O25" i="180" a="1"/>
  <c r="O72" i="180" a="1"/>
  <c r="J33" i="180" a="1"/>
  <c r="X25" i="180" a="1"/>
  <c r="O88" i="180" a="1"/>
  <c r="X72" i="180" a="1"/>
  <c r="J32" i="180" a="1"/>
  <c r="T38" i="180" a="1"/>
  <c r="J35" i="180" a="1"/>
  <c r="J36" i="180" a="1"/>
  <c r="O34" i="180" a="1"/>
  <c r="J31" i="180" a="1"/>
  <c r="O28" i="180" a="1"/>
  <c r="X24" i="180" a="1"/>
  <c r="T34" i="180" a="1"/>
  <c r="O76" i="180" a="1"/>
  <c r="O24" i="180" a="1"/>
  <c r="X29" i="180" a="1"/>
  <c r="O38" i="180" a="1"/>
  <c r="T28" i="180" a="1"/>
  <c r="X33" i="180" a="1"/>
  <c r="J76" i="180" a="1"/>
  <c r="J38" i="180" a="1"/>
  <c r="X37" i="180" a="1"/>
  <c r="O26" i="180" a="1"/>
  <c r="X26" i="180" a="1"/>
  <c r="X38" i="180" a="1"/>
  <c r="J29" i="180" a="1"/>
  <c r="J73" i="180" a="1"/>
  <c r="O73" i="180" a="1"/>
  <c r="X28" i="180" a="1"/>
  <c r="J26" i="180" a="1"/>
  <c r="T25" i="180" a="1"/>
  <c r="X36" i="180" a="1"/>
  <c r="J75" i="180" a="1"/>
  <c r="T37" i="180" a="1"/>
  <c r="X75" i="180" a="1"/>
  <c r="J25" i="180" a="1"/>
  <c r="J77" i="180" a="1"/>
  <c r="O27" i="180" a="1"/>
  <c r="O37" i="180" a="1"/>
  <c r="X77" i="180" a="1"/>
  <c r="O74" i="180" a="1"/>
  <c r="X76" i="180" a="1"/>
  <c r="J78" i="180" a="1"/>
  <c r="T26" i="180" a="1"/>
  <c r="T76" i="180" a="1"/>
  <c r="T31" i="180" a="1"/>
  <c r="X27" i="180" a="1"/>
  <c r="X34" i="180" a="1"/>
  <c r="X35" i="180" a="1"/>
  <c r="O31" i="180" a="1"/>
  <c r="T30" i="180" a="1"/>
  <c r="T24" i="180" l="1"/>
  <c r="T28" i="180"/>
  <c r="T27" i="180"/>
  <c r="T78" i="180"/>
  <c r="T30" i="180"/>
  <c r="T31" i="180"/>
  <c r="O76" i="180"/>
  <c r="O26" i="180"/>
  <c r="O72" i="180"/>
  <c r="O25" i="180"/>
  <c r="X75" i="180"/>
  <c r="X35" i="180"/>
  <c r="X77" i="180"/>
  <c r="X36" i="180"/>
  <c r="I35" i="190"/>
  <c r="N35" i="190" s="1"/>
  <c r="I34" i="190"/>
  <c r="N34" i="190" s="1"/>
  <c r="I6" i="293" a="1"/>
  <c r="I6" i="293" s="1"/>
  <c r="I32" i="190"/>
  <c r="N32" i="190" s="1"/>
  <c r="I30" i="190"/>
  <c r="N30" i="190" s="1"/>
  <c r="L75" i="180"/>
  <c r="E33" i="190"/>
  <c r="L33" i="190" s="1"/>
  <c r="L36" i="180"/>
  <c r="I33" i="190"/>
  <c r="N33" i="190" s="1"/>
  <c r="E34" i="190"/>
  <c r="L34" i="190" s="1"/>
  <c r="E32" i="190"/>
  <c r="L32" i="190" s="1"/>
  <c r="J37" i="180"/>
  <c r="J34" i="180"/>
  <c r="J38" i="180"/>
  <c r="T72" i="180"/>
  <c r="T26" i="180"/>
  <c r="T25" i="180"/>
  <c r="T76" i="180"/>
  <c r="X27" i="180"/>
  <c r="X24" i="180"/>
  <c r="X28" i="180"/>
  <c r="T34" i="180"/>
  <c r="T38" i="180"/>
  <c r="T37" i="180"/>
  <c r="X32" i="180"/>
  <c r="X33" i="180"/>
  <c r="X29" i="180"/>
  <c r="O31" i="180"/>
  <c r="O78" i="180"/>
  <c r="O30" i="180"/>
  <c r="X34" i="180"/>
  <c r="X38" i="180"/>
  <c r="X37" i="180"/>
  <c r="D36" i="219"/>
  <c r="F34" i="190"/>
  <c r="M34" i="190" s="1"/>
  <c r="F33" i="190"/>
  <c r="M33" i="190" s="1"/>
  <c r="F32" i="190"/>
  <c r="M32" i="190" s="1"/>
  <c r="F30" i="190"/>
  <c r="M30" i="190" s="1"/>
  <c r="F31" i="190"/>
  <c r="M31" i="190" s="1"/>
  <c r="AX20" i="219"/>
  <c r="AX18" i="219"/>
  <c r="O24" i="180"/>
  <c r="O28" i="180"/>
  <c r="O27" i="180"/>
  <c r="X76" i="180"/>
  <c r="X25" i="180"/>
  <c r="X26" i="180"/>
  <c r="X72" i="180"/>
  <c r="O34" i="180"/>
  <c r="O37" i="180"/>
  <c r="O38" i="180"/>
  <c r="G36" i="219"/>
  <c r="E36" i="219"/>
  <c r="J36" i="219"/>
  <c r="J21" i="190"/>
  <c r="J18" i="190"/>
  <c r="J33" i="180"/>
  <c r="J32" i="180"/>
  <c r="J29" i="180"/>
  <c r="E30" i="190"/>
  <c r="L30" i="190" s="1"/>
  <c r="E31" i="190"/>
  <c r="L31" i="190" s="1"/>
  <c r="O36" i="180" a="1"/>
  <c r="T29" i="180" a="1"/>
  <c r="J24" i="180" a="1"/>
  <c r="T32" i="180" a="1"/>
  <c r="J27" i="180" a="1"/>
  <c r="J28" i="180" a="1"/>
  <c r="O75" i="180" a="1"/>
  <c r="O35" i="180" a="1"/>
  <c r="T33" i="180" a="1"/>
  <c r="O77" i="180" a="1"/>
  <c r="O75" i="180" l="1"/>
  <c r="T32" i="180"/>
  <c r="O36" i="180"/>
  <c r="T33" i="180"/>
  <c r="O35" i="180"/>
  <c r="O77" i="180"/>
  <c r="T29" i="180"/>
  <c r="J27" i="180"/>
  <c r="J28" i="180"/>
  <c r="J24" i="180"/>
  <c r="X73" i="293"/>
  <c r="V69" i="299" s="1"/>
  <c r="X102" i="293"/>
  <c r="V98" i="299" s="1"/>
  <c r="X60" i="293"/>
  <c r="V56" i="299" s="1"/>
  <c r="X103" i="293"/>
  <c r="V99" i="299" s="1"/>
  <c r="X32" i="293"/>
  <c r="V28" i="299" s="1"/>
  <c r="X16" i="293"/>
  <c r="V12" i="299" s="1"/>
  <c r="X74" i="293"/>
  <c r="V70" i="299" s="1"/>
  <c r="X43" i="293"/>
  <c r="V39" i="299" s="1"/>
  <c r="X57" i="293"/>
  <c r="V53" i="299" s="1"/>
  <c r="X87" i="293"/>
  <c r="V83" i="299" s="1"/>
  <c r="X50" i="293"/>
  <c r="V46" i="299" s="1"/>
  <c r="X23" i="293"/>
  <c r="V19" i="299" s="1"/>
  <c r="X64" i="293"/>
  <c r="V60" i="299" s="1"/>
  <c r="X68" i="293"/>
  <c r="V64" i="299" s="1"/>
  <c r="X42" i="293"/>
  <c r="V38" i="299" s="1"/>
  <c r="X82" i="293"/>
  <c r="V78" i="299" s="1"/>
  <c r="X91" i="293"/>
  <c r="V87" i="299" s="1"/>
  <c r="X101" i="293"/>
  <c r="V97" i="299" s="1"/>
  <c r="X63" i="293"/>
  <c r="V59" i="299" s="1"/>
  <c r="X26" i="293"/>
  <c r="V22" i="299" s="1"/>
  <c r="X83" i="293"/>
  <c r="V79" i="299" s="1"/>
  <c r="X67" i="293"/>
  <c r="V63" i="299" s="1"/>
  <c r="X96" i="293"/>
  <c r="V92" i="299" s="1"/>
  <c r="X51" i="293"/>
  <c r="V47" i="299" s="1"/>
  <c r="X38" i="293"/>
  <c r="V34" i="299" s="1"/>
  <c r="X99" i="293"/>
  <c r="V95" i="299" s="1"/>
  <c r="X100" i="293"/>
  <c r="V96" i="299" s="1"/>
  <c r="X27" i="293"/>
  <c r="V23" i="299" s="1"/>
  <c r="X53" i="293"/>
  <c r="V49" i="299" s="1"/>
  <c r="X24" i="293"/>
  <c r="V20" i="299" s="1"/>
  <c r="X33" i="293"/>
  <c r="V29" i="299" s="1"/>
  <c r="X65" i="293"/>
  <c r="V61" i="299" s="1"/>
  <c r="X40" i="293"/>
  <c r="V36" i="299" s="1"/>
  <c r="X39" i="293"/>
  <c r="V35" i="299" s="1"/>
  <c r="X52" i="293"/>
  <c r="V48" i="299" s="1"/>
  <c r="X81" i="293"/>
  <c r="V77" i="299" s="1"/>
  <c r="X98" i="293"/>
  <c r="V94" i="299" s="1"/>
  <c r="X90" i="293"/>
  <c r="V86" i="299" s="1"/>
  <c r="X29" i="293"/>
  <c r="V25" i="299" s="1"/>
  <c r="X54" i="293"/>
  <c r="V50" i="299" s="1"/>
  <c r="X25" i="293"/>
  <c r="V21" i="299" s="1"/>
  <c r="X37" i="293"/>
  <c r="V33" i="299" s="1"/>
  <c r="X80" i="293"/>
  <c r="V76" i="299" s="1"/>
  <c r="X41" i="293"/>
  <c r="V37" i="299" s="1"/>
  <c r="X78" i="293"/>
  <c r="V74" i="299" s="1"/>
  <c r="X17" i="293"/>
  <c r="V13" i="299" s="1"/>
  <c r="X66" i="293"/>
  <c r="V62" i="299" s="1"/>
  <c r="X59" i="293"/>
  <c r="V55" i="299" s="1"/>
  <c r="X88" i="293"/>
  <c r="V84" i="299" s="1"/>
  <c r="X30" i="293"/>
  <c r="V26" i="299" s="1"/>
  <c r="X35" i="293"/>
  <c r="V31" i="299" s="1"/>
  <c r="X20" i="293"/>
  <c r="V16" i="299" s="1"/>
  <c r="X75" i="293"/>
  <c r="V71" i="299" s="1"/>
  <c r="X36" i="293"/>
  <c r="V32" i="299" s="1"/>
  <c r="X48" i="293"/>
  <c r="V44" i="299" s="1"/>
  <c r="X70" i="293"/>
  <c r="V66" i="299" s="1"/>
  <c r="X84" i="293"/>
  <c r="V80" i="299" s="1"/>
  <c r="X28" i="293"/>
  <c r="V24" i="299" s="1"/>
  <c r="X77" i="293"/>
  <c r="V73" i="299" s="1"/>
  <c r="X34" i="293"/>
  <c r="V30" i="299" s="1"/>
  <c r="X79" i="293"/>
  <c r="V75" i="299" s="1"/>
  <c r="X71" i="293"/>
  <c r="V67" i="299" s="1"/>
  <c r="X55" i="293"/>
  <c r="V51" i="299" s="1"/>
  <c r="X72" i="293"/>
  <c r="V68" i="299" s="1"/>
  <c r="X86" i="293"/>
  <c r="V82" i="299" s="1"/>
  <c r="X61" i="293"/>
  <c r="V57" i="299" s="1"/>
  <c r="X69" i="293"/>
  <c r="V65" i="299" s="1"/>
  <c r="X85" i="293"/>
  <c r="V81" i="299" s="1"/>
  <c r="X31" i="293"/>
  <c r="V27" i="299" s="1"/>
  <c r="X15" i="293"/>
  <c r="V11" i="299" s="1"/>
  <c r="X76" i="293"/>
  <c r="V72" i="299" s="1"/>
  <c r="X58" i="293"/>
  <c r="V54" i="299" s="1"/>
  <c r="X6" i="293"/>
  <c r="V2" i="299" s="1"/>
  <c r="X9" i="293"/>
  <c r="V5" i="299" s="1"/>
  <c r="X11" i="293"/>
  <c r="V7" i="299" s="1"/>
  <c r="X97" i="293"/>
  <c r="V93" i="299" s="1"/>
  <c r="X10" i="293"/>
  <c r="V6" i="299" s="1"/>
  <c r="X12" i="293"/>
  <c r="V8" i="299" s="1"/>
  <c r="X13" i="293"/>
  <c r="V9" i="299" s="1"/>
  <c r="X94" i="293"/>
  <c r="V90" i="299" s="1"/>
  <c r="X93" i="293"/>
  <c r="V89" i="299" s="1"/>
  <c r="X92" i="293"/>
  <c r="V88" i="299" s="1"/>
  <c r="U82" i="180"/>
  <c r="U66" i="293" a="1"/>
  <c r="U66" i="293" s="1"/>
  <c r="S62" i="299" s="1"/>
  <c r="R81" i="293" a="1"/>
  <c r="R81" i="293" s="1"/>
  <c r="P77" i="299" s="1"/>
  <c r="U45" i="293" a="1"/>
  <c r="U45" i="293" s="1"/>
  <c r="S41" i="299" s="1"/>
  <c r="U46" i="293" a="1"/>
  <c r="U46" i="293" s="1"/>
  <c r="S42" i="299" s="1"/>
  <c r="R46" i="293" a="1"/>
  <c r="R46" i="293" s="1"/>
  <c r="P42" i="299" s="1"/>
  <c r="K82" i="180"/>
  <c r="P67" i="180"/>
  <c r="U67" i="180"/>
  <c r="Y82" i="180"/>
  <c r="P82" i="180"/>
  <c r="U47" i="293" a="1"/>
  <c r="U47" i="293" s="1"/>
  <c r="S43" i="299" s="1"/>
  <c r="R47" i="293" a="1"/>
  <c r="R47" i="293" s="1"/>
  <c r="P43" i="299" s="1"/>
  <c r="K67" i="180"/>
  <c r="Y67" i="180"/>
  <c r="R66" i="293" a="1"/>
  <c r="R66" i="293" s="1"/>
  <c r="P62" i="299" s="1"/>
  <c r="U81" i="293" a="1"/>
  <c r="U81" i="293" s="1"/>
  <c r="S77" i="299" s="1"/>
  <c r="R45" i="293" a="1"/>
  <c r="R45" i="293" s="1"/>
  <c r="P41" i="299" s="1"/>
  <c r="K8" i="180"/>
  <c r="J7" i="293" a="1"/>
  <c r="J7" i="293" s="1"/>
  <c r="H3" i="299" s="1"/>
  <c r="P68" i="180"/>
  <c r="P43" i="180"/>
  <c r="P79" i="180"/>
  <c r="P40" i="180"/>
  <c r="Y68" i="180"/>
  <c r="Y43" i="180"/>
  <c r="U69" i="180"/>
  <c r="U44" i="180"/>
  <c r="K69" i="180"/>
  <c r="K44" i="180"/>
  <c r="U68" i="180"/>
  <c r="U43" i="180"/>
  <c r="R67" i="293" a="1"/>
  <c r="R67" i="293" s="1"/>
  <c r="P63" i="299" s="1"/>
  <c r="R42" i="293" a="1"/>
  <c r="R42" i="293" s="1"/>
  <c r="P38" i="299" s="1"/>
  <c r="U67" i="293" a="1"/>
  <c r="U67" i="293" s="1"/>
  <c r="S63" i="299" s="1"/>
  <c r="U42" i="293" a="1"/>
  <c r="U42" i="293" s="1"/>
  <c r="S38" i="299" s="1"/>
  <c r="K68" i="180"/>
  <c r="K43" i="180"/>
  <c r="U40" i="293" a="1"/>
  <c r="U40" i="293" s="1"/>
  <c r="S36" i="299" s="1"/>
  <c r="U41" i="293" a="1"/>
  <c r="U41" i="293" s="1"/>
  <c r="S37" i="299" s="1"/>
  <c r="R40" i="293" a="1"/>
  <c r="R40" i="293" s="1"/>
  <c r="P36" i="299" s="1"/>
  <c r="R41" i="293" a="1"/>
  <c r="R41" i="293" s="1"/>
  <c r="P37" i="299" s="1"/>
  <c r="U79" i="180"/>
  <c r="U40" i="180"/>
  <c r="R78" i="293" a="1"/>
  <c r="R78" i="293" s="1"/>
  <c r="P74" i="299" s="1"/>
  <c r="R39" i="293" a="1"/>
  <c r="R39" i="293" s="1"/>
  <c r="P35" i="299" s="1"/>
  <c r="U78" i="293" a="1"/>
  <c r="U78" i="293" s="1"/>
  <c r="S74" i="299" s="1"/>
  <c r="U39" i="293" a="1"/>
  <c r="U39" i="293" s="1"/>
  <c r="S35" i="299" s="1"/>
  <c r="P69" i="180"/>
  <c r="P44" i="180"/>
  <c r="Y79" i="180"/>
  <c r="Y40" i="180"/>
  <c r="R68" i="293" a="1"/>
  <c r="R68" i="293" s="1"/>
  <c r="P64" i="299" s="1"/>
  <c r="R43" i="293" a="1"/>
  <c r="R43" i="293" s="1"/>
  <c r="P39" i="299" s="1"/>
  <c r="U68" i="293" a="1"/>
  <c r="U68" i="293" s="1"/>
  <c r="S64" i="299" s="1"/>
  <c r="U43" i="293" a="1"/>
  <c r="U43" i="293" s="1"/>
  <c r="S39" i="299" s="1"/>
  <c r="K23" i="180"/>
  <c r="K22" i="180"/>
  <c r="R77" i="293" a="1"/>
  <c r="R77" i="293" s="1"/>
  <c r="P73" i="299" s="1"/>
  <c r="R29" i="293" a="1"/>
  <c r="R29" i="293" s="1"/>
  <c r="P25" i="299" s="1"/>
  <c r="R30" i="293" a="1"/>
  <c r="R30" i="293" s="1"/>
  <c r="P26" i="299" s="1"/>
  <c r="U78" i="180"/>
  <c r="U31" i="180"/>
  <c r="U30" i="180"/>
  <c r="K33" i="180"/>
  <c r="K32" i="180"/>
  <c r="K29" i="180"/>
  <c r="J32" i="293" a="1"/>
  <c r="J32" i="293" s="1"/>
  <c r="H28" i="299" s="1"/>
  <c r="J31" i="293" a="1"/>
  <c r="J31" i="293" s="1"/>
  <c r="H27" i="299" s="1"/>
  <c r="J28" i="293" a="1"/>
  <c r="J28" i="293" s="1"/>
  <c r="H24" i="299" s="1"/>
  <c r="P28" i="180"/>
  <c r="P27" i="180"/>
  <c r="P24" i="180"/>
  <c r="N26" i="293" a="1"/>
  <c r="N26" i="293" s="1"/>
  <c r="L22" i="299" s="1"/>
  <c r="N27" i="293" a="1"/>
  <c r="N27" i="293" s="1"/>
  <c r="L23" i="299" s="1"/>
  <c r="N23" i="293" a="1"/>
  <c r="N23" i="293" s="1"/>
  <c r="L19" i="299" s="1"/>
  <c r="R76" i="293" a="1"/>
  <c r="R76" i="293" s="1"/>
  <c r="P72" i="299" s="1"/>
  <c r="R74" i="293" a="1"/>
  <c r="R74" i="293" s="1"/>
  <c r="P70" i="299" s="1"/>
  <c r="R35" i="293" a="1"/>
  <c r="R35" i="293" s="1"/>
  <c r="P31" i="299" s="1"/>
  <c r="R34" i="293" a="1"/>
  <c r="R34" i="293" s="1"/>
  <c r="P30" i="299" s="1"/>
  <c r="U77" i="180"/>
  <c r="U75" i="180"/>
  <c r="U36" i="180"/>
  <c r="U35" i="180"/>
  <c r="P76" i="180"/>
  <c r="P72" i="180"/>
  <c r="P26" i="180"/>
  <c r="P25" i="180"/>
  <c r="N75" i="293" a="1"/>
  <c r="N75" i="293" s="1"/>
  <c r="L71" i="299" s="1"/>
  <c r="N71" i="293" a="1"/>
  <c r="N71" i="293" s="1"/>
  <c r="L67" i="299" s="1"/>
  <c r="N25" i="293" a="1"/>
  <c r="N25" i="293" s="1"/>
  <c r="L21" i="299" s="1"/>
  <c r="N24" i="293" a="1"/>
  <c r="N24" i="293" s="1"/>
  <c r="L20" i="299" s="1"/>
  <c r="N77" i="293" a="1"/>
  <c r="N77" i="293" s="1"/>
  <c r="L73" i="299" s="1"/>
  <c r="N30" i="293" a="1"/>
  <c r="N30" i="293" s="1"/>
  <c r="L26" i="299" s="1"/>
  <c r="N29" i="293" a="1"/>
  <c r="N29" i="293" s="1"/>
  <c r="L25" i="299" s="1"/>
  <c r="P78" i="180"/>
  <c r="P31" i="180"/>
  <c r="P30" i="180"/>
  <c r="P23" i="180"/>
  <c r="P22" i="180"/>
  <c r="U22" i="293" a="1"/>
  <c r="U22" i="293" s="1"/>
  <c r="S18" i="299" s="1"/>
  <c r="U21" i="293" a="1"/>
  <c r="U21" i="293" s="1"/>
  <c r="S17" i="299" s="1"/>
  <c r="U37" i="293" a="1"/>
  <c r="U37" i="293" s="1"/>
  <c r="S33" i="299" s="1"/>
  <c r="U36" i="293" a="1"/>
  <c r="U36" i="293" s="1"/>
  <c r="S32" i="299" s="1"/>
  <c r="U33" i="293" a="1"/>
  <c r="U33" i="293" s="1"/>
  <c r="S29" i="299" s="1"/>
  <c r="Y38" i="180"/>
  <c r="Y37" i="180"/>
  <c r="Y34" i="180"/>
  <c r="R75" i="293" a="1"/>
  <c r="R75" i="293" s="1"/>
  <c r="P71" i="299" s="1"/>
  <c r="R71" i="293" a="1"/>
  <c r="R71" i="293" s="1"/>
  <c r="P67" i="299" s="1"/>
  <c r="R25" i="293" a="1"/>
  <c r="R25" i="293" s="1"/>
  <c r="P21" i="299" s="1"/>
  <c r="R24" i="293" a="1"/>
  <c r="R24" i="293" s="1"/>
  <c r="P20" i="299" s="1"/>
  <c r="U76" i="180"/>
  <c r="U72" i="180"/>
  <c r="U26" i="180"/>
  <c r="U25" i="180"/>
  <c r="U76" i="293" a="1"/>
  <c r="U76" i="293" s="1"/>
  <c r="S72" i="299" s="1"/>
  <c r="U74" i="293" a="1"/>
  <c r="U74" i="293" s="1"/>
  <c r="S70" i="299" s="1"/>
  <c r="U35" i="293" a="1"/>
  <c r="U35" i="293" s="1"/>
  <c r="S31" i="299" s="1"/>
  <c r="U34" i="293" a="1"/>
  <c r="U34" i="293" s="1"/>
  <c r="S30" i="299" s="1"/>
  <c r="Y77" i="180"/>
  <c r="Y75" i="180"/>
  <c r="Y36" i="180"/>
  <c r="Y35" i="180"/>
  <c r="U23" i="180"/>
  <c r="U22" i="180"/>
  <c r="P36" i="180"/>
  <c r="P35" i="180"/>
  <c r="N76" i="293" a="1"/>
  <c r="N76" i="293" s="1"/>
  <c r="L72" i="299" s="1"/>
  <c r="N74" i="293" a="1"/>
  <c r="N74" i="293" s="1"/>
  <c r="L70" i="299" s="1"/>
  <c r="N35" i="293" a="1"/>
  <c r="N35" i="293" s="1"/>
  <c r="L31" i="299" s="1"/>
  <c r="N34" i="293" a="1"/>
  <c r="N34" i="293" s="1"/>
  <c r="L30" i="299" s="1"/>
  <c r="Y33" i="180"/>
  <c r="Y32" i="180"/>
  <c r="Y29" i="180"/>
  <c r="U28" i="293" a="1"/>
  <c r="U28" i="293" s="1"/>
  <c r="S24" i="299" s="1"/>
  <c r="U32" i="293" a="1"/>
  <c r="U32" i="293" s="1"/>
  <c r="S28" i="299" s="1"/>
  <c r="U31" i="293" a="1"/>
  <c r="U31" i="293" s="1"/>
  <c r="S27" i="299" s="1"/>
  <c r="N22" i="293" a="1"/>
  <c r="N22" i="293" s="1"/>
  <c r="L18" i="299" s="1"/>
  <c r="N21" i="293" a="1"/>
  <c r="N21" i="293" s="1"/>
  <c r="L17" i="299" s="1"/>
  <c r="Y28" i="180"/>
  <c r="Y27" i="180"/>
  <c r="Y24" i="180"/>
  <c r="U27" i="293" a="1"/>
  <c r="U27" i="293" s="1"/>
  <c r="S23" i="299" s="1"/>
  <c r="U26" i="293" a="1"/>
  <c r="U26" i="293" s="1"/>
  <c r="S22" i="299" s="1"/>
  <c r="U23" i="293" a="1"/>
  <c r="U23" i="293" s="1"/>
  <c r="S19" i="299" s="1"/>
  <c r="R27" i="293" a="1"/>
  <c r="R27" i="293" s="1"/>
  <c r="P23" i="299" s="1"/>
  <c r="R26" i="293" a="1"/>
  <c r="R26" i="293" s="1"/>
  <c r="P22" i="299" s="1"/>
  <c r="R23" i="293" a="1"/>
  <c r="R23" i="293" s="1"/>
  <c r="P19" i="299" s="1"/>
  <c r="U28" i="180"/>
  <c r="U27" i="180"/>
  <c r="U24" i="180"/>
  <c r="J27" i="293" a="1"/>
  <c r="J27" i="293" s="1"/>
  <c r="H23" i="299" s="1"/>
  <c r="J26" i="293" a="1"/>
  <c r="J26" i="293" s="1"/>
  <c r="H22" i="299" s="1"/>
  <c r="J23" i="293" a="1"/>
  <c r="J23" i="293" s="1"/>
  <c r="H19" i="299" s="1"/>
  <c r="R22" i="293" a="1"/>
  <c r="R22" i="293" s="1"/>
  <c r="P18" i="299" s="1"/>
  <c r="R21" i="293" a="1"/>
  <c r="R21" i="293" s="1"/>
  <c r="P17" i="299" s="1"/>
  <c r="J77" i="293" a="1"/>
  <c r="J77" i="293" s="1"/>
  <c r="H73" i="299" s="1"/>
  <c r="J29" i="293" a="1"/>
  <c r="J29" i="293" s="1"/>
  <c r="H25" i="299" s="1"/>
  <c r="J30" i="293" a="1"/>
  <c r="J30" i="293" s="1"/>
  <c r="H26" i="299" s="1"/>
  <c r="R28" i="293" a="1"/>
  <c r="R28" i="293" s="1"/>
  <c r="P24" i="299" s="1"/>
  <c r="R32" i="293" a="1"/>
  <c r="R32" i="293" s="1"/>
  <c r="P28" i="299" s="1"/>
  <c r="R31" i="293" a="1"/>
  <c r="R31" i="293" s="1"/>
  <c r="P27" i="299" s="1"/>
  <c r="U33" i="180"/>
  <c r="N37" i="293" a="1"/>
  <c r="N37" i="293" s="1"/>
  <c r="L33" i="299" s="1"/>
  <c r="N36" i="293" a="1"/>
  <c r="N36" i="293" s="1"/>
  <c r="L32" i="299" s="1"/>
  <c r="N33" i="293" a="1"/>
  <c r="N33" i="293" s="1"/>
  <c r="L29" i="299" s="1"/>
  <c r="P38" i="180"/>
  <c r="P37" i="180"/>
  <c r="P34" i="180"/>
  <c r="J37" i="293" a="1"/>
  <c r="J37" i="293" s="1"/>
  <c r="H33" i="299" s="1"/>
  <c r="J36" i="293" a="1"/>
  <c r="J36" i="293" s="1"/>
  <c r="H32" i="299" s="1"/>
  <c r="J33" i="293" a="1"/>
  <c r="J33" i="293" s="1"/>
  <c r="H29" i="299" s="1"/>
  <c r="K38" i="180"/>
  <c r="K37" i="180"/>
  <c r="K34" i="180"/>
  <c r="Y76" i="180"/>
  <c r="Y72" i="180"/>
  <c r="Y26" i="180"/>
  <c r="J25" i="190" s="1"/>
  <c r="O25" i="190" s="1"/>
  <c r="Y25" i="180"/>
  <c r="U75" i="293" a="1"/>
  <c r="U75" i="293" s="1"/>
  <c r="S71" i="299" s="1"/>
  <c r="U71" i="293" a="1"/>
  <c r="U71" i="293" s="1"/>
  <c r="S67" i="299" s="1"/>
  <c r="U25" i="293" a="1"/>
  <c r="U25" i="293" s="1"/>
  <c r="S21" i="299" s="1"/>
  <c r="U24" i="293" a="1"/>
  <c r="U24" i="293" s="1"/>
  <c r="S20" i="299" s="1"/>
  <c r="J22" i="293" a="1"/>
  <c r="J22" i="293" s="1"/>
  <c r="H18" i="299" s="1"/>
  <c r="J21" i="293" a="1"/>
  <c r="J21" i="293" s="1"/>
  <c r="H17" i="299" s="1"/>
  <c r="R37" i="293" a="1"/>
  <c r="R37" i="293" s="1"/>
  <c r="P33" i="299" s="1"/>
  <c r="R36" i="293" a="1"/>
  <c r="R36" i="293" s="1"/>
  <c r="P32" i="299" s="1"/>
  <c r="R33" i="293" a="1"/>
  <c r="R33" i="293" s="1"/>
  <c r="P29" i="299" s="1"/>
  <c r="U38" i="180"/>
  <c r="U37" i="180"/>
  <c r="U34" i="180"/>
  <c r="U77" i="293" a="1"/>
  <c r="U77" i="293" s="1"/>
  <c r="S73" i="299" s="1"/>
  <c r="U29" i="293" a="1"/>
  <c r="U29" i="293" s="1"/>
  <c r="S25" i="299" s="1"/>
  <c r="U30" i="293" a="1"/>
  <c r="U30" i="293" s="1"/>
  <c r="S26" i="299" s="1"/>
  <c r="Y78" i="180"/>
  <c r="Y30" i="180"/>
  <c r="Y31" i="180"/>
  <c r="P33" i="180"/>
  <c r="P32" i="180"/>
  <c r="P29" i="180"/>
  <c r="N28" i="293" a="1"/>
  <c r="N28" i="293" s="1"/>
  <c r="L24" i="299" s="1"/>
  <c r="N32" i="293" a="1"/>
  <c r="N32" i="293" s="1"/>
  <c r="L28" i="299" s="1"/>
  <c r="N31" i="293" a="1"/>
  <c r="N31" i="293" s="1"/>
  <c r="L27" i="299" s="1"/>
  <c r="Y23" i="180"/>
  <c r="Y22" i="180"/>
  <c r="J75" i="293" a="1"/>
  <c r="J75" i="293" s="1"/>
  <c r="H71" i="299" s="1"/>
  <c r="J71" i="293" a="1"/>
  <c r="J71" i="293" s="1"/>
  <c r="H67" i="299" s="1"/>
  <c r="J25" i="293" a="1"/>
  <c r="J25" i="293" s="1"/>
  <c r="H21" i="299" s="1"/>
  <c r="J24" i="293" a="1"/>
  <c r="J24" i="293" s="1"/>
  <c r="H20" i="299" s="1"/>
  <c r="T65" i="293" a="1"/>
  <c r="T65" i="293" s="1"/>
  <c r="R61" i="299" s="1"/>
  <c r="M64" i="293" a="1"/>
  <c r="M64" i="293" s="1"/>
  <c r="K60" i="299" s="1"/>
  <c r="Y44" i="180"/>
  <c r="Y69" i="180"/>
  <c r="M54" i="293" a="1"/>
  <c r="M54" i="293" s="1"/>
  <c r="K50" i="299" s="1"/>
  <c r="T96" i="293" a="1"/>
  <c r="T96" i="293" s="1"/>
  <c r="R92" i="299" s="1"/>
  <c r="I57" i="293" a="1"/>
  <c r="I57" i="293" s="1"/>
  <c r="G53" i="299" s="1"/>
  <c r="T15" i="293" a="1"/>
  <c r="T15" i="293" s="1"/>
  <c r="R11" i="299" s="1"/>
  <c r="T80" i="293" a="1"/>
  <c r="T80" i="293" s="1"/>
  <c r="R76" i="299" s="1"/>
  <c r="I43" i="293" a="1"/>
  <c r="I43" i="293" s="1"/>
  <c r="G39" i="299" s="1"/>
  <c r="I93" i="293" a="1"/>
  <c r="I93" i="293" s="1"/>
  <c r="G89" i="299" s="1"/>
  <c r="M68" i="293" a="1"/>
  <c r="M68" i="293" s="1"/>
  <c r="K64" i="299" s="1"/>
  <c r="T57" i="293" a="1"/>
  <c r="T57" i="293" s="1"/>
  <c r="R53" i="299" s="1"/>
  <c r="T58" i="293" a="1"/>
  <c r="T58" i="293" s="1"/>
  <c r="R54" i="299" s="1"/>
  <c r="M78" i="293" a="1"/>
  <c r="M78" i="293" s="1"/>
  <c r="K74" i="299" s="1"/>
  <c r="I51" i="293" a="1"/>
  <c r="I51" i="293" s="1"/>
  <c r="G47" i="299" s="1"/>
  <c r="M53" i="293" a="1"/>
  <c r="M53" i="293" s="1"/>
  <c r="K49" i="299" s="1"/>
  <c r="M80" i="293" a="1"/>
  <c r="M80" i="293" s="1"/>
  <c r="K76" i="299" s="1"/>
  <c r="M51" i="293" a="1"/>
  <c r="M51" i="293" s="1"/>
  <c r="K47" i="299" s="1"/>
  <c r="I79" i="293" a="1"/>
  <c r="I79" i="293" s="1"/>
  <c r="G75" i="299" s="1"/>
  <c r="M66" i="293" a="1"/>
  <c r="M66" i="293" s="1"/>
  <c r="K62" i="299" s="1"/>
  <c r="I58" i="293" a="1"/>
  <c r="I58" i="293" s="1"/>
  <c r="G54" i="299" s="1"/>
  <c r="T53" i="293" a="1"/>
  <c r="T53" i="293" s="1"/>
  <c r="R49" i="299" s="1"/>
  <c r="T20" i="293" a="1"/>
  <c r="T20" i="293" s="1"/>
  <c r="R16" i="299" s="1"/>
  <c r="T54" i="293" a="1"/>
  <c r="T54" i="293" s="1"/>
  <c r="R50" i="299" s="1"/>
  <c r="I52" i="293" a="1"/>
  <c r="I52" i="293" s="1"/>
  <c r="G48" i="299" s="1"/>
  <c r="I67" i="293" a="1"/>
  <c r="I67" i="293" s="1"/>
  <c r="G63" i="299" s="1"/>
  <c r="I53" i="293" a="1"/>
  <c r="I53" i="293" s="1"/>
  <c r="G49" i="299" s="1"/>
  <c r="I48" i="293" a="1"/>
  <c r="I48" i="293" s="1"/>
  <c r="G44" i="299" s="1"/>
  <c r="M65" i="293" a="1"/>
  <c r="M65" i="293" s="1"/>
  <c r="K61" i="299" s="1"/>
  <c r="M48" i="293" a="1"/>
  <c r="M48" i="293" s="1"/>
  <c r="K44" i="299" s="1"/>
  <c r="T55" i="293" a="1"/>
  <c r="T55" i="293" s="1"/>
  <c r="R51" i="299" s="1"/>
  <c r="I81" i="293" a="1"/>
  <c r="I81" i="293" s="1"/>
  <c r="G77" i="299" s="1"/>
  <c r="M94" i="293" a="1"/>
  <c r="M94" i="293" s="1"/>
  <c r="K90" i="299" s="1"/>
  <c r="T38" i="293" a="1"/>
  <c r="T38" i="293" s="1"/>
  <c r="R34" i="299" s="1"/>
  <c r="I45" i="293" a="1"/>
  <c r="I45" i="293" s="1"/>
  <c r="G41" i="299" s="1"/>
  <c r="M93" i="293" a="1"/>
  <c r="M93" i="293" s="1"/>
  <c r="K89" i="299" s="1"/>
  <c r="M47" i="293" a="1"/>
  <c r="M47" i="293" s="1"/>
  <c r="K43" i="299" s="1"/>
  <c r="M83" i="293" a="1"/>
  <c r="M83" i="293" s="1"/>
  <c r="K79" i="299" s="1"/>
  <c r="M81" i="293" a="1"/>
  <c r="M81" i="293" s="1"/>
  <c r="K77" i="299" s="1"/>
  <c r="M79" i="293" a="1"/>
  <c r="M79" i="293" s="1"/>
  <c r="K75" i="299" s="1"/>
  <c r="T17" i="293" a="1"/>
  <c r="T17" i="293" s="1"/>
  <c r="R13" i="299" s="1"/>
  <c r="M59" i="293" a="1"/>
  <c r="M59" i="293" s="1"/>
  <c r="K55" i="299" s="1"/>
  <c r="M96" i="293" a="1"/>
  <c r="M96" i="293" s="1"/>
  <c r="K92" i="299" s="1"/>
  <c r="I47" i="293" a="1"/>
  <c r="I47" i="293" s="1"/>
  <c r="G43" i="299" s="1"/>
  <c r="M57" i="293" a="1"/>
  <c r="M57" i="293" s="1"/>
  <c r="K53" i="299" s="1"/>
  <c r="T52" i="293" a="1"/>
  <c r="T52" i="293" s="1"/>
  <c r="R48" i="299" s="1"/>
  <c r="M45" i="293" a="1"/>
  <c r="M45" i="293" s="1"/>
  <c r="K41" i="299" s="1"/>
  <c r="I96" i="293" a="1"/>
  <c r="I96" i="293" s="1"/>
  <c r="G92" i="299" s="1"/>
  <c r="M38" i="293" a="1"/>
  <c r="M38" i="293" s="1"/>
  <c r="K34" i="299" s="1"/>
  <c r="I35" i="293" a="1"/>
  <c r="I35" i="293" s="1"/>
  <c r="G31" i="299" s="1"/>
  <c r="I66" i="293" a="1"/>
  <c r="I66" i="293" s="1"/>
  <c r="G62" i="299" s="1"/>
  <c r="I42" i="293" a="1"/>
  <c r="I42" i="293" s="1"/>
  <c r="G38" i="299" s="1"/>
  <c r="M40" i="293" a="1"/>
  <c r="M40" i="293" s="1"/>
  <c r="K36" i="299" s="1"/>
  <c r="I41" i="293" a="1"/>
  <c r="I41" i="293" s="1"/>
  <c r="G37" i="299" s="1"/>
  <c r="I20" i="293" a="1"/>
  <c r="I20" i="293" s="1"/>
  <c r="G16" i="299" s="1"/>
  <c r="I78" i="293" a="1"/>
  <c r="I78" i="293" s="1"/>
  <c r="G74" i="299" s="1"/>
  <c r="I54" i="293" a="1"/>
  <c r="I54" i="293" s="1"/>
  <c r="G50" i="299" s="1"/>
  <c r="I74" i="293" a="1"/>
  <c r="I74" i="293" s="1"/>
  <c r="G70" i="299" s="1"/>
  <c r="I46" i="293" a="1"/>
  <c r="I46" i="293" s="1"/>
  <c r="G42" i="299" s="1"/>
  <c r="I59" i="293" a="1"/>
  <c r="I59" i="293" s="1"/>
  <c r="G55" i="299" s="1"/>
  <c r="I94" i="293" a="1"/>
  <c r="I94" i="293" s="1"/>
  <c r="G90" i="299" s="1"/>
  <c r="I55" i="293" a="1"/>
  <c r="I55" i="293" s="1"/>
  <c r="G51" i="299" s="1"/>
  <c r="I68" i="293" a="1"/>
  <c r="I68" i="293" s="1"/>
  <c r="G64" i="299" s="1"/>
  <c r="I38" i="293" a="1"/>
  <c r="I38" i="293" s="1"/>
  <c r="G34" i="299" s="1"/>
  <c r="I39" i="293" a="1"/>
  <c r="I39" i="293" s="1"/>
  <c r="G35" i="299" s="1"/>
  <c r="I40" i="293" a="1"/>
  <c r="I40" i="293" s="1"/>
  <c r="G36" i="299" s="1"/>
  <c r="T87" i="293" a="1"/>
  <c r="T87" i="293" s="1"/>
  <c r="R83" i="299" s="1"/>
  <c r="M88" i="293" a="1"/>
  <c r="M88" i="293" s="1"/>
  <c r="K84" i="299" s="1"/>
  <c r="T86" i="293" a="1"/>
  <c r="T86" i="293" s="1"/>
  <c r="R82" i="299" s="1"/>
  <c r="M85" i="293" a="1"/>
  <c r="M85" i="293" s="1"/>
  <c r="K81" i="299" s="1"/>
  <c r="M87" i="293" a="1"/>
  <c r="M87" i="293" s="1"/>
  <c r="K83" i="299" s="1"/>
  <c r="T85" i="293" a="1"/>
  <c r="T85" i="293" s="1"/>
  <c r="R81" i="299" s="1"/>
  <c r="T88" i="293" a="1"/>
  <c r="T88" i="293" s="1"/>
  <c r="R84" i="299" s="1"/>
  <c r="J64" i="293" a="1"/>
  <c r="J64" i="293" s="1"/>
  <c r="H60" i="299" s="1"/>
  <c r="J83" i="293" a="1"/>
  <c r="J83" i="293" s="1"/>
  <c r="H79" i="299" s="1"/>
  <c r="K65" i="180"/>
  <c r="K84" i="180"/>
  <c r="J65" i="293" a="1"/>
  <c r="J65" i="293" s="1"/>
  <c r="H61" i="299" s="1"/>
  <c r="J80" i="293" a="1"/>
  <c r="J80" i="293" s="1"/>
  <c r="H76" i="299" s="1"/>
  <c r="K66" i="180"/>
  <c r="K81" i="180"/>
  <c r="K40" i="180"/>
  <c r="K79" i="180"/>
  <c r="W103" i="293" a="1"/>
  <c r="W103" i="293" s="1"/>
  <c r="U99" i="299" s="1"/>
  <c r="W61" i="293" a="1"/>
  <c r="W61" i="293" s="1"/>
  <c r="U57" i="299" s="1"/>
  <c r="W98" i="293" a="1"/>
  <c r="W98" i="293" s="1"/>
  <c r="U94" i="299" s="1"/>
  <c r="W20" i="293" a="1"/>
  <c r="W20" i="293" s="1"/>
  <c r="U16" i="299" s="1"/>
  <c r="W94" i="293" a="1"/>
  <c r="W94" i="293" s="1"/>
  <c r="U90" i="299" s="1"/>
  <c r="W47" i="293" a="1"/>
  <c r="W47" i="293" s="1"/>
  <c r="U43" i="299" s="1"/>
  <c r="W60" i="293" a="1"/>
  <c r="W60" i="293" s="1"/>
  <c r="U56" i="299" s="1"/>
  <c r="W63" i="293" a="1"/>
  <c r="W63" i="293" s="1"/>
  <c r="U59" i="299" s="1"/>
  <c r="W45" i="293" a="1"/>
  <c r="W45" i="293" s="1"/>
  <c r="U41" i="299" s="1"/>
  <c r="W48" i="293" a="1"/>
  <c r="W48" i="293" s="1"/>
  <c r="U44" i="299" s="1"/>
  <c r="W96" i="293" a="1"/>
  <c r="W96" i="293" s="1"/>
  <c r="U92" i="299" s="1"/>
  <c r="W38" i="293" a="1"/>
  <c r="W38" i="293" s="1"/>
  <c r="U34" i="299" s="1"/>
  <c r="W85" i="293" a="1"/>
  <c r="W85" i="293" s="1"/>
  <c r="U81" i="299" s="1"/>
  <c r="W93" i="293" a="1"/>
  <c r="W93" i="293" s="1"/>
  <c r="U89" i="299" s="1"/>
  <c r="W57" i="293" a="1"/>
  <c r="W57" i="293" s="1"/>
  <c r="U53" i="299" s="1"/>
  <c r="W99" i="293" a="1"/>
  <c r="W99" i="293" s="1"/>
  <c r="U95" i="299" s="1"/>
  <c r="W92" i="293" a="1"/>
  <c r="W92" i="293" s="1"/>
  <c r="U88" i="299" s="1"/>
  <c r="W51" i="293" a="1"/>
  <c r="W51" i="293" s="1"/>
  <c r="U47" i="299" s="1"/>
  <c r="W46" i="293" a="1"/>
  <c r="W46" i="293" s="1"/>
  <c r="U42" i="299" s="1"/>
  <c r="W50" i="293" a="1"/>
  <c r="W50" i="293" s="1"/>
  <c r="U46" i="299" s="1"/>
  <c r="W79" i="293" a="1"/>
  <c r="W79" i="293" s="1"/>
  <c r="U75" i="299" s="1"/>
  <c r="W52" i="293" a="1"/>
  <c r="W52" i="293" s="1"/>
  <c r="U48" i="299" s="1"/>
  <c r="W58" i="293" a="1"/>
  <c r="W58" i="293" s="1"/>
  <c r="U54" i="299" s="1"/>
  <c r="W84" i="293" a="1"/>
  <c r="W84" i="293" s="1"/>
  <c r="U80" i="299" s="1"/>
  <c r="W53" i="293" a="1"/>
  <c r="W53" i="293" s="1"/>
  <c r="U49" i="299" s="1"/>
  <c r="W59" i="293" a="1"/>
  <c r="W59" i="293" s="1"/>
  <c r="U55" i="299" s="1"/>
  <c r="W101" i="293" a="1"/>
  <c r="W101" i="293" s="1"/>
  <c r="U97" i="299" s="1"/>
  <c r="W102" i="293" a="1"/>
  <c r="W102" i="293" s="1"/>
  <c r="U98" i="299" s="1"/>
  <c r="W90" i="293" a="1"/>
  <c r="W90" i="293" s="1"/>
  <c r="U86" i="299" s="1"/>
  <c r="W95" i="293" a="1"/>
  <c r="W95" i="293" s="1"/>
  <c r="U91" i="299" s="1"/>
  <c r="W54" i="293" a="1"/>
  <c r="W54" i="293" s="1"/>
  <c r="U50" i="299" s="1"/>
  <c r="W91" i="293" a="1"/>
  <c r="W91" i="293" s="1"/>
  <c r="U87" i="299" s="1"/>
  <c r="W41" i="293" a="1"/>
  <c r="W41" i="293" s="1"/>
  <c r="U37" i="299" s="1"/>
  <c r="K7" i="293" a="1"/>
  <c r="K7" i="293" s="1"/>
  <c r="I3" i="299" s="1"/>
  <c r="K65" i="293" a="1"/>
  <c r="K65" i="293" s="1"/>
  <c r="I61" i="299" s="1"/>
  <c r="K80" i="293" a="1"/>
  <c r="K80" i="293" s="1"/>
  <c r="I76" i="299" s="1"/>
  <c r="K83" i="293" a="1"/>
  <c r="K83" i="293" s="1"/>
  <c r="I79" i="299" s="1"/>
  <c r="K64" i="293" a="1"/>
  <c r="K64" i="293" s="1"/>
  <c r="I60" i="299" s="1"/>
  <c r="K32" i="293" a="1"/>
  <c r="K32" i="293" s="1"/>
  <c r="I28" i="299" s="1"/>
  <c r="K28" i="293" a="1"/>
  <c r="K28" i="293" s="1"/>
  <c r="I24" i="299" s="1"/>
  <c r="K31" i="293" a="1"/>
  <c r="K31" i="293" s="1"/>
  <c r="I27" i="299" s="1"/>
  <c r="O23" i="293" a="1"/>
  <c r="O23" i="293" s="1"/>
  <c r="M19" i="299" s="1"/>
  <c r="O26" i="293" a="1"/>
  <c r="O26" i="293" s="1"/>
  <c r="M22" i="299" s="1"/>
  <c r="O27" i="293" a="1"/>
  <c r="O27" i="293" s="1"/>
  <c r="M23" i="299" s="1"/>
  <c r="O24" i="293" a="1"/>
  <c r="O24" i="293" s="1"/>
  <c r="M20" i="299" s="1"/>
  <c r="O25" i="293" a="1"/>
  <c r="O25" i="293" s="1"/>
  <c r="M21" i="299" s="1"/>
  <c r="O71" i="293" a="1"/>
  <c r="O71" i="293" s="1"/>
  <c r="M67" i="299" s="1"/>
  <c r="O75" i="293" a="1"/>
  <c r="O75" i="293" s="1"/>
  <c r="M71" i="299" s="1"/>
  <c r="O29" i="293" a="1"/>
  <c r="O29" i="293" s="1"/>
  <c r="M25" i="299" s="1"/>
  <c r="O30" i="293" a="1"/>
  <c r="O30" i="293" s="1"/>
  <c r="M26" i="299" s="1"/>
  <c r="O77" i="293" a="1"/>
  <c r="O77" i="293" s="1"/>
  <c r="M73" i="299" s="1"/>
  <c r="O34" i="293" a="1"/>
  <c r="O34" i="293" s="1"/>
  <c r="M30" i="299" s="1"/>
  <c r="O35" i="293" a="1"/>
  <c r="O35" i="293" s="1"/>
  <c r="M31" i="299" s="1"/>
  <c r="O74" i="293" a="1"/>
  <c r="O74" i="293" s="1"/>
  <c r="M70" i="299" s="1"/>
  <c r="O76" i="293" a="1"/>
  <c r="O76" i="293" s="1"/>
  <c r="M72" i="299" s="1"/>
  <c r="O21" i="293" a="1"/>
  <c r="O21" i="293" s="1"/>
  <c r="M17" i="299" s="1"/>
  <c r="O22" i="293" a="1"/>
  <c r="O22" i="293" s="1"/>
  <c r="M18" i="299" s="1"/>
  <c r="K26" i="293" a="1"/>
  <c r="K26" i="293" s="1"/>
  <c r="I22" i="299" s="1"/>
  <c r="K23" i="293" a="1"/>
  <c r="K23" i="293" s="1"/>
  <c r="I19" i="299" s="1"/>
  <c r="K27" i="293" a="1"/>
  <c r="K27" i="293" s="1"/>
  <c r="I23" i="299" s="1"/>
  <c r="K30" i="293" a="1"/>
  <c r="K30" i="293" s="1"/>
  <c r="I26" i="299" s="1"/>
  <c r="K77" i="293" a="1"/>
  <c r="K77" i="293" s="1"/>
  <c r="I73" i="299" s="1"/>
  <c r="K29" i="293" a="1"/>
  <c r="K29" i="293" s="1"/>
  <c r="I25" i="299" s="1"/>
  <c r="O33" i="293" a="1"/>
  <c r="O33" i="293" s="1"/>
  <c r="M29" i="299" s="1"/>
  <c r="O36" i="293" a="1"/>
  <c r="O36" i="293" s="1"/>
  <c r="M32" i="299" s="1"/>
  <c r="O37" i="293" a="1"/>
  <c r="O37" i="293" s="1"/>
  <c r="M33" i="299" s="1"/>
  <c r="K37" i="293" a="1"/>
  <c r="K37" i="293" s="1"/>
  <c r="I33" i="299" s="1"/>
  <c r="K33" i="293" a="1"/>
  <c r="K33" i="293" s="1"/>
  <c r="I29" i="299" s="1"/>
  <c r="K36" i="293" a="1"/>
  <c r="K36" i="293" s="1"/>
  <c r="I32" i="299" s="1"/>
  <c r="K74" i="293" a="1"/>
  <c r="K74" i="293" s="1"/>
  <c r="I70" i="299" s="1"/>
  <c r="K35" i="293" a="1"/>
  <c r="K35" i="293" s="1"/>
  <c r="I31" i="299" s="1"/>
  <c r="K34" i="293" a="1"/>
  <c r="K34" i="293" s="1"/>
  <c r="I30" i="299" s="1"/>
  <c r="K76" i="293" a="1"/>
  <c r="K76" i="293" s="1"/>
  <c r="I72" i="299" s="1"/>
  <c r="K22" i="293" a="1"/>
  <c r="K22" i="293" s="1"/>
  <c r="I18" i="299" s="1"/>
  <c r="K21" i="293" a="1"/>
  <c r="K21" i="293" s="1"/>
  <c r="I17" i="299" s="1"/>
  <c r="O28" i="293" a="1"/>
  <c r="O28" i="293" s="1"/>
  <c r="M24" i="299" s="1"/>
  <c r="O31" i="293" a="1"/>
  <c r="O31" i="293" s="1"/>
  <c r="M27" i="299" s="1"/>
  <c r="O32" i="293" a="1"/>
  <c r="O32" i="293" s="1"/>
  <c r="M28" i="299" s="1"/>
  <c r="K75" i="293" a="1"/>
  <c r="K75" i="293" s="1"/>
  <c r="I71" i="299" s="1"/>
  <c r="K25" i="293" a="1"/>
  <c r="K25" i="293" s="1"/>
  <c r="I21" i="299" s="1"/>
  <c r="K24" i="293" a="1"/>
  <c r="K24" i="293" s="1"/>
  <c r="I20" i="299" s="1"/>
  <c r="K71" i="293" a="1"/>
  <c r="K71" i="293" s="1"/>
  <c r="I67" i="299" s="1"/>
  <c r="W100" i="293" a="1"/>
  <c r="W100" i="293" s="1"/>
  <c r="U96" i="299" s="1"/>
  <c r="W40" i="293" a="1"/>
  <c r="W40" i="293" s="1"/>
  <c r="U36" i="299" s="1"/>
  <c r="W55" i="293" a="1"/>
  <c r="W55" i="293" s="1"/>
  <c r="U51" i="299" s="1"/>
  <c r="W69" i="293" a="1"/>
  <c r="W69" i="293" s="1"/>
  <c r="U65" i="299" s="1"/>
  <c r="Q38" i="293" a="1"/>
  <c r="Q38" i="293" s="1"/>
  <c r="O34" i="299" s="1"/>
  <c r="Q53" i="293" a="1"/>
  <c r="Q53" i="293" s="1"/>
  <c r="O49" i="299" s="1"/>
  <c r="Q51" i="293" a="1"/>
  <c r="Q51" i="293" s="1"/>
  <c r="O47" i="299" s="1"/>
  <c r="Q54" i="293" a="1"/>
  <c r="Q54" i="293" s="1"/>
  <c r="O50" i="299" s="1"/>
  <c r="Q55" i="293" a="1"/>
  <c r="Q55" i="293" s="1"/>
  <c r="O51" i="299" s="1"/>
  <c r="Q48" i="293" a="1"/>
  <c r="Q48" i="293" s="1"/>
  <c r="O44" i="299" s="1"/>
  <c r="Q50" i="293" a="1"/>
  <c r="Q50" i="293" s="1"/>
  <c r="O46" i="299" s="1"/>
  <c r="I50" i="293" a="1"/>
  <c r="I50" i="293" s="1"/>
  <c r="G46" i="299" s="1"/>
  <c r="Q52" i="293" a="1"/>
  <c r="Q52" i="293" s="1"/>
  <c r="O48" i="299" s="1"/>
  <c r="Q63" i="293" a="1"/>
  <c r="Q63" i="293" s="1"/>
  <c r="O59" i="299" s="1"/>
  <c r="Q57" i="293" a="1"/>
  <c r="Q57" i="293" s="1"/>
  <c r="O53" i="299" s="1"/>
  <c r="Q58" i="293" a="1"/>
  <c r="Q58" i="293" s="1"/>
  <c r="O54" i="299" s="1"/>
  <c r="Q64" i="293" a="1"/>
  <c r="Q64" i="293" s="1"/>
  <c r="O60" i="299" s="1"/>
  <c r="Q59" i="293" a="1"/>
  <c r="Q59" i="293" s="1"/>
  <c r="O55" i="299" s="1"/>
  <c r="I61" i="293" a="1"/>
  <c r="I61" i="293" s="1"/>
  <c r="G57" i="299" s="1"/>
  <c r="I60" i="293" a="1"/>
  <c r="I60" i="293" s="1"/>
  <c r="G56" i="299" s="1"/>
  <c r="I63" i="293" a="1"/>
  <c r="I63" i="293" s="1"/>
  <c r="G59" i="299" s="1"/>
  <c r="Q61" i="293" a="1"/>
  <c r="Q61" i="293" s="1"/>
  <c r="O57" i="299" s="1"/>
  <c r="Q60" i="293" a="1"/>
  <c r="Q60" i="293" s="1"/>
  <c r="O56" i="299" s="1"/>
  <c r="I70" i="293" a="1"/>
  <c r="I70" i="293" s="1"/>
  <c r="G66" i="299" s="1"/>
  <c r="Q69" i="293" a="1"/>
  <c r="Q69" i="293" s="1"/>
  <c r="O65" i="299" s="1"/>
  <c r="I72" i="293" a="1"/>
  <c r="I72" i="293" s="1"/>
  <c r="G68" i="299" s="1"/>
  <c r="I73" i="293" a="1"/>
  <c r="I73" i="293" s="1"/>
  <c r="G69" i="299" s="1"/>
  <c r="Q79" i="293" a="1"/>
  <c r="Q79" i="293" s="1"/>
  <c r="O75" i="299" s="1"/>
  <c r="Q72" i="293" a="1"/>
  <c r="Q72" i="293" s="1"/>
  <c r="O68" i="299" s="1"/>
  <c r="Q73" i="293" a="1"/>
  <c r="Q73" i="293" s="1"/>
  <c r="O69" i="299" s="1"/>
  <c r="I69" i="293" a="1"/>
  <c r="I69" i="293" s="1"/>
  <c r="G65" i="299" s="1"/>
  <c r="Q65" i="293" a="1"/>
  <c r="Q65" i="293" s="1"/>
  <c r="O61" i="299" s="1"/>
  <c r="Q70" i="293" a="1"/>
  <c r="Q70" i="293" s="1"/>
  <c r="O66" i="299" s="1"/>
  <c r="Q80" i="293" a="1"/>
  <c r="Q80" i="293" s="1"/>
  <c r="O76" i="299" s="1"/>
  <c r="Q91" i="293" a="1"/>
  <c r="Q91" i="293" s="1"/>
  <c r="O87" i="299" s="1"/>
  <c r="I91" i="293" a="1"/>
  <c r="I91" i="293" s="1"/>
  <c r="G87" i="299" s="1"/>
  <c r="Q83" i="293" a="1"/>
  <c r="Q83" i="293" s="1"/>
  <c r="O79" i="299" s="1"/>
  <c r="Q86" i="293" a="1"/>
  <c r="Q86" i="293" s="1"/>
  <c r="O82" i="299" s="1"/>
  <c r="Q90" i="293" a="1"/>
  <c r="Q90" i="293" s="1"/>
  <c r="O86" i="299" s="1"/>
  <c r="I86" i="293" a="1"/>
  <c r="I86" i="293" s="1"/>
  <c r="G82" i="299" s="1"/>
  <c r="I84" i="293" a="1"/>
  <c r="I84" i="293" s="1"/>
  <c r="G80" i="299" s="1"/>
  <c r="I85" i="293" a="1"/>
  <c r="I85" i="293" s="1"/>
  <c r="G81" i="299" s="1"/>
  <c r="Q87" i="293" a="1"/>
  <c r="Q87" i="293" s="1"/>
  <c r="O83" i="299" s="1"/>
  <c r="Q88" i="293" a="1"/>
  <c r="Q88" i="293" s="1"/>
  <c r="O84" i="299" s="1"/>
  <c r="Q84" i="293" a="1"/>
  <c r="Q84" i="293" s="1"/>
  <c r="O80" i="299" s="1"/>
  <c r="I87" i="293" a="1"/>
  <c r="I87" i="293" s="1"/>
  <c r="G83" i="299" s="1"/>
  <c r="Q85" i="293" a="1"/>
  <c r="Q85" i="293" s="1"/>
  <c r="O81" i="299" s="1"/>
  <c r="I88" i="293" a="1"/>
  <c r="I88" i="293" s="1"/>
  <c r="G84" i="299" s="1"/>
  <c r="I90" i="293" a="1"/>
  <c r="I90" i="293" s="1"/>
  <c r="G86" i="299" s="1"/>
  <c r="Q15" i="293" a="1"/>
  <c r="Q15" i="293" s="1"/>
  <c r="O11" i="299" s="1"/>
  <c r="Q20" i="293" a="1"/>
  <c r="Q20" i="293" s="1"/>
  <c r="O16" i="299" s="1"/>
  <c r="Q16" i="293" a="1"/>
  <c r="Q16" i="293" s="1"/>
  <c r="O12" i="299" s="1"/>
  <c r="Q17" i="293" a="1"/>
  <c r="Q17" i="293" s="1"/>
  <c r="O13" i="299" s="1"/>
  <c r="N86" i="293" a="1"/>
  <c r="N86" i="293" s="1"/>
  <c r="L82" i="299" s="1"/>
  <c r="N70" i="293" a="1"/>
  <c r="N70" i="293" s="1"/>
  <c r="L66" i="299" s="1"/>
  <c r="T95" i="293" a="1"/>
  <c r="T95" i="293" s="1"/>
  <c r="R91" i="299" s="1"/>
  <c r="T84" i="293" a="1"/>
  <c r="T84" i="293" s="1"/>
  <c r="R80" i="299" s="1"/>
  <c r="T98" i="293" a="1"/>
  <c r="T98" i="293" s="1"/>
  <c r="R94" i="299" s="1"/>
  <c r="Q99" i="293" a="1"/>
  <c r="Q99" i="293" s="1"/>
  <c r="O95" i="299" s="1"/>
  <c r="T99" i="293" a="1"/>
  <c r="T99" i="293" s="1"/>
  <c r="R95" i="299" s="1"/>
  <c r="M91" i="293" a="1"/>
  <c r="M91" i="293" s="1"/>
  <c r="K87" i="299" s="1"/>
  <c r="Q96" i="293" a="1"/>
  <c r="Q96" i="293" s="1"/>
  <c r="O92" i="299" s="1"/>
  <c r="T69" i="293" a="1"/>
  <c r="T69" i="293" s="1"/>
  <c r="R65" i="299" s="1"/>
  <c r="M95" i="293" a="1"/>
  <c r="M95" i="293" s="1"/>
  <c r="K91" i="299" s="1"/>
  <c r="I103" i="293" a="1"/>
  <c r="I103" i="293" s="1"/>
  <c r="G99" i="299" s="1"/>
  <c r="M98" i="293" a="1"/>
  <c r="M98" i="293" s="1"/>
  <c r="K94" i="299" s="1"/>
  <c r="T90" i="293" a="1"/>
  <c r="T90" i="293" s="1"/>
  <c r="R86" i="299" s="1"/>
  <c r="I102" i="293" a="1"/>
  <c r="I102" i="293" s="1"/>
  <c r="G98" i="299" s="1"/>
  <c r="I95" i="293" a="1"/>
  <c r="I95" i="293" s="1"/>
  <c r="G91" i="299" s="1"/>
  <c r="I92" i="293" a="1"/>
  <c r="I92" i="293" s="1"/>
  <c r="G88" i="299" s="1"/>
  <c r="T70" i="293" a="1"/>
  <c r="T70" i="293" s="1"/>
  <c r="R66" i="299" s="1"/>
  <c r="Q103" i="293" a="1"/>
  <c r="Q103" i="293" s="1"/>
  <c r="O99" i="299" s="1"/>
  <c r="T103" i="293" a="1"/>
  <c r="T103" i="293" s="1"/>
  <c r="R99" i="299" s="1"/>
  <c r="T72" i="293" a="1"/>
  <c r="T72" i="293" s="1"/>
  <c r="R68" i="299" s="1"/>
  <c r="M100" i="293" a="1"/>
  <c r="M100" i="293" s="1"/>
  <c r="K96" i="299" s="1"/>
  <c r="M84" i="293" a="1"/>
  <c r="M84" i="293" s="1"/>
  <c r="K80" i="299" s="1"/>
  <c r="Q95" i="293" a="1"/>
  <c r="Q95" i="293" s="1"/>
  <c r="O91" i="299" s="1"/>
  <c r="M42" i="293" a="1"/>
  <c r="M42" i="293" s="1"/>
  <c r="K38" i="299" s="1"/>
  <c r="M43" i="293" a="1"/>
  <c r="M43" i="293" s="1"/>
  <c r="K39" i="299" s="1"/>
  <c r="T59" i="293" a="1"/>
  <c r="T59" i="293" s="1"/>
  <c r="R55" i="299" s="1"/>
  <c r="T73" i="293" a="1"/>
  <c r="T73" i="293" s="1"/>
  <c r="R69" i="299" s="1"/>
  <c r="M60" i="293" a="1"/>
  <c r="M60" i="293" s="1"/>
  <c r="K56" i="299" s="1"/>
  <c r="M72" i="293" a="1"/>
  <c r="M72" i="293" s="1"/>
  <c r="K68" i="299" s="1"/>
  <c r="T92" i="293" a="1"/>
  <c r="T92" i="293" s="1"/>
  <c r="R88" i="299" s="1"/>
  <c r="Q101" i="293" a="1"/>
  <c r="Q101" i="293" s="1"/>
  <c r="O97" i="299" s="1"/>
  <c r="M92" i="293" a="1"/>
  <c r="M92" i="293" s="1"/>
  <c r="K88" i="299" s="1"/>
  <c r="M102" i="293" a="1"/>
  <c r="M102" i="293" s="1"/>
  <c r="K98" i="299" s="1"/>
  <c r="T50" i="293" a="1"/>
  <c r="T50" i="293" s="1"/>
  <c r="R46" i="299" s="1"/>
  <c r="M103" i="293" a="1"/>
  <c r="M103" i="293" s="1"/>
  <c r="K99" i="299" s="1"/>
  <c r="T61" i="293" a="1"/>
  <c r="T61" i="293" s="1"/>
  <c r="R57" i="299" s="1"/>
  <c r="T79" i="293" a="1"/>
  <c r="T79" i="293" s="1"/>
  <c r="R75" i="299" s="1"/>
  <c r="T16" i="293" a="1"/>
  <c r="T16" i="293" s="1"/>
  <c r="R12" i="299" s="1"/>
  <c r="M67" i="293" a="1"/>
  <c r="M67" i="293" s="1"/>
  <c r="K63" i="299" s="1"/>
  <c r="M41" i="293" a="1"/>
  <c r="M41" i="293" s="1"/>
  <c r="K37" i="299" s="1"/>
  <c r="T51" i="293" a="1"/>
  <c r="T51" i="293" s="1"/>
  <c r="R47" i="299" s="1"/>
  <c r="M90" i="293" a="1"/>
  <c r="M90" i="293" s="1"/>
  <c r="K86" i="299" s="1"/>
  <c r="T48" i="293" a="1"/>
  <c r="T48" i="293" s="1"/>
  <c r="R44" i="299" s="1"/>
  <c r="M46" i="293" a="1"/>
  <c r="M46" i="293" s="1"/>
  <c r="K42" i="299" s="1"/>
  <c r="M101" i="293" a="1"/>
  <c r="M101" i="293" s="1"/>
  <c r="K97" i="299" s="1"/>
  <c r="M61" i="293" a="1"/>
  <c r="M61" i="293" s="1"/>
  <c r="K57" i="299" s="1"/>
  <c r="Q92" i="293" a="1"/>
  <c r="Q92" i="293" s="1"/>
  <c r="O88" i="299" s="1"/>
  <c r="M73" i="293" a="1"/>
  <c r="M73" i="293" s="1"/>
  <c r="K69" i="299" s="1"/>
  <c r="T101" i="293" a="1"/>
  <c r="T101" i="293" s="1"/>
  <c r="R97" i="299" s="1"/>
  <c r="T63" i="293" a="1"/>
  <c r="T63" i="293" s="1"/>
  <c r="R59" i="299" s="1"/>
  <c r="I98" i="293" a="1"/>
  <c r="I98" i="293" s="1"/>
  <c r="G94" i="299" s="1"/>
  <c r="Q102" i="293" a="1"/>
  <c r="Q102" i="293" s="1"/>
  <c r="O98" i="299" s="1"/>
  <c r="T91" i="293" a="1"/>
  <c r="T91" i="293" s="1"/>
  <c r="R87" i="299" s="1"/>
  <c r="T60" i="293" a="1"/>
  <c r="T60" i="293" s="1"/>
  <c r="R56" i="299" s="1"/>
  <c r="T64" i="293" a="1"/>
  <c r="T64" i="293" s="1"/>
  <c r="R60" i="299" s="1"/>
  <c r="Q100" i="293" a="1"/>
  <c r="Q100" i="293" s="1"/>
  <c r="O96" i="299" s="1"/>
  <c r="M39" i="293" a="1"/>
  <c r="M39" i="293" s="1"/>
  <c r="K35" i="299" s="1"/>
  <c r="M58" i="293" a="1"/>
  <c r="M58" i="293" s="1"/>
  <c r="K54" i="299" s="1"/>
  <c r="M99" i="293" a="1"/>
  <c r="M99" i="293" s="1"/>
  <c r="K95" i="299" s="1"/>
  <c r="T100" i="293" a="1"/>
  <c r="T100" i="293" s="1"/>
  <c r="R96" i="299" s="1"/>
  <c r="I100" i="293" a="1"/>
  <c r="I100" i="293" s="1"/>
  <c r="G96" i="299" s="1"/>
  <c r="M69" i="293" a="1"/>
  <c r="M69" i="293" s="1"/>
  <c r="K65" i="299" s="1"/>
  <c r="M63" i="293" a="1"/>
  <c r="M63" i="293" s="1"/>
  <c r="K59" i="299" s="1"/>
  <c r="I101" i="293" a="1"/>
  <c r="I101" i="293" s="1"/>
  <c r="G97" i="299" s="1"/>
  <c r="I99" i="293" a="1"/>
  <c r="I99" i="293" s="1"/>
  <c r="G95" i="299" s="1"/>
  <c r="T102" i="293" a="1"/>
  <c r="T102" i="293" s="1"/>
  <c r="R98" i="299" s="1"/>
  <c r="T83" i="293" a="1"/>
  <c r="T83" i="293" s="1"/>
  <c r="R79" i="299" s="1"/>
  <c r="M55" i="293" a="1"/>
  <c r="M55" i="293" s="1"/>
  <c r="K51" i="299" s="1"/>
  <c r="M52" i="293" a="1"/>
  <c r="M52" i="293" s="1"/>
  <c r="K48" i="299" s="1"/>
  <c r="Q98" i="293" a="1"/>
  <c r="Q98" i="293" s="1"/>
  <c r="O94" i="299" s="1"/>
  <c r="M50" i="293" a="1"/>
  <c r="M50" i="293" s="1"/>
  <c r="K46" i="299" s="1"/>
  <c r="M20" i="293" a="1"/>
  <c r="M20" i="293" s="1"/>
  <c r="K16" i="299" s="1"/>
  <c r="O86" i="293" a="1"/>
  <c r="O86" i="293" s="1"/>
  <c r="M82" i="299" s="1"/>
  <c r="O70" i="293" a="1"/>
  <c r="O70" i="293" s="1"/>
  <c r="M66" i="299" s="1"/>
  <c r="P89" i="180"/>
  <c r="K89" i="180"/>
  <c r="K70" i="293" a="1"/>
  <c r="K70" i="293" s="1"/>
  <c r="I66" i="299" s="1"/>
  <c r="K86" i="293" a="1"/>
  <c r="K86" i="293" s="1"/>
  <c r="I82" i="299" s="1"/>
  <c r="M7" i="293" a="1"/>
  <c r="M7" i="293" s="1"/>
  <c r="K3" i="299" s="1"/>
  <c r="I10" i="293" a="1"/>
  <c r="I10" i="293" s="1"/>
  <c r="G6" i="299" s="1"/>
  <c r="Q7" i="293" a="1"/>
  <c r="Q7" i="293" s="1"/>
  <c r="O3" i="299" s="1"/>
  <c r="I9" i="293" a="1"/>
  <c r="I9" i="293" s="1"/>
  <c r="G5" i="299" s="1"/>
  <c r="W13" i="293" a="1"/>
  <c r="W13" i="293" s="1"/>
  <c r="U9" i="299" s="1"/>
  <c r="Q11" i="293" a="1"/>
  <c r="Q11" i="293" s="1"/>
  <c r="O7" i="299" s="1"/>
  <c r="W10" i="293" a="1"/>
  <c r="W10" i="293" s="1"/>
  <c r="U6" i="299" s="1"/>
  <c r="W97" i="293" a="1"/>
  <c r="W97" i="293" s="1"/>
  <c r="U93" i="299" s="1"/>
  <c r="Q12" i="293" a="1"/>
  <c r="Q12" i="293" s="1"/>
  <c r="O8" i="299" s="1"/>
  <c r="W11" i="293" a="1"/>
  <c r="W11" i="293" s="1"/>
  <c r="U7" i="299" s="1"/>
  <c r="W9" i="293" a="1"/>
  <c r="W9" i="293" s="1"/>
  <c r="U5" i="299" s="1"/>
  <c r="T13" i="293" a="1"/>
  <c r="T13" i="293" s="1"/>
  <c r="R9" i="299" s="1"/>
  <c r="Q6" i="293" a="1"/>
  <c r="Q6" i="293" s="1"/>
  <c r="O2" i="299" s="1"/>
  <c r="W6" i="293" a="1"/>
  <c r="W6" i="293" s="1"/>
  <c r="U2" i="299" s="1"/>
  <c r="Q97" i="293" a="1"/>
  <c r="Q97" i="293" s="1"/>
  <c r="O93" i="299" s="1"/>
  <c r="M10" i="293" a="1"/>
  <c r="M10" i="293" s="1"/>
  <c r="K6" i="299" s="1"/>
  <c r="Q13" i="293" a="1"/>
  <c r="Q13" i="293" s="1"/>
  <c r="O9" i="299" s="1"/>
  <c r="W12" i="293" a="1"/>
  <c r="W12" i="293" s="1"/>
  <c r="U8" i="299" s="1"/>
  <c r="T12" i="293" a="1"/>
  <c r="T12" i="293" s="1"/>
  <c r="R8" i="299" s="1"/>
  <c r="T11" i="293" a="1"/>
  <c r="T11" i="293" s="1"/>
  <c r="R7" i="299" s="1"/>
  <c r="Q9" i="293" a="1"/>
  <c r="Q9" i="293" s="1"/>
  <c r="O5" i="299" s="1"/>
  <c r="T7" i="293" a="1"/>
  <c r="T7" i="293" s="1"/>
  <c r="R3" i="299" s="1"/>
  <c r="T97" i="293" a="1"/>
  <c r="T97" i="293" s="1"/>
  <c r="R93" i="299" s="1"/>
  <c r="Q10" i="293" a="1"/>
  <c r="Q10" i="293" s="1"/>
  <c r="O6" i="299" s="1"/>
  <c r="M97" i="293" a="1"/>
  <c r="M97" i="293" s="1"/>
  <c r="K93" i="299" s="1"/>
  <c r="T9" i="293" a="1"/>
  <c r="T9" i="293" s="1"/>
  <c r="R5" i="299" s="1"/>
  <c r="T6" i="293" a="1"/>
  <c r="T6" i="293" s="1"/>
  <c r="R2" i="299" s="1"/>
  <c r="T10" i="293" a="1"/>
  <c r="T10" i="293" s="1"/>
  <c r="R6" i="299" s="1"/>
  <c r="I11" i="293" a="1"/>
  <c r="I11" i="293" s="1"/>
  <c r="G7" i="299" s="1"/>
  <c r="M9" i="293" a="1"/>
  <c r="M9" i="293" s="1"/>
  <c r="K5" i="299" s="1"/>
  <c r="M11" i="293" a="1"/>
  <c r="M11" i="293" s="1"/>
  <c r="K7" i="299" s="1"/>
  <c r="I97" i="293" a="1"/>
  <c r="I97" i="293" s="1"/>
  <c r="G93" i="299" s="1"/>
  <c r="J74" i="293" a="1"/>
  <c r="J74" i="293" s="1"/>
  <c r="H70" i="299" s="1"/>
  <c r="J76" i="293" a="1"/>
  <c r="J76" i="293" s="1"/>
  <c r="H72" i="299" s="1"/>
  <c r="J35" i="293" a="1"/>
  <c r="J35" i="293" s="1"/>
  <c r="H31" i="299" s="1"/>
  <c r="J34" i="293" a="1"/>
  <c r="J34" i="293" s="1"/>
  <c r="H30" i="299" s="1"/>
  <c r="J25" i="180"/>
  <c r="J76" i="180"/>
  <c r="J26" i="180"/>
  <c r="J72" i="180"/>
  <c r="L77" i="180"/>
  <c r="L35" i="180"/>
  <c r="J31" i="180"/>
  <c r="J30" i="180"/>
  <c r="J78" i="180"/>
  <c r="N12" i="293" a="1"/>
  <c r="N12" i="293" s="1"/>
  <c r="L8" i="299" s="1"/>
  <c r="Q13" i="180"/>
  <c r="N13" i="293" a="1"/>
  <c r="N13" i="293" s="1"/>
  <c r="L9" i="299" s="1"/>
  <c r="Q14" i="180"/>
  <c r="N14" i="293" a="1"/>
  <c r="N14" i="293" s="1"/>
  <c r="L10" i="299" s="1"/>
  <c r="Q15" i="180"/>
  <c r="J14" i="293" a="1"/>
  <c r="J14" i="293" s="1"/>
  <c r="H10" i="299" s="1"/>
  <c r="L15" i="180"/>
  <c r="J12" i="293" a="1"/>
  <c r="J12" i="293" s="1"/>
  <c r="H8" i="299" s="1"/>
  <c r="L13" i="180"/>
  <c r="J13" i="293" a="1"/>
  <c r="J13" i="293" s="1"/>
  <c r="H9" i="299" s="1"/>
  <c r="L14" i="180"/>
  <c r="V81" i="293" a="1"/>
  <c r="V81" i="293" s="1"/>
  <c r="T77" i="299" s="1"/>
  <c r="V78" i="293" a="1"/>
  <c r="V78" i="293" s="1"/>
  <c r="T74" i="299" s="1"/>
  <c r="V36" i="293" a="1"/>
  <c r="V36" i="293" s="1"/>
  <c r="T32" i="299" s="1"/>
  <c r="V35" i="293" a="1"/>
  <c r="V35" i="293" s="1"/>
  <c r="T31" i="299" s="1"/>
  <c r="V39" i="293" a="1"/>
  <c r="V39" i="293" s="1"/>
  <c r="T35" i="299" s="1"/>
  <c r="V33" i="293" a="1"/>
  <c r="V33" i="293" s="1"/>
  <c r="T29" i="299" s="1"/>
  <c r="V34" i="293" a="1"/>
  <c r="V34" i="293" s="1"/>
  <c r="T30" i="299" s="1"/>
  <c r="V75" i="293" a="1"/>
  <c r="V75" i="293" s="1"/>
  <c r="T71" i="299" s="1"/>
  <c r="V71" i="293" a="1"/>
  <c r="V71" i="293" s="1"/>
  <c r="T67" i="299" s="1"/>
  <c r="V43" i="293" a="1"/>
  <c r="V43" i="293" s="1"/>
  <c r="T39" i="299" s="1"/>
  <c r="V66" i="293" a="1"/>
  <c r="V66" i="293" s="1"/>
  <c r="T62" i="299" s="1"/>
  <c r="V32" i="293" a="1"/>
  <c r="V32" i="293" s="1"/>
  <c r="T28" i="299" s="1"/>
  <c r="V27" i="293" a="1"/>
  <c r="V27" i="293" s="1"/>
  <c r="T23" i="299" s="1"/>
  <c r="V25" i="293" a="1"/>
  <c r="V25" i="293" s="1"/>
  <c r="T21" i="299" s="1"/>
  <c r="V68" i="293" a="1"/>
  <c r="V68" i="293" s="1"/>
  <c r="T64" i="299" s="1"/>
  <c r="V77" i="293" a="1"/>
  <c r="V77" i="293" s="1"/>
  <c r="T73" i="299" s="1"/>
  <c r="V31" i="293" a="1"/>
  <c r="V31" i="293" s="1"/>
  <c r="T27" i="299" s="1"/>
  <c r="V26" i="293" a="1"/>
  <c r="V26" i="293" s="1"/>
  <c r="T22" i="299" s="1"/>
  <c r="V24" i="293" a="1"/>
  <c r="V24" i="293" s="1"/>
  <c r="T20" i="299" s="1"/>
  <c r="V67" i="293" a="1"/>
  <c r="V67" i="293" s="1"/>
  <c r="T63" i="299" s="1"/>
  <c r="V76" i="293" a="1"/>
  <c r="V76" i="293" s="1"/>
  <c r="T72" i="299" s="1"/>
  <c r="V28" i="293" a="1"/>
  <c r="V28" i="293" s="1"/>
  <c r="T24" i="299" s="1"/>
  <c r="V23" i="293" a="1"/>
  <c r="V23" i="293" s="1"/>
  <c r="T19" i="299" s="1"/>
  <c r="V29" i="293" a="1"/>
  <c r="V29" i="293" s="1"/>
  <c r="T25" i="299" s="1"/>
  <c r="V22" i="293" a="1"/>
  <c r="V22" i="293" s="1"/>
  <c r="T18" i="299" s="1"/>
  <c r="V42" i="293" a="1"/>
  <c r="V42" i="293" s="1"/>
  <c r="T38" i="299" s="1"/>
  <c r="V37" i="293" a="1"/>
  <c r="V37" i="293" s="1"/>
  <c r="T33" i="299" s="1"/>
  <c r="V74" i="293" a="1"/>
  <c r="V74" i="293" s="1"/>
  <c r="T70" i="299" s="1"/>
  <c r="V30" i="293" a="1"/>
  <c r="V30" i="293" s="1"/>
  <c r="T26" i="299" s="1"/>
  <c r="V21" i="293" a="1"/>
  <c r="V21" i="293" s="1"/>
  <c r="T17" i="299" s="1"/>
  <c r="S34" i="293" a="1"/>
  <c r="S34" i="293" s="1"/>
  <c r="Q30" i="299" s="1"/>
  <c r="S24" i="293" a="1"/>
  <c r="S24" i="293" s="1"/>
  <c r="Q20" i="299" s="1"/>
  <c r="S68" i="293" a="1"/>
  <c r="S68" i="293" s="1"/>
  <c r="Q64" i="299" s="1"/>
  <c r="S78" i="293" a="1"/>
  <c r="S78" i="293" s="1"/>
  <c r="Q74" i="299" s="1"/>
  <c r="S35" i="293" a="1"/>
  <c r="S35" i="293" s="1"/>
  <c r="Q31" i="299" s="1"/>
  <c r="S25" i="293" a="1"/>
  <c r="S25" i="293" s="1"/>
  <c r="Q21" i="299" s="1"/>
  <c r="S36" i="293" a="1"/>
  <c r="S36" i="293" s="1"/>
  <c r="Q32" i="299" s="1"/>
  <c r="S33" i="293" a="1"/>
  <c r="S33" i="293" s="1"/>
  <c r="Q29" i="299" s="1"/>
  <c r="S43" i="293" a="1"/>
  <c r="S43" i="293" s="1"/>
  <c r="Q39" i="299" s="1"/>
  <c r="S39" i="293" a="1"/>
  <c r="S39" i="293" s="1"/>
  <c r="Q35" i="299" s="1"/>
  <c r="S22" i="293" a="1"/>
  <c r="S22" i="293" s="1"/>
  <c r="Q18" i="299" s="1"/>
  <c r="S77" i="293" a="1"/>
  <c r="S77" i="293" s="1"/>
  <c r="Q73" i="299" s="1"/>
  <c r="S21" i="293" a="1"/>
  <c r="S21" i="293" s="1"/>
  <c r="Q17" i="299" s="1"/>
  <c r="S67" i="293" a="1"/>
  <c r="S67" i="293" s="1"/>
  <c r="Q63" i="299" s="1"/>
  <c r="S30" i="293" a="1"/>
  <c r="S30" i="293" s="1"/>
  <c r="Q26" i="299" s="1"/>
  <c r="S81" i="293" a="1"/>
  <c r="S81" i="293" s="1"/>
  <c r="Q77" i="299" s="1"/>
  <c r="S29" i="293" a="1"/>
  <c r="S29" i="293" s="1"/>
  <c r="Q25" i="299" s="1"/>
  <c r="S27" i="293" a="1"/>
  <c r="S27" i="293" s="1"/>
  <c r="Q23" i="299" s="1"/>
  <c r="S76" i="293" a="1"/>
  <c r="S76" i="293" s="1"/>
  <c r="Q72" i="299" s="1"/>
  <c r="S75" i="293" a="1"/>
  <c r="S75" i="293" s="1"/>
  <c r="Q71" i="299" s="1"/>
  <c r="S26" i="293" a="1"/>
  <c r="S26" i="293" s="1"/>
  <c r="Q22" i="299" s="1"/>
  <c r="S66" i="293" a="1"/>
  <c r="S66" i="293" s="1"/>
  <c r="Q62" i="299" s="1"/>
  <c r="S42" i="293" a="1"/>
  <c r="S42" i="293" s="1"/>
  <c r="Q38" i="299" s="1"/>
  <c r="S74" i="293" a="1"/>
  <c r="S74" i="293" s="1"/>
  <c r="Q70" i="299" s="1"/>
  <c r="S71" i="293" a="1"/>
  <c r="S71" i="293" s="1"/>
  <c r="Q67" i="299" s="1"/>
  <c r="S23" i="293" a="1"/>
  <c r="S23" i="293" s="1"/>
  <c r="Q19" i="299" s="1"/>
  <c r="S37" i="293" a="1"/>
  <c r="S37" i="293" s="1"/>
  <c r="Q33" i="299" s="1"/>
  <c r="P75" i="293" a="1"/>
  <c r="P75" i="293" s="1"/>
  <c r="N71" i="299" s="1"/>
  <c r="P28" i="293" a="1"/>
  <c r="P28" i="293" s="1"/>
  <c r="N24" i="299" s="1"/>
  <c r="P26" i="293" a="1"/>
  <c r="P26" i="293" s="1"/>
  <c r="N22" i="299" s="1"/>
  <c r="P39" i="293" a="1"/>
  <c r="P39" i="293" s="1"/>
  <c r="N35" i="299" s="1"/>
  <c r="P24" i="293" a="1"/>
  <c r="P24" i="293" s="1"/>
  <c r="N20" i="299" s="1"/>
  <c r="P77" i="293" a="1"/>
  <c r="P77" i="293" s="1"/>
  <c r="N73" i="299" s="1"/>
  <c r="P68" i="293" a="1"/>
  <c r="P68" i="293" s="1"/>
  <c r="N64" i="299" s="1"/>
  <c r="P23" i="293" a="1"/>
  <c r="P23" i="293" s="1"/>
  <c r="N19" i="299" s="1"/>
  <c r="P35" i="293" a="1"/>
  <c r="P35" i="293" s="1"/>
  <c r="N31" i="299" s="1"/>
  <c r="P30" i="293" a="1"/>
  <c r="P30" i="293" s="1"/>
  <c r="N26" i="299" s="1"/>
  <c r="P81" i="293" a="1"/>
  <c r="P81" i="293" s="1"/>
  <c r="N77" i="299" s="1"/>
  <c r="P43" i="293" a="1"/>
  <c r="P43" i="293" s="1"/>
  <c r="N39" i="299" s="1"/>
  <c r="P29" i="293" a="1"/>
  <c r="P29" i="293" s="1"/>
  <c r="N25" i="299" s="1"/>
  <c r="P34" i="293" a="1"/>
  <c r="P34" i="293" s="1"/>
  <c r="N30" i="299" s="1"/>
  <c r="P66" i="293" a="1"/>
  <c r="P66" i="293" s="1"/>
  <c r="N62" i="299" s="1"/>
  <c r="P67" i="293" a="1"/>
  <c r="P67" i="293" s="1"/>
  <c r="N63" i="299" s="1"/>
  <c r="P32" i="293" a="1"/>
  <c r="P32" i="293" s="1"/>
  <c r="N28" i="299" s="1"/>
  <c r="P36" i="293" a="1"/>
  <c r="P36" i="293" s="1"/>
  <c r="N32" i="299" s="1"/>
  <c r="P22" i="293" a="1"/>
  <c r="P22" i="293" s="1"/>
  <c r="N18" i="299" s="1"/>
  <c r="P21" i="293" a="1"/>
  <c r="P21" i="293" s="1"/>
  <c r="N17" i="299" s="1"/>
  <c r="P37" i="293" a="1"/>
  <c r="P37" i="293" s="1"/>
  <c r="N33" i="299" s="1"/>
  <c r="P31" i="293" a="1"/>
  <c r="P31" i="293" s="1"/>
  <c r="N27" i="299" s="1"/>
  <c r="P42" i="293" a="1"/>
  <c r="P42" i="293" s="1"/>
  <c r="N38" i="299" s="1"/>
  <c r="P71" i="293" a="1"/>
  <c r="P71" i="293" s="1"/>
  <c r="N67" i="299" s="1"/>
  <c r="P33" i="293" a="1"/>
  <c r="P33" i="293" s="1"/>
  <c r="N29" i="299" s="1"/>
  <c r="P78" i="293" a="1"/>
  <c r="P78" i="293" s="1"/>
  <c r="N74" i="299" s="1"/>
  <c r="P27" i="293" a="1"/>
  <c r="P27" i="293" s="1"/>
  <c r="N23" i="299" s="1"/>
  <c r="P25" i="293" a="1"/>
  <c r="P25" i="293" s="1"/>
  <c r="N21" i="299" s="1"/>
  <c r="P74" i="293" a="1"/>
  <c r="P74" i="293" s="1"/>
  <c r="N70" i="299" s="1"/>
  <c r="P88" i="293" a="1"/>
  <c r="P88" i="293" s="1"/>
  <c r="N84" i="299" s="1"/>
  <c r="L43" i="293" a="1"/>
  <c r="L43" i="293" s="1"/>
  <c r="J39" i="299" s="1"/>
  <c r="L42" i="293" a="1"/>
  <c r="L42" i="293" s="1"/>
  <c r="J38" i="299" s="1"/>
  <c r="L65" i="293" a="1"/>
  <c r="L65" i="293" s="1"/>
  <c r="J61" i="299" s="1"/>
  <c r="L23" i="293" a="1"/>
  <c r="L23" i="293" s="1"/>
  <c r="J19" i="299" s="1"/>
  <c r="L80" i="293" a="1"/>
  <c r="L80" i="293" s="1"/>
  <c r="J76" i="299" s="1"/>
  <c r="L39" i="293" a="1"/>
  <c r="L39" i="293" s="1"/>
  <c r="J35" i="299" s="1"/>
  <c r="L88" i="293" a="1"/>
  <c r="L88" i="293" s="1"/>
  <c r="J84" i="299" s="1"/>
  <c r="L66" i="293" a="1"/>
  <c r="L66" i="293" s="1"/>
  <c r="J62" i="299" s="1"/>
  <c r="L68" i="293" a="1"/>
  <c r="L68" i="293" s="1"/>
  <c r="J64" i="299" s="1"/>
  <c r="L22" i="293" a="1"/>
  <c r="L22" i="293" s="1"/>
  <c r="J18" i="299" s="1"/>
  <c r="L32" i="293" a="1"/>
  <c r="L32" i="293" s="1"/>
  <c r="J28" i="299" s="1"/>
  <c r="L64" i="293" a="1"/>
  <c r="L64" i="293" s="1"/>
  <c r="J60" i="299" s="1"/>
  <c r="L78" i="293" a="1"/>
  <c r="L78" i="293" s="1"/>
  <c r="J74" i="299" s="1"/>
  <c r="L67" i="293" a="1"/>
  <c r="L67" i="293" s="1"/>
  <c r="J63" i="299" s="1"/>
  <c r="L21" i="293" a="1"/>
  <c r="L21" i="293" s="1"/>
  <c r="J17" i="299" s="1"/>
  <c r="L31" i="293" a="1"/>
  <c r="L31" i="293" s="1"/>
  <c r="J27" i="299" s="1"/>
  <c r="L37" i="293" a="1"/>
  <c r="L37" i="293" s="1"/>
  <c r="J33" i="299" s="1"/>
  <c r="L83" i="293" a="1"/>
  <c r="L83" i="293" s="1"/>
  <c r="J79" i="299" s="1"/>
  <c r="L7" i="293" a="1"/>
  <c r="L7" i="293" s="1"/>
  <c r="J3" i="299" s="1"/>
  <c r="L28" i="293" a="1"/>
  <c r="L28" i="293" s="1"/>
  <c r="J24" i="299" s="1"/>
  <c r="L36" i="293" a="1"/>
  <c r="L36" i="293" s="1"/>
  <c r="J32" i="299" s="1"/>
  <c r="L81" i="293" a="1"/>
  <c r="L81" i="293" s="1"/>
  <c r="J77" i="299" s="1"/>
  <c r="L33" i="293" a="1"/>
  <c r="L33" i="293" s="1"/>
  <c r="J29" i="299" s="1"/>
  <c r="AC8" i="180"/>
  <c r="F7" i="293"/>
  <c r="D3" i="299" s="1"/>
  <c r="AC46" i="180"/>
  <c r="F45" i="293"/>
  <c r="D41" i="299" s="1"/>
  <c r="AC48" i="180"/>
  <c r="F47" i="293"/>
  <c r="D43" i="299" s="1"/>
  <c r="AC23" i="180"/>
  <c r="F22" i="293"/>
  <c r="D18" i="299" s="1"/>
  <c r="AC22" i="180"/>
  <c r="F21" i="293"/>
  <c r="D17" i="299" s="1"/>
  <c r="AC45" i="180"/>
  <c r="F44" i="293"/>
  <c r="D40" i="299" s="1"/>
  <c r="AC47" i="180"/>
  <c r="F46" i="293"/>
  <c r="D42" i="299" s="1"/>
  <c r="O18" i="190"/>
  <c r="J88" i="180"/>
  <c r="J73" i="180"/>
  <c r="J74" i="180"/>
  <c r="D20" i="276"/>
  <c r="AB89" i="180"/>
  <c r="Q87" i="180"/>
  <c r="E20" i="276"/>
  <c r="C33" i="219"/>
  <c r="G18" i="190"/>
  <c r="O74" i="180"/>
  <c r="O88" i="180"/>
  <c r="O73" i="180"/>
  <c r="Z24" i="180"/>
  <c r="Q71" i="180"/>
  <c r="Q75" i="180"/>
  <c r="Z25" i="180"/>
  <c r="Z77" i="180"/>
  <c r="Z30" i="180"/>
  <c r="Z43" i="180"/>
  <c r="Z79" i="180"/>
  <c r="Q30" i="180"/>
  <c r="Z38" i="180"/>
  <c r="Z47" i="180"/>
  <c r="Z42" i="180"/>
  <c r="Z44" i="180"/>
  <c r="Z35" i="180"/>
  <c r="Z76" i="180"/>
  <c r="Q37" i="180"/>
  <c r="Z72" i="180"/>
  <c r="Z48" i="180"/>
  <c r="Z27" i="180"/>
  <c r="G25" i="190"/>
  <c r="V31" i="180"/>
  <c r="V28" i="180"/>
  <c r="V32" i="180"/>
  <c r="V27" i="180"/>
  <c r="V22" i="180"/>
  <c r="V26" i="180"/>
  <c r="V24" i="180"/>
  <c r="V25" i="180"/>
  <c r="V30" i="180"/>
  <c r="AB8" i="180"/>
  <c r="V23" i="180"/>
  <c r="V29" i="180"/>
  <c r="L84" i="180"/>
  <c r="AB84" i="180"/>
  <c r="V82" i="180"/>
  <c r="V75" i="180"/>
  <c r="V72" i="180"/>
  <c r="L81" i="180"/>
  <c r="L66" i="180"/>
  <c r="AB66" i="180"/>
  <c r="AB81" i="180"/>
  <c r="V67" i="180"/>
  <c r="V68" i="180"/>
  <c r="V79" i="180"/>
  <c r="V69" i="180"/>
  <c r="V77" i="180"/>
  <c r="V76" i="180"/>
  <c r="V78" i="180"/>
  <c r="L65" i="180"/>
  <c r="AB65" i="180"/>
  <c r="V46" i="180"/>
  <c r="V43" i="180"/>
  <c r="V42" i="180"/>
  <c r="V44" i="180"/>
  <c r="V47" i="180"/>
  <c r="V41" i="180"/>
  <c r="V48" i="180"/>
  <c r="V33" i="180"/>
  <c r="V38" i="180"/>
  <c r="V35" i="180"/>
  <c r="V37" i="180"/>
  <c r="V36" i="180"/>
  <c r="V34" i="180"/>
  <c r="V40" i="180"/>
  <c r="AB40" i="180"/>
  <c r="J35" i="219"/>
  <c r="I26" i="190"/>
  <c r="N26" i="190" s="1"/>
  <c r="E35" i="219"/>
  <c r="I20" i="190"/>
  <c r="N20" i="190" s="1"/>
  <c r="D35" i="219"/>
  <c r="I19" i="190"/>
  <c r="N19" i="190" s="1"/>
  <c r="F35" i="219"/>
  <c r="I21" i="190"/>
  <c r="I22" i="190" s="1"/>
  <c r="C35" i="219"/>
  <c r="I18" i="190"/>
  <c r="G32" i="219"/>
  <c r="E24" i="190"/>
  <c r="L24" i="190" s="1"/>
  <c r="J32" i="219"/>
  <c r="E26" i="190"/>
  <c r="L26" i="190" s="1"/>
  <c r="D32" i="219"/>
  <c r="AM18" i="219" s="1"/>
  <c r="E19" i="190"/>
  <c r="L19" i="190" s="1"/>
  <c r="E32" i="219"/>
  <c r="AN18" i="219" s="1"/>
  <c r="E20" i="190"/>
  <c r="L20" i="190" s="1"/>
  <c r="F32" i="219"/>
  <c r="AO18" i="219" s="1"/>
  <c r="E21" i="190"/>
  <c r="AX24" i="219"/>
  <c r="AX27" i="219"/>
  <c r="AX26" i="219"/>
  <c r="AX19" i="219"/>
  <c r="AX25" i="219"/>
  <c r="AX23" i="219"/>
  <c r="AX22" i="219"/>
  <c r="AX21" i="219"/>
  <c r="AV27" i="219"/>
  <c r="AV20" i="219"/>
  <c r="AV21" i="219"/>
  <c r="AV22" i="219"/>
  <c r="AV23" i="219"/>
  <c r="AV24" i="219"/>
  <c r="AV26" i="219"/>
  <c r="AV25" i="219"/>
  <c r="AW26" i="219"/>
  <c r="AW27" i="219"/>
  <c r="AW20" i="219"/>
  <c r="AW21" i="219"/>
  <c r="AW25" i="219"/>
  <c r="AW22" i="219"/>
  <c r="AW23" i="219"/>
  <c r="AW24" i="219"/>
  <c r="BC20" i="219"/>
  <c r="BC21" i="219"/>
  <c r="BC22" i="219"/>
  <c r="BC23" i="219"/>
  <c r="BC27" i="219"/>
  <c r="BC24" i="219"/>
  <c r="BC25" i="219"/>
  <c r="BC26" i="219"/>
  <c r="AY24" i="219"/>
  <c r="AY25" i="219"/>
  <c r="AY26" i="219"/>
  <c r="AY27" i="219"/>
  <c r="AY23" i="219"/>
  <c r="AY20" i="219"/>
  <c r="AY21" i="219"/>
  <c r="AY22" i="219"/>
  <c r="AW19" i="219"/>
  <c r="BC19" i="219"/>
  <c r="AV19" i="219"/>
  <c r="AY19" i="219"/>
  <c r="K33" i="219"/>
  <c r="BB18" i="219" s="1"/>
  <c r="F34" i="219"/>
  <c r="BG18" i="219" s="1"/>
  <c r="E34" i="219"/>
  <c r="BF18" i="219" s="1"/>
  <c r="J34" i="219"/>
  <c r="BL18" i="219" s="1"/>
  <c r="AB32" i="180"/>
  <c r="AB29" i="180"/>
  <c r="AB23" i="180"/>
  <c r="AB33" i="180"/>
  <c r="AB44" i="180"/>
  <c r="AB24" i="180"/>
  <c r="AB82" i="180"/>
  <c r="AB22" i="180"/>
  <c r="AB38" i="180"/>
  <c r="AB37" i="180"/>
  <c r="AB34" i="180"/>
  <c r="AB79" i="180"/>
  <c r="AB67" i="180"/>
  <c r="AB69" i="180"/>
  <c r="AB68" i="180"/>
  <c r="AB28" i="180"/>
  <c r="AB43" i="180"/>
  <c r="BO20" i="219"/>
  <c r="G20" i="219" s="1"/>
  <c r="Q26" i="180"/>
  <c r="M26" i="190"/>
  <c r="O21" i="190"/>
  <c r="J22" i="190"/>
  <c r="M21" i="190"/>
  <c r="L78" i="180"/>
  <c r="L23" i="180"/>
  <c r="L30" i="180"/>
  <c r="L22" i="180"/>
  <c r="L25" i="180"/>
  <c r="L8" i="180"/>
  <c r="L26" i="180"/>
  <c r="L38" i="180"/>
  <c r="Q77" i="180"/>
  <c r="Q34" i="180"/>
  <c r="Z26" i="180"/>
  <c r="Z33" i="180"/>
  <c r="L76" i="180"/>
  <c r="L31" i="180"/>
  <c r="Z68" i="180"/>
  <c r="Z31" i="180"/>
  <c r="Z41" i="180"/>
  <c r="Q72" i="180"/>
  <c r="L27" i="180"/>
  <c r="L24" i="180"/>
  <c r="Z34" i="180"/>
  <c r="Q27" i="180"/>
  <c r="Z82" i="180"/>
  <c r="Q78" i="180"/>
  <c r="Q28" i="180"/>
  <c r="Q25" i="180"/>
  <c r="Z36" i="180"/>
  <c r="Z40" i="180"/>
  <c r="Q36" i="180"/>
  <c r="Z23" i="180"/>
  <c r="Z67" i="180"/>
  <c r="L32" i="180"/>
  <c r="Z78" i="180"/>
  <c r="Q23" i="180"/>
  <c r="Z75" i="180"/>
  <c r="Q35" i="180"/>
  <c r="Q31" i="180"/>
  <c r="Z69" i="180"/>
  <c r="Z29" i="180"/>
  <c r="Z28" i="180"/>
  <c r="Q38" i="180"/>
  <c r="L34" i="180"/>
  <c r="Z46" i="180"/>
  <c r="Q76" i="180"/>
  <c r="Q33" i="180"/>
  <c r="L29" i="180"/>
  <c r="Q24" i="180"/>
  <c r="Z22" i="180"/>
  <c r="Z37" i="180"/>
  <c r="Z32" i="180"/>
  <c r="Q29" i="180"/>
  <c r="Q32" i="180"/>
  <c r="L33" i="180"/>
  <c r="L28" i="180"/>
  <c r="Q22" i="180"/>
  <c r="L72" i="180"/>
  <c r="L37" i="180"/>
  <c r="J35" i="180"/>
  <c r="J36" i="180"/>
  <c r="J75" i="180"/>
  <c r="J77" i="180"/>
  <c r="AQ27" i="219"/>
  <c r="AQ25" i="219"/>
  <c r="AQ24" i="219"/>
  <c r="AQ26" i="219"/>
  <c r="AQ20" i="219"/>
  <c r="AQ23" i="219"/>
  <c r="AQ22" i="219"/>
  <c r="AQ21" i="219"/>
  <c r="AQ19" i="219"/>
  <c r="R36" i="28"/>
  <c r="J87" i="180" a="1"/>
  <c r="O87" i="180" a="1"/>
  <c r="J71" i="180" a="1"/>
  <c r="O71" i="180" a="1"/>
  <c r="S28" i="293" l="1" a="1"/>
  <c r="S28" i="293" s="1"/>
  <c r="Q24" i="299" s="1"/>
  <c r="S32" i="293" a="1"/>
  <c r="S32" i="293" s="1"/>
  <c r="Q28" i="299" s="1"/>
  <c r="U32" i="180"/>
  <c r="L27" i="293" a="1"/>
  <c r="L27" i="293" s="1"/>
  <c r="J23" i="299" s="1"/>
  <c r="S31" i="293" a="1"/>
  <c r="S31" i="293" s="1"/>
  <c r="Q27" i="299" s="1"/>
  <c r="K28" i="180"/>
  <c r="L75" i="293" a="1"/>
  <c r="L75" i="293" s="1"/>
  <c r="J71" i="299" s="1"/>
  <c r="K27" i="180"/>
  <c r="I31" i="190"/>
  <c r="N31" i="190" s="1"/>
  <c r="AB25" i="180"/>
  <c r="U29" i="180"/>
  <c r="L29" i="293" a="1"/>
  <c r="L29" i="293" s="1"/>
  <c r="J25" i="299" s="1"/>
  <c r="P77" i="180"/>
  <c r="AB31" i="180"/>
  <c r="I7" i="293" a="1"/>
  <c r="I7" i="293" s="1"/>
  <c r="G3" i="299" s="1"/>
  <c r="E18" i="190"/>
  <c r="L18" i="190" s="1"/>
  <c r="AB72" i="180"/>
  <c r="K24" i="180"/>
  <c r="L25" i="293" a="1"/>
  <c r="L25" i="293" s="1"/>
  <c r="J21" i="299" s="1"/>
  <c r="P75" i="180"/>
  <c r="L71" i="293" a="1"/>
  <c r="L71" i="293" s="1"/>
  <c r="J67" i="299" s="1"/>
  <c r="P76" i="293" a="1"/>
  <c r="P76" i="293" s="1"/>
  <c r="N72" i="299" s="1"/>
  <c r="L26" i="293" a="1"/>
  <c r="L26" i="293" s="1"/>
  <c r="J22" i="299" s="1"/>
  <c r="AB27" i="180"/>
  <c r="W26" i="293" s="1" a="1"/>
  <c r="W26" i="293" s="1"/>
  <c r="U22" i="299" s="1"/>
  <c r="L30" i="293" a="1"/>
  <c r="L30" i="293" s="1"/>
  <c r="J26" i="299" s="1"/>
  <c r="F20" i="190"/>
  <c r="M20" i="190" s="1"/>
  <c r="F25" i="190"/>
  <c r="M25" i="190" s="1"/>
  <c r="AT22" i="219"/>
  <c r="AT18" i="219"/>
  <c r="AU26" i="219"/>
  <c r="AU18" i="219"/>
  <c r="L24" i="293" a="1"/>
  <c r="L24" i="293" s="1"/>
  <c r="J20" i="299" s="1"/>
  <c r="K36" i="219"/>
  <c r="AB26" i="180"/>
  <c r="E22" i="190"/>
  <c r="L22" i="190" s="1"/>
  <c r="L21" i="190"/>
  <c r="AB30" i="180"/>
  <c r="W29" i="293" s="1" a="1"/>
  <c r="W29" i="293" s="1"/>
  <c r="U25" i="299" s="1"/>
  <c r="AB76" i="180"/>
  <c r="X46" i="293"/>
  <c r="V42" i="299" s="1"/>
  <c r="X44" i="293"/>
  <c r="V40" i="299" s="1"/>
  <c r="X21" i="293"/>
  <c r="V17" i="299" s="1"/>
  <c r="X22" i="293"/>
  <c r="V18" i="299" s="1"/>
  <c r="X47" i="293"/>
  <c r="V43" i="299" s="1"/>
  <c r="X45" i="293"/>
  <c r="V41" i="299" s="1"/>
  <c r="X7" i="293"/>
  <c r="V3" i="299" s="1"/>
  <c r="K77" i="180"/>
  <c r="K75" i="180"/>
  <c r="K36" i="180"/>
  <c r="K35" i="180"/>
  <c r="I36" i="293" a="1"/>
  <c r="I36" i="293" s="1"/>
  <c r="G32" i="299" s="1"/>
  <c r="I71" i="293" a="1"/>
  <c r="I71" i="293" s="1"/>
  <c r="G67" i="299" s="1"/>
  <c r="M21" i="293" a="1"/>
  <c r="M21" i="293" s="1"/>
  <c r="K17" i="299" s="1"/>
  <c r="I27" i="293" a="1"/>
  <c r="I27" i="293" s="1"/>
  <c r="G23" i="299" s="1"/>
  <c r="I32" i="293" a="1"/>
  <c r="I32" i="293" s="1"/>
  <c r="G28" i="299" s="1"/>
  <c r="M31" i="293" a="1"/>
  <c r="M31" i="293" s="1"/>
  <c r="K27" i="299" s="1"/>
  <c r="M28" i="293" a="1"/>
  <c r="M28" i="293" s="1"/>
  <c r="K24" i="299" s="1"/>
  <c r="T31" i="293" a="1"/>
  <c r="T31" i="293" s="1"/>
  <c r="R27" i="299" s="1"/>
  <c r="T36" i="293" a="1"/>
  <c r="T36" i="293" s="1"/>
  <c r="R32" i="299" s="1"/>
  <c r="T21" i="293" a="1"/>
  <c r="T21" i="293" s="1"/>
  <c r="R17" i="299" s="1"/>
  <c r="M23" i="293" a="1"/>
  <c r="M23" i="293" s="1"/>
  <c r="K19" i="299" s="1"/>
  <c r="I28" i="293" a="1"/>
  <c r="I28" i="293" s="1"/>
  <c r="G24" i="299" s="1"/>
  <c r="M32" i="293" a="1"/>
  <c r="M32" i="293" s="1"/>
  <c r="K28" i="299" s="1"/>
  <c r="M75" i="293" a="1"/>
  <c r="M75" i="293" s="1"/>
  <c r="K71" i="299" s="1"/>
  <c r="T45" i="293" a="1"/>
  <c r="T45" i="293" s="1"/>
  <c r="R41" i="299" s="1"/>
  <c r="I33" i="293" a="1"/>
  <c r="I33" i="293" s="1"/>
  <c r="G29" i="299" s="1"/>
  <c r="M37" i="293" a="1"/>
  <c r="M37" i="293" s="1"/>
  <c r="K33" i="299" s="1"/>
  <c r="T27" i="293" a="1"/>
  <c r="T27" i="293" s="1"/>
  <c r="R23" i="299" s="1"/>
  <c r="T28" i="293" a="1"/>
  <c r="T28" i="293" s="1"/>
  <c r="R24" i="299" s="1"/>
  <c r="T68" i="293" a="1"/>
  <c r="T68" i="293" s="1"/>
  <c r="R64" i="299" s="1"/>
  <c r="M30" i="293" a="1"/>
  <c r="M30" i="293" s="1"/>
  <c r="K26" i="299" s="1"/>
  <c r="M34" i="293" a="1"/>
  <c r="M34" i="293" s="1"/>
  <c r="K30" i="299" s="1"/>
  <c r="T74" i="293" a="1"/>
  <c r="T74" i="293" s="1"/>
  <c r="R70" i="299" s="1"/>
  <c r="M22" i="293" a="1"/>
  <c r="M22" i="293" s="1"/>
  <c r="K18" i="299" s="1"/>
  <c r="T77" i="293" a="1"/>
  <c r="T77" i="293" s="1"/>
  <c r="R73" i="299" s="1"/>
  <c r="I31" i="293" a="1"/>
  <c r="I31" i="293" s="1"/>
  <c r="G27" i="299" s="1"/>
  <c r="T66" i="293" a="1"/>
  <c r="T66" i="293" s="1"/>
  <c r="R62" i="299" s="1"/>
  <c r="T22" i="293" a="1"/>
  <c r="T22" i="293" s="1"/>
  <c r="R18" i="299" s="1"/>
  <c r="M35" i="293" a="1"/>
  <c r="M35" i="293" s="1"/>
  <c r="K31" i="299" s="1"/>
  <c r="T39" i="293" a="1"/>
  <c r="T39" i="293" s="1"/>
  <c r="R35" i="299" s="1"/>
  <c r="T35" i="293" a="1"/>
  <c r="T35" i="293" s="1"/>
  <c r="R31" i="299" s="1"/>
  <c r="M24" i="293" a="1"/>
  <c r="M24" i="293" s="1"/>
  <c r="K20" i="299" s="1"/>
  <c r="M27" i="293" a="1"/>
  <c r="M27" i="293" s="1"/>
  <c r="K23" i="299" s="1"/>
  <c r="M77" i="293" a="1"/>
  <c r="M77" i="293" s="1"/>
  <c r="K73" i="299" s="1"/>
  <c r="T81" i="293" a="1"/>
  <c r="T81" i="293" s="1"/>
  <c r="R77" i="299" s="1"/>
  <c r="M26" i="293" a="1"/>
  <c r="M26" i="293" s="1"/>
  <c r="K22" i="299" s="1"/>
  <c r="T33" i="293" a="1"/>
  <c r="T33" i="293" s="1"/>
  <c r="R29" i="299" s="1"/>
  <c r="I23" i="293" a="1"/>
  <c r="I23" i="293" s="1"/>
  <c r="G19" i="299" s="1"/>
  <c r="I26" i="293" a="1"/>
  <c r="I26" i="293" s="1"/>
  <c r="G22" i="299" s="1"/>
  <c r="M71" i="293" a="1"/>
  <c r="M71" i="293" s="1"/>
  <c r="K67" i="299" s="1"/>
  <c r="T40" i="293" a="1"/>
  <c r="T40" i="293" s="1"/>
  <c r="R36" i="299" s="1"/>
  <c r="T30" i="293" a="1"/>
  <c r="T30" i="293" s="1"/>
  <c r="R26" i="299" s="1"/>
  <c r="T67" i="293" a="1"/>
  <c r="T67" i="293" s="1"/>
  <c r="R63" i="299" s="1"/>
  <c r="I30" i="293" a="1"/>
  <c r="I30" i="293" s="1"/>
  <c r="G26" i="299" s="1"/>
  <c r="I75" i="293" a="1"/>
  <c r="I75" i="293" s="1"/>
  <c r="G71" i="299" s="1"/>
  <c r="T32" i="293" a="1"/>
  <c r="T32" i="293" s="1"/>
  <c r="R28" i="299" s="1"/>
  <c r="T25" i="293" a="1"/>
  <c r="T25" i="293" s="1"/>
  <c r="R21" i="299" s="1"/>
  <c r="M33" i="293" a="1"/>
  <c r="M33" i="293" s="1"/>
  <c r="K29" i="299" s="1"/>
  <c r="M76" i="293" a="1"/>
  <c r="M76" i="293" s="1"/>
  <c r="K72" i="299" s="1"/>
  <c r="I37" i="293" a="1"/>
  <c r="I37" i="293" s="1"/>
  <c r="G33" i="299" s="1"/>
  <c r="I25" i="293" a="1"/>
  <c r="I25" i="293" s="1"/>
  <c r="G21" i="299" s="1"/>
  <c r="I24" i="293" a="1"/>
  <c r="I24" i="293" s="1"/>
  <c r="G20" i="299" s="1"/>
  <c r="I21" i="293" a="1"/>
  <c r="I21" i="293" s="1"/>
  <c r="G17" i="299" s="1"/>
  <c r="I29" i="293" a="1"/>
  <c r="I29" i="293" s="1"/>
  <c r="G25" i="299" s="1"/>
  <c r="I22" i="293" a="1"/>
  <c r="I22" i="293" s="1"/>
  <c r="G18" i="299" s="1"/>
  <c r="I77" i="293" a="1"/>
  <c r="I77" i="293" s="1"/>
  <c r="G73" i="299" s="1"/>
  <c r="M25" i="293" a="1"/>
  <c r="M25" i="293" s="1"/>
  <c r="K21" i="299" s="1"/>
  <c r="W42" i="293" a="1"/>
  <c r="W42" i="293" s="1"/>
  <c r="U38" i="299" s="1"/>
  <c r="W27" i="293" a="1"/>
  <c r="W27" i="293" s="1"/>
  <c r="U23" i="299" s="1"/>
  <c r="W67" i="293" a="1"/>
  <c r="W67" i="293" s="1"/>
  <c r="U63" i="299" s="1"/>
  <c r="W68" i="293" a="1"/>
  <c r="W68" i="293" s="1"/>
  <c r="U64" i="299" s="1"/>
  <c r="W66" i="293" a="1"/>
  <c r="W66" i="293" s="1"/>
  <c r="U62" i="299" s="1"/>
  <c r="W78" i="293" a="1"/>
  <c r="W78" i="293" s="1"/>
  <c r="U74" i="299" s="1"/>
  <c r="W33" i="293" a="1"/>
  <c r="W33" i="293" s="1"/>
  <c r="U29" i="299" s="1"/>
  <c r="W36" i="293" a="1"/>
  <c r="W36" i="293" s="1"/>
  <c r="U32" i="299" s="1"/>
  <c r="W37" i="293" a="1"/>
  <c r="W37" i="293" s="1"/>
  <c r="U33" i="299" s="1"/>
  <c r="W21" i="293" a="1"/>
  <c r="W21" i="293" s="1"/>
  <c r="U17" i="299" s="1"/>
  <c r="W30" i="293" a="1"/>
  <c r="W30" i="293" s="1"/>
  <c r="U26" i="299" s="1"/>
  <c r="W81" i="293" a="1"/>
  <c r="W81" i="293" s="1"/>
  <c r="U77" i="299" s="1"/>
  <c r="W23" i="293" a="1"/>
  <c r="W23" i="293" s="1"/>
  <c r="U19" i="299" s="1"/>
  <c r="W71" i="293" a="1"/>
  <c r="W71" i="293" s="1"/>
  <c r="U67" i="299" s="1"/>
  <c r="W43" i="293" a="1"/>
  <c r="W43" i="293" s="1"/>
  <c r="U39" i="299" s="1"/>
  <c r="W32" i="293" a="1"/>
  <c r="W32" i="293" s="1"/>
  <c r="U28" i="299" s="1"/>
  <c r="W22" i="293" a="1"/>
  <c r="W22" i="293" s="1"/>
  <c r="U18" i="299" s="1"/>
  <c r="W28" i="293" a="1"/>
  <c r="W28" i="293" s="1"/>
  <c r="U24" i="299" s="1"/>
  <c r="W31" i="293" a="1"/>
  <c r="W31" i="293" s="1"/>
  <c r="U27" i="299" s="1"/>
  <c r="W39" i="293" a="1"/>
  <c r="W39" i="293" s="1"/>
  <c r="U35" i="299" s="1"/>
  <c r="Q39" i="293" a="1"/>
  <c r="Q39" i="293" s="1"/>
  <c r="O35" i="299" s="1"/>
  <c r="Q33" i="293" a="1"/>
  <c r="Q33" i="293" s="1"/>
  <c r="O29" i="299" s="1"/>
  <c r="Q35" i="293" a="1"/>
  <c r="Q35" i="293" s="1"/>
  <c r="O31" i="299" s="1"/>
  <c r="Q36" i="293" a="1"/>
  <c r="Q36" i="293" s="1"/>
  <c r="O32" i="299" s="1"/>
  <c r="Q34" i="293" a="1"/>
  <c r="Q34" i="293" s="1"/>
  <c r="O30" i="299" s="1"/>
  <c r="Q37" i="293" a="1"/>
  <c r="Q37" i="293" s="1"/>
  <c r="O33" i="299" s="1"/>
  <c r="Q32" i="293" a="1"/>
  <c r="Q32" i="293" s="1"/>
  <c r="O28" i="299" s="1"/>
  <c r="Q47" i="293" a="1"/>
  <c r="Q47" i="293" s="1"/>
  <c r="O43" i="299" s="1"/>
  <c r="Q40" i="293" a="1"/>
  <c r="Q40" i="293" s="1"/>
  <c r="O36" i="299" s="1"/>
  <c r="Q46" i="293" a="1"/>
  <c r="Q46" i="293" s="1"/>
  <c r="O42" i="299" s="1"/>
  <c r="Q43" i="293" a="1"/>
  <c r="Q43" i="293" s="1"/>
  <c r="O39" i="299" s="1"/>
  <c r="Q41" i="293" a="1"/>
  <c r="Q41" i="293" s="1"/>
  <c r="O37" i="299" s="1"/>
  <c r="Q42" i="293" a="1"/>
  <c r="Q42" i="293" s="1"/>
  <c r="O38" i="299" s="1"/>
  <c r="Q45" i="293" a="1"/>
  <c r="Q45" i="293" s="1"/>
  <c r="O41" i="299" s="1"/>
  <c r="W64" i="293" a="1"/>
  <c r="W64" i="293" s="1"/>
  <c r="U60" i="299" s="1"/>
  <c r="I64" i="293" a="1"/>
  <c r="I64" i="293" s="1"/>
  <c r="G60" i="299" s="1"/>
  <c r="Q77" i="293" a="1"/>
  <c r="Q77" i="293" s="1"/>
  <c r="O73" i="299" s="1"/>
  <c r="Q75" i="293" a="1"/>
  <c r="Q75" i="293" s="1"/>
  <c r="O71" i="299" s="1"/>
  <c r="Q76" i="293" a="1"/>
  <c r="Q76" i="293" s="1"/>
  <c r="O72" i="299" s="1"/>
  <c r="Q68" i="293" a="1"/>
  <c r="Q68" i="293" s="1"/>
  <c r="O64" i="299" s="1"/>
  <c r="Q78" i="293" a="1"/>
  <c r="Q78" i="293" s="1"/>
  <c r="O74" i="299" s="1"/>
  <c r="Q67" i="293" a="1"/>
  <c r="Q67" i="293" s="1"/>
  <c r="O63" i="299" s="1"/>
  <c r="Q66" i="293" a="1"/>
  <c r="Q66" i="293" s="1"/>
  <c r="O62" i="299" s="1"/>
  <c r="W80" i="293" a="1"/>
  <c r="W80" i="293" s="1"/>
  <c r="U76" i="299" s="1"/>
  <c r="W65" i="293" a="1"/>
  <c r="W65" i="293" s="1"/>
  <c r="U61" i="299" s="1"/>
  <c r="I65" i="293" a="1"/>
  <c r="I65" i="293" s="1"/>
  <c r="G61" i="299" s="1"/>
  <c r="I80" i="293" a="1"/>
  <c r="I80" i="293" s="1"/>
  <c r="G76" i="299" s="1"/>
  <c r="Q71" i="293" a="1"/>
  <c r="Q71" i="293" s="1"/>
  <c r="O67" i="299" s="1"/>
  <c r="Q74" i="293" a="1"/>
  <c r="Q74" i="293" s="1"/>
  <c r="O70" i="299" s="1"/>
  <c r="Q81" i="293" a="1"/>
  <c r="Q81" i="293" s="1"/>
  <c r="O77" i="299" s="1"/>
  <c r="W83" i="293" a="1"/>
  <c r="W83" i="293" s="1"/>
  <c r="U79" i="299" s="1"/>
  <c r="I83" i="293" a="1"/>
  <c r="I83" i="293" s="1"/>
  <c r="G79" i="299" s="1"/>
  <c r="Q28" i="293" a="1"/>
  <c r="Q28" i="293" s="1"/>
  <c r="O24" i="299" s="1"/>
  <c r="Q22" i="293" a="1"/>
  <c r="Q22" i="293" s="1"/>
  <c r="O18" i="299" s="1"/>
  <c r="W7" i="293" a="1"/>
  <c r="W7" i="293" s="1"/>
  <c r="U3" i="299" s="1"/>
  <c r="Q29" i="293" a="1"/>
  <c r="Q29" i="293" s="1"/>
  <c r="O25" i="299" s="1"/>
  <c r="Q24" i="293" a="1"/>
  <c r="Q24" i="293" s="1"/>
  <c r="O20" i="299" s="1"/>
  <c r="Q23" i="293" a="1"/>
  <c r="Q23" i="293" s="1"/>
  <c r="O19" i="299" s="1"/>
  <c r="Q25" i="293" a="1"/>
  <c r="Q25" i="293" s="1"/>
  <c r="O21" i="299" s="1"/>
  <c r="Q21" i="293" a="1"/>
  <c r="Q21" i="293" s="1"/>
  <c r="O17" i="299" s="1"/>
  <c r="Q26" i="293" a="1"/>
  <c r="Q26" i="293" s="1"/>
  <c r="O22" i="299" s="1"/>
  <c r="Q31" i="293" a="1"/>
  <c r="Q31" i="293" s="1"/>
  <c r="O27" i="299" s="1"/>
  <c r="Q27" i="293" a="1"/>
  <c r="Q27" i="293" s="1"/>
  <c r="O23" i="299" s="1"/>
  <c r="Q30" i="293" a="1"/>
  <c r="Q30" i="293" s="1"/>
  <c r="O26" i="299" s="1"/>
  <c r="T26" i="293" a="1"/>
  <c r="T26" i="293" s="1"/>
  <c r="R22" i="299" s="1"/>
  <c r="T47" i="293" a="1"/>
  <c r="T47" i="293" s="1"/>
  <c r="R43" i="299" s="1"/>
  <c r="T71" i="293" a="1"/>
  <c r="T71" i="293" s="1"/>
  <c r="R67" i="299" s="1"/>
  <c r="M36" i="293" a="1"/>
  <c r="M36" i="293" s="1"/>
  <c r="K32" i="299" s="1"/>
  <c r="T75" i="293" a="1"/>
  <c r="T75" i="293" s="1"/>
  <c r="R71" i="299" s="1"/>
  <c r="T34" i="293" a="1"/>
  <c r="T34" i="293" s="1"/>
  <c r="R30" i="299" s="1"/>
  <c r="T43" i="293" a="1"/>
  <c r="T43" i="293" s="1"/>
  <c r="R39" i="299" s="1"/>
  <c r="T41" i="293" a="1"/>
  <c r="T41" i="293" s="1"/>
  <c r="R37" i="299" s="1"/>
  <c r="T46" i="293" a="1"/>
  <c r="T46" i="293" s="1"/>
  <c r="R42" i="299" s="1"/>
  <c r="T37" i="293" a="1"/>
  <c r="T37" i="293" s="1"/>
  <c r="R33" i="299" s="1"/>
  <c r="M29" i="293" a="1"/>
  <c r="M29" i="293" s="1"/>
  <c r="K25" i="299" s="1"/>
  <c r="T78" i="293" a="1"/>
  <c r="T78" i="293" s="1"/>
  <c r="R74" i="299" s="1"/>
  <c r="T42" i="293" a="1"/>
  <c r="T42" i="293" s="1"/>
  <c r="R38" i="299" s="1"/>
  <c r="T29" i="293" a="1"/>
  <c r="T29" i="293" s="1"/>
  <c r="R25" i="299" s="1"/>
  <c r="T76" i="293" a="1"/>
  <c r="T76" i="293" s="1"/>
  <c r="R72" i="299" s="1"/>
  <c r="T24" i="293" a="1"/>
  <c r="T24" i="293" s="1"/>
  <c r="R20" i="299" s="1"/>
  <c r="M74" i="293" a="1"/>
  <c r="M74" i="293" s="1"/>
  <c r="K70" i="299" s="1"/>
  <c r="M70" i="293" a="1"/>
  <c r="M70" i="293" s="1"/>
  <c r="K66" i="299" s="1"/>
  <c r="T23" i="293" a="1"/>
  <c r="T23" i="293" s="1"/>
  <c r="R19" i="299" s="1"/>
  <c r="P73" i="180"/>
  <c r="P88" i="180"/>
  <c r="P74" i="180"/>
  <c r="M86" i="293" a="1"/>
  <c r="M86" i="293" s="1"/>
  <c r="K82" i="299" s="1"/>
  <c r="W88" i="293" a="1"/>
  <c r="W88" i="293" s="1"/>
  <c r="U84" i="299" s="1"/>
  <c r="K74" i="180"/>
  <c r="K73" i="180"/>
  <c r="K88" i="180"/>
  <c r="I13" i="293" a="1"/>
  <c r="I13" i="293" s="1"/>
  <c r="G9" i="299" s="1"/>
  <c r="I12" i="293" a="1"/>
  <c r="I12" i="293" s="1"/>
  <c r="G8" i="299" s="1"/>
  <c r="I14" i="293" a="1"/>
  <c r="I14" i="293" s="1"/>
  <c r="G10" i="299" s="1"/>
  <c r="M14" i="293" a="1"/>
  <c r="M14" i="293" s="1"/>
  <c r="K10" i="299" s="1"/>
  <c r="M13" i="293" a="1"/>
  <c r="M13" i="293" s="1"/>
  <c r="K9" i="299" s="1"/>
  <c r="M12" i="293" a="1"/>
  <c r="M12" i="293" s="1"/>
  <c r="K8" i="299" s="1"/>
  <c r="K78" i="180"/>
  <c r="K30" i="180"/>
  <c r="K31" i="180"/>
  <c r="I34" i="293" a="1"/>
  <c r="I34" i="293" s="1"/>
  <c r="G30" i="299" s="1"/>
  <c r="I76" i="293" a="1"/>
  <c r="I76" i="293" s="1"/>
  <c r="G72" i="299" s="1"/>
  <c r="K72" i="180"/>
  <c r="K26" i="180"/>
  <c r="K76" i="180"/>
  <c r="K25" i="180"/>
  <c r="L77" i="293" a="1"/>
  <c r="L77" i="293" s="1"/>
  <c r="J73" i="299" s="1"/>
  <c r="AB78" i="180"/>
  <c r="D34" i="219"/>
  <c r="L74" i="293" a="1"/>
  <c r="L74" i="293" s="1"/>
  <c r="J70" i="299" s="1"/>
  <c r="L35" i="293" a="1"/>
  <c r="L35" i="293" s="1"/>
  <c r="J31" i="299" s="1"/>
  <c r="L76" i="293" a="1"/>
  <c r="L76" i="293" s="1"/>
  <c r="J72" i="299" s="1"/>
  <c r="L34" i="293" a="1"/>
  <c r="L34" i="293" s="1"/>
  <c r="J30" i="299" s="1"/>
  <c r="L73" i="293" a="1"/>
  <c r="L73" i="293" s="1"/>
  <c r="J69" i="299" s="1"/>
  <c r="L72" i="293" a="1"/>
  <c r="L72" i="293" s="1"/>
  <c r="J68" i="299" s="1"/>
  <c r="N18" i="190"/>
  <c r="L87" i="293" a="1"/>
  <c r="L87" i="293" s="1"/>
  <c r="J83" i="299" s="1"/>
  <c r="AB88" i="180"/>
  <c r="C32" i="219"/>
  <c r="AU24" i="219"/>
  <c r="AU27" i="219"/>
  <c r="AU25" i="219"/>
  <c r="AU19" i="219"/>
  <c r="AU22" i="219"/>
  <c r="J71" i="180"/>
  <c r="J87" i="180"/>
  <c r="AU23" i="219"/>
  <c r="AU21" i="219"/>
  <c r="AU20" i="219"/>
  <c r="O87" i="180"/>
  <c r="O71" i="180"/>
  <c r="P72" i="293" a="1"/>
  <c r="P72" i="293" s="1"/>
  <c r="N68" i="299" s="1"/>
  <c r="AB73" i="180"/>
  <c r="P87" i="293" a="1"/>
  <c r="P87" i="293" s="1"/>
  <c r="N83" i="299" s="1"/>
  <c r="P73" i="293" a="1"/>
  <c r="P73" i="293" s="1"/>
  <c r="N69" i="299" s="1"/>
  <c r="AB74" i="180"/>
  <c r="L20" i="219"/>
  <c r="I24" i="190"/>
  <c r="AB75" i="180"/>
  <c r="AB77" i="180"/>
  <c r="AB36" i="180"/>
  <c r="AB35" i="180"/>
  <c r="K35" i="219"/>
  <c r="I25" i="190"/>
  <c r="N25" i="190" s="1"/>
  <c r="N21" i="190"/>
  <c r="K32" i="219"/>
  <c r="AS18" i="219" s="1"/>
  <c r="E25" i="190"/>
  <c r="L25" i="190" s="1"/>
  <c r="BB21" i="219"/>
  <c r="BB22" i="219"/>
  <c r="BB23" i="219"/>
  <c r="BB24" i="219"/>
  <c r="BB25" i="219"/>
  <c r="BB26" i="219"/>
  <c r="BB27" i="219"/>
  <c r="BB20" i="219"/>
  <c r="BB19" i="219"/>
  <c r="BL20" i="219"/>
  <c r="BL21" i="219"/>
  <c r="BL22" i="219"/>
  <c r="BL23" i="219"/>
  <c r="BL24" i="219"/>
  <c r="BL25" i="219"/>
  <c r="BL27" i="219"/>
  <c r="BL26" i="219"/>
  <c r="BF26" i="219"/>
  <c r="BF27" i="219"/>
  <c r="BF23" i="219"/>
  <c r="BF20" i="219"/>
  <c r="BF21" i="219"/>
  <c r="BF22" i="219"/>
  <c r="BF24" i="219"/>
  <c r="BF25" i="219"/>
  <c r="BG25" i="219"/>
  <c r="BG26" i="219"/>
  <c r="BG27" i="219"/>
  <c r="BG22" i="219"/>
  <c r="BG20" i="219"/>
  <c r="BG21" i="219"/>
  <c r="BG23" i="219"/>
  <c r="BG24" i="219"/>
  <c r="BL19" i="219"/>
  <c r="BF19" i="219"/>
  <c r="BG19" i="219"/>
  <c r="G35" i="219"/>
  <c r="G34" i="219"/>
  <c r="K34" i="219"/>
  <c r="BK18" i="219" s="1"/>
  <c r="BO22" i="219"/>
  <c r="G22" i="219" s="1"/>
  <c r="BO21" i="219"/>
  <c r="G21" i="219" s="1"/>
  <c r="BO24" i="219"/>
  <c r="G24" i="219" s="1"/>
  <c r="BO26" i="219"/>
  <c r="G26" i="219" s="1"/>
  <c r="BO19" i="219"/>
  <c r="G19" i="219" s="1"/>
  <c r="BO23" i="219"/>
  <c r="G23" i="219" s="1"/>
  <c r="BO25" i="219"/>
  <c r="G25" i="219" s="1"/>
  <c r="BO27" i="219"/>
  <c r="G27" i="219" s="1"/>
  <c r="AT19" i="219"/>
  <c r="AT27" i="219"/>
  <c r="AT24" i="219"/>
  <c r="AT20" i="219"/>
  <c r="AT26" i="219"/>
  <c r="AT25" i="219"/>
  <c r="AT21" i="219"/>
  <c r="AT23" i="219"/>
  <c r="I23" i="190"/>
  <c r="N22" i="190"/>
  <c r="M22" i="190"/>
  <c r="M23" i="190"/>
  <c r="J23" i="190"/>
  <c r="O22" i="190"/>
  <c r="S36" i="28"/>
  <c r="T36" i="28"/>
  <c r="AR24" i="219"/>
  <c r="AR19" i="219"/>
  <c r="AR20" i="219"/>
  <c r="AR25" i="219"/>
  <c r="AR23" i="219"/>
  <c r="AR21" i="219"/>
  <c r="AR22" i="219"/>
  <c r="AR26" i="219"/>
  <c r="AR27" i="219"/>
  <c r="W24" i="293" l="1" a="1"/>
  <c r="W24" i="293" s="1"/>
  <c r="U20" i="299" s="1"/>
  <c r="W75" i="293" a="1"/>
  <c r="W75" i="293" s="1"/>
  <c r="U71" i="299" s="1"/>
  <c r="W25" i="293" a="1"/>
  <c r="W25" i="293" s="1"/>
  <c r="U21" i="299" s="1"/>
  <c r="E23" i="190"/>
  <c r="L23" i="190" s="1"/>
  <c r="D26" i="219"/>
  <c r="I112" i="180" s="1"/>
  <c r="F19" i="190"/>
  <c r="M19" i="190" s="1"/>
  <c r="BN20" i="219"/>
  <c r="AL19" i="219"/>
  <c r="AL18" i="219"/>
  <c r="BE27" i="219"/>
  <c r="BE18" i="219"/>
  <c r="O23" i="190"/>
  <c r="D93" i="190"/>
  <c r="E93" i="190"/>
  <c r="F93" i="190"/>
  <c r="G93" i="190"/>
  <c r="H93" i="190"/>
  <c r="I93" i="190"/>
  <c r="J93" i="190"/>
  <c r="T121" i="180" s="1"/>
  <c r="K93" i="190"/>
  <c r="L93" i="190"/>
  <c r="M93" i="190"/>
  <c r="N93" i="190"/>
  <c r="O93" i="190"/>
  <c r="P93" i="190"/>
  <c r="Q93" i="190"/>
  <c r="R93" i="190"/>
  <c r="N23" i="190"/>
  <c r="D92" i="190"/>
  <c r="E92" i="190"/>
  <c r="F92" i="190"/>
  <c r="G92" i="190"/>
  <c r="H92" i="190"/>
  <c r="I92" i="190"/>
  <c r="J92" i="190"/>
  <c r="K92" i="190"/>
  <c r="L92" i="190"/>
  <c r="M92" i="190"/>
  <c r="N92" i="190"/>
  <c r="O92" i="190"/>
  <c r="P92" i="190"/>
  <c r="Q92" i="190"/>
  <c r="R92" i="190"/>
  <c r="W34" i="293" a="1"/>
  <c r="W34" i="293" s="1"/>
  <c r="U30" i="299" s="1"/>
  <c r="W35" i="293" a="1"/>
  <c r="W35" i="293" s="1"/>
  <c r="U31" i="299" s="1"/>
  <c r="W76" i="293" a="1"/>
  <c r="W76" i="293" s="1"/>
  <c r="U72" i="299" s="1"/>
  <c r="W74" i="293" a="1"/>
  <c r="W74" i="293" s="1"/>
  <c r="U70" i="299" s="1"/>
  <c r="W73" i="293" a="1"/>
  <c r="W73" i="293" s="1"/>
  <c r="U69" i="299" s="1"/>
  <c r="W72" i="293" a="1"/>
  <c r="W72" i="293" s="1"/>
  <c r="U68" i="299" s="1"/>
  <c r="P71" i="180"/>
  <c r="P87" i="180"/>
  <c r="K87" i="180"/>
  <c r="K71" i="180"/>
  <c r="W87" i="293" a="1"/>
  <c r="W87" i="293" s="1"/>
  <c r="U83" i="299" s="1"/>
  <c r="W77" i="293" a="1"/>
  <c r="W77" i="293" s="1"/>
  <c r="U73" i="299" s="1"/>
  <c r="BE26" i="219"/>
  <c r="BE25" i="219"/>
  <c r="BE23" i="219"/>
  <c r="BE22" i="219"/>
  <c r="BE21" i="219"/>
  <c r="BE20" i="219"/>
  <c r="BE24" i="219"/>
  <c r="BE19" i="219"/>
  <c r="P70" i="293" a="1"/>
  <c r="P70" i="293" s="1"/>
  <c r="N66" i="299" s="1"/>
  <c r="L86" i="293" a="1"/>
  <c r="L86" i="293" s="1"/>
  <c r="J82" i="299" s="1"/>
  <c r="L70" i="293" a="1"/>
  <c r="L70" i="293" s="1"/>
  <c r="J66" i="299" s="1"/>
  <c r="D24" i="219"/>
  <c r="I110" i="180" s="1"/>
  <c r="D22" i="219"/>
  <c r="I108" i="180" s="1"/>
  <c r="D19" i="219"/>
  <c r="I105" i="180" s="1"/>
  <c r="D20" i="219"/>
  <c r="I106" i="180" s="1"/>
  <c r="D27" i="219"/>
  <c r="I113" i="180" s="1"/>
  <c r="D25" i="219"/>
  <c r="I111" i="180" s="1"/>
  <c r="AB87" i="180"/>
  <c r="D21" i="219"/>
  <c r="I107" i="180" s="1"/>
  <c r="D23" i="219"/>
  <c r="I109" i="180" s="1"/>
  <c r="AB71" i="180"/>
  <c r="P86" i="293" a="1"/>
  <c r="P86" i="293" s="1"/>
  <c r="N82" i="299" s="1"/>
  <c r="C34" i="219"/>
  <c r="BD18" i="219" s="1"/>
  <c r="L27" i="219"/>
  <c r="L25" i="219"/>
  <c r="L23" i="219"/>
  <c r="L21" i="219"/>
  <c r="L26" i="219"/>
  <c r="L24" i="219"/>
  <c r="L22" i="219"/>
  <c r="BH24" i="219"/>
  <c r="BH25" i="219"/>
  <c r="BH26" i="219"/>
  <c r="BH27" i="219"/>
  <c r="BH21" i="219"/>
  <c r="BH20" i="219"/>
  <c r="BH22" i="219"/>
  <c r="BH23" i="219"/>
  <c r="BK21" i="219"/>
  <c r="BK22" i="219"/>
  <c r="BK26" i="219"/>
  <c r="BK23" i="219"/>
  <c r="BK24" i="219"/>
  <c r="BK25" i="219"/>
  <c r="BK27" i="219"/>
  <c r="BK20" i="219"/>
  <c r="BK19" i="219"/>
  <c r="BH19" i="219"/>
  <c r="L19" i="219"/>
  <c r="AO26" i="219"/>
  <c r="AO24" i="219"/>
  <c r="AO20" i="219"/>
  <c r="AO25" i="219"/>
  <c r="AO19" i="219"/>
  <c r="AO22" i="219"/>
  <c r="AO23" i="219"/>
  <c r="AO21" i="219"/>
  <c r="AO27" i="219"/>
  <c r="AL26" i="219"/>
  <c r="AL20" i="219"/>
  <c r="AL21" i="219"/>
  <c r="AL25" i="219"/>
  <c r="AL24" i="219"/>
  <c r="AL22" i="219"/>
  <c r="AL23" i="219"/>
  <c r="AL27" i="219"/>
  <c r="K111" i="293" l="1" a="1"/>
  <c r="K111" i="293" s="1"/>
  <c r="I107" i="299" s="1"/>
  <c r="I26" i="219"/>
  <c r="N112" i="180" s="1"/>
  <c r="F18" i="190"/>
  <c r="M18" i="190" s="1"/>
  <c r="W70" i="293" a="1"/>
  <c r="W70" i="293" s="1"/>
  <c r="U66" i="299" s="1"/>
  <c r="K108" i="293" a="1"/>
  <c r="K108" i="293" s="1"/>
  <c r="I104" i="299" s="1"/>
  <c r="K106" i="293" a="1"/>
  <c r="K106" i="293" s="1"/>
  <c r="I102" i="299" s="1"/>
  <c r="W86" i="293" a="1"/>
  <c r="W86" i="293" s="1"/>
  <c r="U82" i="299" s="1"/>
  <c r="K110" i="293" a="1"/>
  <c r="K110" i="293" s="1"/>
  <c r="I106" i="299" s="1"/>
  <c r="K112" i="293" a="1"/>
  <c r="K112" i="293" s="1"/>
  <c r="I108" i="299" s="1"/>
  <c r="K105" i="293" a="1"/>
  <c r="K105" i="293" s="1"/>
  <c r="I101" i="299" s="1"/>
  <c r="K104" i="293" a="1"/>
  <c r="K104" i="293" s="1"/>
  <c r="I100" i="299" s="1"/>
  <c r="K107" i="293" a="1"/>
  <c r="K107" i="293" s="1"/>
  <c r="I103" i="299" s="1"/>
  <c r="K109" i="293" a="1"/>
  <c r="K109" i="293" s="1"/>
  <c r="I105" i="299" s="1"/>
  <c r="I24" i="219"/>
  <c r="N110" i="180" s="1"/>
  <c r="I22" i="219"/>
  <c r="N108" i="180" s="1"/>
  <c r="I20" i="219"/>
  <c r="N106" i="180" s="1"/>
  <c r="I27" i="219"/>
  <c r="N113" i="180" s="1"/>
  <c r="I25" i="219"/>
  <c r="N111" i="180" s="1"/>
  <c r="I21" i="219"/>
  <c r="N107" i="180" s="1"/>
  <c r="I23" i="219"/>
  <c r="N109" i="180" s="1"/>
  <c r="BD27" i="219"/>
  <c r="BD20" i="219"/>
  <c r="BD21" i="219"/>
  <c r="BD19" i="219"/>
  <c r="BD22" i="219"/>
  <c r="BD23" i="219"/>
  <c r="BD26" i="219"/>
  <c r="BD25" i="219"/>
  <c r="BD24" i="219"/>
  <c r="O111" i="293" a="1"/>
  <c r="O111" i="293" s="1"/>
  <c r="M107" i="299" s="1"/>
  <c r="G2" i="299"/>
  <c r="O108" i="293" l="1" a="1"/>
  <c r="O108" i="293" s="1"/>
  <c r="M104" i="299" s="1"/>
  <c r="O106" i="293" a="1"/>
  <c r="O106" i="293" s="1"/>
  <c r="M102" i="299" s="1"/>
  <c r="O110" i="293" a="1"/>
  <c r="O110" i="293" s="1"/>
  <c r="M106" i="299" s="1"/>
  <c r="O112" i="293" a="1"/>
  <c r="O112" i="293" s="1"/>
  <c r="M108" i="299" s="1"/>
  <c r="O105" i="293" a="1"/>
  <c r="O105" i="293" s="1"/>
  <c r="M101" i="299" s="1"/>
  <c r="O107" i="293" a="1"/>
  <c r="O107" i="293" s="1"/>
  <c r="M103" i="299" s="1"/>
  <c r="O109" i="293" a="1"/>
  <c r="O109" i="293" s="1"/>
  <c r="M105" i="299" s="1"/>
  <c r="D23" i="228" a="1"/>
  <c r="D23" i="228" s="1"/>
  <c r="D20" i="228" s="1"/>
  <c r="D23" i="230" a="1"/>
  <c r="D23" i="230" s="1"/>
  <c r="E23" i="228" a="1"/>
  <c r="E23" i="228" s="1"/>
  <c r="AN21" i="219"/>
  <c r="AN22" i="219"/>
  <c r="AN27" i="219"/>
  <c r="AN20" i="219"/>
  <c r="AN25" i="219"/>
  <c r="AN24" i="219"/>
  <c r="AN26" i="219"/>
  <c r="AN23" i="219"/>
  <c r="AN19" i="219"/>
  <c r="AM22" i="219"/>
  <c r="AM20" i="219"/>
  <c r="AM21" i="219"/>
  <c r="AM27" i="219"/>
  <c r="AM25" i="219"/>
  <c r="AM26" i="219"/>
  <c r="AM24" i="219"/>
  <c r="AM23" i="219"/>
  <c r="AM19" i="219"/>
  <c r="Q7" i="180"/>
  <c r="J16" i="180" a="1"/>
  <c r="J17" i="180" a="1"/>
  <c r="M6" i="293" l="1" a="1"/>
  <c r="M6" i="293" s="1"/>
  <c r="K2" i="299" s="1"/>
  <c r="D19" i="228"/>
  <c r="D18" i="228"/>
  <c r="J16" i="180"/>
  <c r="J17" i="180"/>
  <c r="E23" i="230" a="1"/>
  <c r="E23" i="230" s="1"/>
  <c r="E19" i="230" s="1"/>
  <c r="D19" i="230"/>
  <c r="D20" i="230"/>
  <c r="D18" i="230"/>
  <c r="E20" i="228"/>
  <c r="E18" i="228"/>
  <c r="E19" i="228"/>
  <c r="BN24" i="219"/>
  <c r="F24" i="219" s="1"/>
  <c r="V110" i="180" s="1"/>
  <c r="BN21" i="219"/>
  <c r="F21" i="219" s="1"/>
  <c r="V107" i="180" s="1"/>
  <c r="F20" i="219"/>
  <c r="V106" i="180" s="1"/>
  <c r="BN22" i="219"/>
  <c r="F22" i="219" s="1"/>
  <c r="V108" i="180" s="1"/>
  <c r="BN23" i="219"/>
  <c r="F23" i="219" s="1"/>
  <c r="V109" i="180" s="1"/>
  <c r="BN26" i="219"/>
  <c r="F26" i="219" s="1"/>
  <c r="V112" i="180" s="1"/>
  <c r="BN19" i="219"/>
  <c r="BN25" i="219"/>
  <c r="F25" i="219" s="1"/>
  <c r="V111" i="180" s="1"/>
  <c r="BN27" i="219"/>
  <c r="F27" i="219" s="1"/>
  <c r="V113" i="180" s="1"/>
  <c r="AP25" i="219"/>
  <c r="AP23" i="219"/>
  <c r="AP24" i="219"/>
  <c r="AP26" i="219"/>
  <c r="AP19" i="219"/>
  <c r="AP22" i="219"/>
  <c r="AP20" i="219"/>
  <c r="AP21" i="219"/>
  <c r="AP27" i="219"/>
  <c r="N17" i="180" a="1"/>
  <c r="I18" i="180" a="1"/>
  <c r="N16" i="180" a="1"/>
  <c r="I16" i="180" a="1"/>
  <c r="M17" i="180" a="1"/>
  <c r="H18" i="180" a="1"/>
  <c r="J18" i="180" a="1"/>
  <c r="H16" i="180" a="1"/>
  <c r="N18" i="180" a="1"/>
  <c r="O16" i="180" a="1"/>
  <c r="H17" i="180" a="1"/>
  <c r="M16" i="180" a="1"/>
  <c r="I17" i="180" a="1"/>
  <c r="O17" i="180" a="1"/>
  <c r="Q112" i="293" l="1" a="1"/>
  <c r="Q112" i="293" s="1"/>
  <c r="O108" i="299" s="1"/>
  <c r="Q110" i="293" a="1"/>
  <c r="Q110" i="293" s="1"/>
  <c r="O106" i="299" s="1"/>
  <c r="Q111" i="293" a="1"/>
  <c r="Q111" i="293" s="1"/>
  <c r="O107" i="299" s="1"/>
  <c r="Q108" i="293" a="1"/>
  <c r="Q108" i="293" s="1"/>
  <c r="O104" i="299" s="1"/>
  <c r="Q107" i="293" a="1"/>
  <c r="Q107" i="293" s="1"/>
  <c r="O103" i="299" s="1"/>
  <c r="Q105" i="293" a="1"/>
  <c r="Q105" i="293" s="1"/>
  <c r="O101" i="299" s="1"/>
  <c r="Q106" i="293" a="1"/>
  <c r="Q106" i="293" s="1"/>
  <c r="O102" i="299" s="1"/>
  <c r="Q109" i="293" a="1"/>
  <c r="Q109" i="293" s="1"/>
  <c r="O105" i="299" s="1"/>
  <c r="K17" i="180"/>
  <c r="K16" i="180"/>
  <c r="L16" i="293" a="1"/>
  <c r="L16" i="293" s="1"/>
  <c r="J12" i="299" s="1"/>
  <c r="L15" i="293" a="1"/>
  <c r="L15" i="293" s="1"/>
  <c r="J11" i="299" s="1"/>
  <c r="H16" i="180"/>
  <c r="H17" i="180"/>
  <c r="I16" i="180"/>
  <c r="I17" i="180"/>
  <c r="K21" i="219"/>
  <c r="K24" i="219"/>
  <c r="K25" i="219"/>
  <c r="K27" i="219"/>
  <c r="K26" i="219"/>
  <c r="K20" i="219"/>
  <c r="K23" i="219"/>
  <c r="K22" i="219"/>
  <c r="F19" i="219"/>
  <c r="V105" i="180" s="1"/>
  <c r="N17" i="180"/>
  <c r="N16" i="180"/>
  <c r="I18" i="180"/>
  <c r="N18" i="180"/>
  <c r="M16" i="180"/>
  <c r="M17" i="180"/>
  <c r="O16" i="180"/>
  <c r="O17" i="180"/>
  <c r="H18" i="180"/>
  <c r="J18" i="180"/>
  <c r="E18" i="230"/>
  <c r="E20" i="230"/>
  <c r="O18" i="180" a="1"/>
  <c r="M18" i="180" a="1"/>
  <c r="G35" i="190" l="1"/>
  <c r="J89" i="190" s="1"/>
  <c r="K18" i="180"/>
  <c r="J17" i="293" a="1"/>
  <c r="J17" i="293" s="1"/>
  <c r="H13" i="299" s="1"/>
  <c r="P17" i="180"/>
  <c r="P16" i="180"/>
  <c r="N16" i="293" a="1"/>
  <c r="N16" i="293" s="1"/>
  <c r="L12" i="299" s="1"/>
  <c r="N15" i="293" a="1"/>
  <c r="N15" i="293" s="1"/>
  <c r="L11" i="299" s="1"/>
  <c r="O17" i="293" a="1"/>
  <c r="O17" i="293" s="1"/>
  <c r="M13" i="299" s="1"/>
  <c r="K17" i="293" a="1"/>
  <c r="K17" i="293" s="1"/>
  <c r="I13" i="299" s="1"/>
  <c r="O15" i="293" a="1"/>
  <c r="O15" i="293" s="1"/>
  <c r="M11" i="299" s="1"/>
  <c r="O16" i="293" a="1"/>
  <c r="O16" i="293" s="1"/>
  <c r="M12" i="299" s="1"/>
  <c r="Q104" i="293" a="1"/>
  <c r="Q104" i="293" s="1"/>
  <c r="O100" i="299" s="1"/>
  <c r="K16" i="293" a="1"/>
  <c r="K16" i="293" s="1"/>
  <c r="I12" i="299" s="1"/>
  <c r="K15" i="293" a="1"/>
  <c r="K15" i="293" s="1"/>
  <c r="I11" i="299" s="1"/>
  <c r="J16" i="293" a="1"/>
  <c r="J16" i="293" s="1"/>
  <c r="H12" i="299" s="1"/>
  <c r="J15" i="293" a="1"/>
  <c r="J15" i="293" s="1"/>
  <c r="H11" i="299" s="1"/>
  <c r="P15" i="293" a="1"/>
  <c r="P15" i="293" s="1"/>
  <c r="N11" i="299" s="1"/>
  <c r="P16" i="293" a="1"/>
  <c r="P16" i="293" s="1"/>
  <c r="N12" i="299" s="1"/>
  <c r="L17" i="293" a="1"/>
  <c r="L17" i="293" s="1"/>
  <c r="J13" i="299" s="1"/>
  <c r="AB17" i="180"/>
  <c r="AB16" i="180"/>
  <c r="L16" i="180"/>
  <c r="L17" i="180"/>
  <c r="K19" i="219"/>
  <c r="Q16" i="180"/>
  <c r="L18" i="180"/>
  <c r="M18" i="180"/>
  <c r="O18" i="180"/>
  <c r="Q17" i="180"/>
  <c r="F89" i="190" l="1"/>
  <c r="C89" i="190"/>
  <c r="G89" i="190"/>
  <c r="E89" i="190"/>
  <c r="D89" i="190"/>
  <c r="I89" i="190"/>
  <c r="H89" i="190"/>
  <c r="P89" i="190"/>
  <c r="O89" i="190"/>
  <c r="R89" i="190"/>
  <c r="Q89" i="190"/>
  <c r="N89" i="190"/>
  <c r="M89" i="190"/>
  <c r="L89" i="190"/>
  <c r="K89" i="190"/>
  <c r="E35" i="190"/>
  <c r="L35" i="190" s="1"/>
  <c r="F35" i="190"/>
  <c r="M35" i="190" s="1"/>
  <c r="M16" i="293" a="1"/>
  <c r="M16" i="293" s="1"/>
  <c r="K12" i="299" s="1"/>
  <c r="P18" i="180"/>
  <c r="N17" i="293" a="1"/>
  <c r="N17" i="293" s="1"/>
  <c r="L13" i="299" s="1"/>
  <c r="I17" i="293" a="1"/>
  <c r="I17" i="293" s="1"/>
  <c r="G13" i="299" s="1"/>
  <c r="M15" i="293" a="1"/>
  <c r="M15" i="293" s="1"/>
  <c r="K11" i="299" s="1"/>
  <c r="I16" i="293" a="1"/>
  <c r="I16" i="293" s="1"/>
  <c r="G12" i="299" s="1"/>
  <c r="I15" i="293" a="1"/>
  <c r="I15" i="293" s="1"/>
  <c r="G11" i="299" s="1"/>
  <c r="W15" i="293" a="1"/>
  <c r="W15" i="293" s="1"/>
  <c r="U11" i="299" s="1"/>
  <c r="W16" i="293" a="1"/>
  <c r="W16" i="293" s="1"/>
  <c r="U12" i="299" s="1"/>
  <c r="P17" i="293" a="1"/>
  <c r="P17" i="293" s="1"/>
  <c r="N13" i="299" s="1"/>
  <c r="AB18" i="180"/>
  <c r="Q18" i="180"/>
  <c r="F88" i="190" l="1"/>
  <c r="D88" i="190"/>
  <c r="I88" i="190"/>
  <c r="H88" i="190"/>
  <c r="Q88" i="190"/>
  <c r="P88" i="190"/>
  <c r="C88" i="190"/>
  <c r="L114" i="180" s="1"/>
  <c r="I113" i="293" s="1" a="1"/>
  <c r="I113" i="293" s="1"/>
  <c r="G109" i="299" s="1"/>
  <c r="O88" i="190"/>
  <c r="G88" i="190"/>
  <c r="L88" i="190"/>
  <c r="M88" i="190"/>
  <c r="R88" i="190"/>
  <c r="K88" i="190"/>
  <c r="J88" i="190"/>
  <c r="E88" i="190"/>
  <c r="N88" i="190"/>
  <c r="G90" i="190"/>
  <c r="G98" i="190" s="1"/>
  <c r="O118" i="180" s="1"/>
  <c r="C90" i="190"/>
  <c r="C98" i="190" s="1"/>
  <c r="F90" i="190"/>
  <c r="J117" i="180" s="1"/>
  <c r="L116" i="293" s="1" a="1"/>
  <c r="L116" i="293" s="1"/>
  <c r="J112" i="299" s="1"/>
  <c r="E90" i="190"/>
  <c r="J116" i="180" s="1"/>
  <c r="D90" i="190"/>
  <c r="J115" i="180" s="1"/>
  <c r="I90" i="190"/>
  <c r="J120" i="180" s="1"/>
  <c r="Q90" i="190"/>
  <c r="J128" i="180" s="1"/>
  <c r="N90" i="190"/>
  <c r="N98" i="190" s="1"/>
  <c r="O125" i="180" s="1"/>
  <c r="K90" i="190"/>
  <c r="K98" i="190" s="1"/>
  <c r="O122" i="180" s="1"/>
  <c r="H90" i="190"/>
  <c r="H98" i="190" s="1"/>
  <c r="O119" i="180" s="1"/>
  <c r="P90" i="190"/>
  <c r="P98" i="190" s="1"/>
  <c r="O127" i="180" s="1"/>
  <c r="M90" i="190"/>
  <c r="M98" i="190" s="1"/>
  <c r="O124" i="180" s="1"/>
  <c r="P123" i="293" s="1" a="1"/>
  <c r="P123" i="293" s="1"/>
  <c r="N119" i="299" s="1"/>
  <c r="J90" i="190"/>
  <c r="J121" i="180" s="1"/>
  <c r="R90" i="190"/>
  <c r="R98" i="190" s="1"/>
  <c r="O129" i="180" s="1"/>
  <c r="O90" i="190"/>
  <c r="J126" i="180" s="1"/>
  <c r="L90" i="190"/>
  <c r="L98" i="190" s="1"/>
  <c r="O123" i="180" s="1"/>
  <c r="J122" i="180"/>
  <c r="J119" i="180"/>
  <c r="L115" i="293" a="1"/>
  <c r="L115" i="293" s="1"/>
  <c r="J111" i="299" s="1"/>
  <c r="M17" i="293" a="1"/>
  <c r="M17" i="293" s="1"/>
  <c r="K13" i="299" s="1"/>
  <c r="W17" i="293" a="1"/>
  <c r="W17" i="293" s="1"/>
  <c r="U13" i="299" s="1"/>
  <c r="AS24" i="219"/>
  <c r="C24" i="219" s="1"/>
  <c r="L110" i="180" s="1"/>
  <c r="AS20" i="219"/>
  <c r="C20" i="219" s="1"/>
  <c r="L106" i="180" s="1"/>
  <c r="AS19" i="219"/>
  <c r="C19" i="219" s="1"/>
  <c r="L105" i="180" s="1"/>
  <c r="AS23" i="219"/>
  <c r="C23" i="219" s="1"/>
  <c r="L109" i="180" s="1"/>
  <c r="AS22" i="219"/>
  <c r="C22" i="219" s="1"/>
  <c r="L108" i="180" s="1"/>
  <c r="AS21" i="219"/>
  <c r="C21" i="219" s="1"/>
  <c r="AS26" i="219"/>
  <c r="C26" i="219" s="1"/>
  <c r="L112" i="180" s="1"/>
  <c r="AS25" i="219"/>
  <c r="C25" i="219" s="1"/>
  <c r="L111" i="180" s="1"/>
  <c r="AS27" i="219"/>
  <c r="C27" i="219" s="1"/>
  <c r="L113" i="180" s="1"/>
  <c r="AE110" i="180" a="1"/>
  <c r="Z108" i="293" a="1"/>
  <c r="AE111" i="180" a="1"/>
  <c r="AE105" i="180" a="1"/>
  <c r="AE112" i="180" a="1"/>
  <c r="Z106" i="293" a="1"/>
  <c r="AE107" i="180" a="1"/>
  <c r="Z104" i="293" a="1"/>
  <c r="Z111" i="293" a="1"/>
  <c r="AE113" i="180" a="1"/>
  <c r="Z109" i="293" a="1"/>
  <c r="Z107" i="293" a="1"/>
  <c r="AE109" i="180" a="1"/>
  <c r="Z105" i="293" a="1"/>
  <c r="Z110" i="293" a="1"/>
  <c r="AE106" i="180" a="1"/>
  <c r="AE108" i="180" a="1"/>
  <c r="Z112" i="293" a="1"/>
  <c r="P126" i="293" l="1" a="1"/>
  <c r="P126" i="293" s="1"/>
  <c r="N122" i="299" s="1"/>
  <c r="P117" i="293" a="1"/>
  <c r="P117" i="293" s="1"/>
  <c r="N113" i="299" s="1"/>
  <c r="K119" i="180"/>
  <c r="P119" i="180"/>
  <c r="K122" i="180"/>
  <c r="P122" i="180"/>
  <c r="P118" i="180"/>
  <c r="P123" i="180"/>
  <c r="P125" i="180"/>
  <c r="K126" i="180"/>
  <c r="K128" i="180"/>
  <c r="P129" i="180"/>
  <c r="K120" i="180"/>
  <c r="K121" i="180"/>
  <c r="K115" i="180"/>
  <c r="P124" i="180"/>
  <c r="K116" i="180"/>
  <c r="P127" i="180"/>
  <c r="K117" i="180"/>
  <c r="L127" i="293" a="1"/>
  <c r="L127" i="293" s="1"/>
  <c r="J123" i="299" s="1"/>
  <c r="L125" i="293" a="1"/>
  <c r="L125" i="293" s="1"/>
  <c r="J121" i="299" s="1"/>
  <c r="L118" i="293" a="1"/>
  <c r="L118" i="293" s="1"/>
  <c r="J114" i="299" s="1"/>
  <c r="P121" i="293" a="1"/>
  <c r="P121" i="293" s="1"/>
  <c r="N117" i="299" s="1"/>
  <c r="P118" i="293" a="1"/>
  <c r="P118" i="293" s="1"/>
  <c r="N114" i="299" s="1"/>
  <c r="L121" i="293" a="1"/>
  <c r="L121" i="293" s="1"/>
  <c r="J117" i="299" s="1"/>
  <c r="P122" i="293" a="1"/>
  <c r="P122" i="293" s="1"/>
  <c r="N118" i="299" s="1"/>
  <c r="L119" i="293" a="1"/>
  <c r="L119" i="293" s="1"/>
  <c r="J115" i="299" s="1"/>
  <c r="P128" i="293" a="1"/>
  <c r="P128" i="293" s="1"/>
  <c r="N124" i="299" s="1"/>
  <c r="P124" i="293" a="1"/>
  <c r="P124" i="293" s="1"/>
  <c r="N120" i="299" s="1"/>
  <c r="L120" i="293" a="1"/>
  <c r="L120" i="293" s="1"/>
  <c r="J116" i="299" s="1"/>
  <c r="L114" i="293" a="1"/>
  <c r="L114" i="293" s="1"/>
  <c r="J110" i="299" s="1"/>
  <c r="J114" i="180"/>
  <c r="J118" i="180"/>
  <c r="E98" i="190"/>
  <c r="O116" i="180" s="1"/>
  <c r="Q98" i="190"/>
  <c r="O128" i="180" s="1"/>
  <c r="J123" i="180"/>
  <c r="J125" i="180"/>
  <c r="I98" i="190"/>
  <c r="O120" i="180" s="1"/>
  <c r="J127" i="180"/>
  <c r="D98" i="190"/>
  <c r="O115" i="180" s="1"/>
  <c r="F98" i="190"/>
  <c r="O117" i="180" s="1"/>
  <c r="J98" i="190"/>
  <c r="O121" i="180" s="1"/>
  <c r="J124" i="180"/>
  <c r="J129" i="180"/>
  <c r="O98" i="190"/>
  <c r="O126" i="180" s="1"/>
  <c r="I112" i="293" a="1"/>
  <c r="I112" i="293" s="1"/>
  <c r="G108" i="299" s="1"/>
  <c r="I110" i="293" a="1"/>
  <c r="I110" i="293" s="1"/>
  <c r="G106" i="299" s="1"/>
  <c r="I111" i="293" a="1"/>
  <c r="I111" i="293" s="1"/>
  <c r="G107" i="299" s="1"/>
  <c r="I107" i="293" a="1"/>
  <c r="I107" i="293" s="1"/>
  <c r="G103" i="299" s="1"/>
  <c r="I108" i="293" a="1"/>
  <c r="I108" i="293" s="1"/>
  <c r="G104" i="299" s="1"/>
  <c r="I104" i="293" a="1"/>
  <c r="I104" i="293" s="1"/>
  <c r="G100" i="299" s="1"/>
  <c r="I105" i="293" a="1"/>
  <c r="I105" i="293" s="1"/>
  <c r="G101" i="299" s="1"/>
  <c r="I109" i="293" a="1"/>
  <c r="I109" i="293" s="1"/>
  <c r="G105" i="299" s="1"/>
  <c r="AE107" i="180"/>
  <c r="AE112" i="180"/>
  <c r="AE105" i="180"/>
  <c r="AE108" i="180"/>
  <c r="AE113" i="180"/>
  <c r="AE109" i="180"/>
  <c r="AE111" i="180"/>
  <c r="AE106" i="180"/>
  <c r="AE110" i="180"/>
  <c r="L107" i="180"/>
  <c r="Z112" i="293"/>
  <c r="W108" i="299" s="1"/>
  <c r="Z104" i="293"/>
  <c r="W100" i="299" s="1"/>
  <c r="Z109" i="293"/>
  <c r="W105" i="299" s="1"/>
  <c r="Z106" i="293"/>
  <c r="W102" i="299" s="1"/>
  <c r="Z111" i="293"/>
  <c r="W107" i="299" s="1"/>
  <c r="Z108" i="293"/>
  <c r="W104" i="299" s="1"/>
  <c r="Z105" i="293"/>
  <c r="W101" i="299" s="1"/>
  <c r="Z110" i="293"/>
  <c r="W106" i="299" s="1"/>
  <c r="Z107" i="293"/>
  <c r="W103" i="299" s="1"/>
  <c r="H25" i="219"/>
  <c r="H26" i="219"/>
  <c r="H22" i="219"/>
  <c r="H23" i="219"/>
  <c r="H27" i="219"/>
  <c r="H20" i="219"/>
  <c r="H24" i="219"/>
  <c r="H21" i="219"/>
  <c r="I19" i="219"/>
  <c r="N105" i="180" s="1"/>
  <c r="K127" i="180" l="1"/>
  <c r="L126" i="293" a="1"/>
  <c r="L126" i="293" s="1"/>
  <c r="J122" i="299" s="1"/>
  <c r="P117" i="180"/>
  <c r="P116" i="293" a="1"/>
  <c r="P116" i="293" s="1"/>
  <c r="N112" i="299" s="1"/>
  <c r="K118" i="180"/>
  <c r="L117" i="293" a="1"/>
  <c r="L117" i="293" s="1"/>
  <c r="J113" i="299" s="1"/>
  <c r="P115" i="180"/>
  <c r="P114" i="293" a="1"/>
  <c r="P114" i="293" s="1"/>
  <c r="N110" i="299" s="1"/>
  <c r="K114" i="180"/>
  <c r="L113" i="293" a="1"/>
  <c r="L113" i="293" s="1"/>
  <c r="J109" i="299" s="1"/>
  <c r="P120" i="180"/>
  <c r="P119" i="293" a="1"/>
  <c r="P119" i="293" s="1"/>
  <c r="N115" i="299" s="1"/>
  <c r="P126" i="180"/>
  <c r="P125" i="293" a="1"/>
  <c r="P125" i="293" s="1"/>
  <c r="N121" i="299" s="1"/>
  <c r="K125" i="180"/>
  <c r="L124" i="293" a="1"/>
  <c r="L124" i="293" s="1"/>
  <c r="J120" i="299" s="1"/>
  <c r="K129" i="180"/>
  <c r="L128" i="293" a="1"/>
  <c r="L128" i="293" s="1"/>
  <c r="J124" i="299" s="1"/>
  <c r="K123" i="180"/>
  <c r="L122" i="293" a="1"/>
  <c r="L122" i="293" s="1"/>
  <c r="J118" i="299" s="1"/>
  <c r="K124" i="180"/>
  <c r="L123" i="293" a="1"/>
  <c r="L123" i="293" s="1"/>
  <c r="J119" i="299" s="1"/>
  <c r="P128" i="180"/>
  <c r="P127" i="293" a="1"/>
  <c r="P127" i="293" s="1"/>
  <c r="N123" i="299" s="1"/>
  <c r="P121" i="180"/>
  <c r="P120" i="293" a="1"/>
  <c r="P120" i="293" s="1"/>
  <c r="N116" i="299" s="1"/>
  <c r="P116" i="180"/>
  <c r="P115" i="293" a="1"/>
  <c r="P115" i="293" s="1"/>
  <c r="N111" i="299" s="1"/>
  <c r="I106" i="293" a="1"/>
  <c r="I106" i="293" s="1"/>
  <c r="G102" i="299" s="1"/>
  <c r="O104" i="293" a="1"/>
  <c r="O104" i="293" s="1"/>
  <c r="M100" i="299" s="1"/>
  <c r="H19" i="219"/>
  <c r="E24" i="219"/>
  <c r="E20" i="219"/>
  <c r="E25" i="219"/>
  <c r="E26" i="219"/>
  <c r="E22" i="219"/>
  <c r="E23" i="219"/>
  <c r="E27" i="219"/>
  <c r="E21" i="219"/>
  <c r="E19" i="219"/>
  <c r="J105" i="180" l="1"/>
  <c r="T105" i="180"/>
  <c r="S104" i="293" s="1" a="1"/>
  <c r="S104" i="293" s="1"/>
  <c r="Q100" i="299" s="1"/>
  <c r="X105" i="180"/>
  <c r="Z105" i="180"/>
  <c r="T107" i="180"/>
  <c r="X107" i="180"/>
  <c r="Z107" i="180"/>
  <c r="T113" i="180"/>
  <c r="X113" i="180"/>
  <c r="Z113" i="180"/>
  <c r="T109" i="180"/>
  <c r="X109" i="180"/>
  <c r="Z109" i="180"/>
  <c r="T108" i="180"/>
  <c r="X108" i="180"/>
  <c r="Z108" i="180"/>
  <c r="T112" i="180"/>
  <c r="X112" i="180"/>
  <c r="Z112" i="180"/>
  <c r="T111" i="180"/>
  <c r="X111" i="180"/>
  <c r="Z111" i="180"/>
  <c r="T106" i="180"/>
  <c r="X106" i="180"/>
  <c r="Z106" i="180"/>
  <c r="T110" i="180"/>
  <c r="X110" i="180"/>
  <c r="Z110" i="180"/>
  <c r="J107" i="180"/>
  <c r="Q107" i="180"/>
  <c r="J113" i="180"/>
  <c r="Q113" i="180"/>
  <c r="J109" i="180"/>
  <c r="Q109" i="180"/>
  <c r="J108" i="180"/>
  <c r="L107" i="293" s="1" a="1"/>
  <c r="L107" i="293" s="1"/>
  <c r="J103" i="299" s="1"/>
  <c r="Q108" i="180"/>
  <c r="J112" i="180"/>
  <c r="Q112" i="180"/>
  <c r="J111" i="180"/>
  <c r="Q111" i="180"/>
  <c r="J106" i="180"/>
  <c r="Q106" i="180"/>
  <c r="J110" i="180"/>
  <c r="Q110" i="180"/>
  <c r="Q105" i="180"/>
  <c r="J26" i="219"/>
  <c r="O112" i="180" s="1"/>
  <c r="J25" i="219"/>
  <c r="O111" i="180" s="1"/>
  <c r="S110" i="293" a="1"/>
  <c r="S110" i="293" s="1"/>
  <c r="Q106" i="299" s="1"/>
  <c r="J20" i="219"/>
  <c r="O106" i="180" s="1"/>
  <c r="J27" i="219"/>
  <c r="O113" i="180" s="1"/>
  <c r="J22" i="219"/>
  <c r="O108" i="180" s="1"/>
  <c r="J24" i="219"/>
  <c r="O110" i="180" s="1"/>
  <c r="J21" i="219"/>
  <c r="O107" i="180" s="1"/>
  <c r="J23" i="219"/>
  <c r="O109" i="180" s="1"/>
  <c r="S108" i="293" a="1"/>
  <c r="S108" i="293" s="1"/>
  <c r="Q104" i="299" s="1"/>
  <c r="L104" i="293" a="1"/>
  <c r="L104" i="293" s="1"/>
  <c r="J100" i="299" s="1"/>
  <c r="J19" i="219"/>
  <c r="O105" i="180" s="1"/>
  <c r="M104" i="293" l="1" a="1"/>
  <c r="M104" i="293" s="1"/>
  <c r="K100" i="299" s="1"/>
  <c r="S109" i="293" a="1"/>
  <c r="S109" i="293" s="1"/>
  <c r="Q105" i="299" s="1"/>
  <c r="M110" i="293" a="1"/>
  <c r="M110" i="293" s="1"/>
  <c r="K106" i="299" s="1"/>
  <c r="M112" i="293" a="1"/>
  <c r="M112" i="293" s="1"/>
  <c r="K108" i="299" s="1"/>
  <c r="T107" i="293" a="1"/>
  <c r="T107" i="293" s="1"/>
  <c r="R103" i="299" s="1"/>
  <c r="U113" i="180"/>
  <c r="K111" i="180"/>
  <c r="K113" i="180"/>
  <c r="U106" i="180"/>
  <c r="T106" i="293" a="1"/>
  <c r="T106" i="293" s="1"/>
  <c r="R102" i="299" s="1"/>
  <c r="M111" i="293" a="1"/>
  <c r="M111" i="293" s="1"/>
  <c r="K107" i="299" s="1"/>
  <c r="M106" i="293" a="1"/>
  <c r="M106" i="293" s="1"/>
  <c r="K102" i="299" s="1"/>
  <c r="T110" i="293" a="1"/>
  <c r="T110" i="293" s="1"/>
  <c r="R106" i="299" s="1"/>
  <c r="U108" i="180"/>
  <c r="K112" i="180"/>
  <c r="K107" i="180"/>
  <c r="T108" i="293" a="1"/>
  <c r="T108" i="293" s="1"/>
  <c r="R104" i="299" s="1"/>
  <c r="U107" i="180"/>
  <c r="M109" i="293" a="1"/>
  <c r="M109" i="293" s="1"/>
  <c r="K105" i="299" s="1"/>
  <c r="M107" i="293" a="1"/>
  <c r="M107" i="293" s="1"/>
  <c r="K103" i="299" s="1"/>
  <c r="T109" i="293" a="1"/>
  <c r="T109" i="293" s="1"/>
  <c r="R105" i="299" s="1"/>
  <c r="U111" i="180"/>
  <c r="T104" i="293" a="1"/>
  <c r="T104" i="293" s="1"/>
  <c r="R100" i="299" s="1"/>
  <c r="K110" i="180"/>
  <c r="K108" i="180"/>
  <c r="T111" i="293" a="1"/>
  <c r="T111" i="293" s="1"/>
  <c r="R107" i="299" s="1"/>
  <c r="U109" i="180"/>
  <c r="M105" i="293" a="1"/>
  <c r="M105" i="293" s="1"/>
  <c r="K101" i="299" s="1"/>
  <c r="M108" i="293" a="1"/>
  <c r="M108" i="293" s="1"/>
  <c r="K104" i="299" s="1"/>
  <c r="U110" i="180"/>
  <c r="T112" i="293" a="1"/>
  <c r="T112" i="293" s="1"/>
  <c r="R108" i="299" s="1"/>
  <c r="U105" i="180"/>
  <c r="K106" i="180"/>
  <c r="K109" i="180"/>
  <c r="T105" i="293" a="1"/>
  <c r="T105" i="293" s="1"/>
  <c r="R101" i="299" s="1"/>
  <c r="U112" i="180"/>
  <c r="K105" i="180"/>
  <c r="S107" i="293" a="1"/>
  <c r="S107" i="293" s="1"/>
  <c r="Q103" i="299" s="1"/>
  <c r="L110" i="293" a="1"/>
  <c r="L110" i="293" s="1"/>
  <c r="J106" i="299" s="1"/>
  <c r="L108" i="293" a="1"/>
  <c r="L108" i="293" s="1"/>
  <c r="J104" i="299" s="1"/>
  <c r="S112" i="293" a="1"/>
  <c r="S112" i="293" s="1"/>
  <c r="Q108" i="299" s="1"/>
  <c r="S106" i="293" a="1"/>
  <c r="S106" i="293" s="1"/>
  <c r="Q102" i="299" s="1"/>
  <c r="L105" i="293" a="1"/>
  <c r="L105" i="293" s="1"/>
  <c r="J101" i="299" s="1"/>
  <c r="L106" i="293" a="1"/>
  <c r="L106" i="293" s="1"/>
  <c r="J102" i="299" s="1"/>
  <c r="S111" i="293" a="1"/>
  <c r="S111" i="293" s="1"/>
  <c r="Q107" i="299" s="1"/>
  <c r="S105" i="293" a="1"/>
  <c r="S105" i="293" s="1"/>
  <c r="Q101" i="299" s="1"/>
  <c r="L111" i="293" a="1"/>
  <c r="L111" i="293" s="1"/>
  <c r="J107" i="299" s="1"/>
  <c r="L112" i="293" a="1"/>
  <c r="L112" i="293" s="1"/>
  <c r="J108" i="299" s="1"/>
  <c r="L109" i="293" a="1"/>
  <c r="L109" i="293" s="1"/>
  <c r="J105" i="299" s="1"/>
  <c r="V109" i="293" a="1"/>
  <c r="V109" i="293" s="1"/>
  <c r="T105" i="299" s="1"/>
  <c r="Y110" i="180"/>
  <c r="V105" i="293" a="1"/>
  <c r="V105" i="293" s="1"/>
  <c r="T101" i="299" s="1"/>
  <c r="Y106" i="180"/>
  <c r="V110" i="293" a="1"/>
  <c r="V110" i="293" s="1"/>
  <c r="T106" i="299" s="1"/>
  <c r="Y111" i="180"/>
  <c r="V111" i="293" a="1"/>
  <c r="V111" i="293" s="1"/>
  <c r="T107" i="299" s="1"/>
  <c r="Y112" i="180"/>
  <c r="V107" i="293" a="1"/>
  <c r="V107" i="293" s="1"/>
  <c r="T103" i="299" s="1"/>
  <c r="Y108" i="180"/>
  <c r="V108" i="293" a="1"/>
  <c r="V108" i="293" s="1"/>
  <c r="T104" i="299" s="1"/>
  <c r="Y109" i="180"/>
  <c r="V112" i="293" a="1"/>
  <c r="V112" i="293" s="1"/>
  <c r="T108" i="299" s="1"/>
  <c r="Y113" i="180"/>
  <c r="V106" i="293" a="1"/>
  <c r="V106" i="293" s="1"/>
  <c r="T102" i="299" s="1"/>
  <c r="Y107" i="180"/>
  <c r="V104" i="293" a="1"/>
  <c r="V104" i="293" s="1"/>
  <c r="T100" i="299" s="1"/>
  <c r="Y105" i="180"/>
  <c r="P105" i="180"/>
  <c r="P109" i="180"/>
  <c r="P107" i="180"/>
  <c r="P110" i="180"/>
  <c r="P108" i="180"/>
  <c r="P113" i="180"/>
  <c r="P106" i="180"/>
  <c r="P111" i="180"/>
  <c r="P112" i="180"/>
  <c r="P107" i="293" a="1"/>
  <c r="P107" i="293" s="1"/>
  <c r="N103" i="299" s="1"/>
  <c r="P110" i="293" a="1"/>
  <c r="P110" i="293" s="1"/>
  <c r="N106" i="299" s="1"/>
  <c r="P105" i="293" a="1"/>
  <c r="P105" i="293" s="1"/>
  <c r="N101" i="299" s="1"/>
  <c r="P106" i="293" a="1"/>
  <c r="P106" i="293" s="1"/>
  <c r="N102" i="299" s="1"/>
  <c r="P109" i="293" a="1"/>
  <c r="P109" i="293" s="1"/>
  <c r="N105" i="299" s="1"/>
  <c r="P112" i="293" a="1"/>
  <c r="P112" i="293" s="1"/>
  <c r="N108" i="299" s="1"/>
  <c r="P111" i="293" a="1"/>
  <c r="P111" i="293" s="1"/>
  <c r="N107" i="299" s="1"/>
  <c r="P108" i="293" a="1"/>
  <c r="P108" i="293" s="1"/>
  <c r="N104" i="299" s="1"/>
  <c r="AB105" i="180"/>
  <c r="AB108" i="180"/>
  <c r="AB113" i="180"/>
  <c r="AB106" i="180"/>
  <c r="AB112" i="180"/>
  <c r="AB111" i="180"/>
  <c r="AB107" i="180"/>
  <c r="AB110" i="180"/>
  <c r="W109" i="293" l="1" a="1"/>
  <c r="W109" i="293" s="1"/>
  <c r="U105" i="299" s="1"/>
  <c r="W106" i="293" a="1"/>
  <c r="W106" i="293" s="1"/>
  <c r="U102" i="299" s="1"/>
  <c r="W110" i="293" a="1"/>
  <c r="W110" i="293" s="1"/>
  <c r="U106" i="299" s="1"/>
  <c r="W111" i="293" a="1"/>
  <c r="W111" i="293" s="1"/>
  <c r="U107" i="299" s="1"/>
  <c r="W105" i="293" a="1"/>
  <c r="W105" i="293" s="1"/>
  <c r="U101" i="299" s="1"/>
  <c r="W112" i="293" a="1"/>
  <c r="W112" i="293" s="1"/>
  <c r="U108" i="299" s="1"/>
  <c r="W107" i="293" a="1"/>
  <c r="W107" i="293" s="1"/>
  <c r="U103" i="299" s="1"/>
  <c r="W104" i="293" a="1"/>
  <c r="W104" i="293" s="1"/>
  <c r="U100" i="299" s="1"/>
  <c r="AB109" i="180"/>
  <c r="P104" i="293" a="1"/>
  <c r="P104" i="293" s="1"/>
  <c r="N100" i="299" s="1"/>
  <c r="W108" i="293" l="1" a="1"/>
  <c r="W108" i="293" s="1"/>
  <c r="U104" i="299" s="1"/>
  <c r="F23" i="260" a="1"/>
  <c r="F23" i="260" s="1"/>
  <c r="F23" i="261" a="1"/>
  <c r="F23" i="261" s="1"/>
  <c r="S11" i="261" l="1"/>
  <c r="S10" i="261"/>
  <c r="S12" i="261" s="1"/>
  <c r="G23" i="261" a="1"/>
  <c r="G23" i="261" s="1"/>
  <c r="G23" i="260" a="1"/>
  <c r="G23" i="260" s="1"/>
  <c r="E23" i="260" a="1"/>
  <c r="E23" i="260" s="1"/>
  <c r="E23" i="261" a="1"/>
  <c r="E23" i="261" s="1"/>
  <c r="D23" i="261" a="1"/>
  <c r="D23" i="261" s="1"/>
  <c r="D23" i="260" a="1"/>
  <c r="D23" i="260" s="1"/>
  <c r="F19" i="261"/>
  <c r="F21" i="261"/>
  <c r="U11" i="260"/>
  <c r="U10" i="260"/>
  <c r="F19" i="260"/>
  <c r="F21" i="260"/>
  <c r="U12" i="260" l="1"/>
  <c r="F20" i="260" s="1"/>
  <c r="Q11" i="261"/>
  <c r="Q10" i="261"/>
  <c r="R11" i="261"/>
  <c r="R10" i="261"/>
  <c r="T10" i="261"/>
  <c r="T11" i="261"/>
  <c r="F20" i="261"/>
  <c r="S10" i="260"/>
  <c r="S11" i="260"/>
  <c r="D19" i="260"/>
  <c r="D18" i="260"/>
  <c r="D21" i="260"/>
  <c r="D21" i="261"/>
  <c r="D19" i="261"/>
  <c r="D18" i="261"/>
  <c r="E19" i="261"/>
  <c r="E18" i="261"/>
  <c r="E21" i="261"/>
  <c r="T11" i="260"/>
  <c r="E18" i="260"/>
  <c r="E21" i="260"/>
  <c r="E19" i="260"/>
  <c r="T10" i="260"/>
  <c r="V11" i="260"/>
  <c r="V10" i="260"/>
  <c r="G21" i="260"/>
  <c r="G19" i="260"/>
  <c r="G21" i="261"/>
  <c r="G19" i="261"/>
  <c r="I83" i="180" a="1"/>
  <c r="M83" i="180" a="1"/>
  <c r="I45" i="180" a="1"/>
  <c r="N45" i="180" a="1"/>
  <c r="T83" i="180" a="1"/>
  <c r="H45" i="180" a="1"/>
  <c r="T45" i="180" a="1"/>
  <c r="H83" i="180" a="1"/>
  <c r="M45" i="180" a="1"/>
  <c r="N83" i="180" a="1"/>
  <c r="Q12" i="261" l="1"/>
  <c r="D20" i="261" s="1"/>
  <c r="N83" i="180"/>
  <c r="I45" i="180"/>
  <c r="I83" i="180"/>
  <c r="N45" i="180"/>
  <c r="T12" i="261"/>
  <c r="G20" i="261" s="1"/>
  <c r="R12" i="261"/>
  <c r="E20" i="261" s="1"/>
  <c r="H45" i="180"/>
  <c r="T45" i="180"/>
  <c r="M83" i="180"/>
  <c r="M45" i="180"/>
  <c r="H83" i="180"/>
  <c r="T83" i="180"/>
  <c r="V12" i="260"/>
  <c r="G20" i="260" s="1"/>
  <c r="H21" i="260"/>
  <c r="H19" i="261"/>
  <c r="S12" i="260"/>
  <c r="D20" i="260" s="1"/>
  <c r="H19" i="260"/>
  <c r="T12" i="260"/>
  <c r="E20" i="260" s="1"/>
  <c r="H21" i="261"/>
  <c r="G18" i="261"/>
  <c r="F18" i="261"/>
  <c r="H18" i="261"/>
  <c r="H18" i="260"/>
  <c r="G18" i="260"/>
  <c r="F18" i="260"/>
  <c r="O83" i="180" a="1"/>
  <c r="S45" i="180" a="1"/>
  <c r="J45" i="180" a="1"/>
  <c r="X45" i="180" a="1"/>
  <c r="J83" i="180" a="1"/>
  <c r="O45" i="180" a="1"/>
  <c r="W83" i="180" a="1"/>
  <c r="S83" i="180" a="1"/>
  <c r="W45" i="180" a="1"/>
  <c r="X83" i="180" a="1"/>
  <c r="U83" i="180" l="1"/>
  <c r="J82" i="293" a="1"/>
  <c r="J82" i="293" s="1"/>
  <c r="H78" i="299" s="1"/>
  <c r="N44" i="293" a="1"/>
  <c r="N44" i="293" s="1"/>
  <c r="L40" i="299" s="1"/>
  <c r="N82" i="293" a="1"/>
  <c r="N82" i="293" s="1"/>
  <c r="L78" i="299" s="1"/>
  <c r="U45" i="180"/>
  <c r="J44" i="293" a="1"/>
  <c r="J44" i="293" s="1"/>
  <c r="H40" i="299" s="1"/>
  <c r="O44" i="293" a="1"/>
  <c r="O44" i="293" s="1"/>
  <c r="M40" i="299" s="1"/>
  <c r="K82" i="293" a="1"/>
  <c r="K82" i="293" s="1"/>
  <c r="I78" i="299" s="1"/>
  <c r="K44" i="293" a="1"/>
  <c r="K44" i="293" s="1"/>
  <c r="I40" i="299" s="1"/>
  <c r="O82" i="293" a="1"/>
  <c r="O82" i="293" s="1"/>
  <c r="M78" i="299" s="1"/>
  <c r="S82" i="293" a="1"/>
  <c r="S82" i="293" s="1"/>
  <c r="Q78" i="299" s="1"/>
  <c r="S44" i="293" a="1"/>
  <c r="S44" i="293" s="1"/>
  <c r="Q40" i="299" s="1"/>
  <c r="Q45" i="180"/>
  <c r="L45" i="180"/>
  <c r="Q83" i="180"/>
  <c r="L83" i="180"/>
  <c r="O45" i="180"/>
  <c r="X45" i="180"/>
  <c r="J83" i="180"/>
  <c r="W45" i="180"/>
  <c r="S45" i="180"/>
  <c r="O83" i="180"/>
  <c r="X83" i="180"/>
  <c r="S83" i="180"/>
  <c r="W83" i="180"/>
  <c r="J45" i="180"/>
  <c r="H20" i="260"/>
  <c r="H20" i="261"/>
  <c r="K45" i="180" l="1"/>
  <c r="U82" i="293" a="1"/>
  <c r="U82" i="293" s="1"/>
  <c r="S78" i="299" s="1"/>
  <c r="R82" i="293" a="1"/>
  <c r="R82" i="293" s="1"/>
  <c r="P78" i="299" s="1"/>
  <c r="Y83" i="180"/>
  <c r="P83" i="180"/>
  <c r="R44" i="293" a="1"/>
  <c r="R44" i="293" s="1"/>
  <c r="P40" i="299" s="1"/>
  <c r="U44" i="293" a="1"/>
  <c r="U44" i="293" s="1"/>
  <c r="S40" i="299" s="1"/>
  <c r="K83" i="180"/>
  <c r="Y45" i="180"/>
  <c r="P45" i="180"/>
  <c r="I82" i="293" a="1"/>
  <c r="I82" i="293" s="1"/>
  <c r="G78" i="299" s="1"/>
  <c r="M82" i="293" a="1"/>
  <c r="M82" i="293" s="1"/>
  <c r="K78" i="299" s="1"/>
  <c r="I44" i="293" a="1"/>
  <c r="I44" i="293" s="1"/>
  <c r="G40" i="299" s="1"/>
  <c r="M44" i="293" a="1"/>
  <c r="M44" i="293" s="1"/>
  <c r="K40" i="299" s="1"/>
  <c r="V44" i="293" a="1"/>
  <c r="V44" i="293" s="1"/>
  <c r="T40" i="299" s="1"/>
  <c r="V82" i="293" a="1"/>
  <c r="V82" i="293" s="1"/>
  <c r="T78" i="299" s="1"/>
  <c r="P44" i="293" a="1"/>
  <c r="P44" i="293" s="1"/>
  <c r="N40" i="299" s="1"/>
  <c r="P82" i="293" a="1"/>
  <c r="P82" i="293" s="1"/>
  <c r="N78" i="299" s="1"/>
  <c r="L82" i="293" a="1"/>
  <c r="L82" i="293" s="1"/>
  <c r="J78" i="299" s="1"/>
  <c r="L44" i="293" a="1"/>
  <c r="L44" i="293" s="1"/>
  <c r="J40" i="299" s="1"/>
  <c r="V83" i="180"/>
  <c r="V45" i="180"/>
  <c r="AB45" i="180"/>
  <c r="AB83" i="180"/>
  <c r="Z45" i="180"/>
  <c r="C96" i="190"/>
  <c r="Z83" i="180"/>
  <c r="T82" i="293" l="1" a="1"/>
  <c r="T82" i="293" s="1"/>
  <c r="R78" i="299" s="1"/>
  <c r="T44" i="293" a="1"/>
  <c r="T44" i="293" s="1"/>
  <c r="R40" i="299" s="1"/>
  <c r="W82" i="293" a="1"/>
  <c r="W82" i="293" s="1"/>
  <c r="U78" i="299" s="1"/>
  <c r="W44" i="293" a="1"/>
  <c r="W44" i="293" s="1"/>
  <c r="U40" i="299" s="1"/>
  <c r="Q44" i="293" a="1"/>
  <c r="Q44" i="293" s="1"/>
  <c r="O40" i="299" s="1"/>
  <c r="Q82" i="293" a="1"/>
  <c r="Q82" i="293" s="1"/>
  <c r="O78" i="299" s="1"/>
  <c r="L117" i="180"/>
  <c r="L126" i="180"/>
  <c r="L125" i="180"/>
  <c r="I120" i="180"/>
  <c r="L127" i="180"/>
  <c r="L129" i="180"/>
  <c r="L115" i="180"/>
  <c r="L121" i="180"/>
  <c r="L118" i="180"/>
  <c r="L124" i="180"/>
  <c r="L123" i="180"/>
  <c r="L128" i="180"/>
  <c r="L122" i="180"/>
  <c r="L116" i="180"/>
  <c r="T117" i="180"/>
  <c r="L120" i="180"/>
  <c r="L119" i="180"/>
  <c r="N24" i="190"/>
  <c r="N38" i="190" s="1"/>
  <c r="O24" i="190"/>
  <c r="O38" i="190" s="1"/>
  <c r="M24" i="190"/>
  <c r="M38" i="190" s="1"/>
  <c r="O96" i="190"/>
  <c r="N96" i="190"/>
  <c r="P96" i="190"/>
  <c r="D96" i="190"/>
  <c r="E96" i="190"/>
  <c r="F101" i="190"/>
  <c r="J96" i="190"/>
  <c r="I96" i="190"/>
  <c r="H96" i="190"/>
  <c r="G96" i="190"/>
  <c r="F96" i="190"/>
  <c r="M96" i="190"/>
  <c r="L96" i="190"/>
  <c r="I97" i="190"/>
  <c r="Q96" i="190"/>
  <c r="R96" i="190"/>
  <c r="K96" i="190"/>
  <c r="L38" i="190"/>
  <c r="I118" i="293" l="1" a="1"/>
  <c r="I118" i="293" s="1"/>
  <c r="G114" i="299" s="1"/>
  <c r="I119" i="293" a="1"/>
  <c r="I119" i="293" s="1"/>
  <c r="G115" i="299" s="1"/>
  <c r="U117" i="180"/>
  <c r="I115" i="293" a="1"/>
  <c r="I115" i="293" s="1"/>
  <c r="G111" i="299" s="1"/>
  <c r="I121" i="293" a="1"/>
  <c r="I121" i="293" s="1"/>
  <c r="G117" i="299" s="1"/>
  <c r="I127" i="293" a="1"/>
  <c r="I127" i="293" s="1"/>
  <c r="G123" i="299" s="1"/>
  <c r="I122" i="293" a="1"/>
  <c r="I122" i="293" s="1"/>
  <c r="G118" i="299" s="1"/>
  <c r="I123" i="293" a="1"/>
  <c r="I123" i="293" s="1"/>
  <c r="G119" i="299" s="1"/>
  <c r="I117" i="293" a="1"/>
  <c r="I117" i="293" s="1"/>
  <c r="G113" i="299" s="1"/>
  <c r="I120" i="293" a="1"/>
  <c r="I120" i="293" s="1"/>
  <c r="G116" i="299" s="1"/>
  <c r="I114" i="293" a="1"/>
  <c r="I114" i="293" s="1"/>
  <c r="G110" i="299" s="1"/>
  <c r="I128" i="293" a="1"/>
  <c r="I128" i="293" s="1"/>
  <c r="G124" i="299" s="1"/>
  <c r="I126" i="293" a="1"/>
  <c r="I126" i="293" s="1"/>
  <c r="G122" i="299" s="1"/>
  <c r="K119" i="293" a="1"/>
  <c r="K119" i="293" s="1"/>
  <c r="I115" i="299" s="1"/>
  <c r="I124" i="293" a="1"/>
  <c r="I124" i="293" s="1"/>
  <c r="G120" i="299" s="1"/>
  <c r="I125" i="293" a="1"/>
  <c r="I125" i="293" s="1"/>
  <c r="G121" i="299" s="1"/>
  <c r="I116" i="293" a="1"/>
  <c r="I116" i="293" s="1"/>
  <c r="G112" i="299" s="1"/>
  <c r="S116" i="293" a="1"/>
  <c r="S116" i="293" s="1"/>
  <c r="Q112" i="299" s="1"/>
  <c r="I115" i="180"/>
  <c r="Q118" i="180"/>
  <c r="Q125" i="180"/>
  <c r="I116" i="180"/>
  <c r="I122" i="180"/>
  <c r="N100" i="190"/>
  <c r="I119" i="180"/>
  <c r="Q122" i="180"/>
  <c r="Q119" i="180"/>
  <c r="Q126" i="180"/>
  <c r="I123" i="180"/>
  <c r="I117" i="180"/>
  <c r="T120" i="180"/>
  <c r="R100" i="190"/>
  <c r="I100" i="190"/>
  <c r="O100" i="190"/>
  <c r="I126" i="180"/>
  <c r="E100" i="190"/>
  <c r="D100" i="190"/>
  <c r="Q100" i="190"/>
  <c r="Q117" i="180"/>
  <c r="Q127" i="180"/>
  <c r="I129" i="180"/>
  <c r="I124" i="180"/>
  <c r="M100" i="190"/>
  <c r="Q129" i="180"/>
  <c r="Q120" i="180"/>
  <c r="Q128" i="180"/>
  <c r="Q121" i="180"/>
  <c r="I128" i="180"/>
  <c r="I127" i="180"/>
  <c r="J100" i="190"/>
  <c r="N120" i="180"/>
  <c r="T129" i="180"/>
  <c r="F100" i="190"/>
  <c r="X117" i="180"/>
  <c r="Q123" i="180"/>
  <c r="Q116" i="180"/>
  <c r="I125" i="180"/>
  <c r="I121" i="180"/>
  <c r="Q124" i="180"/>
  <c r="Q115" i="180"/>
  <c r="I118" i="180"/>
  <c r="T124" i="180"/>
  <c r="V121" i="180"/>
  <c r="V126" i="180"/>
  <c r="V124" i="180"/>
  <c r="V125" i="180"/>
  <c r="V129" i="180"/>
  <c r="V120" i="180"/>
  <c r="V117" i="180"/>
  <c r="V116" i="180"/>
  <c r="V115" i="180"/>
  <c r="V128" i="180"/>
  <c r="K101" i="190"/>
  <c r="T122" i="180"/>
  <c r="L101" i="190"/>
  <c r="T123" i="180"/>
  <c r="H101" i="190"/>
  <c r="T119" i="180"/>
  <c r="Q101" i="190"/>
  <c r="T128" i="180"/>
  <c r="G101" i="190"/>
  <c r="T118" i="180"/>
  <c r="O101" i="190"/>
  <c r="T126" i="180"/>
  <c r="P101" i="190"/>
  <c r="T127" i="180"/>
  <c r="D101" i="190"/>
  <c r="T115" i="180"/>
  <c r="E101" i="190"/>
  <c r="T116" i="180"/>
  <c r="N101" i="190"/>
  <c r="T125" i="180"/>
  <c r="Q97" i="190"/>
  <c r="P97" i="190"/>
  <c r="H97" i="190"/>
  <c r="J97" i="190"/>
  <c r="D97" i="190"/>
  <c r="G97" i="190"/>
  <c r="R97" i="190"/>
  <c r="M97" i="190"/>
  <c r="E97" i="190"/>
  <c r="F97" i="190"/>
  <c r="I114" i="180"/>
  <c r="AB120" i="180"/>
  <c r="R101" i="190"/>
  <c r="G100" i="190"/>
  <c r="J101" i="190"/>
  <c r="P100" i="190"/>
  <c r="H100" i="190"/>
  <c r="K100" i="190"/>
  <c r="N97" i="190"/>
  <c r="L100" i="190"/>
  <c r="M101" i="190"/>
  <c r="I101" i="190"/>
  <c r="AB121" i="180"/>
  <c r="L97" i="190"/>
  <c r="K97" i="190"/>
  <c r="O97" i="190"/>
  <c r="C97" i="190"/>
  <c r="W120" i="293" l="1" a="1"/>
  <c r="W120" i="293" s="1"/>
  <c r="U116" i="299" s="1"/>
  <c r="W119" i="293" a="1"/>
  <c r="W119" i="293" s="1"/>
  <c r="U115" i="299" s="1"/>
  <c r="K113" i="293" a="1"/>
  <c r="K113" i="293" s="1"/>
  <c r="I109" i="299" s="1"/>
  <c r="U125" i="180"/>
  <c r="U116" i="180"/>
  <c r="U115" i="180"/>
  <c r="U127" i="180"/>
  <c r="U126" i="180"/>
  <c r="U118" i="180"/>
  <c r="U128" i="180"/>
  <c r="U119" i="180"/>
  <c r="U123" i="180"/>
  <c r="U122" i="180"/>
  <c r="Q127" i="293" a="1"/>
  <c r="Q127" i="293" s="1"/>
  <c r="O123" i="299" s="1"/>
  <c r="Q114" i="293" a="1"/>
  <c r="Q114" i="293" s="1"/>
  <c r="O110" i="299" s="1"/>
  <c r="Q115" i="293" a="1"/>
  <c r="Q115" i="293" s="1"/>
  <c r="O111" i="299" s="1"/>
  <c r="Q116" i="293" a="1"/>
  <c r="Q116" i="293" s="1"/>
  <c r="O112" i="299" s="1"/>
  <c r="Q119" i="293" a="1"/>
  <c r="Q119" i="293" s="1"/>
  <c r="O115" i="299" s="1"/>
  <c r="Q128" i="293" a="1"/>
  <c r="Q128" i="293" s="1"/>
  <c r="O124" i="299" s="1"/>
  <c r="Q124" i="293" a="1"/>
  <c r="Q124" i="293" s="1"/>
  <c r="O120" i="299" s="1"/>
  <c r="Q123" i="293" a="1"/>
  <c r="Q123" i="293" s="1"/>
  <c r="O119" i="299" s="1"/>
  <c r="Q125" i="293" a="1"/>
  <c r="Q125" i="293" s="1"/>
  <c r="O121" i="299" s="1"/>
  <c r="Q120" i="293" a="1"/>
  <c r="Q120" i="293" s="1"/>
  <c r="O116" i="299" s="1"/>
  <c r="U124" i="180"/>
  <c r="K117" i="293" a="1"/>
  <c r="K117" i="293" s="1"/>
  <c r="I113" i="299" s="1"/>
  <c r="M114" i="293" a="1"/>
  <c r="M114" i="293" s="1"/>
  <c r="K110" i="299" s="1"/>
  <c r="M123" i="293" a="1"/>
  <c r="M123" i="293" s="1"/>
  <c r="K119" i="299" s="1"/>
  <c r="K120" i="293" a="1"/>
  <c r="K120" i="293" s="1"/>
  <c r="I116" i="299" s="1"/>
  <c r="K124" i="293" a="1"/>
  <c r="K124" i="293" s="1"/>
  <c r="I120" i="299" s="1"/>
  <c r="M115" i="293" a="1"/>
  <c r="M115" i="293" s="1"/>
  <c r="K111" i="299" s="1"/>
  <c r="M122" i="293" a="1"/>
  <c r="M122" i="293" s="1"/>
  <c r="K118" i="299" s="1"/>
  <c r="U121" i="180"/>
  <c r="Y117" i="180"/>
  <c r="U129" i="180"/>
  <c r="O119" i="293" a="1"/>
  <c r="O119" i="293" s="1"/>
  <c r="M115" i="299" s="1"/>
  <c r="K126" i="293" a="1"/>
  <c r="K126" i="293" s="1"/>
  <c r="I122" i="299" s="1"/>
  <c r="K127" i="293" a="1"/>
  <c r="K127" i="293" s="1"/>
  <c r="I123" i="299" s="1"/>
  <c r="M120" i="293" a="1"/>
  <c r="M120" i="293" s="1"/>
  <c r="K116" i="299" s="1"/>
  <c r="M127" i="293" a="1"/>
  <c r="M127" i="293" s="1"/>
  <c r="K123" i="299" s="1"/>
  <c r="M119" i="293" a="1"/>
  <c r="M119" i="293" s="1"/>
  <c r="K115" i="299" s="1"/>
  <c r="M128" i="293" a="1"/>
  <c r="M128" i="293" s="1"/>
  <c r="K124" i="299" s="1"/>
  <c r="K123" i="293" a="1"/>
  <c r="K123" i="293" s="1"/>
  <c r="I119" i="299" s="1"/>
  <c r="K128" i="293" a="1"/>
  <c r="K128" i="293" s="1"/>
  <c r="I124" i="299" s="1"/>
  <c r="M126" i="293" a="1"/>
  <c r="M126" i="293" s="1"/>
  <c r="K122" i="299" s="1"/>
  <c r="M116" i="293" a="1"/>
  <c r="M116" i="293" s="1"/>
  <c r="K112" i="299" s="1"/>
  <c r="K125" i="293" a="1"/>
  <c r="K125" i="293" s="1"/>
  <c r="I121" i="299" s="1"/>
  <c r="U120" i="180"/>
  <c r="K116" i="293" a="1"/>
  <c r="K116" i="293" s="1"/>
  <c r="I112" i="299" s="1"/>
  <c r="K122" i="293" a="1"/>
  <c r="K122" i="293" s="1"/>
  <c r="I118" i="299" s="1"/>
  <c r="M125" i="293" a="1"/>
  <c r="M125" i="293" s="1"/>
  <c r="K121" i="299" s="1"/>
  <c r="M118" i="293" a="1"/>
  <c r="M118" i="293" s="1"/>
  <c r="K114" i="299" s="1"/>
  <c r="M121" i="293" a="1"/>
  <c r="M121" i="293" s="1"/>
  <c r="K117" i="299" s="1"/>
  <c r="K118" i="293" a="1"/>
  <c r="K118" i="293" s="1"/>
  <c r="I114" i="299" s="1"/>
  <c r="K121" i="293" a="1"/>
  <c r="K121" i="293" s="1"/>
  <c r="I117" i="299" s="1"/>
  <c r="K115" i="293" a="1"/>
  <c r="K115" i="293" s="1"/>
  <c r="I111" i="299" s="1"/>
  <c r="M124" i="293" a="1"/>
  <c r="M124" i="293" s="1"/>
  <c r="K120" i="299" s="1"/>
  <c r="M117" i="293" a="1"/>
  <c r="M117" i="293" s="1"/>
  <c r="K113" i="299" s="1"/>
  <c r="K114" i="293" a="1"/>
  <c r="K114" i="293" s="1"/>
  <c r="I110" i="299" s="1"/>
  <c r="V116" i="293" a="1"/>
  <c r="V116" i="293" s="1"/>
  <c r="T112" i="299" s="1"/>
  <c r="S117" i="293" a="1"/>
  <c r="S117" i="293" s="1"/>
  <c r="Q113" i="299" s="1"/>
  <c r="S115" i="293" a="1"/>
  <c r="S115" i="293" s="1"/>
  <c r="Q111" i="299" s="1"/>
  <c r="S121" i="293" a="1"/>
  <c r="S121" i="293" s="1"/>
  <c r="Q117" i="299" s="1"/>
  <c r="S114" i="293" a="1"/>
  <c r="S114" i="293" s="1"/>
  <c r="Q110" i="299" s="1"/>
  <c r="S126" i="293" a="1"/>
  <c r="S126" i="293" s="1"/>
  <c r="Q122" i="299" s="1"/>
  <c r="S118" i="293" a="1"/>
  <c r="S118" i="293" s="1"/>
  <c r="Q114" i="299" s="1"/>
  <c r="S123" i="293" a="1"/>
  <c r="S123" i="293" s="1"/>
  <c r="Q119" i="299" s="1"/>
  <c r="S120" i="293" a="1"/>
  <c r="S120" i="293" s="1"/>
  <c r="Q116" i="299" s="1"/>
  <c r="S128" i="293" a="1"/>
  <c r="S128" i="293" s="1"/>
  <c r="Q124" i="299" s="1"/>
  <c r="S119" i="293" a="1"/>
  <c r="S119" i="293" s="1"/>
  <c r="Q115" i="299" s="1"/>
  <c r="S127" i="293" a="1"/>
  <c r="S127" i="293" s="1"/>
  <c r="Q123" i="299" s="1"/>
  <c r="S124" i="293" a="1"/>
  <c r="S124" i="293" s="1"/>
  <c r="Q120" i="299" s="1"/>
  <c r="S125" i="293" a="1"/>
  <c r="S125" i="293" s="1"/>
  <c r="Q121" i="299" s="1"/>
  <c r="S122" i="293" a="1"/>
  <c r="S122" i="293" s="1"/>
  <c r="Q118" i="299" s="1"/>
  <c r="N125" i="180"/>
  <c r="N115" i="180"/>
  <c r="X116" i="180"/>
  <c r="X118" i="180"/>
  <c r="X122" i="180"/>
  <c r="Z117" i="180"/>
  <c r="Z128" i="180"/>
  <c r="Z126" i="180"/>
  <c r="N126" i="180"/>
  <c r="Z122" i="180"/>
  <c r="N121" i="180"/>
  <c r="N122" i="180"/>
  <c r="Z119" i="180"/>
  <c r="N119" i="180"/>
  <c r="X115" i="180"/>
  <c r="X128" i="180"/>
  <c r="Z115" i="180"/>
  <c r="Z120" i="180"/>
  <c r="Z123" i="180"/>
  <c r="X129" i="180"/>
  <c r="N118" i="180"/>
  <c r="N123" i="180"/>
  <c r="Z127" i="180"/>
  <c r="N117" i="180"/>
  <c r="N127" i="180"/>
  <c r="N116" i="180"/>
  <c r="N128" i="180"/>
  <c r="X127" i="180"/>
  <c r="X119" i="180"/>
  <c r="Z124" i="180"/>
  <c r="Z116" i="180"/>
  <c r="Z129" i="180"/>
  <c r="Z125" i="180"/>
  <c r="X120" i="180"/>
  <c r="X121" i="180"/>
  <c r="N124" i="180"/>
  <c r="X124" i="180"/>
  <c r="Z118" i="180"/>
  <c r="N129" i="180"/>
  <c r="X125" i="180"/>
  <c r="X126" i="180"/>
  <c r="X123" i="180"/>
  <c r="Z121" i="180"/>
  <c r="V118" i="180"/>
  <c r="V123" i="180"/>
  <c r="V122" i="180"/>
  <c r="V119" i="180"/>
  <c r="V127" i="180"/>
  <c r="AB124" i="180"/>
  <c r="AB122" i="180"/>
  <c r="AB129" i="180"/>
  <c r="AB126" i="180"/>
  <c r="AB123" i="180"/>
  <c r="AB118" i="180"/>
  <c r="AB115" i="180"/>
  <c r="AB125" i="180"/>
  <c r="AB119" i="180"/>
  <c r="AB117" i="180"/>
  <c r="AB127" i="180"/>
  <c r="AB116" i="180"/>
  <c r="AB128" i="180"/>
  <c r="N114" i="180"/>
  <c r="O113" i="293" l="1" a="1"/>
  <c r="O113" i="293" s="1"/>
  <c r="M109" i="299" s="1"/>
  <c r="W127" i="293" a="1"/>
  <c r="W127" i="293" s="1"/>
  <c r="U123" i="299" s="1"/>
  <c r="W115" i="293" a="1"/>
  <c r="W115" i="293" s="1"/>
  <c r="U111" i="299" s="1"/>
  <c r="W126" i="293" a="1"/>
  <c r="W126" i="293" s="1"/>
  <c r="U122" i="299" s="1"/>
  <c r="W116" i="293" a="1"/>
  <c r="W116" i="293" s="1"/>
  <c r="U112" i="299" s="1"/>
  <c r="W118" i="293" a="1"/>
  <c r="W118" i="293" s="1"/>
  <c r="U114" i="299" s="1"/>
  <c r="W124" i="293" a="1"/>
  <c r="W124" i="293" s="1"/>
  <c r="U120" i="299" s="1"/>
  <c r="W114" i="293" a="1"/>
  <c r="W114" i="293" s="1"/>
  <c r="U110" i="299" s="1"/>
  <c r="W117" i="293" a="1"/>
  <c r="W117" i="293" s="1"/>
  <c r="U113" i="299" s="1"/>
  <c r="W122" i="293" a="1"/>
  <c r="W122" i="293" s="1"/>
  <c r="U118" i="299" s="1"/>
  <c r="W125" i="293" a="1"/>
  <c r="W125" i="293" s="1"/>
  <c r="U121" i="299" s="1"/>
  <c r="W128" i="293" a="1"/>
  <c r="W128" i="293" s="1"/>
  <c r="U124" i="299" s="1"/>
  <c r="W121" i="293" a="1"/>
  <c r="W121" i="293" s="1"/>
  <c r="U117" i="299" s="1"/>
  <c r="W123" i="293" a="1"/>
  <c r="W123" i="293" s="1"/>
  <c r="U119" i="299" s="1"/>
  <c r="Q126" i="293" a="1"/>
  <c r="Q126" i="293" s="1"/>
  <c r="O122" i="299" s="1"/>
  <c r="Q118" i="293" a="1"/>
  <c r="Q118" i="293" s="1"/>
  <c r="O114" i="299" s="1"/>
  <c r="Q121" i="293" a="1"/>
  <c r="Q121" i="293" s="1"/>
  <c r="O117" i="299" s="1"/>
  <c r="Q122" i="293" a="1"/>
  <c r="Q122" i="293" s="1"/>
  <c r="O118" i="299" s="1"/>
  <c r="Q117" i="293" a="1"/>
  <c r="Q117" i="293" s="1"/>
  <c r="O113" i="299" s="1"/>
  <c r="T120" i="293" a="1"/>
  <c r="T120" i="293" s="1"/>
  <c r="R116" i="299" s="1"/>
  <c r="Y123" i="180"/>
  <c r="Y126" i="180"/>
  <c r="Y125" i="180"/>
  <c r="O128" i="293" a="1"/>
  <c r="O128" i="293" s="1"/>
  <c r="M124" i="299" s="1"/>
  <c r="T117" i="293" a="1"/>
  <c r="T117" i="293" s="1"/>
  <c r="R113" i="299" s="1"/>
  <c r="Y124" i="180"/>
  <c r="O123" i="293" a="1"/>
  <c r="O123" i="293" s="1"/>
  <c r="M119" i="299" s="1"/>
  <c r="Y121" i="180"/>
  <c r="Y120" i="180"/>
  <c r="T124" i="293" a="1"/>
  <c r="T124" i="293" s="1"/>
  <c r="R120" i="299" s="1"/>
  <c r="T128" i="293" a="1"/>
  <c r="T128" i="293" s="1"/>
  <c r="R124" i="299" s="1"/>
  <c r="T115" i="293" a="1"/>
  <c r="T115" i="293" s="1"/>
  <c r="R111" i="299" s="1"/>
  <c r="T123" i="293" a="1"/>
  <c r="T123" i="293" s="1"/>
  <c r="R119" i="299" s="1"/>
  <c r="Y119" i="180"/>
  <c r="Y127" i="180"/>
  <c r="O127" i="293" a="1"/>
  <c r="O127" i="293" s="1"/>
  <c r="M123" i="299" s="1"/>
  <c r="O115" i="293" a="1"/>
  <c r="O115" i="293" s="1"/>
  <c r="M111" i="299" s="1"/>
  <c r="O126" i="293" a="1"/>
  <c r="O126" i="293" s="1"/>
  <c r="M122" i="299" s="1"/>
  <c r="O116" i="293" a="1"/>
  <c r="O116" i="293" s="1"/>
  <c r="M112" i="299" s="1"/>
  <c r="T126" i="293" a="1"/>
  <c r="T126" i="293" s="1"/>
  <c r="R122" i="299" s="1"/>
  <c r="O122" i="293" a="1"/>
  <c r="O122" i="293" s="1"/>
  <c r="M118" i="299" s="1"/>
  <c r="O117" i="293" a="1"/>
  <c r="O117" i="293" s="1"/>
  <c r="M113" i="299" s="1"/>
  <c r="Y129" i="180"/>
  <c r="T122" i="293" a="1"/>
  <c r="T122" i="293" s="1"/>
  <c r="R118" i="299" s="1"/>
  <c r="T119" i="293" a="1"/>
  <c r="T119" i="293" s="1"/>
  <c r="R115" i="299" s="1"/>
  <c r="T114" i="293" a="1"/>
  <c r="T114" i="293" s="1"/>
  <c r="R110" i="299" s="1"/>
  <c r="Y128" i="180"/>
  <c r="Y115" i="180"/>
  <c r="O118" i="293" a="1"/>
  <c r="O118" i="293" s="1"/>
  <c r="M114" i="299" s="1"/>
  <c r="T118" i="293" a="1"/>
  <c r="T118" i="293" s="1"/>
  <c r="R114" i="299" s="1"/>
  <c r="O121" i="293" a="1"/>
  <c r="O121" i="293" s="1"/>
  <c r="M117" i="299" s="1"/>
  <c r="O120" i="293" a="1"/>
  <c r="O120" i="293" s="1"/>
  <c r="M116" i="299" s="1"/>
  <c r="T121" i="293" a="1"/>
  <c r="T121" i="293" s="1"/>
  <c r="R117" i="299" s="1"/>
  <c r="O125" i="293" a="1"/>
  <c r="O125" i="293" s="1"/>
  <c r="M121" i="299" s="1"/>
  <c r="T125" i="293" a="1"/>
  <c r="T125" i="293" s="1"/>
  <c r="R121" i="299" s="1"/>
  <c r="T127" i="293" a="1"/>
  <c r="T127" i="293" s="1"/>
  <c r="R123" i="299" s="1"/>
  <c r="T116" i="293" a="1"/>
  <c r="T116" i="293" s="1"/>
  <c r="R112" i="299" s="1"/>
  <c r="Y122" i="180"/>
  <c r="Y118" i="180"/>
  <c r="Y116" i="180"/>
  <c r="O114" i="293" a="1"/>
  <c r="O114" i="293" s="1"/>
  <c r="M110" i="299" s="1"/>
  <c r="O124" i="293" a="1"/>
  <c r="O124" i="293" s="1"/>
  <c r="M120" i="299" s="1"/>
  <c r="V114" i="293" a="1"/>
  <c r="V114" i="293" s="1"/>
  <c r="T110" i="299" s="1"/>
  <c r="V123" i="293" a="1"/>
  <c r="V123" i="293" s="1"/>
  <c r="T119" i="299" s="1"/>
  <c r="V118" i="293" a="1"/>
  <c r="V118" i="293" s="1"/>
  <c r="T114" i="299" s="1"/>
  <c r="V126" i="293" a="1"/>
  <c r="V126" i="293" s="1"/>
  <c r="T122" i="299" s="1"/>
  <c r="V121" i="293" a="1"/>
  <c r="V121" i="293" s="1"/>
  <c r="T117" i="299" s="1"/>
  <c r="V120" i="293" a="1"/>
  <c r="V120" i="293" s="1"/>
  <c r="T116" i="299" s="1"/>
  <c r="V128" i="293" a="1"/>
  <c r="V128" i="293" s="1"/>
  <c r="T124" i="299" s="1"/>
  <c r="V117" i="293" a="1"/>
  <c r="V117" i="293" s="1"/>
  <c r="T113" i="299" s="1"/>
  <c r="V122" i="293" a="1"/>
  <c r="V122" i="293" s="1"/>
  <c r="T118" i="299" s="1"/>
  <c r="V119" i="293" a="1"/>
  <c r="V119" i="293" s="1"/>
  <c r="T115" i="299" s="1"/>
  <c r="V115" i="293" a="1"/>
  <c r="V115" i="293" s="1"/>
  <c r="T111" i="299" s="1"/>
  <c r="V125" i="293" a="1"/>
  <c r="V125" i="293" s="1"/>
  <c r="T121" i="299" s="1"/>
  <c r="V124" i="293" a="1"/>
  <c r="V124" i="293" s="1"/>
  <c r="T120" i="299" s="1"/>
  <c r="V127" i="293" a="1"/>
  <c r="V127" i="293" s="1"/>
  <c r="T123" i="299" s="1"/>
  <c r="C92" i="190"/>
  <c r="Q114" i="180" s="1"/>
  <c r="C93" i="190"/>
  <c r="M113" i="293" l="1" a="1"/>
  <c r="M113" i="293" s="1"/>
  <c r="K109" i="299" s="1"/>
  <c r="C100" i="190"/>
  <c r="Z114" i="180" s="1"/>
  <c r="V114" i="180"/>
  <c r="O114" i="180"/>
  <c r="T114" i="180"/>
  <c r="C101" i="190"/>
  <c r="X114" i="180" s="1"/>
  <c r="P114" i="180" l="1"/>
  <c r="Q113" i="293" a="1"/>
  <c r="Q113" i="293" s="1"/>
  <c r="O109" i="299" s="1"/>
  <c r="T113" i="293" a="1"/>
  <c r="T113" i="293" s="1"/>
  <c r="R109" i="299" s="1"/>
  <c r="AB114" i="180"/>
  <c r="P113" i="293" a="1"/>
  <c r="P113" i="293" s="1"/>
  <c r="N109" i="299" s="1"/>
  <c r="Y114" i="180"/>
  <c r="V113" i="293" a="1"/>
  <c r="V113" i="293" s="1"/>
  <c r="T109" i="299" s="1"/>
  <c r="U114" i="180"/>
  <c r="S113" i="293" a="1"/>
  <c r="S113" i="293" s="1"/>
  <c r="Q109" i="299" s="1"/>
  <c r="BO18" i="219"/>
  <c r="G18" i="219" s="1"/>
  <c r="L18" i="219" s="1"/>
  <c r="BN18" i="219"/>
  <c r="F18" i="219" s="1"/>
  <c r="K18" i="219" s="1"/>
  <c r="AY18" i="219"/>
  <c r="D18" i="219" s="1"/>
  <c r="I18" i="219" s="1"/>
  <c r="BH18" i="219"/>
  <c r="E18" i="219" s="1"/>
  <c r="J18" i="219" s="1"/>
  <c r="AH18" i="219"/>
  <c r="AP18" i="219"/>
  <c r="C18" i="219" s="1"/>
  <c r="H18" i="219" s="1"/>
  <c r="W113" i="293" l="1" a="1"/>
  <c r="W113" i="293" s="1"/>
  <c r="U109" i="29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Joel</author>
  </authors>
  <commentList>
    <comment ref="F18" authorId="0" shapeId="0" xr:uid="{5CC01095-54C6-4D5B-A396-C5EA28701995}">
      <text>
        <r>
          <rPr>
            <sz val="9"/>
            <color indexed="81"/>
            <rFont val="Tahoma"/>
            <family val="2"/>
          </rPr>
          <t>Value not maximum from below list. Instead using product that gave the maximum upfront carbon emission as a representative product. To conserve appropriate densities and carbon content of wood product.</t>
        </r>
      </text>
    </comment>
    <comment ref="G18" authorId="0" shapeId="0" xr:uid="{9C7E3455-3798-4513-9A0B-8505F1AD0522}">
      <text>
        <r>
          <rPr>
            <sz val="9"/>
            <color indexed="81"/>
            <rFont val="Tahoma"/>
            <family val="2"/>
          </rPr>
          <t xml:space="preserve">Value not maximum from below list. Instead using product that gave the maximum upfront carbon emission as a representative product.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Joel</author>
  </authors>
  <commentList>
    <comment ref="F18" authorId="0" shapeId="0" xr:uid="{FFC740E2-A2B1-4CC4-A31C-4A442C101FEF}">
      <text>
        <r>
          <rPr>
            <sz val="9"/>
            <color indexed="81"/>
            <rFont val="Tahoma"/>
            <family val="2"/>
          </rPr>
          <t>Value not maximum from below list. Instead using product that gave the maximum upfront carbon emission as a representative product. To conserve appropriate densities and carbon content of wood product.</t>
        </r>
      </text>
    </comment>
    <comment ref="G18" authorId="0" shapeId="0" xr:uid="{10BCC8C3-CD43-432A-94F6-70B90BA021DD}">
      <text>
        <r>
          <rPr>
            <sz val="9"/>
            <color indexed="81"/>
            <rFont val="Tahoma"/>
            <family val="2"/>
          </rPr>
          <t xml:space="preserve">Value not maximum from below list. Instead using product that gave the maximum upfront carbon emission as a representative product.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Joel</author>
  </authors>
  <commentList>
    <comment ref="F18" authorId="0" shapeId="0" xr:uid="{4B1CF69D-B4E7-485F-AE79-0D7692E07474}">
      <text>
        <r>
          <rPr>
            <sz val="9"/>
            <color indexed="81"/>
            <rFont val="Tahoma"/>
            <family val="2"/>
          </rPr>
          <t>Value not maximum from below list. Instead using product that gave the maximum upfront carbon emission as a representative product. To conserve appropriate densities and carbon content of wood product.</t>
        </r>
      </text>
    </comment>
    <comment ref="G18" authorId="0" shapeId="0" xr:uid="{F8BBF976-D0E5-40DD-B25C-874878F4D3AA}">
      <text>
        <r>
          <rPr>
            <sz val="9"/>
            <color indexed="81"/>
            <rFont val="Tahoma"/>
            <family val="2"/>
          </rPr>
          <t xml:space="preserve">Value not maximum from below list. Instead using product that gave the maximum upfront carbon emission as a representative product.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Joel</author>
  </authors>
  <commentList>
    <comment ref="AF17" authorId="0" shapeId="0" xr:uid="{9A3A85E7-F9DA-4812-8897-A812E325ECA9}">
      <text>
        <r>
          <rPr>
            <b/>
            <sz val="9"/>
            <color indexed="81"/>
            <rFont val="Tahoma"/>
            <family val="2"/>
          </rPr>
          <t xml:space="preserve">Applied to masses already 
</t>
        </r>
      </text>
    </comment>
    <comment ref="AH21" authorId="0" shapeId="0" xr:uid="{BEC3E42C-D84E-4F85-8D86-B79C68C77909}">
      <text>
        <r>
          <rPr>
            <b/>
            <sz val="9"/>
            <color indexed="81"/>
            <rFont val="Tahoma"/>
            <family val="2"/>
          </rPr>
          <t>Joel:</t>
        </r>
        <r>
          <rPr>
            <sz val="9"/>
            <color indexed="81"/>
            <rFont val="Tahoma"/>
            <family val="2"/>
          </rPr>
          <t xml:space="preserve">
Data says 54.17 though materials do not match this have used materials information</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Joel</author>
  </authors>
  <commentList>
    <comment ref="D2" authorId="0" shapeId="0" xr:uid="{C331FA4F-DD97-4039-B3E7-F220D09F2B5A}">
      <text>
        <r>
          <rPr>
            <sz val="9"/>
            <color indexed="81"/>
            <rFont val="Tahoma"/>
            <family val="2"/>
          </rPr>
          <t>Includes the waste of the material (offcuts, damaged, out of spec blending etc.) that occurs at the construction site and is directly related to the material.</t>
        </r>
      </text>
    </comment>
    <comment ref="E2" authorId="0" shapeId="0" xr:uid="{7F8808D2-EAA5-457A-B8AB-683EA4B30171}">
      <text>
        <r>
          <rPr>
            <sz val="9"/>
            <color indexed="81"/>
            <rFont val="Tahoma"/>
            <family val="2"/>
          </rPr>
          <t>Used when the material can be prefabricated offsite but the prefabication process is not included in the A1-A3 Emission factor.  Waste rates considered 50% lower than onsite construction as per Brugess JC, Buckett NR, Page IC  2013 - Prefabrication Impacts in the New Zealand Construction Industry</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Joel</author>
  </authors>
  <commentList>
    <comment ref="F18" authorId="0" shapeId="0" xr:uid="{0E386DF0-9429-4674-8317-F37D5E43E7CD}">
      <text>
        <r>
          <rPr>
            <sz val="9"/>
            <color indexed="81"/>
            <rFont val="Tahoma"/>
            <family val="2"/>
          </rPr>
          <t>Value not maximum from below list. Instead using product that gave the maximum upfront carbon emission as a representative product. To conserve appropriate densities and carbon content of wood product.</t>
        </r>
      </text>
    </comment>
    <comment ref="G18" authorId="0" shapeId="0" xr:uid="{B4E9CF5A-8A72-465B-8B77-A5B9A14A4DC2}">
      <text>
        <r>
          <rPr>
            <sz val="9"/>
            <color indexed="81"/>
            <rFont val="Tahoma"/>
            <family val="2"/>
          </rPr>
          <t xml:space="preserve">Value not maximum from below list. Instead using product that gave the maximum upfront carbon emission as a representative product.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Joel</author>
  </authors>
  <commentList>
    <comment ref="F18" authorId="0" shapeId="0" xr:uid="{0B0349AC-E983-4C80-8704-0F08E460AF0A}">
      <text>
        <r>
          <rPr>
            <sz val="9"/>
            <color indexed="81"/>
            <rFont val="Tahoma"/>
            <family val="2"/>
          </rPr>
          <t>Value not maximum from below list. Instead using product that gave the maximum upfront carbon emission as a representative product. To conserve appropriate densities and carbon content of wood product.</t>
        </r>
      </text>
    </comment>
    <comment ref="G18" authorId="0" shapeId="0" xr:uid="{791FF32E-D27B-4797-BC9B-FAEFF74C9CBA}">
      <text>
        <r>
          <rPr>
            <sz val="9"/>
            <color indexed="81"/>
            <rFont val="Tahoma"/>
            <family val="2"/>
          </rPr>
          <t xml:space="preserve">Value not maximum from below list. Instead using product that gave the maximum upfront carbon emission as a representative product.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Joel</author>
  </authors>
  <commentList>
    <comment ref="F18" authorId="0" shapeId="0" xr:uid="{64315F6C-1B51-491A-B5F8-1B98B6B45798}">
      <text>
        <r>
          <rPr>
            <sz val="9"/>
            <color indexed="81"/>
            <rFont val="Tahoma"/>
            <family val="2"/>
          </rPr>
          <t>Value not maximum from below list. Instead using product that gave the maximum upfront carbon emission as a representative product. To conserve appropriate densities and carbon content of wood product.</t>
        </r>
      </text>
    </comment>
    <comment ref="G18" authorId="0" shapeId="0" xr:uid="{10F3BC3F-6AD1-4C5A-953C-3B184DA50C5D}">
      <text>
        <r>
          <rPr>
            <sz val="9"/>
            <color indexed="81"/>
            <rFont val="Tahoma"/>
            <family val="2"/>
          </rPr>
          <t xml:space="preserve">Value not maximum from below list. Instead using product that gave the maximum upfront carbon emission as a representative product.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Joel</author>
  </authors>
  <commentList>
    <comment ref="F18" authorId="0" shapeId="0" xr:uid="{0E294D69-F886-45C5-AE06-9F3EC05632FB}">
      <text>
        <r>
          <rPr>
            <sz val="9"/>
            <color indexed="81"/>
            <rFont val="Tahoma"/>
            <family val="2"/>
          </rPr>
          <t>Value not maximum from below list. Instead using product that gave the maximum upfront carbon emission as a representative product. To conserve appropriate densities and carbon content of wood product.</t>
        </r>
      </text>
    </comment>
    <comment ref="G18" authorId="0" shapeId="0" xr:uid="{F247AA7B-580D-4F68-8622-9FFF90C50AE7}">
      <text>
        <r>
          <rPr>
            <sz val="9"/>
            <color indexed="81"/>
            <rFont val="Tahoma"/>
            <family val="2"/>
          </rPr>
          <t xml:space="preserve">Value not maximum from below list. Instead using product that gave the maximum upfront carbon emission as a representative product.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Joel</author>
  </authors>
  <commentList>
    <comment ref="F18" authorId="0" shapeId="0" xr:uid="{F83453B2-7D88-434C-B333-E0E2750460BB}">
      <text>
        <r>
          <rPr>
            <sz val="9"/>
            <color indexed="81"/>
            <rFont val="Tahoma"/>
            <family val="2"/>
          </rPr>
          <t>Value not maximum from below list. Instead using product that gave the maximum upfront carbon emission as a representative product. To conserve appropriate densities and carbon content of wood product.</t>
        </r>
      </text>
    </comment>
    <comment ref="G18" authorId="0" shapeId="0" xr:uid="{55D66A53-488A-4981-91F4-D89A6557116A}">
      <text>
        <r>
          <rPr>
            <sz val="9"/>
            <color indexed="81"/>
            <rFont val="Tahoma"/>
            <family val="2"/>
          </rPr>
          <t xml:space="preserve">Value not maximum from below list. Instead using product that gave the maximum upfront carbon emission as a representative product.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Joel</author>
  </authors>
  <commentList>
    <comment ref="F18" authorId="0" shapeId="0" xr:uid="{33D97A9A-AF95-48B1-AE18-0BC517E75E92}">
      <text>
        <r>
          <rPr>
            <sz val="9"/>
            <color indexed="81"/>
            <rFont val="Tahoma"/>
            <family val="2"/>
          </rPr>
          <t>Value not maximum from below list. Instead using product that gave the maximum upfront carbon emission as a representative product. To conserve appropriate densities and carbon content of wood product.</t>
        </r>
      </text>
    </comment>
    <comment ref="G18" authorId="0" shapeId="0" xr:uid="{BC1E2E50-A523-44F4-A24C-6D9531A2252F}">
      <text>
        <r>
          <rPr>
            <sz val="9"/>
            <color indexed="81"/>
            <rFont val="Tahoma"/>
            <family val="2"/>
          </rPr>
          <t xml:space="preserve">Value not maximum from below list. Instead using product that gave the maximum upfront carbon emission as a representative product.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Joel</author>
  </authors>
  <commentList>
    <comment ref="F18" authorId="0" shapeId="0" xr:uid="{2AB41E18-B276-46B2-AE82-3982FF78D73A}">
      <text>
        <r>
          <rPr>
            <sz val="9"/>
            <color indexed="81"/>
            <rFont val="Tahoma"/>
            <family val="2"/>
          </rPr>
          <t>Value not maximum from below list. Instead using product that gave the maximum upfront carbon emission as a representative product. To conserve appropriate densities and carbon content of wood product.</t>
        </r>
      </text>
    </comment>
    <comment ref="G18" authorId="0" shapeId="0" xr:uid="{D4424528-4D68-4BDC-8B94-48A4754FFD35}">
      <text>
        <r>
          <rPr>
            <sz val="9"/>
            <color indexed="81"/>
            <rFont val="Tahoma"/>
            <family val="2"/>
          </rPr>
          <t xml:space="preserve">Value not maximum from below list. Instead using product that gave the maximum upfront carbon emission as a representative product.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Joel</author>
  </authors>
  <commentList>
    <comment ref="F18" authorId="0" shapeId="0" xr:uid="{7E5344C9-3A3C-4FB8-8E80-631291086054}">
      <text>
        <r>
          <rPr>
            <sz val="9"/>
            <color indexed="81"/>
            <rFont val="Tahoma"/>
            <family val="2"/>
          </rPr>
          <t>Value not maximum from below list. Instead using product that gave the maximum upfront carbon emission as a representative product. To conserve appropriate densities and carbon content of wood product.</t>
        </r>
      </text>
    </comment>
    <comment ref="G18" authorId="0" shapeId="0" xr:uid="{5B5FAD01-8E3C-48BA-B2C0-FCC18806BCE1}">
      <text>
        <r>
          <rPr>
            <sz val="9"/>
            <color indexed="81"/>
            <rFont val="Tahoma"/>
            <family val="2"/>
          </rPr>
          <t xml:space="preserve">Value not maximum from below list. Instead using product that gave the maximum upfront carbon emission as a representative product. </t>
        </r>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<sst xmlns="http://schemas.openxmlformats.org/spreadsheetml/2006/main" count="32174" uniqueCount="4571">
  <si>
    <t>NSW Government
4 Parramatta Square
Parramatta NSW 2150
nabers.gov.au</t>
  </si>
  <si>
    <t>National emission factors database - technical document</t>
  </si>
  <si>
    <t>About this document</t>
  </si>
  <si>
    <t>Version</t>
  </si>
  <si>
    <t>This Excel document provides the definitive record of cradle-to-gate (A1-A3) Emission Factors (EF) for the building materials used in the NABERS Embodied Carbon tool, and for additional information and calculations for broader upfront carbon emission calculations in Australia.</t>
  </si>
  <si>
    <t>Updates to the emission factors database</t>
  </si>
  <si>
    <t>NABERS anticipates updating the Emission Factors database on an annual basis, but it depends on what EPDs are published over time and how it affects the numbers. We will provide information about updates in 2025.</t>
  </si>
  <si>
    <t>Contents</t>
  </si>
  <si>
    <t>This document consists of the following sheets:</t>
  </si>
  <si>
    <t>1. Methodology</t>
  </si>
  <si>
    <t>The Methodology tab details the process for determining the overall emission factors including sourcing information, grouping materials into sub-categories, qualitatively assessing the data, and descriptions of various methodological decisions on carbon storage, weighted averages, and assembly calculations.</t>
  </si>
  <si>
    <t>2. EPD List</t>
  </si>
  <si>
    <t>The EPD List presents all individual records used to determine the emission factors for each material. This is a complete list of source emission factors including the publication source, publication dates, physical features of the product etc.</t>
  </si>
  <si>
    <t>3. Emission Factors database</t>
  </si>
  <si>
    <t>The Emission Factors database tab lists all emission factors for material categories available. An explanation of values included in the table can be found below.</t>
  </si>
  <si>
    <t>4. Database CSV</t>
  </si>
  <si>
    <t xml:space="preserve">A machine-readable version of the </t>
  </si>
  <si>
    <t>5. Material category (multiple tabs)</t>
  </si>
  <si>
    <t xml:space="preserve">The material category tabs are unique to the material they are named after (e.g. Concrete_10 MPa).  Each tab shows the dataset relevant to the material category in a standard format. The individual tabs also show the qualitative assessment rating and any relevant notes and additional data. Additional data is used for weighted averages or further calculations. </t>
  </si>
  <si>
    <t>Understanding the database</t>
  </si>
  <si>
    <t>A description of the columns in the Emission Factor database is provided below.</t>
  </si>
  <si>
    <t>Emission Factor material type and category</t>
  </si>
  <si>
    <t>A material category represents a grouping within a material type of similar building materials that share common functions and components. All sourced emission factors were organised into datasets relevant to a specific material category.</t>
  </si>
  <si>
    <t>Declared unit</t>
  </si>
  <si>
    <t>Each material group is associated with an appropriate declared unit, such as cubic meters. The emission factor is normalised based on this declared unit, as well as on a kilogram basis. Typically, the source Environmental Product Declaration (EPD) defines the declared unit.</t>
  </si>
  <si>
    <t>Data qualitative rating</t>
  </si>
  <si>
    <t>The tier that was assigned as part of the qualitative assessment to determine the representativeness of the sourced emission factors within the broader Australian marketplace. More information about the assessment process can be found in the 'Methodology' tab, under 'Assessing material datasets (Qualitative Assessment)'.</t>
  </si>
  <si>
    <t>Uncertainty adjustment (%)</t>
  </si>
  <si>
    <t>The subsequent adjustment rate applied, as determined by the Data qualitative rating tier.</t>
  </si>
  <si>
    <t>Default (uncertainty adjusted)</t>
  </si>
  <si>
    <t xml:space="preserve">The ‘Max in category’ multiplied by the uncertainty adjustment rate of the specific material category.
Overall, this emission factor is designed to be the highest reasonable emission factor for any particular product. This emission factor therefore considers uncertainty of the dataset based on a qualitative assessment (Data qualitative rating). </t>
  </si>
  <si>
    <t>Max in category EF</t>
  </si>
  <si>
    <r>
      <rPr>
        <sz val="10"/>
        <color rgb="FF000000"/>
        <rFont val="Arial"/>
        <family val="2"/>
      </rPr>
      <t xml:space="preserve">The maximum emission factor found across the EPD list.
</t>
    </r>
    <r>
      <rPr>
        <b/>
        <sz val="10"/>
        <color rgb="FF000000"/>
        <rFont val="Arial"/>
        <family val="2"/>
      </rPr>
      <t>Not recommended for use.</t>
    </r>
    <r>
      <rPr>
        <sz val="10"/>
        <color rgb="FF000000"/>
        <rFont val="Arial"/>
        <family val="2"/>
      </rPr>
      <t xml:space="preserve"> This value was used as an intermediate step to calculate the Default (uncertainty adjusted) emission factor, to demonstrate the maximum value and show the extent of range of emission factors in the particular material category.
It may not represent the absolute maximum emission factor across a material category as products that have not published a verified emission factor according to the above sourcing methodology have not been included.</t>
    </r>
  </si>
  <si>
    <t>Min in category EF</t>
  </si>
  <si>
    <r>
      <rPr>
        <sz val="10"/>
        <color rgb="FF000000"/>
        <rFont val="Arial"/>
        <family val="2"/>
      </rPr>
      <t xml:space="preserve">The minimum emission factor found across the EPD list.
</t>
    </r>
    <r>
      <rPr>
        <b/>
        <sz val="10"/>
        <color rgb="FF000000"/>
        <rFont val="Arial"/>
        <family val="2"/>
      </rPr>
      <t>Not recommended for use.</t>
    </r>
    <r>
      <rPr>
        <sz val="10"/>
        <color rgb="FF000000"/>
        <rFont val="Arial"/>
        <family val="2"/>
      </rPr>
      <t xml:space="preserve"> This value was used to demonstrate the minimum value and show the extent of range of emission factors in the particular material category.
It may not represent the absolute minimum emission factor across a material category. Products that have not published a verified emission factor according to the above sourcing methodology have not been included.</t>
    </r>
  </si>
  <si>
    <t>Average EF</t>
  </si>
  <si>
    <t>Where market data is adequate, a weighted average is given. Otherwise, an arithmetic mean is given.</t>
  </si>
  <si>
    <t>Conversion (based on average EF)</t>
  </si>
  <si>
    <t>Product-specific conversion factors have been used to convert from the declared unit to kg/kg.</t>
  </si>
  <si>
    <t>Methodology</t>
  </si>
  <si>
    <t>Sourcing emission factors:</t>
  </si>
  <si>
    <r>
      <rPr>
        <sz val="10"/>
        <color rgb="FF000000"/>
        <rFont val="Arial"/>
        <family val="2"/>
      </rPr>
      <t>Emission factors were sourced from verified process-based life cycle assessment (LCA) studies. Specifically, module A1-A3 emission factors. 
The sourcing of emission factors occurred during the period of</t>
    </r>
    <r>
      <rPr>
        <b/>
        <sz val="10"/>
        <color rgb="FF000000"/>
        <rFont val="Arial"/>
        <family val="2"/>
      </rPr>
      <t xml:space="preserve"> August 2023 to April 2024</t>
    </r>
    <r>
      <rPr>
        <sz val="10"/>
        <color rgb="FF000000"/>
        <rFont val="Arial"/>
        <family val="2"/>
      </rPr>
      <t>, the majority occurring in November-January 2023. A focus was to include all current EPDs, however due to the nature of the collection process, newly published EPDs in this time period may have been missed. EPDs that expired or were due to expire in this period (but were being updated and remained published and accessible) have been included.
The highest priority was to use Environmental Product Declarations (EPDs) from Australia or the Australasian region. Additionally, climate-active declarations were considered as source material when the global warming potential (GWP) was specific to a product. The minimum requirement for sourced emission factors is that they include the total global warming potential (expressed in kgCO2e per declared unit).
In cases where no EPDs were available in Australia or Australasia for a particular material, or when a material was known to be imported to Australia, International EPDs were sourced. 
To locate relevant EPDs, numerous databases were consulted; including, EPD Australasia, International EPD, Eco-platform, GreenBook Live, BRE, and IBU (Institut Bauen und Umwelt).</t>
    </r>
  </si>
  <si>
    <t>Grouping sourced emission factors</t>
  </si>
  <si>
    <r>
      <rPr>
        <sz val="10"/>
        <color rgb="FF000000"/>
        <rFont val="Arial"/>
        <family val="2"/>
      </rPr>
      <t xml:space="preserve">All sourced emission factors were organised into datasets relevant to a specific material category. 
A </t>
    </r>
    <r>
      <rPr>
        <b/>
        <sz val="10"/>
        <color rgb="FF000000"/>
        <rFont val="Arial"/>
        <family val="2"/>
      </rPr>
      <t>material category</t>
    </r>
    <r>
      <rPr>
        <sz val="10"/>
        <color rgb="FF000000"/>
        <rFont val="Arial"/>
        <family val="2"/>
      </rPr>
      <t xml:space="preserve"> represents a grouping of similar building materials that share common functions and components. For example, reinforcing steel encompasses bar and mesh products, both of which contribute to reinforcing concrete. This categorisation process was informed through collaboration with quantity surveyors, LCA practitioners, and product manufacturers.
Each material group is associated with an appropriate declared unit, such as cubic meters. The emission factor is normalised based on this declared unit, as well as on a kilogram basis. Typically, the source Environmental Product Declaration (EPD) defines the declared unit.</t>
    </r>
  </si>
  <si>
    <t>Assessing material datasets (Qualitative Assessment)</t>
  </si>
  <si>
    <r>
      <rPr>
        <sz val="10"/>
        <color rgb="FF000000"/>
        <rFont val="Arial"/>
        <family val="2"/>
      </rPr>
      <t xml:space="preserve">The datasets were qualitatively assessed to determine the representativeness of the sourced emission factors within the broader Australian marketplace. Specifically, we aimed to determine whether the available data accurately reflects the likely emission factor range for a particular material.
The qualitative assessment considered three main categories: (1) geographical/technological representation; (2) emission factor source validity, and; (3) market coverage.
Within each category, a tier was assigned based on the table below. </t>
    </r>
    <r>
      <rPr>
        <b/>
        <sz val="10"/>
        <color rgb="FF000000"/>
        <rFont val="Arial"/>
        <family val="2"/>
      </rPr>
      <t xml:space="preserve">The overall tier rating was determined by the lowest tier declaration across all three categories.
</t>
    </r>
    <r>
      <rPr>
        <sz val="10"/>
        <color rgb="FF000000"/>
        <rFont val="Arial"/>
        <family val="2"/>
      </rPr>
      <t xml:space="preserve">The tier rating corresponds to an adjustment rate, which is applied to the </t>
    </r>
    <r>
      <rPr>
        <i/>
        <sz val="10"/>
        <color rgb="FF000000"/>
        <rFont val="Arial"/>
        <family val="2"/>
      </rPr>
      <t>maximum in-class emission factor</t>
    </r>
    <r>
      <rPr>
        <sz val="10"/>
        <color rgb="FF000000"/>
        <rFont val="Arial"/>
        <family val="2"/>
      </rPr>
      <t xml:space="preserve"> in the material dataset. This adjusted value becomes the default emission factor.
</t>
    </r>
    <r>
      <rPr>
        <b/>
        <sz val="10"/>
        <color rgb="FF000000"/>
        <rFont val="Arial"/>
        <family val="2"/>
      </rPr>
      <t xml:space="preserve">Untiered items: </t>
    </r>
    <r>
      <rPr>
        <sz val="10"/>
        <color rgb="FF000000"/>
        <rFont val="Arial"/>
        <family val="2"/>
      </rPr>
      <t>some assembly sub-categories have calculations that use this databases emission factor which have already been qualitatively assessed. These sub-categories are untiered.</t>
    </r>
  </si>
  <si>
    <t>Qualitative assessment rubric</t>
  </si>
  <si>
    <t>Quality</t>
  </si>
  <si>
    <t>Geographical/technological representation</t>
  </si>
  <si>
    <t>Emission factor source validity</t>
  </si>
  <si>
    <t>Market coverage</t>
  </si>
  <si>
    <t>Excellent – Tier 1</t>
  </si>
  <si>
    <t>Only Australian sources, or, if imports are high proportion of market, strong representation of the region(s) of import</t>
  </si>
  <si>
    <t>Only preferred verified sources (EN15804 EPD, ISO21930 EPD, Climate Active)</t>
  </si>
  <si>
    <t>High number and diverse range of products; majority of suppliers covered; average EF compares well to other DBs</t>
  </si>
  <si>
    <t>Good – Tier 2</t>
  </si>
  <si>
    <t>High number of Australian records or applicable market records; some use of proxy regional source representing region, e.g. an Indian product representing known imports from Asia.</t>
  </si>
  <si>
    <t>Mostly preferred verified sources; some reviewed process-based LCAs</t>
  </si>
  <si>
    <t>High number and diverse range of products; some suppliers covered; average EF compares well to other DBs</t>
  </si>
  <si>
    <t>Fair – Tier 3</t>
  </si>
  <si>
    <t>Few Australian specific records and some use of proxy regional source</t>
  </si>
  <si>
    <t>Reviewed process-based LCAs</t>
  </si>
  <si>
    <t>Reasonable number and a limited range of products; some suppliers covered; average EF compares reasonably well to other DBs</t>
  </si>
  <si>
    <t>Poor – Tier 4</t>
  </si>
  <si>
    <t>Majority use of proxy data or proxy region</t>
  </si>
  <si>
    <t>Number of records low; only one supplier or a proxy supplier for Aus market; market information poor; EF compares poorly to or has no EF to compare to</t>
  </si>
  <si>
    <t>Uncertainty adjustments</t>
  </si>
  <si>
    <t>Tier</t>
  </si>
  <si>
    <t>Tier 1</t>
  </si>
  <si>
    <t>Tier 2</t>
  </si>
  <si>
    <t>Tier 3</t>
  </si>
  <si>
    <t>Tier 4</t>
  </si>
  <si>
    <t>Untiered</t>
  </si>
  <si>
    <t xml:space="preserve">Emission factor types </t>
  </si>
  <si>
    <t>Upfront carbon emissions</t>
  </si>
  <si>
    <r>
      <rPr>
        <sz val="10"/>
        <color rgb="FF000000"/>
        <rFont val="Arial"/>
        <family val="2"/>
      </rPr>
      <t xml:space="preserve">Upfront carbon emissions refer to greenhouse gas emissions as defined by the Greenhouse Gas Protocol. However, these emissions will not necessarily align with the GWPtotal (global warming potential) value.
</t>
    </r>
    <r>
      <rPr>
        <b/>
        <sz val="10"/>
        <color rgb="FF000000"/>
        <rFont val="Arial"/>
        <family val="2"/>
      </rPr>
      <t xml:space="preserve">GWPtotal </t>
    </r>
    <r>
      <rPr>
        <sz val="10"/>
        <color rgb="FF000000"/>
        <rFont val="Arial"/>
        <family val="2"/>
      </rPr>
      <t xml:space="preserve">represents a net calculation, accounting for factors such as stored biogenic carbon. For instance, if a product stores carbon (e.g. through reforestation), it offsets some emissions. Therefore, GWPtotal doesn’t always provide the true upfront carbon emission.
</t>
    </r>
    <r>
      <rPr>
        <b/>
        <sz val="10"/>
        <color rgb="FF000000"/>
        <rFont val="Arial"/>
        <family val="2"/>
      </rPr>
      <t xml:space="preserve">GWPbiogenic </t>
    </r>
    <r>
      <rPr>
        <sz val="10"/>
        <color rgb="FF000000"/>
        <rFont val="Arial"/>
        <family val="2"/>
      </rPr>
      <t xml:space="preserve">is also a net calculation. It considers emissions (e.g. burning waste timber during harvesting) that will be negated by carbon stored in the product.
Source values may also include different combinations of GWP metrics: GWPtotal, GWPfossil, GWPbiogenic, GWPluluc, and GWPstored. Some sources provide only GWPtotal, while others publish a mix of these values.
</t>
    </r>
    <r>
      <rPr>
        <b/>
        <sz val="10"/>
        <color rgb="FF000000"/>
        <rFont val="Arial"/>
        <family val="2"/>
      </rPr>
      <t>Due to the above</t>
    </r>
    <r>
      <rPr>
        <sz val="10"/>
        <color rgb="FF000000"/>
        <rFont val="Arial"/>
        <family val="2"/>
      </rPr>
      <t>, and depending on the nature and details provided by the source material, upfront carbon emissions are determined in four ways. However, these emissions always represent the total greenhouse gases emitted within the system boundary. Importantly, upfront carbon emissions will always be equal to or greater than GWPfossil and include emissions of biogenic carbon where this takes place.</t>
    </r>
  </si>
  <si>
    <t>Condition</t>
  </si>
  <si>
    <t>Upfront carbon emission</t>
  </si>
  <si>
    <t>Option 1</t>
  </si>
  <si>
    <t>When GWPstored is multiplied by -1 and is larger (i.e. less negative) than GWPbiogenic, implying more biogenic material is removed than in the product, GWPbiogenic is zeroed.</t>
  </si>
  <si>
    <t>GWPfossil + GWPluluc</t>
  </si>
  <si>
    <t>Option 2</t>
  </si>
  <si>
    <t xml:space="preserve">When GWPfossil = 0 </t>
  </si>
  <si>
    <t>GWPtotal + GWPstored</t>
  </si>
  <si>
    <t>Option 3</t>
  </si>
  <si>
    <t>When GWPbiogenic = 0</t>
  </si>
  <si>
    <t>Option 4</t>
  </si>
  <si>
    <t xml:space="preserve">When GWPstored value is multiplied by -1  and is smaller (i.e. more negative) than GWPbiogenic, implying there are some emissions of biogenic carbon. </t>
  </si>
  <si>
    <t>GWPfossil + GWPbiogenic + GWPluluc + GWPstored
(Noting GWPbiogenic may be negative)</t>
  </si>
  <si>
    <t>Stored biogenic carbon is provided in EN15804+A2 EPDs and when applicable often in EN15804+A1 EPDs. Where provided, it is used as the carbon stored value.
However, in cases where stored biogenic carbon is not provided, we rely on specific assumptions, which are detailed in the section titled ‘Stored Biogenic Carbon.’</t>
  </si>
  <si>
    <t>Max, min, average, uncertainty adjusted</t>
  </si>
  <si>
    <t xml:space="preserve">A set of emission factors are shown for each material. A description of how each emission factor is determined and how it should be used is provided below. </t>
  </si>
  <si>
    <t>Emission factor</t>
  </si>
  <si>
    <t>Description</t>
  </si>
  <si>
    <t>Use</t>
  </si>
  <si>
    <t>Limitation</t>
  </si>
  <si>
    <t>The maximum EF found across the dataset</t>
  </si>
  <si>
    <r>
      <rPr>
        <b/>
        <sz val="10"/>
        <color rgb="FF000000"/>
        <rFont val="Arial"/>
        <family val="2"/>
      </rPr>
      <t xml:space="preserve">Not recommended for use. </t>
    </r>
    <r>
      <rPr>
        <sz val="10"/>
        <color rgb="FF000000"/>
        <rFont val="Arial"/>
        <family val="2"/>
      </rPr>
      <t>Used as an intermediate step to calculate the Default (uncertainty adjusted) EF. 
To demonstrate the maximum value and show the extent of range of EFs in the particular material category.</t>
    </r>
  </si>
  <si>
    <t>May not represent the absolute maximum EF across a material category. Products that have not published a verified EF according to the above sourcing methodology have not been included.</t>
  </si>
  <si>
    <t>The minimum EF found across the dataset</t>
  </si>
  <si>
    <r>
      <rPr>
        <b/>
        <sz val="10"/>
        <rFont val="Arial"/>
        <family val="2"/>
      </rPr>
      <t>Not recommended for use.</t>
    </r>
    <r>
      <rPr>
        <sz val="10"/>
        <rFont val="Arial"/>
        <family val="2"/>
      </rPr>
      <t xml:space="preserve"> To demonstrate the minimum value and show the extent of range of EFs in the particular material category.</t>
    </r>
  </si>
  <si>
    <t>May not represent the absolute minimum EF across a material category. Products that have not published a verified EF according to the above sourcing methodology have not been included.</t>
  </si>
  <si>
    <t xml:space="preserve">Where market data is adequate (i.e. how much of a particular product is bought/sold in Australia) a weighted average is given. Otherwise an arithmetic mean is given. </t>
  </si>
  <si>
    <r>
      <rPr>
        <b/>
        <sz val="10"/>
        <rFont val="Arial"/>
        <family val="2"/>
      </rPr>
      <t>Not recommended for use.</t>
    </r>
    <r>
      <rPr>
        <sz val="10"/>
        <rFont val="Arial"/>
        <family val="2"/>
      </rPr>
      <t xml:space="preserve"> Where market data is adequate a weighted average is given. Otherwise an arithmetic mean is given. </t>
    </r>
  </si>
  <si>
    <t>Weighted averages are the preferred method to determine the average EF. However, limited market information means that 69% of the EF presented are not able to provide a weighted average EF. 
The alternative, arithmetic mean, is prone to being skewed toward big publishers of multiple EPDs. Updates to this database will seek new or updated information that enables weighted averages to be calculated as the preferred method of determining 'Average EF".</t>
  </si>
  <si>
    <t>The 'Max in category" multiplied by the uncertainty adjustment rate of the specific material category.</t>
  </si>
  <si>
    <t>Used as default EF in NABERS Upfront carbon emissions calculator, when a product specific EF is not entered. 
Might use when trying to understand what the maximum upfront carbon emissions might be for a specific building.</t>
  </si>
  <si>
    <t xml:space="preserve">This value seeks to represent the largest EF for the particular material category in Australia. It utilises a method that interprets a qualitative assessment into a quantitative adjustment. The adjustment process brings with it inherent values based assumptions and should always be viewed in this context. </t>
  </si>
  <si>
    <t>Conversion to kg upfront carbon emissions to kg of material</t>
  </si>
  <si>
    <t xml:space="preserve">Product specific conversion factors have been used to convert from declared unit to kg/kg. </t>
  </si>
  <si>
    <t>Calculating assemblies (curtain wall, windows and doors)</t>
  </si>
  <si>
    <t>In consultation with industry, a method for calculating emission factors based on key material masses has been developed. The method is detailed in the material sub-category tabs for curtain wall, windows and doors.
Curtain walls, windows, and doors are often custom-made, which introduces significant uncertainty when determining default emission factors from published EPDs or similar sources.
To address this, a number of 'generic' curtain wall, window and door designs were defined. These designs use industry and EPD sources to determine the mass values for individual materials in the assembly (e.g. aluminium, glass, steel etc.). These are multiplied by the emission factors (average or default) for the key materials presented by this database, giving a total emission factor for the generic assembly. The generic masses have been provided to enable transparency, and a custom tool has been provided to enable custom inputs of an assembly design.
This process is untiered as uncertainty of the emission factors is applied in the material emission factor used.</t>
  </si>
  <si>
    <t>Calculating building services emissions</t>
  </si>
  <si>
    <t>Emission factors for building services are based on the square meter of the building type. In discussion with industry, it was demonstrated that materials associated with building services are often unknown, difficult to verify where and what has been used in the building, and unlikely to have associated EPDs.
To address this, it was decided to use a generic emission factor per square meter of building type. These emission factors are based on a detailed study conducted by the Carbon Leadership Forum. However, it’s important to note that the study is limited to expert-agreed commercial buildings in America’s northwest. Consequently, some items may be oversized for the Australian context (e.g. ducting due to the predominantly cooler climates in the studied buildings).
Building services includes electrical, mechanical and plumbing services in a building. It excludes transportation services (such as lifts and escalators). It does not include the use phase of these services (e.g. electricity consumption for lighting or refrigerant leakage).
Building services are categorised based on the type of building, as defined during industry consultation (e.g. warehouse with no HVAC, or office building)</t>
  </si>
  <si>
    <t>Stored biogenic carbon</t>
  </si>
  <si>
    <t>The amount of biogenic carbon present in a material that is used in the building, referred to as stored carbon, has been reported separately from total upfront carbon emissions.
Stored carbon is typically provided in the source data on a per-product basis. When it is not provided the following calculation and assumptions have been made:</t>
  </si>
  <si>
    <t>Carbon stored = density of timber product *(1-moisture content)*carbon content of timber*44/12</t>
  </si>
  <si>
    <t>(44 = molar mass of carbon dioxide; 12 = molar mass of carbon)</t>
  </si>
  <si>
    <t>Some source emission factors for timber and other biogenic based products include only global warming potential total values. For the majority of these cases, we have used the source information for density, water content and carbon content.
Where the source emission factor does not have one or more of these additional parameters, the missing parameter has been assumed; the water content as 10%, the carbon content as 50% by dry mass, and the density as 551 kg/m3. This is consistent with Gifford, R. (2000) Carbon Contents of Above-Ground Tissues of Forest and Woodland Trees. Technical report No. 22. National Carbon Accounting Scheme. Australian Greenhouse Office. 
GWPbiogenic can be negative - in this database a negative value will not remove emissions from the net calculation as upfront carbon emissions cannot be negative</t>
  </si>
  <si>
    <t>Data extraction and amalgamation method</t>
  </si>
  <si>
    <t xml:space="preserve">The extraction process of data has been a mixed method approach using PDF-to-Excel technology and manual entries. The data has been reviewed for accuracy, and spot checks on large background data files has also taken place.
</t>
  </si>
  <si>
    <t>NABERS EPD database for Embodied Carbon</t>
  </si>
  <si>
    <t>Material Category</t>
  </si>
  <si>
    <t>Material Classification</t>
  </si>
  <si>
    <t>EF material category match</t>
  </si>
  <si>
    <t>Material long name</t>
  </si>
  <si>
    <t>Data valid (start)</t>
  </si>
  <si>
    <t>Data valid (end)</t>
  </si>
  <si>
    <t>Location</t>
  </si>
  <si>
    <t>Registration number</t>
  </si>
  <si>
    <t>Program</t>
  </si>
  <si>
    <t>Reference link - Website</t>
  </si>
  <si>
    <t>Density (kg/m3)</t>
  </si>
  <si>
    <t>Area density (kg/m2)</t>
  </si>
  <si>
    <t>Mass per m (kg/m)</t>
  </si>
  <si>
    <t>Mass per unit (kg/unit)</t>
  </si>
  <si>
    <t>GWP-total (kg CO2e/quantity)</t>
  </si>
  <si>
    <t>GWP-fossil (kg CO2e/quantity)</t>
  </si>
  <si>
    <t>GWP-biogenic (kg CO2e/quantity)</t>
  </si>
  <si>
    <t>GWP-luluc (kg CO2e/quantity)</t>
  </si>
  <si>
    <t>GWP-stored (kg CO2e/quantity)</t>
  </si>
  <si>
    <t>Upfront carbon emissions (kg CO2e/quantity)</t>
  </si>
  <si>
    <t>Upfront carbon storage (kg CO2e/quantity)</t>
  </si>
  <si>
    <t>GWP-total (kg CO2e/kg)</t>
  </si>
  <si>
    <t>GWP-fossil (kg CO2e/kg)</t>
  </si>
  <si>
    <t>GWP-biogenic (kg CO2e/kg)</t>
  </si>
  <si>
    <t>GWP-luluc (kg CO2e/kg)</t>
  </si>
  <si>
    <t>GWP-stored (kg CO2e/kg)</t>
  </si>
  <si>
    <t>Upfront carbon emissions (kg CO2e/kg)</t>
  </si>
  <si>
    <t>Upfront carbon storage (kg CO2e/kg)</t>
  </si>
  <si>
    <t>Aggregate</t>
  </si>
  <si>
    <t>Aggregates</t>
  </si>
  <si>
    <t>Engineered fill</t>
  </si>
  <si>
    <t>Aggregates, , Aggregates (BCG) (Australia)</t>
  </si>
  <si>
    <t>Australia</t>
  </si>
  <si>
    <t>S-P-05493</t>
  </si>
  <si>
    <t>EPD Australasia</t>
  </si>
  <si>
    <t>https://epd-australasia.com/wp-content/uploads/2022/12/SP05493_BGC-EPD_Aggregates_Dec22.pdf</t>
  </si>
  <si>
    <t>tonne</t>
  </si>
  <si>
    <t/>
  </si>
  <si>
    <t>Recovered aggregate</t>
  </si>
  <si>
    <t>Recycled fill material</t>
  </si>
  <si>
    <t>Recovered aggregate, , Recovered Aggregates (Repurpose It) (Australia)</t>
  </si>
  <si>
    <t>S-P-01546</t>
  </si>
  <si>
    <t>https://epd-australasia.com/wp-content/uploads/2020/03/Repurpose-It-EPD-Recovered-Mineral-Aggregates-v1-0.pdf</t>
  </si>
  <si>
    <t>Aggregates, , Tylden quarry products (Fulton Hogan) (Australia)</t>
  </si>
  <si>
    <t>S-P-04651</t>
  </si>
  <si>
    <t>https://epd-australasia.com/wp-content/uploads/2022/02/Fulton-Hogan_Quarries-VIC-EPD_SP04651.pdf</t>
  </si>
  <si>
    <t>Aggregates, , Tynong quarry products (Fulton Hogan) (Australia)</t>
  </si>
  <si>
    <t>Aggregates, , Ballast (Holcim) (Australia)</t>
  </si>
  <si>
    <t>S-P-02332</t>
  </si>
  <si>
    <t>Aggregates, , Other
Aggregates (Holcim) (Australia)</t>
  </si>
  <si>
    <t>https://api.environdec.com/api/v1/EPDLibrary/Files/2cf721ee-54a4-4f21-8810-08db523a4d9e/Data</t>
  </si>
  <si>
    <t>Aggregates, , Other
Roadbase (Holcim) (Australia)</t>
  </si>
  <si>
    <t>Aggregates, , Asphalt
Aggregates (Holcim) (Australia)</t>
  </si>
  <si>
    <t>Aggregates, , Sealing
Aggregates (Holcim) (Australia)</t>
  </si>
  <si>
    <t>Aggregates, , Concrete
Aggregates (Holcim) (Australia)</t>
  </si>
  <si>
    <t>Aggregates, , Customer
Spec.
Roadbase (Holcim) (Australia)</t>
  </si>
  <si>
    <t>Aluminium</t>
  </si>
  <si>
    <t>Aluminium, extruded</t>
  </si>
  <si>
    <t>Aluminium extruded uncoated</t>
  </si>
  <si>
    <t>Aluminium, China, Hyperion Aluminium Profiles manufactured in China  (Envirobuild) (China)</t>
  </si>
  <si>
    <t>China</t>
  </si>
  <si>
    <t>S-P-05645</t>
  </si>
  <si>
    <t>EPD (International)</t>
  </si>
  <si>
    <t>https://api.environdec.com/api/v1/EPDLibrary/Files/57a83809-658a-4391-2479-08db259f9365/Data</t>
  </si>
  <si>
    <t>Aluminium, China, Extruded aluminium out of China (Jiangyin Jianbang) (China)</t>
  </si>
  <si>
    <t>S-P-10616</t>
  </si>
  <si>
    <t>https://api.environdec.com/api/v1/EPDLibrary/Files/7ca2b472-e8f8-43cc-41b5-08dbafbcb0dc/Data</t>
  </si>
  <si>
    <t>Aluminium, China, Thermal break aluminium profile out of China (Jiangyin Jianbang) (China)</t>
  </si>
  <si>
    <t>S-P-10617</t>
  </si>
  <si>
    <t>Data (environdec.com)</t>
  </si>
  <si>
    <t>Aluminium, Global, Hydro recycled low carbon aluminium profiles (Hydro) (Europe)</t>
  </si>
  <si>
    <t>Europe</t>
  </si>
  <si>
    <t>S-P-10763</t>
  </si>
  <si>
    <t>https://api.environdec.com/api/v1/EPDLibrary/Files/899f0587-a16a-4ccc-8118-08dbb657dbae/Data</t>
  </si>
  <si>
    <t>Aluminium, Global, Extruded aluminium profile 70% recycled aluminium out of Greece (Sanlev) (Greece)</t>
  </si>
  <si>
    <t>Greece</t>
  </si>
  <si>
    <t>S-P-08703</t>
  </si>
  <si>
    <t>https://api.environdec.com/api/v1/EPDLibrary/Files/3f45fcfa-e737-4bf5-23f1-08db259f9365/Data</t>
  </si>
  <si>
    <t>Aluminium, Global, Primary aluminium out of India (Vedanta) (India)</t>
  </si>
  <si>
    <t>India</t>
  </si>
  <si>
    <t>S-P-06491</t>
  </si>
  <si>
    <t>https://api.environdec.com/api/v1/EPDLibrary/Files/1c2dea87-5360-4e85-eee3-08db61df2909/Data</t>
  </si>
  <si>
    <t>Aluminium, China, CNA-CNA-CNA (China) extruded aluminium (Industry wide) (China)</t>
  </si>
  <si>
    <t>Industry (International Aluminium)</t>
  </si>
  <si>
    <t>https://international-aluminium.org/resource/2019-life-cycle-inventory-lci-data-and-environmental-metrics/</t>
  </si>
  <si>
    <t>Aluminium, Global, OCA-OCA-GCC scenario (Oceania &gt; Gulf cooperation council) extruded aluminium (Industry wide) (Oceania)</t>
  </si>
  <si>
    <t>Oceania</t>
  </si>
  <si>
    <t>Aluminium, Global, AFR-EUR-EUR scenario (Africa &gt; Europe) extruded aluminium (Industry wide) (Africa)</t>
  </si>
  <si>
    <t>Africa</t>
  </si>
  <si>
    <t>Aluminium, Global, SAM-SAM-CAN scenario (South America &gt; Canada) extruded aluminium (Industry wide) (South America)</t>
  </si>
  <si>
    <t>South America</t>
  </si>
  <si>
    <t>Aluminium, Australia, Proxy for Australia using oceania value extruded aluminium (Industry wide) (Australia)</t>
  </si>
  <si>
    <t>Aluminium cladding</t>
  </si>
  <si>
    <t>Alum cladding, , Alumigard 0.70mm (Colorcote) (New Zealand)</t>
  </si>
  <si>
    <t>New Zealand</t>
  </si>
  <si>
    <t>S-P-01544</t>
  </si>
  <si>
    <t>https://epd-australasia.com/wp-content/uploads/2019/11/5568-COLO-EPD-Document-Australia-nov19.pdf</t>
  </si>
  <si>
    <t>kg</t>
  </si>
  <si>
    <t>Alum cladding, , Alumigard 0.90mm (Colorcote) (New Zealand)</t>
  </si>
  <si>
    <t>S-P-01545</t>
  </si>
  <si>
    <t>Aluminium, Extruded, Extruded aluminium and extruded thermal break extruded aluminium (Galuminium) (China)</t>
  </si>
  <si>
    <t>S-P-06970</t>
  </si>
  <si>
    <t>https://api.environdec.com/api/v1/EPDLibrary/Files/0c77d2f3-d085-4f27-886c-08dbc3e797a5/Data</t>
  </si>
  <si>
    <t>Aluminium, Global, Hydro recycled low carbon aluminium profiles - UK (Hydro) (UK)</t>
  </si>
  <si>
    <t>UK</t>
  </si>
  <si>
    <t>S-P-06998</t>
  </si>
  <si>
    <t>https://api.environdec.com/api/v1/EPDLibrary/Files/542fe6f0-22db-414d-266b-08db6dcad7ba/Data</t>
  </si>
  <si>
    <t xml:space="preserve">Aluminium </t>
  </si>
  <si>
    <t>Aluminium, Extruded, Extruded aluminium (uncoated) (Sistem) (Turkey)</t>
  </si>
  <si>
    <t>Turkey</t>
  </si>
  <si>
    <t>S-P-08721</t>
  </si>
  <si>
    <t>Aluminium, Extruded, Extruded aluminium (uncoated) (Kurtoglu) (Turkey)</t>
  </si>
  <si>
    <t>S-P-08728</t>
  </si>
  <si>
    <t>https://api.environdec.com/api/v1/EPDLibrary/Files/fb713285-d1bd-4bf0-7624-08dba3f6d3f1/Data</t>
  </si>
  <si>
    <t>Aluminium, Extruded, Extruded aluminium (uncoated) (Muskita) (Global)</t>
  </si>
  <si>
    <t>Global</t>
  </si>
  <si>
    <t>S-P-08059</t>
  </si>
  <si>
    <t>https://api.environdec.com/api/v1/EPDLibrary/Files/5da8e6a0-e239-4879-e387-08daf241d26b/Data</t>
  </si>
  <si>
    <t>Aluminium, Extruded, Extruded aluminium (uncoated) (Burak) (Turkey)</t>
  </si>
  <si>
    <t>S-P-06757</t>
  </si>
  <si>
    <t>Aluminium, Extruded, Extruded aluminium (uncoated) (ASAS) (Turkey)</t>
  </si>
  <si>
    <t>S-P-04794</t>
  </si>
  <si>
    <t>https://api.environdec.com/api/v1/EPDLibrary/Files/883ceb70-5ac9-4ad1-a9fb-08da599e304a/Data</t>
  </si>
  <si>
    <t>Aluminium, Extruded, Extruded aluminium (uncoated) (Tuna Aluminium) (Global)</t>
  </si>
  <si>
    <t>S-P-04112</t>
  </si>
  <si>
    <t>https://api.environdec.com/api/v1/EPDLibrary/Files/69f6d79f-e51b-420f-052c-08d9b9685fa2/Data</t>
  </si>
  <si>
    <t>Aluminium, Extruded, Extruded aluminium (uncoated) (Spanish Aluminium Association) (Spanish)</t>
  </si>
  <si>
    <t>Spanish</t>
  </si>
  <si>
    <t>S-P-01409</t>
  </si>
  <si>
    <t>https://api.environdec.com/api/v1/EPDLibrary/Files/918aa2b5-9a62-437f-b3a9-24ce555a5f75/Data</t>
  </si>
  <si>
    <t>Aluminium, Extruded, Extruded aluminium (uncoated) (Saray) (Turkey)</t>
  </si>
  <si>
    <t>S-P-4087</t>
  </si>
  <si>
    <t>https://api.environdec.com/api/v1/EPDLibrary/Files/3a0c1252-e80d-44c4-273f-08d98899db1f/Data</t>
  </si>
  <si>
    <t>Aluminium, Extruded, Extruded aluminium (uncoated) (Al Taiseer) (Saudi Arabia)</t>
  </si>
  <si>
    <t>Saudi Arabia</t>
  </si>
  <si>
    <t>S-P-04026</t>
  </si>
  <si>
    <t>https://api.environdec.com/api/v1/EPDLibrary/Files/9bb802ec-c18e-4792-40b5-08d92a4c0fd0/Data</t>
  </si>
  <si>
    <t>Asphalt</t>
  </si>
  <si>
    <t>Not used</t>
  </si>
  <si>
    <t>Fulton Hogan Bushells RidgeCM10 AR450 AS2150</t>
  </si>
  <si>
    <t>24/02/2022</t>
  </si>
  <si>
    <t>24/02/2027</t>
  </si>
  <si>
    <t>NSW</t>
  </si>
  <si>
    <t>S-P-04640</t>
  </si>
  <si>
    <t>https://epd-australasia.com/wp-content/uploads/2022/02/Fulton-Hogan_NSW-Asphalt-EPD_SP04649.pdf</t>
  </si>
  <si>
    <t>Downer Reconophalt NSWAC20 AR450</t>
  </si>
  <si>
    <t>S-P-05480</t>
  </si>
  <si>
    <t>https://epd-australasia.com/wp-content/uploads/2022/08/SP05480_Downer-Reconophalt-NSW-EPD_June22.pdf</t>
  </si>
  <si>
    <t>Downer Reconophalt NSWAC14 AR 450</t>
  </si>
  <si>
    <t>Downer Reconophalt NSWAC14H AR450</t>
  </si>
  <si>
    <t>Downer Berrimah Asphalt Manufacturing FacilityAC20 A15E Type 4</t>
  </si>
  <si>
    <t>31/07/2023</t>
  </si>
  <si>
    <t>30/07/2028</t>
  </si>
  <si>
    <t>S-P-08458</t>
  </si>
  <si>
    <t>https://epd-australasia.com/wp-content/uploads/2023/08/SP08458-Downer-EPD-AU-Asphalt_Jul23-1.pdf</t>
  </si>
  <si>
    <t>Downer Berrimah Asphalt Manufacturing FacilityAC14 A15E Type 5</t>
  </si>
  <si>
    <t>Downer Berrimah Asphalt Manufacturing FacilityAC10 A15E Type 2</t>
  </si>
  <si>
    <t>Downer Reconophalt NSWAC14H A15E</t>
  </si>
  <si>
    <t>Downer Lindisfarne Asphalt Manufacturing FacilityAC07 Type L,N</t>
  </si>
  <si>
    <t>TAS</t>
  </si>
  <si>
    <t xml:space="preserve">Downer Mackay Asphalt Manufacturing FacilityAC20 A15E H 4907 </t>
  </si>
  <si>
    <t>QLD</t>
  </si>
  <si>
    <t xml:space="preserve">Downer Mackay Asphalt Manufacturing FacilityAC14 A15E 4906 </t>
  </si>
  <si>
    <t>Fulton Hogan LaraSize 10, 14mm Plastiphalt®</t>
  </si>
  <si>
    <t>VIC</t>
  </si>
  <si>
    <t>S-P-04650</t>
  </si>
  <si>
    <t>https://epd-australasia.com/wp-content/uploads/2022/02/Fulton-Hogan_-Asphalt-VIC-EPD_SP04650.pdf</t>
  </si>
  <si>
    <t>Fulton Hogan LaraSize 10, 14mm DGA Type N 10% RAP ≤5% Glass</t>
  </si>
  <si>
    <t>Downer Bli Bli Asphalt Manufacturing FacilityOG14 A15E</t>
  </si>
  <si>
    <t>Downer Shepparton Asphalt Manufacturing FacilityAC20 R20 SI</t>
  </si>
  <si>
    <t>Downer Bathurst Asphalt Manufacturing FacilityAC14 A15E H S</t>
  </si>
  <si>
    <t>Downer Bayswater Asphalt Manufacturing FacilitySMA10 A10E H Castella 302176C</t>
  </si>
  <si>
    <t>Fulton Hogan Bushells RidgeDG10 A15E R116</t>
  </si>
  <si>
    <t>Downer Shepparton Asphalt Manufacturing FacilityAC07 R9 NH</t>
  </si>
  <si>
    <t>Fulton Hogan Eastern CreekBC14 A10E AIRPORT</t>
  </si>
  <si>
    <t xml:space="preserve">Fulton Hogan Kembla GrangeSMA10 A15E R121 EVO </t>
  </si>
  <si>
    <t>Downer Albany Asphalt Manufacturing FacilityAC10</t>
  </si>
  <si>
    <t>WA</t>
  </si>
  <si>
    <t>Downer Hope Valley Asphalt Manufacturing FacilityAC10 R10 1E0B00</t>
  </si>
  <si>
    <t>Downer Lismore Asphalt Manufacturing FacilityAC14</t>
  </si>
  <si>
    <t>Fulton Hogan Kembla GrangeDG10 AR450 AS2150 R30% G2.5%</t>
  </si>
  <si>
    <t>Downer Lismore Asphalt Manufacturing FacilityAC20 R15</t>
  </si>
  <si>
    <t>Downer Hope Valley Asphalt Manufacturing FacilityAC10 R20 1E0D00</t>
  </si>
  <si>
    <t>Downer Bayswater Asphalt Manufacturing FacilityAC20 R29 SI 302313</t>
  </si>
  <si>
    <t>Fulton Hogan DandenongSize 14mm DGA Type VP</t>
  </si>
  <si>
    <t>Downer Lismore Asphalt Manufacturing FacilityAC07</t>
  </si>
  <si>
    <t>Downer Hope Valley Asphalt Manufacturing FacilityAC20 R23 2C0E00</t>
  </si>
  <si>
    <t>Downer Sydney Sustainable Road Resource Centre, RosehillAC14 R30</t>
  </si>
  <si>
    <t>Downer Somerton Asphalt Manufacturing FacilityAC14 V 303235</t>
  </si>
  <si>
    <t>Downer Teralba Asphalt Manufacturing FacilityAC14 R10 H Reconophalt</t>
  </si>
  <si>
    <t>Downer Teralba Asphalt Manufacturing FacilityAC14 R10 H DG</t>
  </si>
  <si>
    <t>Downer Sydney Sustainable Road Resource Centre, RosehillAC10 R30</t>
  </si>
  <si>
    <t>Downer Somerton Asphalt Manufacturing FacilityAC20 R38 SF 303324</t>
  </si>
  <si>
    <t>Downer Adelaide Sustainable Road Resource Centre, WingfieldAC10 R30 Reconophalt Fine</t>
  </si>
  <si>
    <t>SA</t>
  </si>
  <si>
    <t>Downer Reconophalt South AustraliaAC14 C170 R50</t>
  </si>
  <si>
    <t>22/10/2025</t>
  </si>
  <si>
    <t>S-P-02053</t>
  </si>
  <si>
    <t>https://epd-australasia.com/wp-content/uploads/2020/09/S-P-02053_Downer_Reconophalt-Environmental-Product-Declaration_September-2020_v5.pdf</t>
  </si>
  <si>
    <t>m²</t>
  </si>
  <si>
    <t>Downer Wodonga Asphalt Manufacturing FacilityAC14 R10 H</t>
  </si>
  <si>
    <t>Downer Wodonga Asphalt Manufacturing FacilityAC14 R10 H G</t>
  </si>
  <si>
    <t>Downer Wodonga Asphalt Manufacturing FacilityAC10 R15 H</t>
  </si>
  <si>
    <t>Downer Wodonga Asphalt Manufacturing FacilityAC20 R20</t>
  </si>
  <si>
    <t>Downer Gippsland Asphalt Manufacturing FacilityAC20</t>
  </si>
  <si>
    <t>Downer Mowbray Asphalt Manufacturing FacilityAC14 Type H</t>
  </si>
  <si>
    <t>Downer Mowbray Asphalt Manufacturing FacilityAC14 Type N</t>
  </si>
  <si>
    <t>Downer Mowbray Asphalt Manufacturing FacilityAC10 Type L</t>
  </si>
  <si>
    <t xml:space="preserve">Downer Mackay Asphalt Manufacturing FacilityAC20 H 4907 </t>
  </si>
  <si>
    <t>Downer Mackay Asphalt Manufacturing FacilityAC20 C600 H 4097</t>
  </si>
  <si>
    <t>Downer Gippsland Asphalt Manufacturing FacilityAC14</t>
  </si>
  <si>
    <t>Downer Somerton Asphalt Manufacturing FacilityAC10 R19 H N 303152</t>
  </si>
  <si>
    <t>Downer Mowbray Asphalt Manufacturing FacilityAC07 Type L,N</t>
  </si>
  <si>
    <t>Downer Bathurst Asphalt Manufacturing FacilityAC10 R10</t>
  </si>
  <si>
    <t>Downer Mowbray Asphalt Manufacturing FacilityAC10 Type N</t>
  </si>
  <si>
    <t>Downer Bathurst Asphalt Manufacturing FacilityAC07</t>
  </si>
  <si>
    <t>Downer Swanbank Asphalt Manufacturing FacilityAC10 R12</t>
  </si>
  <si>
    <t>Fulton Hogan DandenongSize 10mm DGA Type N 10-20% RAP</t>
  </si>
  <si>
    <t xml:space="preserve">Downer Archerfield Asphalt Manufacturing FacilityAC20 R15 </t>
  </si>
  <si>
    <t>Downer Brisbane Sustainable Road Resource Centre, BrendaleAC10 R20 BCC</t>
  </si>
  <si>
    <t>Fulton Hogan Kembla GrangeDG10 AR450 FINE AUSPEC R10%</t>
  </si>
  <si>
    <t>Fulton Hogan Kembla GrangeDG28 AR450 AS2150 R25%</t>
  </si>
  <si>
    <t>Downer Bathurst Asphalt Manufacturing FacilityAC20 R10</t>
  </si>
  <si>
    <t>Downer Bathurst Asphalt Manufacturing FacilityAC14 R10 H</t>
  </si>
  <si>
    <t>Fulton Hogan Kembla GrangeDG20 AR450 AS2150 R30%</t>
  </si>
  <si>
    <t>Downer Hume Asphalt Manufacturing FacilityAC14 R15</t>
  </si>
  <si>
    <t>Downer Hume Asphalt Manufacturing FacilityAC10 R20 Reconophalt</t>
  </si>
  <si>
    <t xml:space="preserve">Downer Bli Bli Asphalt Manufacturing FacilityAC14 R15 </t>
  </si>
  <si>
    <t>Fulton Hogan Kembla GrangeDG10 AR450 AS2150 R30% SLAG DUST</t>
  </si>
  <si>
    <t xml:space="preserve">Downer Bli Bli Asphalt Manufacturing FacilityAC20 R15 </t>
  </si>
  <si>
    <t>Fulton Hogan Kembla GrangeGG10 AR450 AS2510 R10%</t>
  </si>
  <si>
    <t>Fulton Hogan Bushells RidgeDG07 AR450 AS2150</t>
  </si>
  <si>
    <t>Fulton Hogan Bushells RidgeDG10 AR450 FINE AUSPEC</t>
  </si>
  <si>
    <t>Fulton Hogan Bushells RidgeDG10 AR450 AS2150 R10%</t>
  </si>
  <si>
    <t>Fulton Hogan DandenongSize 14mm GG CR</t>
  </si>
  <si>
    <t xml:space="preserve">Fulton Hogan Bushells RidgeEME2 </t>
  </si>
  <si>
    <t>Fulton Hogan LaraSize 20mm DGA Type SF</t>
  </si>
  <si>
    <t>Fulton Hogan DandenongSize 20mm DGA Type SF 20% RAP ≤5% Glass</t>
  </si>
  <si>
    <t>Fulton Hogan Bushells RidgeDG14 AR450 AS2150 R15%</t>
  </si>
  <si>
    <t>Fulton Hogan LaraSize 20mm DGA Type SS</t>
  </si>
  <si>
    <t>Fulton Hogan LaraSize 14, 20mm DGA Type SI ≤10% RAP</t>
  </si>
  <si>
    <t>Fulton Hogan LaraSize 10, 14mm DGA Type H 10% RAP</t>
  </si>
  <si>
    <t>Fulton Hogan LaraSize 10, 14mm DGA Type V</t>
  </si>
  <si>
    <t>Fulton Hogan Bushells RidgeDG20 AR450 AS2150 R20%</t>
  </si>
  <si>
    <t>Fulton Hogan LaraSize 14, 20mm DGA Type SI 10-20% RAP</t>
  </si>
  <si>
    <t>Fulton Hogan LaraSize 7, 10, 14mm DGA Type H</t>
  </si>
  <si>
    <t>Fulton Hogan Eastern CreekEME2</t>
  </si>
  <si>
    <t>Fulton Hogan Bushells RidgeDG14 AR450 R116 R15%</t>
  </si>
  <si>
    <t>Fulton Hogan Eastern CreekDG07 AR450 AS2150</t>
  </si>
  <si>
    <t>Fulton Hogan Bushells RidgeDG28 AR450 R116 R15%</t>
  </si>
  <si>
    <t>Fulton Hogan Bushells RidgeDG20 AR450 R116 R20%</t>
  </si>
  <si>
    <t>Fulton Hogan Eastern CreekGG10 AR450 AS2150 R10%</t>
  </si>
  <si>
    <t>Fulton Hogan DandenongDoT - Section 422 Light Traffic Crumb Rubber Asphalt (LTCRA)</t>
  </si>
  <si>
    <t>Fulton Hogan Bushells RidgeDG14 AR450 R116 SLAG</t>
  </si>
  <si>
    <t>Fulton Hogan DandenongSize 7mm DGA Fine</t>
  </si>
  <si>
    <t>Fulton Hogan DandenongSize 7, 10mm DGA Type L</t>
  </si>
  <si>
    <t>Fulton Hogan Eastern CreekDG20 Port_x0002_Phalt®</t>
  </si>
  <si>
    <t>Fulton Hogan DandenongSize 10mm DGA Type L 10-20% RAP</t>
  </si>
  <si>
    <t>Fulton Hogan DandenongSize 7, 10, 14mm DGA Type N</t>
  </si>
  <si>
    <t>Fulton Hogan DandenongSize 7, 10, 14mm DGA Type H</t>
  </si>
  <si>
    <t>Downer Gosnells Asphalt Manufacturing FacilityAC14 A15E 4B1A00</t>
  </si>
  <si>
    <t>Downer Bayswater Asphalt Manufacturing FacilityAC14 A10E HP 302278</t>
  </si>
  <si>
    <t>Fulton Hogan DandenongSize 10, 14mm DGA Type V</t>
  </si>
  <si>
    <t>Fulton Hogan DandenongSize 20mm DGA Type SF</t>
  </si>
  <si>
    <t>Fulton Hogan Bushells RidgePortPhalt®*</t>
  </si>
  <si>
    <t>Fulton Hogan DandenongSize 14mm DGA Type SI 10% RAP</t>
  </si>
  <si>
    <t>Fulton Hogan DandenongSize 20mm DGA Type SS</t>
  </si>
  <si>
    <t>Downer Adelaide Sustainable Road Resource Centre, WingfieldAC10 A5E R10 M</t>
  </si>
  <si>
    <t>Fulton Hogan DandenongSize 14mm DGA Type H 10-20% RAP</t>
  </si>
  <si>
    <t>Fulton Hogan DandenongSize 10mm PlastiPhalt ®</t>
  </si>
  <si>
    <t>Fulton Hogan DandenongSize 14mm DGA Type N 10-20% RAP</t>
  </si>
  <si>
    <t>Fulton Hogan Eastern CreekDG14 Port_x0002_Phalt®</t>
  </si>
  <si>
    <t>Fulton Hogan DandenongSize 20mm DGA Type SF 30-40% RAP</t>
  </si>
  <si>
    <t>Fulton Hogan DandenongSize 20mm DGA Type SS 30% RAP</t>
  </si>
  <si>
    <t>Fulton Hogan DandenongSize 20 mm DGA Type SI 30% RAP</t>
  </si>
  <si>
    <t>Downer Adelaide Sustainable Road Resource Centre, WingfieldAC10 A5E R20 M</t>
  </si>
  <si>
    <t>Fulton Hogan Eastern CreekDG14, DG20 and DG28 AR450 AS2150/AUSPEC/R117 R25% G≤10%*</t>
  </si>
  <si>
    <t>Fulton Hogan Eastern CreekDG20 AR450 R116 R25% G≤10%*</t>
  </si>
  <si>
    <t>Downer Bathurst Asphalt Manufacturing FacilityCM07 Cold Mix</t>
  </si>
  <si>
    <t>Downer Adelaide Sustainable Road Resource Centre, WingfieldAC10 A5E R20 L</t>
  </si>
  <si>
    <t>Downer Sydney Sustainable Road Resource Centre, RosehillAC14 A15E R30 H</t>
  </si>
  <si>
    <t>Fulton Hogan Eastern CreekDG28 AR450 R116 R30% G≤10%*</t>
  </si>
  <si>
    <t>Downer Brisbane Sustainable Road Resource Centre, BrendaleAC14 R50 Reconophalt</t>
  </si>
  <si>
    <t xml:space="preserve">Fulton Hogan Bushells RidgeBC14 A10E AIRPORT </t>
  </si>
  <si>
    <t>Fulton Hogan Eastern CreekDG14 A15E R116 R10% G≤2.5%*</t>
  </si>
  <si>
    <t>Downer Hume Asphalt Manufacturing FacilityAC14 AE15 R10</t>
  </si>
  <si>
    <t>Fulton Hogan DandenongSize 14, 20mm PortPhalt®</t>
  </si>
  <si>
    <t>Downer Adelaide Sustainable Road Resource Centre, WingfieldAC10 A15E R10 M</t>
  </si>
  <si>
    <t>Downer Bathurst Asphalt Manufacturing FacilityAC14 A15E R10 H</t>
  </si>
  <si>
    <t xml:space="preserve">Downer Archerfield Asphalt Manufacturing FacilityAC10 A15E R20 BCC </t>
  </si>
  <si>
    <t>Downer Archerfield Asphalt Manufacturing FacilityAC15 A15E R15 A</t>
  </si>
  <si>
    <t>Fulton Hogan Kembla GrangeOG10 A15E R119</t>
  </si>
  <si>
    <t>Fulton Hogan DandenongDoT - Section 404 Stone Mastic Asphalt (SMA) or AS2150</t>
  </si>
  <si>
    <t>Fulton Hogan LaraSize 10mm SMA Type H/N</t>
  </si>
  <si>
    <t>Fulton Hogan Kembla GrangeTHTAS10</t>
  </si>
  <si>
    <t>Fulton Hogan Eastern CreekSMA07 A15E</t>
  </si>
  <si>
    <t>Fulton Hogan Eastern CreekSMA10 A15E R121</t>
  </si>
  <si>
    <t xml:space="preserve">Downer Archerfield Asphalt Manufacturing FacilitySMA14 A15E </t>
  </si>
  <si>
    <t>Boral CanberraDG10 10% RAP</t>
  </si>
  <si>
    <t>15/05/2021</t>
  </si>
  <si>
    <t>15/05/2026</t>
  </si>
  <si>
    <t>ACT</t>
  </si>
  <si>
    <t>S-P-02047</t>
  </si>
  <si>
    <t>https://epd-australasia.com/wp-content/uploads/2021/06/SP02047-Boral-Asphalt_EPD_v1.1_Aug22.pdf</t>
  </si>
  <si>
    <t xml:space="preserve">Boral CanberraDG10 INNOVO </t>
  </si>
  <si>
    <t>Boral CanberraDG14</t>
  </si>
  <si>
    <t>Boral EnfieldDG14 C450 AUSP 30% RAP</t>
  </si>
  <si>
    <t>Boral EnfieldDG14 HD A15E HFA</t>
  </si>
  <si>
    <t>Boral Allens' Asphalt CabooltureAC10, AC14, AC20</t>
  </si>
  <si>
    <t>Boral Allens' Asphalt CabooltureCOUNCIL SPECIFIC MIX</t>
  </si>
  <si>
    <t>Boral Allens' Asphalt CabooltureEME2</t>
  </si>
  <si>
    <t>Boral Charlton2232.20.AC14H</t>
  </si>
  <si>
    <t>Boral Charlton2235.20.AC20H</t>
  </si>
  <si>
    <t>Boral CharltonEME2</t>
  </si>
  <si>
    <t>Boral Ispwich2143.19.EME2</t>
  </si>
  <si>
    <t>Boral Ispwich2179.19.AC14H</t>
  </si>
  <si>
    <t>Boral Ispwich2187.19.AC20H</t>
  </si>
  <si>
    <t>Boral West Burleigh10mm Cold Mix</t>
  </si>
  <si>
    <t>Boral West Burleigh2008.15. AC14H</t>
  </si>
  <si>
    <t>Boral West Burleigh2009.15. AC20H</t>
  </si>
  <si>
    <t>Boral West Burleigh2120.19. EME2</t>
  </si>
  <si>
    <t>Boral Gepps CrossA10E RAP10%</t>
  </si>
  <si>
    <t>Boral Gepps CrossDG10 RAP10%</t>
  </si>
  <si>
    <t>Boral Gepps CrossDG14 RAP15%</t>
  </si>
  <si>
    <t>Boral Gepps CrossCold mix</t>
  </si>
  <si>
    <t>Boral Gepps CrossInnovo 2</t>
  </si>
  <si>
    <t>Boral Gepps CrossInnovo 3</t>
  </si>
  <si>
    <t>Boral BallaratBCRA</t>
  </si>
  <si>
    <t>Boral BallaratC320 20Si</t>
  </si>
  <si>
    <t>Boral BallaratC320 20Si 10% RAP</t>
  </si>
  <si>
    <t>Boral Deer ParkBCRA</t>
  </si>
  <si>
    <t>Boral Deer ParkC320 20Si</t>
  </si>
  <si>
    <t>Boral Deer ParkC320 20Si 10% RAP</t>
  </si>
  <si>
    <t>Boral MontroseBCRA</t>
  </si>
  <si>
    <t>Boral MontroseC320 20Si</t>
  </si>
  <si>
    <t>Boral MontroseC320 20Si 10% RAP</t>
  </si>
  <si>
    <t xml:space="preserve">Boral WelshpoolBitupack </t>
  </si>
  <si>
    <t xml:space="preserve">Boral WelshpoolDG14 JM45 </t>
  </si>
  <si>
    <t xml:space="preserve">Boral WelshpoolDG14 JM50 </t>
  </si>
  <si>
    <t>Boral WelshpoolDG20 JM49</t>
  </si>
  <si>
    <t xml:space="preserve">Downer Bli Bli Asphalt Manufacturing FacilityAC14 A15E </t>
  </si>
  <si>
    <t>Fulton Hogan Kembla GrangeDG14 A15E R116 R10%</t>
  </si>
  <si>
    <t xml:space="preserve">Downer Archerfield Asphalt Manufacturing FacilityAC20 A15E R15 </t>
  </si>
  <si>
    <t>Downer Brisbane Sustainable Road Resource Centre, BrendaleAC10 A15E R20 BCC</t>
  </si>
  <si>
    <t>Downer Lindisfarne Asphalt Manufacturing FacilityAC14 Type H</t>
  </si>
  <si>
    <t>Downer Lindisfarne Asphalt Manufacturing FacilityAC10 Type L</t>
  </si>
  <si>
    <t>Downer Sydney Sustainable Road Resource Centre, RosehillAC14 A15E R10 H DG</t>
  </si>
  <si>
    <t>Fulton Hogan LaraSize 10mm OGA (A20E)</t>
  </si>
  <si>
    <t>Fulton Hogan Kembla GrangeDG14 A15E R116 SLAG</t>
  </si>
  <si>
    <t>Downer Lindisfarne Asphalt Manufacturing FacilityAC14 Type L</t>
  </si>
  <si>
    <t xml:space="preserve">Fulton Hogan Bushells RidgeOG10 A15E R119 </t>
  </si>
  <si>
    <t>Fulton Hogan Bushells RidgeDG14 A15E R116 R10%</t>
  </si>
  <si>
    <t>Fulton Hogan Eastern CreekOG10 A15E R119</t>
  </si>
  <si>
    <t>Fulton Hogan Kembla GrangeOG10 A15E SLAG R119</t>
  </si>
  <si>
    <t xml:space="preserve">Downer Bli Bli Asphalt Manufacturing FacilityAC14 A15E R15 </t>
  </si>
  <si>
    <t>Downer Brisbane Sustainable Road Resource Centre, BrendaleAC14 A15E R15</t>
  </si>
  <si>
    <t>Fulton Hogan LaraSize 10, 14mm DGA Type HP</t>
  </si>
  <si>
    <t>Fulton Hogan Eastern CreekDG14 A15E R116 SLAG</t>
  </si>
  <si>
    <t>Fulton Hogan Bushells RidgeDG14 A15E R116 SLAG</t>
  </si>
  <si>
    <t>Fulton Hogan Eastern CreekDG14 A15E AS2150 R15%</t>
  </si>
  <si>
    <t>Fulton Hogan DandenongDoT - Section 417 Open Graded Asphalt (OGA)</t>
  </si>
  <si>
    <t xml:space="preserve">Downer Bli Bli Asphalt Manufacturing FacilityAC20 A15E </t>
  </si>
  <si>
    <t>Fulton Hogan DandenongSize 10mm DGA Fine</t>
  </si>
  <si>
    <t>Downer Brisbane Sustainable Road Resource Centre, BrendaleAC10 R40 Reconophalt</t>
  </si>
  <si>
    <t>Fulton Hogan DandenongSize 10, 14mm DGA Type HP</t>
  </si>
  <si>
    <t>Downer Brisbane Sustainable Road Resource Centre, BrendaleAC14 A15E R20 BCC</t>
  </si>
  <si>
    <t>Downer Shepparton Asphalt Manufacturing FacilityAC10 R10 NH</t>
  </si>
  <si>
    <t>Downer Shepparton Asphalt Manufacturing FacilityAC14 R10 H</t>
  </si>
  <si>
    <t>Fulton Hogan Kembla GrangeDG14 AR450 R118 CR</t>
  </si>
  <si>
    <t>Downer Hume Asphalt Manufacturing FacilityAC10 H</t>
  </si>
  <si>
    <t>Downer Hume Asphalt Manufacturing FacilityAC14 H</t>
  </si>
  <si>
    <t>Downer Teralba Asphalt Manufacturing FacilityAC14</t>
  </si>
  <si>
    <t>Downer Hume Asphalt Manufacturing FacilityAC10 R15 H</t>
  </si>
  <si>
    <t xml:space="preserve">Downer Mackay Asphalt Manufacturing FacilityAC10 H 4098 </t>
  </si>
  <si>
    <t>Fulton Hogan Bushells RidgeDG14 AR450 R118 CR</t>
  </si>
  <si>
    <t xml:space="preserve">Downer Mackay Asphalt Manufacturing FacilityAC10 </t>
  </si>
  <si>
    <t>Downer Albany Asphalt Manufacturing FacilityAC 07</t>
  </si>
  <si>
    <t>Downer Hope Valley Asphalt Manufacturing FacilityEME2 14</t>
  </si>
  <si>
    <t>Downer Teralba Asphalt Manufacturing FacilityAC14 R10 H</t>
  </si>
  <si>
    <t xml:space="preserve">Downer Mackay Asphalt Manufacturing FacilityAC14 4906 </t>
  </si>
  <si>
    <t>Downer Teralba Asphalt Manufacturing FacilityAC10 R20</t>
  </si>
  <si>
    <t xml:space="preserve">Downer Mackay Asphalt Manufacturing FacilityAC14 </t>
  </si>
  <si>
    <t>Fulton Hogan DandenongSize 14mm PlastiPhalt ®</t>
  </si>
  <si>
    <t>Downer Teralba Asphalt Manufacturing FacilityAC14 R20 H</t>
  </si>
  <si>
    <t>Downer Lismore Asphalt Manufacturing FacilityAC10 H</t>
  </si>
  <si>
    <t>Downer Gosnells Asphalt Manufacturing FacilityAC20 C600 R9 2C4B00</t>
  </si>
  <si>
    <t>Downer Albany Asphalt Manufacturing FacilityAC14</t>
  </si>
  <si>
    <t>Downer Wodonga Asphalt Manufacturing FacilityAC10 R10 Reconophalt</t>
  </si>
  <si>
    <t>Fulton Hogan LaraSize 10mm LTCRA ≤10% RAP ≤5% Glass</t>
  </si>
  <si>
    <t>Downer Lismore Asphalt Manufacturing FacilityAC10</t>
  </si>
  <si>
    <t>Downer Wodonga Asphalt Manufacturing FacilityAC14 R20 H</t>
  </si>
  <si>
    <t>Fulton Hogan Bushells RidgeDG14 AR450 R116 G2.5%</t>
  </si>
  <si>
    <t>Downer Teralba Asphalt Manufacturing FacilityAC20 R25 H</t>
  </si>
  <si>
    <t>Fulton Hogan Kembla GrangeDG14 AR450 R116 R15% G≤10%*</t>
  </si>
  <si>
    <t>Downer Swanbank Asphalt Manufacturing FacilityAC14</t>
  </si>
  <si>
    <t>Downer Gippsland Asphalt Manufacturing FacilityAC10</t>
  </si>
  <si>
    <t>Downer Hope Valley Asphalt Manufacturing FacilityAC10 1E0A00</t>
  </si>
  <si>
    <t>Fulton Hogan Eastern CreekDG10 AR450 R116 R15% G≤2.5%*</t>
  </si>
  <si>
    <t>Downer Gosnells Asphalt Manufacturing FacilityAC20 R24 2C0E00</t>
  </si>
  <si>
    <t>Downer Sydney Sustainable Road Resource Centre, RosehillAC14 R20 HD</t>
  </si>
  <si>
    <t>Downer Swanbank Asphalt Manufacturing FacilityAC20</t>
  </si>
  <si>
    <t>Downer Adelaide Sustainable Road Resource Centre, WingfieldAC7 R10</t>
  </si>
  <si>
    <t>Fulton Hogan LaraSize 20mm DGA Type SF 10-20% RAP</t>
  </si>
  <si>
    <t>Downer Reconophalt NSWAC20 AR450 A</t>
  </si>
  <si>
    <t xml:space="preserve">Downer Bli Bli Asphalt Manufacturing FacilityAC14 </t>
  </si>
  <si>
    <t>Fulton Hogan Kembla GrangeDG07 AR450 AS2150</t>
  </si>
  <si>
    <t xml:space="preserve">Downer Archerfield Asphalt Manufacturing FacilityC14 R15 </t>
  </si>
  <si>
    <t>Fulton Hogan Eastern CreekDG10 AR450 AS2150/AUSPEC/R117 R20% G≤2.5%*</t>
  </si>
  <si>
    <t>Fulton Hogan Eastern CreekDG14 AR450 R116 R20% G≤2.5%*</t>
  </si>
  <si>
    <t>Downer Sydney Sustainable Road Resource Centre, RosehillAC20 R30</t>
  </si>
  <si>
    <t>Fulton Hogan Bushells RidgeDG07 AR450 R116</t>
  </si>
  <si>
    <t>Fulton Hogan Kembla GrangeEME2</t>
  </si>
  <si>
    <t>Downer Sydney Sustainable Road Resource Centre, RosehillAC28 R30</t>
  </si>
  <si>
    <t>Fulton Hogan DandenongSize 14, 20mm DGA Type SI 20% RAP ≤5% Glass</t>
  </si>
  <si>
    <t>Downer Hume Asphalt Manufacturing FacilityAC14 R20 HD</t>
  </si>
  <si>
    <t>Downer Reconophalt South AustraliaAC10 C320 R10</t>
  </si>
  <si>
    <t>Fulton Hogan Bushells RidgeGG10 AR450 AS2150 R10%</t>
  </si>
  <si>
    <t>Downer Bayswater Asphalt Manufacturing FacilityAC14 H N 302252</t>
  </si>
  <si>
    <t>Downer Bayswater Asphalt Manufacturing FacilityAC10 R19 H N 302151</t>
  </si>
  <si>
    <t>Fulton Hogan Kembla GrangeDG10 AR450 R116 R15%</t>
  </si>
  <si>
    <t>Downer Brisbane Sustainable Road Resource Centre, BrendaleEME14 R15</t>
  </si>
  <si>
    <t>Downer Brisbane Sustainable Road Resource Centre, BrendaleAC14 R15</t>
  </si>
  <si>
    <t>Downer Somerton Asphalt Manufacturing FacilityAC20 C600 SS 303316</t>
  </si>
  <si>
    <t>Fulton Hogan Bushells RidgeDG10 AR450 R116 R10%</t>
  </si>
  <si>
    <t>Fulton Hogan Kembla GrangeDG14 AR450 R116 SLAG</t>
  </si>
  <si>
    <t>Downer Somerton Asphalt Manufacturing FacilityAC14 R19 N H 303252</t>
  </si>
  <si>
    <t>Downer Mowbray Asphalt Manufacturing FacilityAC14 PSV 54 Type H</t>
  </si>
  <si>
    <t>Downer Mowbray Asphalt Manufacturing FacilityAC14 PSV54 Type N</t>
  </si>
  <si>
    <t>Downer Bayswater Asphalt Manufacturing FacilityAC20 R37 SF 302324</t>
  </si>
  <si>
    <t>Fulton Hogan Kembla GrangeDG10 AR450 AS2150 R15%</t>
  </si>
  <si>
    <t>Fulton Hogan Kembla GrangeDG28 AR450 R116 R25%</t>
  </si>
  <si>
    <t>Downer Brisbane Sustainable Road Resource Centre, BrendaleAC14 R20 BCC</t>
  </si>
  <si>
    <t>Fulton Hogan Kembla GrangeDG14 AR450 AS2150 R20%</t>
  </si>
  <si>
    <t>Downer Adelaide Sustainable Road Resource Centre, WingfieldAC10 R50 Reconophalt Fine</t>
  </si>
  <si>
    <t>Downer Reconophalt South AustraliaAC10 C320 R30</t>
  </si>
  <si>
    <t>Fulton Hogan LaraSize 7, 10mm DGA Type L</t>
  </si>
  <si>
    <t>Fulton Hogan LaraSize 7, 10, 14mm DGA Type N</t>
  </si>
  <si>
    <t>Downer Lindisfarne Asphalt Manufacturing FacilityAC10 R10 Reconophalt</t>
  </si>
  <si>
    <t>Downer Somerton Asphalt Manufacturing FacilityAC20 R29 SI 303313</t>
  </si>
  <si>
    <t>Fulton Hogan LaraSize 10mm DGA Type L 10% RAP</t>
  </si>
  <si>
    <t>Fulton Hogan DandenongSize 14, 20mm DGA Type SI</t>
  </si>
  <si>
    <t>Fulton Hogan DandenongSize 10mm DGA Type H 10-20% RAP</t>
  </si>
  <si>
    <t>Fulton Hogan DandenongDoT - Section 405 Regulation Gap Graded Asphalt (RGG)</t>
  </si>
  <si>
    <t>Fulton Hogan Kembla GrangeDG20 AR450 R116 R20% G≤10%*</t>
  </si>
  <si>
    <t>Downer Sydney Sustainable Road Resource Centre, RosehillAC20 R30 G10</t>
  </si>
  <si>
    <t>Fulton Hogan Eastern CreekDG10 A15E R116 R10%</t>
  </si>
  <si>
    <t>Autoclaved aerated concrete</t>
  </si>
  <si>
    <t>AAC</t>
  </si>
  <si>
    <t>Solid AAC</t>
  </si>
  <si>
    <t>AAC, , Autoclaved Aerated Concrete (Ytong) (Turkey)</t>
  </si>
  <si>
    <t>S-P-01804</t>
  </si>
  <si>
    <t>https://api.environdec.com/api/v1/EPDLibrary/Files/c0fc05af-13cc-4e92-9887-7b780b714acc/Data</t>
  </si>
  <si>
    <t>m³</t>
  </si>
  <si>
    <t>AAC, , Autoclaved Aerated Concrete blocks, Active (Gasbeton) (Italy)</t>
  </si>
  <si>
    <t>Italy</t>
  </si>
  <si>
    <t>S-P-03048</t>
  </si>
  <si>
    <t>https://api.environdec.com/api/v1/EPDLibrary/Files/d52c0010-ab02-4fd3-02f3-08d8f01e26c9/Data</t>
  </si>
  <si>
    <t>AAC, , Autoclaved Aerated Concrete blocks, Evolution (Gasbeton) (Italy)</t>
  </si>
  <si>
    <t>AAC, , Autoclaved Aerated Concrete blocks, Sysmic Idro (Gasbeton) (Italy)</t>
  </si>
  <si>
    <t>Concrete (in-situ)</t>
  </si>
  <si>
    <t>Fibre products for cement, , K25™ Fibre Cement Pulp (Oji Fibre Solutions) (Global)</t>
  </si>
  <si>
    <t>S-P-05525</t>
  </si>
  <si>
    <t>https://api.environdec.com/api/v1/EPDLibrary/Files/7b0a829d-0bc0-42bf-4698-08dafe2f30a8/Data</t>
  </si>
  <si>
    <t>Concrete, 40 MPa</t>
  </si>
  <si>
    <t>&gt;32 MPa to ≤40 MPa</t>
  </si>
  <si>
    <t>Concrete, 40 MPa, in-situ, no reinforcement, (QE407LSPR) (Ecopact) (Holcim) (QLD) (Brisbane)</t>
  </si>
  <si>
    <t>Brisbane, QLD</t>
  </si>
  <si>
    <t>S-P-04658</t>
  </si>
  <si>
    <t>Version 1</t>
  </si>
  <si>
    <t>https://epd-australasia.com/wp-content/uploads/2022/01/SP04658_Holcim-ViroDecs-Special-Qld-Brisbane-ECOPact-EPD_-Mar23_v3.0.pdf</t>
  </si>
  <si>
    <t>322</t>
  </si>
  <si>
    <t>0.69</t>
  </si>
  <si>
    <t>Concrete, 20 MPa</t>
  </si>
  <si>
    <t>&gt;10 MPa to ≤20 MPa</t>
  </si>
  <si>
    <t>Concrete, 20 MPa, in-situ, no reinforcement, (SE202E) (Ecopact) (Holcim) (SA) (Adelaide)</t>
  </si>
  <si>
    <t>S-P-04660</t>
  </si>
  <si>
    <t>https://epd-australasia.com/wp-content/uploads/2022/02/SP04660-Holcim-EPD-ViroDecs-Special-SA-Adelaide-ECOPact-Range-V2_Mar23.pdf</t>
  </si>
  <si>
    <t>207</t>
  </si>
  <si>
    <t>0.41</t>
  </si>
  <si>
    <t>Concrete, 40 MPa, in-situ, no reinforcement, (VE401EAPF) (Ecopact) (Holcim) (VIC)</t>
  </si>
  <si>
    <t>S-P-04657</t>
  </si>
  <si>
    <t>https://epd-australasia.com/wp-content/uploads/2022/01/SP04657-Holcim-ViroDecs%E2%84%A2-Special-VIC-ECOPact-Range-ver2_Sep22.pdf</t>
  </si>
  <si>
    <t>315</t>
  </si>
  <si>
    <t>0.62</t>
  </si>
  <si>
    <t>Concrete, ? MPa,</t>
  </si>
  <si>
    <t>Concrete, ? MPa, in-situ, no reinforcement, (SD160A)(GP) (BCG) (WA), (Perth)</t>
  </si>
  <si>
    <t>Perth, WA</t>
  </si>
  <si>
    <t>S-P-05491</t>
  </si>
  <si>
    <t>https://epd-australasia.com/wp-content/uploads/2022/12/SP05491_BGC-EPD_Concrete_Dec22.pdf</t>
  </si>
  <si>
    <t>Concrete, 32 MPa</t>
  </si>
  <si>
    <t>&gt;25 MPa to ≤32 MPa</t>
  </si>
  <si>
    <t>Concrete, 32 MPa, in-situ, no reinforcement, (VE322EF2) (Ecopact) (Holcim) (VIC)</t>
  </si>
  <si>
    <t>255</t>
  </si>
  <si>
    <t>0.44</t>
  </si>
  <si>
    <t>Concrete, 50 MPa</t>
  </si>
  <si>
    <t>&gt;40 MPa to ≤50 MPa</t>
  </si>
  <si>
    <t>Concrete, 50 MPa, in-situ, no reinforcement, (R5020B)(GB) (BCG) (WA), (Perth)</t>
  </si>
  <si>
    <t>Concrete, 20 MPa, in-situ, no reinforcement, (SE202E2) (Ecopact) (Holcim) (SA) (Adelaide)</t>
  </si>
  <si>
    <t>195</t>
  </si>
  <si>
    <t>0.31</t>
  </si>
  <si>
    <t>Concrete, 20 MPa, in-situ, no reinforcement, (R2020B)(GB) (BCG) (WA), (Perth)</t>
  </si>
  <si>
    <t>Concrete, 40 MPa, in-situ, no reinforcement, (VE401EVMW) (Ecopact) (Holcim) (VIC)</t>
  </si>
  <si>
    <t>237</t>
  </si>
  <si>
    <t>0.37</t>
  </si>
  <si>
    <t>Concrete, 20 MPa, in-situ, no reinforcement, (SE202E56) (Ecopact) (Holcim) (SA) (Adelaide)</t>
  </si>
  <si>
    <t>201</t>
  </si>
  <si>
    <t>Concrete, 25 MPa</t>
  </si>
  <si>
    <t>&gt;20 MPa to ≤25 MPa</t>
  </si>
  <si>
    <t>Concrete, 25 MPa, in-situ, no reinforcement, (SE252E2) (Ecopact) (Holcim) (SA) (Adelaide)</t>
  </si>
  <si>
    <t>213</t>
  </si>
  <si>
    <t>0.32</t>
  </si>
  <si>
    <t>Concrete, 25 MPa, in-situ, no reinforcement, (SE252E3) (Ecopact) (Holcim) (SA) (Adelaide)</t>
  </si>
  <si>
    <t>214</t>
  </si>
  <si>
    <t>Concrete, 25 MPa, in-situ, no reinforcement, (KM2510B)(GB) (BCG) (WA), (Perth)</t>
  </si>
  <si>
    <t>Concrete, 25 MPa, in-situ, no reinforcement, (SE252E56) (Ecopact) (Holcim) (SA) (Adelaide)</t>
  </si>
  <si>
    <t>221</t>
  </si>
  <si>
    <t>Concrete, 50 MPa, in-situ, no reinforcement, (VE501EVMW) (Ecopact) (Holcim) (VIC)</t>
  </si>
  <si>
    <t>272</t>
  </si>
  <si>
    <t>0.38</t>
  </si>
  <si>
    <t>Concrete, 32 MPa, in-situ, no reinforcement, (SE322E) (Ecopact) (Holcim) (SA) (Adelaide)</t>
  </si>
  <si>
    <t>238</t>
  </si>
  <si>
    <t>0.33</t>
  </si>
  <si>
    <t>Concrete, 32 MPa, in-situ, no reinforcement, (SE322FE562) (Ecopact) (Holcim) (SA) (Adelaide)</t>
  </si>
  <si>
    <t>246</t>
  </si>
  <si>
    <t>0.34</t>
  </si>
  <si>
    <t>Concrete, 32 MPa, in-situ, no reinforcement, (SE322E3) (Ecopact) (Holcim) (SA) (Adelaide)</t>
  </si>
  <si>
    <t>239</t>
  </si>
  <si>
    <t>Concrete, 40 MPa, in-situ, no reinforcement, (SE401EWC) (Ecopact) (Holcim) (SA) (Adelaide)</t>
  </si>
  <si>
    <t>268</t>
  </si>
  <si>
    <t>Concrete, 32 MPa, in-situ, no reinforcement, (QE322RFB2)(Ecopact) (Holcim) (QLD) (Sunshine Coast)</t>
  </si>
  <si>
    <t xml:space="preserve"> Sunshine Coast, QLD</t>
  </si>
  <si>
    <t>S-P-04663</t>
  </si>
  <si>
    <t>https://epd-australasia.com/wp-content/uploads/2022/09/SP04663-Holcim-ViroDecs%E2%84%A2-Special_QLD-Sunshine-Coast-ECOPact_Sep22.pdf</t>
  </si>
  <si>
    <t>218</t>
  </si>
  <si>
    <t>0.30</t>
  </si>
  <si>
    <t>Concrete, 32 MPa, in-situ, no reinforcement, (VE322P) (Ecopact) (Holcim) (VIC)</t>
  </si>
  <si>
    <t>192</t>
  </si>
  <si>
    <t>0.26</t>
  </si>
  <si>
    <t>Concrete, 32 MPa, in-situ, no reinforcement, (VE322E /
BE322E) (Ecopact) (Holcim) (VIC)</t>
  </si>
  <si>
    <t>233</t>
  </si>
  <si>
    <t>Concrete, 40 MPa, in-situ, no reinforcement, (SE402E56) (Ecopact) (Holcim) (SA) (Adelaide)</t>
  </si>
  <si>
    <t>274</t>
  </si>
  <si>
    <t>0.35</t>
  </si>
  <si>
    <t>Concrete, 40 MPa, in-situ, no reinforcement, (SE401EAV) (Ecopact) (Holcim) (SA) (Adelaide)</t>
  </si>
  <si>
    <t>291</t>
  </si>
  <si>
    <t>Concrete, 40 MPa, in-situ, no reinforcement, (SE402E562) (Ecopact) (Holcim) (SA) (Adelaide)</t>
  </si>
  <si>
    <t>276</t>
  </si>
  <si>
    <t>Concrete, 25 MPa, in-situ, no reinforcement, (VE252EF2) (Ecopact) (Holcim) (VIC)</t>
  </si>
  <si>
    <t>0.27</t>
  </si>
  <si>
    <t>Concrete, 20 MPa, in-situ, no reinforcement, (VE202E56) (Ecopact) (Holcim) (VIC)</t>
  </si>
  <si>
    <t>208</t>
  </si>
  <si>
    <t>Concrete, 25 MPa, in-situ, no reinforcement, (VE251E2) (Ecopact) (Holcim) (VIC)</t>
  </si>
  <si>
    <t>Concrete, 40 MPa, in-situ, no reinforcement, (VE401E56) (Ecopact) (Holcim) (VIC)</t>
  </si>
  <si>
    <t>279</t>
  </si>
  <si>
    <t>Concrete, 25 MPa, in-situ, no reinforcement, (VE252E56) (Ecopact) (Holcim) (VIC)</t>
  </si>
  <si>
    <t>229</t>
  </si>
  <si>
    <t>Concrete, 40 MPa, in-situ, no reinforcement, (SE402E) (Ecopact) (Holcim) (SA) (Adelaide)</t>
  </si>
  <si>
    <t>263</t>
  </si>
  <si>
    <t>Concrete, 40 MPa, in-situ, no reinforcement, (SE402E2) (Ecopact) (Holcim) (SA) (Adelaide)</t>
  </si>
  <si>
    <t>264</t>
  </si>
  <si>
    <t>Concrete, 50 MPa, in-situ, no reinforcement, (SE502E56) (Ecopact) (Holcim) (SA) (Adelaide)</t>
  </si>
  <si>
    <t>328</t>
  </si>
  <si>
    <t>Concrete, 50 MPa, in-situ, no reinforcement, (SE501EAV) (Ecopact) (Holcim) (SA) (Adelaide)</t>
  </si>
  <si>
    <t>330</t>
  </si>
  <si>
    <t>Concrete, 40 MPa, in-situ, no reinforcement, (VE402E5) (Ecopact) (Holcim) (VIC)</t>
  </si>
  <si>
    <t>245</t>
  </si>
  <si>
    <t>0.28</t>
  </si>
  <si>
    <t>Concrete, 40 MPa, in-situ, no reinforcement, (SE401E5) (Ecopact) (Holcim) (SA) (Adelaide)</t>
  </si>
  <si>
    <t>Concrete, 40 MPa, in-situ, no reinforcement, (QE401E)(Ecopact) (Holcim) (QLD) (Sunshine Coast)</t>
  </si>
  <si>
    <t>0.25</t>
  </si>
  <si>
    <t>Concrete, 25 MPa, in-situ, no reinforcement, (QE252ESF1) (Ecopact) (Holcim) (QLD) (Brisbane)</t>
  </si>
  <si>
    <t>204</t>
  </si>
  <si>
    <t>0.23</t>
  </si>
  <si>
    <t>Concrete, 65 MPa</t>
  </si>
  <si>
    <t>&gt;50 MPa to ≤65 MPa</t>
  </si>
  <si>
    <t>Concrete, 65 MPa, in-situ, no reinforcement, (SE651EAV) (Ecopact) (Holcim) (SA) (Adelaide)</t>
  </si>
  <si>
    <t>355</t>
  </si>
  <si>
    <t>0.40</t>
  </si>
  <si>
    <t>Concrete, 32 MPa, in-situ, no reinforcement, (QE322ESF1) (Ecopact) (Holcim) (QLD) (Brisbane)</t>
  </si>
  <si>
    <t>222</t>
  </si>
  <si>
    <t>Concrete, 32 MPa, in-situ, no reinforcement, (VE322E56) (Ecopact) (Holcim) (VIC)</t>
  </si>
  <si>
    <t>250</t>
  </si>
  <si>
    <t>Concrete, 40 MPa, in-situ, no reinforcement, (VE402E /
BE402E) (Ecopact) (Holcim) (VIC)</t>
  </si>
  <si>
    <t>262</t>
  </si>
  <si>
    <t>0.29</t>
  </si>
  <si>
    <t>Concrete, 32 MPa, in-situ, no reinforcement, (QE322ESF) (Ecopact) (Holcim) (QLD) (Brisbane)</t>
  </si>
  <si>
    <t>217</t>
  </si>
  <si>
    <t>0.24</t>
  </si>
  <si>
    <t>Concrete, 32 MPa, in-situ, no reinforcement, (QE321E)(Ecopact) (Holcim) (QLD) (Sunshine Coast)</t>
  </si>
  <si>
    <t>0.21</t>
  </si>
  <si>
    <t>Concrete, 25 MPa, in-situ, no reinforcement, (QE251E)(Ecopact) (Holcim) (QLD) (Sunshine Coast)</t>
  </si>
  <si>
    <t>165</t>
  </si>
  <si>
    <t>0.18</t>
  </si>
  <si>
    <t>Concrete, 50 MPa, in-situ, no reinforcement, (SE501E3) (Ecopact) (Holcim) (SA) (Adelaide)</t>
  </si>
  <si>
    <t>312</t>
  </si>
  <si>
    <t>Concrete, 50 MPa, in-situ, no reinforcement, (SE501E5) (Ecopact) (Holcim) (SA) (Adelaide)</t>
  </si>
  <si>
    <t>313</t>
  </si>
  <si>
    <t>Concrete, 40 MPa, in-situ, no reinforcement, (QE402E100)(Ecopact) (Holcim) (QLD) (Sunshine Coast)</t>
  </si>
  <si>
    <t>Concrete, 50 MPa, in-situ, no reinforcement, (SE502E2) (Ecopact) (Holcim) (SA) (Adelaide)</t>
  </si>
  <si>
    <t>304</t>
  </si>
  <si>
    <t>Concrete, 32 MPa, in-situ, no reinforcement, (QE321EF1)(Ecopact) (Holcim) (QLD) (Sunshine Coast)</t>
  </si>
  <si>
    <t>203</t>
  </si>
  <si>
    <t>0.22</t>
  </si>
  <si>
    <t>Concrete, 32 MPa, in-situ, no reinforcement, (QE321EF2)(Ecopact) (Holcim) (QLD) (Sunshine Coast)</t>
  </si>
  <si>
    <t>Concrete, 50 MPa, in-situ, no reinforcement, (SE501EDTW) (Ecopact) (Holcim) (SA) (Adelaide)</t>
  </si>
  <si>
    <t>388</t>
  </si>
  <si>
    <t>0.42</t>
  </si>
  <si>
    <t>Concrete, 50 MPa, in-situ, no reinforcement, (SE502E3) (Ecopact) (Holcim) (SA) (Adelaide)</t>
  </si>
  <si>
    <t>305</t>
  </si>
  <si>
    <t>Concrete, 32 MPa, in-situ, no reinforcement, (BE324XN) (Ecopact) (Holcim) (VIC)</t>
  </si>
  <si>
    <t>269</t>
  </si>
  <si>
    <t>Concrete, 25 MPa, in-situ, no reinforcement, (QE251E100)(Ecopact) (Holcim) (QLD) (Sunshine Coast)</t>
  </si>
  <si>
    <t>168</t>
  </si>
  <si>
    <t>Concrete, 50 MPa, in-situ, no reinforcement, (50MPa 7MM BLOCKMIX) (Adbri) (QLD)</t>
  </si>
  <si>
    <t>S-P-05518</t>
  </si>
  <si>
    <t>https://epd-australasia.com/wp-content/uploads/2023/04/SP05518-Adbri-EPD-Concrete_QLD_Mar23.pdf</t>
  </si>
  <si>
    <t>Concrete, 40 MPa, in-situ, no reinforcement, (VE402E56) (Ecopact) (Holcim) (VIC)</t>
  </si>
  <si>
    <t>283</t>
  </si>
  <si>
    <t>Concrete, 20 MPa, in-situ, no reinforcement, (QE201E)(Ecopact) (Holcim) (QLD) (Sunshine Coast)</t>
  </si>
  <si>
    <t>151</t>
  </si>
  <si>
    <t>0.16</t>
  </si>
  <si>
    <t>Concrete, 50 MPa, in-situ, no reinforcement, (VE501E56) (Ecopact) (Holcim) (VIC)</t>
  </si>
  <si>
    <t>340</t>
  </si>
  <si>
    <t>0.36</t>
  </si>
  <si>
    <t>Concrete, 40 MPa, in-situ, no reinforcement, (40MPa 10MM BLOCKMIX) (Adbri) (QLD)</t>
  </si>
  <si>
    <t>Concrete, 50 MPa, in-situ, no reinforcement, (VE502E) (Ecopact) (Holcim) (VIC)</t>
  </si>
  <si>
    <t>303</t>
  </si>
  <si>
    <t>Concrete, 32 MPa, in-situ, no reinforcement, (QE322EF2)(Ecopact) (Holcim) (QLD) (Sunshine Coast)</t>
  </si>
  <si>
    <t>199</t>
  </si>
  <si>
    <t>Concrete, 50 MPa, in-situ, no reinforcement, (VE502E5) (Ecopact) (Holcim) (VIC)</t>
  </si>
  <si>
    <t>294</t>
  </si>
  <si>
    <t>Concrete, 40 MPa, in-situ, no reinforcement, (Futurecrete®
Ultra N class GP/ GL:Slag 40 MPa) (Adbri) (QLD)</t>
  </si>
  <si>
    <t>Concrete, 32 MPa, in-situ, no reinforcement, (QE322TMR2)(Ecopact) (Holcim) (QLD) (Sunshine Coast)</t>
  </si>
  <si>
    <t>210</t>
  </si>
  <si>
    <t>Concrete, 20 MPa, in-situ, no reinforcement, (QE201E100)(Ecopact) (Holcim) (QLD) (Sunshine Coast)</t>
  </si>
  <si>
    <t>153</t>
  </si>
  <si>
    <t>Concrete, 50 MPa, in-situ, no reinforcement, (E50SPLS) (Barro Group) (VIC)</t>
  </si>
  <si>
    <t>S-P-08449</t>
  </si>
  <si>
    <t>https://epd-australasia.com/wp-content/uploads/2023/05/SP08449-Barro-Group-EPD-May23.pdf</t>
  </si>
  <si>
    <t>243</t>
  </si>
  <si>
    <t>Concrete, 50 MPa, in-situ, no reinforcement, (VE502EVR2) (Ecopact) (Holcim) (VIC)</t>
  </si>
  <si>
    <t>Concrete, 40 MPa, in-situ, no reinforcement, (VE401EAV) (Ecopact) (Holcim) (VIC)</t>
  </si>
  <si>
    <t>Concrete, 32 MPa, in-situ, no reinforcement, (QE322E)(Ecopact) (Holcim) (QLD) (Sunshine Coast)</t>
  </si>
  <si>
    <t>183</t>
  </si>
  <si>
    <t>0.19</t>
  </si>
  <si>
    <t>Concrete, 20 MPa, in-situ, no reinforcement, (Futurecrete®
N class GP/GL:Slag
20 MPa) (Adbri) (QLD)</t>
  </si>
  <si>
    <t>Concrete, 65 MPa, in-situ, no reinforcement, (SE651E3) (Ecopact) (Holcim) (SA) (Adelaide)</t>
  </si>
  <si>
    <t>339</t>
  </si>
  <si>
    <t>Concrete, ? MPa, in-situ, no reinforcement, (BLOCKMIX) (Adbri) (QLD)</t>
  </si>
  <si>
    <t>Concrete, 65 MPa, in-situ, no reinforcement, (SE651E5) (Ecopact) (Holcim) (SA) (Adelaide)</t>
  </si>
  <si>
    <t>Concrete, 40 MPa, in-situ, no reinforcement, (QE402EBF2) (Ecopact) (Holcim) (QLD) (Brisbane)</t>
  </si>
  <si>
    <t>341</t>
  </si>
  <si>
    <t>Concrete, ? MPa, in-situ, no reinforcement, (No Fines) (Adbri) (QLD)</t>
  </si>
  <si>
    <t>Concrete, 32 MPa, in-situ, no reinforcement, (Futurecrete®  N
class GP/GL:Slag
32 MPa) (Adbri) (QLD)</t>
  </si>
  <si>
    <t>Concrete, 40 MPa, in-situ, no reinforcement, (VE402EAP) (Ecopact) (Holcim) (VIC)</t>
  </si>
  <si>
    <t>310</t>
  </si>
  <si>
    <t>Concrete, 20 MPa, in-situ, no reinforcement, (QE202E100)(Ecopact) (Holcim) (QLD) (Sunshine Coast)</t>
  </si>
  <si>
    <t>160</t>
  </si>
  <si>
    <t>Concrete, 32 MPa, in-situ, no reinforcement, (R3220B)(GB) (BCG) (WA), (Perth)</t>
  </si>
  <si>
    <t>Concrete, 50 MPa, in-situ, no reinforcement, (50MPa 14MM TREMIE 160 SLUMP) (Adbri) (VIC)</t>
  </si>
  <si>
    <t>S-P-05520</t>
  </si>
  <si>
    <t>https://epd-australasia.com/wp-content/uploads/2023/04/SP05520-Adbri-EPD-Concrete_VIC_Mar23.pdf</t>
  </si>
  <si>
    <t>Concrete, 25 MPa, in-situ, no reinforcement, (QE252E)(Ecopact) (Holcim) (QLD) (Sunshine Coast)</t>
  </si>
  <si>
    <t>172</t>
  </si>
  <si>
    <t>0.17</t>
  </si>
  <si>
    <t>Concrete, 25 MPa, in-situ, no reinforcement, (Futurecrete®
N class GP/GL:Slag
25 MPa) (Adbri) (QLD)</t>
  </si>
  <si>
    <t>Concrete, 50 MPa, in-situ, no reinforcement, (VE501EAV) (Ecopact) (Holcim) (VIC)</t>
  </si>
  <si>
    <t>307</t>
  </si>
  <si>
    <t>Concrete, 25 MPa, in-situ, no reinforcement, (QE252E100)(Ecopact) (Holcim) (QLD) (Sunshine Coast)</t>
  </si>
  <si>
    <t>174</t>
  </si>
  <si>
    <t>Concrete, 50 MPa, in-situ, no reinforcement, (Futurecrete®  N
class GP/GL:Slag
50 MPa) (Adbri) (QLD)</t>
  </si>
  <si>
    <t>Concrete, 20 MPa, in-situ, no reinforcement, (QE202E)(Ecopact) (Holcim) (QLD) (Sunshine Coast)</t>
  </si>
  <si>
    <t>157</t>
  </si>
  <si>
    <t>0.15</t>
  </si>
  <si>
    <t>Concrete, 65 MPa, in-situ, no reinforcement, (65MPa 14MM TREMIE 160 SLUMP) (Adbri) (VIC)</t>
  </si>
  <si>
    <t>Concrete, 20 MPa, in-situ, no reinforcement, (Futurecrete®  Ultra
N Class GP/GL:Slag
20 MPa) (Adbri) (VIC)</t>
  </si>
  <si>
    <t>Concrete, 50 MPa, in-situ, no reinforcement, (NE502E1A1)(Ecopact) (Holcim) (NSW), (Sydney)</t>
  </si>
  <si>
    <t>Sydney, NSW</t>
  </si>
  <si>
    <t>S-P-02331</t>
  </si>
  <si>
    <t>https://epd-australasia.com/wp-content/uploads/2021/04/SP02331-Holcim-EPD-ViroDecs-Special-NSW-Sydney-ECOPact-Range-V2_Mar23.pdf</t>
  </si>
  <si>
    <t>353</t>
  </si>
  <si>
    <t>Concrete, 25 MPa, in-situ, no reinforcement, (25MPa 10MM BLOCKMIX) (Adbri) (QLD)</t>
  </si>
  <si>
    <t>Concrete, 25 MPa, in-situ, no reinforcement, (Futurecrete®  Ultra
N Class GP/GL:Slag
25 MPa) (Adbri) (VIC)</t>
  </si>
  <si>
    <t>Concrete, 65 MPa, in-situ, no reinforcement, (VE651EAV) (Ecopact) (Holcim) (VIC)</t>
  </si>
  <si>
    <t>344</t>
  </si>
  <si>
    <t>Concrete, 40 MPa, in-situ, no reinforcement, (QE401L100)(Ecopact) (Holcim) (QLD) (Sunshine Coast)</t>
  </si>
  <si>
    <t>Concrete, 40 MPa, in-situ, no reinforcement, (Futurecrete®  N
class GP/GL:Slag
40 MPa) (Adbri) (QLD)</t>
  </si>
  <si>
    <t>Concrete, 32 MPa, in-situ, no reinforcement, (NE322E1A1)(Ecopact) (Holcim) (NSW), (Sydney)</t>
  </si>
  <si>
    <t>240</t>
  </si>
  <si>
    <t>Concrete, 40 MPa, in-situ, no reinforcement, (QE402L100)(Ecopact) (Holcim) (QLD) (Sunshine Coast)</t>
  </si>
  <si>
    <t>295</t>
  </si>
  <si>
    <t>Concrete, ? MPa, in-situ, no reinforcement, (10 mm Lean Mix) (Adbri) (QLD)</t>
  </si>
  <si>
    <t>Concrete, 32 MPa, in-situ, no reinforcement, (QE322L)(Ecopact) (Holcim) (QLD) (Sunshine Coast)</t>
  </si>
  <si>
    <t>242</t>
  </si>
  <si>
    <t>Concrete, 25 MPa, in-situ, no reinforcement, (NE252E1A1)(Ecopact) (Holcim) (NSW), (Sydney)</t>
  </si>
  <si>
    <t>209</t>
  </si>
  <si>
    <t>Concrete, 40 MPa, in-situ, no reinforcement, (QE401L)(Ecopact) (Holcim) (QLD) (Sunshine Coast)</t>
  </si>
  <si>
    <t>297</t>
  </si>
  <si>
    <t>Concrete, 50 MPa, in-situ, no reinforcement, (VE501EAP) (Ecopact) (Holcim) (VIC)</t>
  </si>
  <si>
    <t>375</t>
  </si>
  <si>
    <t>Concrete, 40 MPa, in-situ, no reinforcement, (NE402E1A1)(Ecopact) (Holcim) (NSW), (Sydney)</t>
  </si>
  <si>
    <t>298</t>
  </si>
  <si>
    <t>Concrete, 40 MPa, in-situ, no reinforcement, (QE402L)(Ecopact) (Holcim) (QLD) (Sunshine Coast)</t>
  </si>
  <si>
    <t>287</t>
  </si>
  <si>
    <t>Concrete, 20 MPa, in-situ, no reinforcement, (QE201L)(Ecopact) (Holcim) (QLD) (Sunshine Coast)</t>
  </si>
  <si>
    <t>200</t>
  </si>
  <si>
    <t>Concrete, 32 MPa, in-situ, no reinforcement, (QE321L100)(Ecopact) (Holcim) (QLD) (Sunshine Coast)</t>
  </si>
  <si>
    <t>256</t>
  </si>
  <si>
    <t>Concrete, 25 MPa, in-situ, no reinforcement, (QE251L100)(Ecopact) (Holcim) (QLD) (Sunshine Coast)</t>
  </si>
  <si>
    <t>223</t>
  </si>
  <si>
    <t>0.20</t>
  </si>
  <si>
    <t>Concrete, 32 MPa, in-situ, no reinforcement, (32MPa 10MM BLOCKMIX) (Adbri) (QLD)</t>
  </si>
  <si>
    <t>Concrete, 25 MPa, in-situ, no reinforcement, (QE252L)(Ecopact) (Holcim) (QLD) (Sunshine Coast)</t>
  </si>
  <si>
    <t>Concrete, 32 MPa, in-situ, no reinforcement, (QE322L100)(Ecopact) (Holcim) (QLD) (Sunshine Coast)</t>
  </si>
  <si>
    <t>248</t>
  </si>
  <si>
    <t>Concrete, 32 MPa, in-situ, no reinforcement, (Futurecrete®  Ultra
N Class GP/GL:Slag
32 MPa) (Adbri) (VIC)</t>
  </si>
  <si>
    <t>Concrete, 20 MPa, in-situ, no reinforcement, (QE201L100)(Ecopact) (Holcim) (QLD) (Sunshine Coast)</t>
  </si>
  <si>
    <t>Concrete, 80 MPa</t>
  </si>
  <si>
    <t>&gt;65 MPa to ≤80 MPa</t>
  </si>
  <si>
    <t>Concrete, 80 MPa, in-situ, no reinforcement, (VE801EAV) (Ecopact) (Holcim) (VIC)</t>
  </si>
  <si>
    <t>408</t>
  </si>
  <si>
    <t>Concrete, 20 MPa, in-situ, no reinforcement, (QE202L)(Ecopact) (Holcim) (QLD) (Sunshine Coast)</t>
  </si>
  <si>
    <t>194</t>
  </si>
  <si>
    <t>Concrete, 50 MPa, in-situ, no reinforcement, (Futurecrete®  Ultra
N Class GP/GL:Slag
50 MPa) (Adbri) (VIC)</t>
  </si>
  <si>
    <t>Concrete, 25 MPa, in-situ, no reinforcement, (Futurecrete®
Ultra N class GP/ GL:Slag 25 MPa) (Adbri) (QLD)</t>
  </si>
  <si>
    <t>Concrete, 20 MPa, in-situ, no reinforcement, (QE202L100)(Ecopact) (Holcim) (QLD) (Sunshine Coast)</t>
  </si>
  <si>
    <t>198</t>
  </si>
  <si>
    <t>Concrete, 40 MPa, in-situ, no reinforcement, (40MPa 20MM 3 GST POINTS CONCRETE) (Adbri) (VIC)</t>
  </si>
  <si>
    <t>Concrete, 50 MPa, in-situ, no reinforcement, (NE501E1)(Ecopact) (Holcim) (NSW), (Sydney)</t>
  </si>
  <si>
    <t>247</t>
  </si>
  <si>
    <t>Concrete, 50 MPa, in-situ, no reinforcement, (NE501E5)(Ecopact) (Holcim) (NSW), (Sydney)</t>
  </si>
  <si>
    <t>Concrete, 32 MPa, in-situ, no reinforcement, (Futurecrete® N Class
GP:GL:Slag 32 MPa
- Winnellie) (Adbri) (NT)</t>
  </si>
  <si>
    <t>NT</t>
  </si>
  <si>
    <t>S-P-05522</t>
  </si>
  <si>
    <t>https://epd-australasia.com/wp-content/uploads/2023/04/SP05522-Adbri-EPD-Concrete_NT_Mar23.pdf</t>
  </si>
  <si>
    <t>Concrete, 32 MPa, in-situ, no reinforcement, (32MPa 20MM SHR LIMIT 600um) (Adbri) (VIC)</t>
  </si>
  <si>
    <t>Concrete, 40 MPa, in-situ, no reinforcement, (NE401E1)(Ecopact) (Holcim) (NSW), (Sydney)</t>
  </si>
  <si>
    <t>202</t>
  </si>
  <si>
    <t>Concrete, 20 MPa, in-situ, no reinforcement, (Futurecrete® N Class
GP:GL:Slag 20 MPa
- Winnellie) (Adbri) (NT)</t>
  </si>
  <si>
    <t>Concrete, 50 MPa, in-situ, no reinforcement, (50MPa 20MM 3 GST POINTS CONCRETE) (Adbri) (VIC)</t>
  </si>
  <si>
    <t>Concrete, 32 MPa, in-situ, no reinforcement, (NE322E1)(Ecopact) (Holcim) (NSW), (Sydney)</t>
  </si>
  <si>
    <t>167</t>
  </si>
  <si>
    <t>0.14</t>
  </si>
  <si>
    <t>Concrete, 32 MPa, in-situ, no reinforcement, (NE322E5)(Ecopact) (Holcim) (NSW), (Sydney)</t>
  </si>
  <si>
    <t>Concrete, 25 MPa, in-situ, no reinforcement, (NE251EBMX)(Ecopact) (Holcim) (NSW), (Sydney)</t>
  </si>
  <si>
    <t>Concrete, 32 MPa, in-situ, no reinforcement, (Futurecrete®
N class GP/GL:FA
32 MPa) (Adbri) (QLD)</t>
  </si>
  <si>
    <t>Concrete, 40 MPa, in-situ, no reinforcement, (40MPa 14MM 150MM SLUMP CONCRETE) (Adbri) (VIC)</t>
  </si>
  <si>
    <t>Concrete, 32 MPa, in-situ, no reinforcement, (NE321E1)(Ecopact) (Holcim) (NSW), (Sydney)</t>
  </si>
  <si>
    <t>169</t>
  </si>
  <si>
    <t>Concrete, 32 MPa, in-situ, no reinforcement, (NE321E5)(Ecopact) (Holcim) (NSW), (Sydney)</t>
  </si>
  <si>
    <t>Concrete, 40 MPa, in-situ, no reinforcement, (Futurecrete® N Class
GP:GL:Slag 40 MPa
- Winnellie) (Adbri) (NT)</t>
  </si>
  <si>
    <t>Concrete, 50 MPa, in-situ, no reinforcement, (QE502MRF4) (Ecopact) (Holcim) (QLD) (Brisbane)</t>
  </si>
  <si>
    <t>400</t>
  </si>
  <si>
    <t>Concrete, 50 MPa, in-situ, no reinforcement, (NE502E1)(Ecopact) (Holcim) (NSW), (Sydney)</t>
  </si>
  <si>
    <t>Concrete, 50 MPa, in-situ, no reinforcement, (NE502E5)(Ecopact) (Holcim) (NSW), (Sydney)</t>
  </si>
  <si>
    <t>244</t>
  </si>
  <si>
    <t>Concrete, 40 MPa, in-situ, no reinforcement, (NE402PTS2)(Ecopact) (Holcim) (NSW), (Sydney)</t>
  </si>
  <si>
    <t>293</t>
  </si>
  <si>
    <t>Concrete, 40 MPa, in-situ, no reinforcement, (QE401E) (Ecopact) (Holcim) (QLD), Gold Coast</t>
  </si>
  <si>
    <t>S-P-05496</t>
  </si>
  <si>
    <t>https://epd-australasia.com/wp-content/uploads/2023/05/SP05496-Holcim-EPD-ViroDecs%E2%84%A2-QLD-GoldCoast-ECOPact_Apr23.pdf</t>
  </si>
  <si>
    <t>220</t>
  </si>
  <si>
    <t>Concrete, 50 MPa, in-situ, no reinforcement, (Futurecrete® N Class
GP:GL:Slag 50 MPa
- Winnellie) (Adbri) (NT)</t>
  </si>
  <si>
    <t>Concrete, 50 MPa, in-situ, no reinforcement, (50MPa 14MM TRAMWAYS
25% SLAG) (Adbri) (VIC)</t>
  </si>
  <si>
    <t>Concrete, 80 MPa, in-situ, no reinforcement, (80MPa 14MM 150MM SLUMP CONCRETE) (Adbri) (VIC)</t>
  </si>
  <si>
    <t>Concrete, 20 MPa, in-situ, no reinforcement, (NE201E1)(Ecopact) (Holcim) (NSW), (Sydney)</t>
  </si>
  <si>
    <t>136</t>
  </si>
  <si>
    <t>0.11</t>
  </si>
  <si>
    <t>Concrete, 20 MPa, in-situ, no reinforcement, (NE201E5)(Ecopact) (Holcim) (NSW), (Sydney)</t>
  </si>
  <si>
    <t>Concrete, 32 MPa, in-situ, no reinforcement, (QE323EBMX) (Ecopact) (Holcim) (QLD), Gold Coast</t>
  </si>
  <si>
    <t>Concrete, 25 MPa, in-situ, no reinforcement, (NE252E1)(Ecopact) (Holcim) (NSW), (Sydney)</t>
  </si>
  <si>
    <t>149</t>
  </si>
  <si>
    <t>0.12</t>
  </si>
  <si>
    <t>Concrete, 25 MPa, in-situ, no reinforcement, (NE252E5)(Ecopact) (Holcim) (NSW), (Sydney)</t>
  </si>
  <si>
    <t>Concrete, 40 MPa, in-situ, no reinforcement, (NE402E1)(Ecopact) (Holcim) (NSW), (Sydney)</t>
  </si>
  <si>
    <t>Concrete, 40 MPa, in-situ, no reinforcement, (NE402E5)(Ecopact) (Holcim) (NSW), (Sydney)</t>
  </si>
  <si>
    <t>Concrete, 40 MPa, in-situ, no reinforcement, (NE402PT2)(Ecopact) (Holcim) (NSW), (Sydney)</t>
  </si>
  <si>
    <t>288</t>
  </si>
  <si>
    <t>Concrete, 50 MPa, in-situ, no reinforcement, (QE501EEZY) (Ecopact) (Holcim) (QLD), Gold Coast</t>
  </si>
  <si>
    <t>301</t>
  </si>
  <si>
    <t>Concrete, 20 MPa, in-situ, no reinforcement, (Futurecrete®  N Class
GP/GL:Slag 20 MPa) (Adbri) (VIC)</t>
  </si>
  <si>
    <t>Concrete, ? MPa, in-situ, no reinforcement, (SLUMP CONCRETE) (Adbri) (VIC)</t>
  </si>
  <si>
    <t>Concrete, 40 MPa, in-situ, no reinforcement, (40MPa 20MM FIBRE CONCRETE) (Adbri) (VIC)</t>
  </si>
  <si>
    <t>Concrete, 40 MPa, in-situ, no reinforcement, (Futurecrete®
N class GP/GL:FA
40 MPa) (Adbri) (QLD)</t>
  </si>
  <si>
    <t>Concrete, 40 MPa, in-situ, no reinforcement, (Adbri concrete
N class GP/GL
40 MPa) (Adbri) (QLD)</t>
  </si>
  <si>
    <t>Concrete, 40 MPa, in-situ, no reinforcement,Pronto (EPT4065) (Barro Group) (VIC)</t>
  </si>
  <si>
    <t>185</t>
  </si>
  <si>
    <t>Concrete, 40 MPa, in-situ, no reinforcement, (40MPa 14MM TREMIE 160 SLUMP) (Adbri) (VIC)</t>
  </si>
  <si>
    <t>Concrete, 40 MPa, in-situ, no reinforcement, (QE401EEZY) (Ecopact) (Holcim) (QLD), Gold Coast</t>
  </si>
  <si>
    <t>241</t>
  </si>
  <si>
    <t>Concrete, 40 MPa, in-situ, no reinforcement, (NE401E2)(Ecopact) (Holcim) (NSW), (Sydney)</t>
  </si>
  <si>
    <t>216</t>
  </si>
  <si>
    <t>Concrete, 20 MPa, in-situ, no reinforcement, (NE202E1)(Ecopact) (Holcim) (NSW), (Sydney)</t>
  </si>
  <si>
    <t>140</t>
  </si>
  <si>
    <t>Concrete, 25 MPa, in-situ, no reinforcement, (NE251E1)(Ecopact) (Holcim) (NSW), (Sydney)</t>
  </si>
  <si>
    <t>Concrete, 25 MPa, in-situ, no reinforcement, (NE251E5)(Ecopact) (Holcim) (NSW), (Sydney)</t>
  </si>
  <si>
    <t>Concrete, 25 MPa, in-situ, no reinforcement, (QE257EBMX) (Ecopact) (Holcim) (QLD), Gold Coast</t>
  </si>
  <si>
    <t>Concrete, 32 MPa, in-situ, no reinforcement, (Futurecrete®  N Class
GP/GL:Slag 32 MPa) (Adbri) (VIC)</t>
  </si>
  <si>
    <t>Concrete, 32 MPa, in-situ, no reinforcement, (QE327EBMX) (Ecopact) (Holcim) (QLD), Gold Coast</t>
  </si>
  <si>
    <t>230</t>
  </si>
  <si>
    <t>Concrete, 50 MPa, in-situ, no reinforcement, (QE502E100) (Ecopact) (Holcim) (QLD) (Brisbane)</t>
  </si>
  <si>
    <t>Concrete, 50 MPa, in-situ, no reinforcement, (QE501EEZY) (Ecopact) (Holcim) (QLD) (Brisbane)</t>
  </si>
  <si>
    <t>Concrete, 50 MPa, in-situ, no reinforcement, (QE501EL21) (Ecopact) (Holcim) (QLD), Gold Coast</t>
  </si>
  <si>
    <t>308</t>
  </si>
  <si>
    <t>Concrete, 25 MPa, in-situ, no reinforcement, (QE251E100) (Ecopact) (Holcim) (QLD), Gold Coast</t>
  </si>
  <si>
    <t>0.13</t>
  </si>
  <si>
    <t>Concrete, 50 MPa, in-situ, no reinforcement, (QE501EDUF) (Ecopact) (Holcim) (QLD), Gold Coast</t>
  </si>
  <si>
    <t>309</t>
  </si>
  <si>
    <t>Concrete, 40 MPa, in-situ, no reinforcement, (QE407EBMX) (Ecopact) (Holcim) (QLD), Gold Coast</t>
  </si>
  <si>
    <t>258</t>
  </si>
  <si>
    <t>Concrete, 32 MPa, in-situ, no reinforcement, (QE323EBMX) (Ecopact) (Holcim) (QLD) (Brisbane)</t>
  </si>
  <si>
    <t>Concrete, 40 MPa, in-situ, no reinforcement, (QE401E200) (Ecopact) (Holcim) (QLD) (Brisbane)</t>
  </si>
  <si>
    <t>Concrete, 40 MPa, in-situ, no reinforcement, (QE401EDUF) (Ecopact) (Holcim) (QLD), Gold Coast</t>
  </si>
  <si>
    <t>259</t>
  </si>
  <si>
    <t>Concrete, 40 MPa, in-situ, no reinforcement, (40MPa 20MM
PANEL CONCRETE
30% BL 120 SL) (Adbri) (VIC)</t>
  </si>
  <si>
    <t>Concrete, 50 MPa, in-situ, no reinforcement, (Adbri concrete
N class GP/GL
50 MPa) (Adbri) (QLD)</t>
  </si>
  <si>
    <t>Concrete, 50 MPa, in-situ, no reinforcement, (QE507EBMX) (Ecopact) (Holcim) (QLD) (Brisbane)</t>
  </si>
  <si>
    <t>299</t>
  </si>
  <si>
    <t>Concrete, 50 MPa, in-situ, no reinforcement, (QE502EEZY) (Ecopact) (Holcim) (QLD) (Brisbane)</t>
  </si>
  <si>
    <t>Concrete, 40 MPa, in-situ, no reinforcement, (QE402E100) (Ecopact) (Holcim) (QLD), Gold Coast</t>
  </si>
  <si>
    <t>234</t>
  </si>
  <si>
    <t>Concrete, 40 MPa, in-situ, no reinforcement, (QE401EEZY) (Ecopact) (Holcim) (QLD) (Brisbane)</t>
  </si>
  <si>
    <t>Concrete, 20 MPa, in-situ, no reinforcement, (QE203EBMX) (Ecopact) (Holcim) (QLD), Gold Coast</t>
  </si>
  <si>
    <t>Concrete, 25 MPa, in-situ, no reinforcement, (QE253EBMX) (Ecopact) (Holcim) (QLD) (Brisbane)</t>
  </si>
  <si>
    <t>Concrete, 25 MPa, in-situ, no reinforcement, (Futurecrete®
N class GP/GL:FA
25 MPa) (Adbri) (QLD)</t>
  </si>
  <si>
    <t>Concrete, 40 MPa, in-situ, no reinforcement, (QE402EEZY) (Ecopact) (Holcim) (QLD), Gold Coast</t>
  </si>
  <si>
    <t>235</t>
  </si>
  <si>
    <t>Concrete, 25 MPa, in-situ, no reinforcement, (QE253EBMX) (Ecopact) (Holcim) (QLD), Gold Coast</t>
  </si>
  <si>
    <t>Concrete, 32 MPa, in-situ, no reinforcement, (QE321EL21) (Ecopact) (Holcim) (QLD), Gold Coast</t>
  </si>
  <si>
    <t>Concrete, 50 MPa, in-situ, no reinforcement, (QE501E100) (Ecopact) (Holcim) (QLD), Gold Coast</t>
  </si>
  <si>
    <t>Concrete, 50 MPa, in-situ, no reinforcement, (QE502E100) (Ecopact) (Holcim) (QLD), Gold Coast</t>
  </si>
  <si>
    <t>Concrete, 80 MPa, in-situ, no reinforcement, (QE801EDUF) (Ecopact) (Holcim) (QLD), Gold Coast</t>
  </si>
  <si>
    <t>432</t>
  </si>
  <si>
    <t>Concrete, 50 MPa, in-situ, no reinforcement, (QE501E100) (Ecopact) (Holcim) (QLD) (Brisbane)</t>
  </si>
  <si>
    <t>302</t>
  </si>
  <si>
    <t>Concrete, 32 MPa, in-situ, no reinforcement, (Adbri concrete
N class GP/GL
32 MPa) (Adbri) (QLD)</t>
  </si>
  <si>
    <t>Concrete, 40 MPa, in-situ, no reinforcement, (QE401EL21) (Ecopact) (Holcim) (QLD), Gold Coast</t>
  </si>
  <si>
    <t>Concrete, 40 MPa, in-situ, no reinforcement, (QE402E100) (Ecopact) (Holcim) (QLD) (Brisbane)</t>
  </si>
  <si>
    <t>224</t>
  </si>
  <si>
    <t>Concrete, 32 MPa, in-situ, no reinforcement, (QE321EL21) (Ecopact) (Holcim) (QLD) (Brisbane)</t>
  </si>
  <si>
    <t>Concrete, 40 MPa, in-situ, no reinforcement, (QE402PT2) (Ecopact) (Holcim) (QLD), Gold Coast</t>
  </si>
  <si>
    <t>Concrete, 20 MPa, in-situ, no reinforcement, (CS2020BGS)(B) (BCG) (WA), (Perth)</t>
  </si>
  <si>
    <t>Concrete, 40 MPa, in-situ, no reinforcement, (QE401EL21) (Ecopact) (Holcim) (QLD) (Brisbane)</t>
  </si>
  <si>
    <t>Concrete, 25 MPa, in-situ, no reinforcement, (Adbri concrete
N class GP/GL
25 MPa) (Adbri) (QLD)</t>
  </si>
  <si>
    <t>Concrete, 40 MPa, in-situ, no reinforcement, (QE401EDUF) (Ecopact) (Holcim) (QLD) (Brisbane)</t>
  </si>
  <si>
    <t>253</t>
  </si>
  <si>
    <t>Concrete, 40 MPa, in-situ, no reinforcement, (QE401E100) (Ecopact) (Holcim) (QLD), Gold Coast</t>
  </si>
  <si>
    <t>Concrete, 50 MPa, in-situ, no reinforcement, (QE501EDUF) (Ecopact) (Holcim) (QLD) (Brisbane)</t>
  </si>
  <si>
    <t>280</t>
  </si>
  <si>
    <t>Concrete, 40 MPa, in-situ, no reinforcement, (Adbri concrete
N class GP/GL:FA
40 MPa) (Adbri) (QLD)</t>
  </si>
  <si>
    <t>Concrete, 40 MPa, in-situ, no reinforcement, (QE402EEZY) (Ecopact) (Holcim) (QLD) (Brisbane)</t>
  </si>
  <si>
    <t>227</t>
  </si>
  <si>
    <t>Concrete, 20 MPa, in-situ, no reinforcement, (QE207EBMX) (Ecopact) (Holcim) (QLD), Gold Coast</t>
  </si>
  <si>
    <t>187</t>
  </si>
  <si>
    <t>Concrete, 20 MPa, in-situ, no reinforcement, (Adbri concrete
N class GP/GL
20 MPa) (Adbri) (QLD)</t>
  </si>
  <si>
    <t>Stabilised Sand</t>
  </si>
  <si>
    <t>Stabilised sand</t>
  </si>
  <si>
    <t>Concrete, ? MPa, in-situ, no reinforcement, (Stabilised Sand
12:1) (Adbri) (QLD)</t>
  </si>
  <si>
    <t>Concrete, 40 MPa, in-situ, no reinforcement, (QE402E) (Ecopact) (Holcim) (QLD), Gold Coast</t>
  </si>
  <si>
    <t>228</t>
  </si>
  <si>
    <t>Concrete, 32 MPa, in-situ, no reinforcement, (QE322EEZY) (Ecopact) (Holcim) (QLD) (Brisbane)</t>
  </si>
  <si>
    <t>188</t>
  </si>
  <si>
    <t>Concrete, 40 MPa, in-situ, no reinforcement, (QE401E200) (Ecopact) (Holcim) (QLD), Gold Coast</t>
  </si>
  <si>
    <t>Concrete, 25 MPa, in-situ, no reinforcement, (QE251EEZY) (Ecopact) (Holcim) (QLD) (Brisbane)</t>
  </si>
  <si>
    <t>175</t>
  </si>
  <si>
    <t>Concrete, 25 MPa, in-situ, no reinforcement, (QE251EL21) (Ecopact) (Holcim) (QLD) (Brisbane)</t>
  </si>
  <si>
    <t>Concrete, 32 MPa, in-situ, no reinforcement, (QE321EEZY) (Ecopact) (Holcim) (QLD), Gold Coast</t>
  </si>
  <si>
    <t>Concrete, 32 MPa, in-situ, no reinforcement, (QE327EBMX) (Ecopact) (Holcim) (QLD) (Brisbane)</t>
  </si>
  <si>
    <t>Concrete, 40 MPa, in-situ, no reinforcement, (40MPa PT 14MM
22 IN 3 DAYS) (Adbri) (VIC)</t>
  </si>
  <si>
    <t>Concrete, 80 MPa, in-situ, no reinforcement, (QE801E200) (Ecopact) (Holcim) (QLD) (Brisbane)</t>
  </si>
  <si>
    <t>419</t>
  </si>
  <si>
    <t>Concrete, 32 MPa, in-situ, no reinforcement, (QE327ETOP) (Ecopact) (Holcim) (QLD), Gold Coast</t>
  </si>
  <si>
    <t>Concrete, 32 MPa, in-situ, no reinforcement, (QE321E100) (Ecopact) (Holcim) (QLD), Gold Coast</t>
  </si>
  <si>
    <t>Concrete, 32 MPa, in-situ, no reinforcement, (QE322E100) (Ecopact) (Holcim) (QLD), Gold Coast</t>
  </si>
  <si>
    <t>190</t>
  </si>
  <si>
    <t>Concrete, 20 MPa, in-situ, no reinforcement, (QE207EBMX) (Ecopact) (Holcim) (QLD) (Brisbane)</t>
  </si>
  <si>
    <t>Concrete, 65 MPa, in-situ, no reinforcement, (QE651E200) (Ecopact) (Holcim) (QLD) (Brisbane)</t>
  </si>
  <si>
    <t>Concrete, 40 MPa, in-situ, no reinforcement, (QE407EBMX) (Ecopact) (Holcim) (QLD) (Brisbane)</t>
  </si>
  <si>
    <t>Concrete, 80 MPa, in-situ, no reinforcement, (QE801EDUF) (Ecopact) (Holcim) (QLD) (Brisbane)</t>
  </si>
  <si>
    <t>421</t>
  </si>
  <si>
    <t>Concrete, 40 MPa, in-situ, no reinforcement, (QE401E100) (Ecopact) (Holcim) (QLD) (Brisbane)</t>
  </si>
  <si>
    <t>231</t>
  </si>
  <si>
    <t>Concrete, 20 MPa, in-situ, no reinforcement, (Futurecrete®
N class GP/GL:FA
20 MPa) (Adbri) (QLD)</t>
  </si>
  <si>
    <t>Concrete, 50 MPa, in-situ, no reinforcement, (Adbri concrete
N class GP/GL:FA
50 MPa) (Adbri) (QLD)</t>
  </si>
  <si>
    <t>Concrete, 32 MPa, in-situ, no reinforcement, (QE322E) (Ecopact) (Holcim) (QLD), Gold Coast</t>
  </si>
  <si>
    <t>191</t>
  </si>
  <si>
    <t>Concrete, 32 MPa, in-situ, no reinforcement, (QE321E100) (Ecopact) (Holcim) (QLD) (Brisbane)</t>
  </si>
  <si>
    <t>Concrete, 65 MPa, in-situ, no reinforcement, (QE651EDUF) (Ecopact) (Holcim) (QLD) (Brisbane)</t>
  </si>
  <si>
    <t>Concrete, 20 MPa, in-situ, no reinforcement, (QE202EEZY) (Ecopact) (Holcim) (QLD), Gold Coast</t>
  </si>
  <si>
    <t>164</t>
  </si>
  <si>
    <t>Concrete, 20 MPa, in-situ, no reinforcement, (QE201E100) (Ecopact) (Holcim) (QLD), Gold Coast</t>
  </si>
  <si>
    <t>Concrete, 25 MPa, in-situ, no reinforcement, (QE251E100) (Ecopact) (Holcim) (QLD) (Brisbane)</t>
  </si>
  <si>
    <t>Concrete, 40 MPa, in-situ, no reinforcement, (QE402E) (Ecopact) (Holcim) (QLD) (Brisbane)</t>
  </si>
  <si>
    <t>219</t>
  </si>
  <si>
    <t>Concrete, 40 MPa, in-situ, no reinforcement, (CS4020E5)(LH) (BCG) (WA), (Perth)</t>
  </si>
  <si>
    <t>Concrete, 25 MPa, in-situ, no reinforcement, (QE257EBMX) (Ecopact) (Holcim) (QLD) (Brisbane)</t>
  </si>
  <si>
    <t>206</t>
  </si>
  <si>
    <t>Concrete, 25 MPa, in-situ, no reinforcement, (QE252E100) (Ecopact) (Holcim) (QLD) (Brisbane)</t>
  </si>
  <si>
    <t>Concrete, 25 MPa, in-situ, no reinforcement, (QE252EEZY) (Ecopact) (Holcim) (QLD), Gold Coast</t>
  </si>
  <si>
    <t>179</t>
  </si>
  <si>
    <t>Concrete, 32 MPa, in-situ, no reinforcement, (QE321EEZY) (Ecopact) (Holcim) (QLD) (Brisbane)</t>
  </si>
  <si>
    <t>193</t>
  </si>
  <si>
    <t>Concrete, 32 MPa, in-situ, no reinforcement, (Adbri concrete
N class GP/GL:FA
32 MPa) (Adbri) (QLD)</t>
  </si>
  <si>
    <t>Concrete, 20 MPa, in-situ, no reinforcement, (Adbri concrete
N class GP/GL:FA
20 MPa) (Adbri) (QLD)</t>
  </si>
  <si>
    <t>Concrete, 20 MPa, in-situ, no reinforcement, (QE202E100) (Ecopact) (Holcim) (QLD) (Brisbane)</t>
  </si>
  <si>
    <t>Concrete, 25 MPa, in-situ, no reinforcement, (QE251E) (Ecopact) (Holcim) (QLD), Gold Coast</t>
  </si>
  <si>
    <t>Concrete, 65 MPa, in-situ, no reinforcement, (QE651E200) (Ecopact) (Holcim) (QLD), Gold Coast</t>
  </si>
  <si>
    <t>348</t>
  </si>
  <si>
    <t>Concrete, 32 MPa, in-situ, no reinforcement, (QE322E) (Ecopact) (Holcim) (QLD) (Brisbane)</t>
  </si>
  <si>
    <t>181</t>
  </si>
  <si>
    <t>Concrete, 25 MPa, in-situ, no reinforcement, (BF2503B)(GB) (BCG) (WA), (Perth)</t>
  </si>
  <si>
    <t>Concrete, 20 MPa, in-situ, no reinforcement, (QE201EL21) (Ecopact) (Holcim) (QLD), Gold Coast</t>
  </si>
  <si>
    <t>Concrete, 50 MPa, in-situ, no reinforcement, (QE501E200) (Ecopact) (Holcim) (QLD) (Brisbane)</t>
  </si>
  <si>
    <t>336</t>
  </si>
  <si>
    <t>Concrete, 40 MPa, in-situ, no reinforcement, (40MPa 14MM
20MPa IN 2 DAYS) (Adbri) (VIC)</t>
  </si>
  <si>
    <t>Concrete, 32 MPa, in-situ, no reinforcement, (QE322EEZY) (Ecopact) (Holcim) (QLD), Gold Coast</t>
  </si>
  <si>
    <t>197</t>
  </si>
  <si>
    <t>Concrete, 25 MPa, in-situ, no reinforcement, (QE251EL21) (Ecopact) (Holcim) (QLD), Gold Coast</t>
  </si>
  <si>
    <t>184</t>
  </si>
  <si>
    <t>Concrete, 20 MPa, in-situ, no reinforcement, (QE201EEZY) (Ecopact) (Holcim) (QLD), Gold Coast</t>
  </si>
  <si>
    <t>170</t>
  </si>
  <si>
    <t>Concrete, 40 MPa, in-situ, no reinforcement, (QE402PT1) (Ecopact) (Holcim) (QLD), Gold Coast</t>
  </si>
  <si>
    <t>Concrete, 20 MPa, in-situ, no reinforcement, (QE201E100) (Ecopact) (Holcim) (QLD) (Brisbane)</t>
  </si>
  <si>
    <t>156</t>
  </si>
  <si>
    <t>Concrete, 50 MPa, in-situ, no reinforcement, (QE501E200) (Ecopact) (Holcim) (QLD), Gold Coast</t>
  </si>
  <si>
    <t>327</t>
  </si>
  <si>
    <t>Concrete, 32 MPa, in-situ, no reinforcement, (QE322E100) (Ecopact) (Holcim) (QLD) (Brisbane)</t>
  </si>
  <si>
    <t>Concrete, 25 MPa, in-situ, no reinforcement, (QE252EEZY) (Ecopact) (Holcim) (QLD) (Brisbane)</t>
  </si>
  <si>
    <t>171</t>
  </si>
  <si>
    <t>Concrete, 20 MPa, in-situ, no reinforcement, (QE202EEZY) (Ecopact) (Holcim) (QLD) (Brisbane)</t>
  </si>
  <si>
    <t>158</t>
  </si>
  <si>
    <t>Concrete, 25 MPa, in-situ, no reinforcement, (QE252E100) (Ecopact) (Holcim) (QLD), Gold Coast</t>
  </si>
  <si>
    <t>173</t>
  </si>
  <si>
    <t>Concrete, 20 MPa, in-situ, no reinforcement, (QE202E100) (Ecopact) (Holcim) (QLD), Gold Coast</t>
  </si>
  <si>
    <t>159</t>
  </si>
  <si>
    <t>Concrete, 25 MPa, in-situ, no reinforcement, (Adbri concrete
N class GP/GL:FA
25 MPa) (Adbri) (QLD)</t>
  </si>
  <si>
    <t>Concrete, 25 MPa, in-situ, no reinforcement, (QE252E) (Ecopact) (Holcim) (QLD), Gold Coast</t>
  </si>
  <si>
    <t>Concrete, 20 MPa, in-situ, no reinforcement, (QE201EL21) (Ecopact) (Holcim) (QLD) (Brisbane)</t>
  </si>
  <si>
    <t>Concrete, 20 MPa, in-situ, no reinforcement, (QE201EEZY) (Ecopact) (Holcim) (QLD) (Brisbane)</t>
  </si>
  <si>
    <t>161</t>
  </si>
  <si>
    <t>Concrete, 32 MPa, in-situ, no reinforcement, (WE321E1)(Ecopact) (Holcim) (WA), (Perth Metro)</t>
  </si>
  <si>
    <t>Perth Metro, WA</t>
  </si>
  <si>
    <t>S-P-03716</t>
  </si>
  <si>
    <t>https://epd-australasia.com/wp-content/uploads/2021/12/SP03716-Holcim-EPD_WAPerth-ECOPact-Range_-v2.0_Apr23.pdf</t>
  </si>
  <si>
    <t>236</t>
  </si>
  <si>
    <t>Concrete, 40 MPa, in-situ, no reinforcement, (40MPa 7MM
SPRAY CONCRETE (30kg/SF)) (Adbri) (VIC)</t>
  </si>
  <si>
    <t>Concrete, 32 MPa, in-situ, no reinforcement, (WE321E2)(Ecopact) (Holcim) (WA), (Perth Metro)</t>
  </si>
  <si>
    <t>Concrete, 32 MPa, in-situ, no reinforcement, (WE321E4)(Ecopact) (Holcim) (WA), (Perth Metro)</t>
  </si>
  <si>
    <t>Concrete, 25 MPa, in-situ, no reinforcement, (QE252E) (Ecopact) (Holcim) (QLD) (Brisbane)</t>
  </si>
  <si>
    <t>163</t>
  </si>
  <si>
    <t>Concrete, 50 MPa, in-situ, no reinforcement, (WE501E2)(Ecopact) (Holcim) (WA), (Perth Metro)</t>
  </si>
  <si>
    <t>Concrete, 50 MPa, in-situ, no reinforcement, (WE501E4)(Ecopact) (Holcim) (WA), (Perth Metro)</t>
  </si>
  <si>
    <t>Concrete, 40 MPa, in-situ, no reinforcement, (WE404E1)(Ecopact) (Holcim) (WA), (Perth Metro)</t>
  </si>
  <si>
    <t>270</t>
  </si>
  <si>
    <t>Concrete, 40 MPa, in-situ, no reinforcement, (WE401E1)(Ecopact) (Holcim) (WA), (Perth Metro)</t>
  </si>
  <si>
    <t>Concrete, 32 MPa, in-situ, no reinforcement, (QE327ETOP) (Ecopact) (Holcim) (QLD) (Brisbane)</t>
  </si>
  <si>
    <t>Concrete, 40 MPa, in-situ, no reinforcement, (WE404E2)(Ecopact) (Holcim) (WA), (Perth Metro)</t>
  </si>
  <si>
    <t>271</t>
  </si>
  <si>
    <t>Concrete, 40 MPa, in-situ, no reinforcement, (WE401E2)(Ecopact) (Holcim) (WA), (Perth Metro)</t>
  </si>
  <si>
    <t>Concrete, 40 MPa, in-situ, no reinforcement, (WE404E4)(Ecopact) (Holcim) (WA), (Perth Metro)</t>
  </si>
  <si>
    <t>Concrete, 40 MPa, in-situ, no reinforcement, (WE401E4)(Ecopact) (Holcim) (WA), (Perth Metro)</t>
  </si>
  <si>
    <t>Concrete, 20 MPa, in-situ, no reinforcement, (WE204E1)(Ecopact) (Holcim) (WA), (Perth Metro)</t>
  </si>
  <si>
    <t>196</t>
  </si>
  <si>
    <t>Concrete, 20 MPa, in-situ, no reinforcement, (QE202E) (Ecopact) (Holcim) (QLD) (Brisbane)</t>
  </si>
  <si>
    <t>0.10</t>
  </si>
  <si>
    <t>Concrete, 32 MPa, in-situ, no reinforcement, (WE322E1)(Ecopact) (Holcim) (WA), (Perth Metro)</t>
  </si>
  <si>
    <t>Concrete, 25 MPa, in-situ, no reinforcement, (WE254E1)(Ecopact) (Holcim) (WA), (Perth Metro)</t>
  </si>
  <si>
    <t>212</t>
  </si>
  <si>
    <t>Concrete, 20 MPa, in-situ, no reinforcement, (WE201E1)(Ecopact) (Holcim) (WA), (Perth Metro)</t>
  </si>
  <si>
    <t>Concrete, 25 MPa, in-situ, no reinforcement, (WE251E1)(Ecopact) (Holcim) (WA), (Perth Metro)</t>
  </si>
  <si>
    <t>Concrete, 50 MPa, in-situ, no reinforcement, (WE502E2)(Ecopact) (Holcim) (WA), (Perth Metro)</t>
  </si>
  <si>
    <t>320</t>
  </si>
  <si>
    <t>Concrete, 50 MPa, in-situ, no reinforcement, (WE502E4)(Ecopact) (Holcim) (WA), (Perth Metro)</t>
  </si>
  <si>
    <t>Concrete, 50 MPa, in-situ, no reinforcement, (QE502LPN2) (Ecopact) (Holcim) (QLD) (Brisbane)</t>
  </si>
  <si>
    <t>398</t>
  </si>
  <si>
    <t>Concrete, 40 MPa, in-situ, no reinforcement, (QE402PT1) (Ecopact) (Holcim) (QLD) (Brisbane)</t>
  </si>
  <si>
    <t>Concrete, 40 MPa, in-situ, no reinforcement, (QE402PT2) (Ecopact) (Holcim) (QLD) (Brisbane)</t>
  </si>
  <si>
    <t>Concrete, 40 MPa, in-situ, no reinforcement, (WE402E1)(Ecopact) (Holcim) (WA), (Perth Metro)</t>
  </si>
  <si>
    <t>Concrete, 40 MPa, in-situ, no reinforcement, (QE402PT3) (Ecopact) (Holcim) (QLD) (Brisbane)</t>
  </si>
  <si>
    <t>Concrete, 40 MPa, in-situ, no reinforcement, (QE401LMO1) (Ecopact) (Holcim) (QLD) (Brisbane)</t>
  </si>
  <si>
    <t>Concrete, 40 MPa, in-situ, no reinforcement, (WE402E2)(Ecopact) (Holcim) (WA), (Perth Metro)</t>
  </si>
  <si>
    <t>Concrete, 40 MPa, in-situ, no reinforcement, (WE402E4)(Ecopact) (Holcim) (WA), (Perth Metro)</t>
  </si>
  <si>
    <t>Concrete, 40 MPa, in-situ, no reinforcement, (QE4022A31) (Ecopact) (Holcim) (QLD), Gold Coast</t>
  </si>
  <si>
    <t>311</t>
  </si>
  <si>
    <t>Concrete, 40 MPa, in-situ, no reinforcement, (QE4022A41) (Ecopact) (Holcim) (QLD), Gold Coast</t>
  </si>
  <si>
    <t>Concrete, 40 MPa, in-situ, no reinforcement, (QE4022A51) (Ecopact) (Holcim) (QLD), Gold Coast</t>
  </si>
  <si>
    <t>Concrete, 40 MPa, in-situ, no reinforcement, (QE401LMO1) (Ecopact) (Holcim) (QLD), Gold Coast</t>
  </si>
  <si>
    <t>Concrete, 20 MPa, in-situ, no reinforcement, (Adbri Concrete N Class GP/GL 20 MPa) (Adbri) (VIC)</t>
  </si>
  <si>
    <t>Concrete, 32 MPa, in-situ, no reinforcement, (WE324E1)(Ecopact) (Holcim) (WA), (Perth Metro)</t>
  </si>
  <si>
    <t>Concrete, 40 MPa, in-situ, no reinforcement, (QE402PT3) (Ecopact) (Holcim) (QLD), Gold Coast</t>
  </si>
  <si>
    <t>Concrete, 40 MPa, in-situ, no reinforcement, (QE4022A32) (Ecopact) (Holcim) (QLD), Gold Coast</t>
  </si>
  <si>
    <t>Concrete, 40 MPa, in-situ, no reinforcement, (QE4022A42) (Ecopact) (Holcim) (QLD), Gold Coast</t>
  </si>
  <si>
    <t>Concrete, 40 MPa, in-situ, no reinforcement, (QE4022A52) (Ecopact) (Holcim) (QLD), Gold Coast</t>
  </si>
  <si>
    <t>Concrete, 40 MPa, in-situ, no reinforcement, (QE4022A53) (Ecopact) (Holcim) (QLD), Gold Coast</t>
  </si>
  <si>
    <t>Concrete, 40 MPa, in-situ, no reinforcement, (QE402L652) (Ecopact) (Holcim) (QLD), Gold Coast</t>
  </si>
  <si>
    <t>Concrete, 20 MPa, in-situ, no reinforcement, (WE202E1)(Ecopact) (Holcim) (WA), (Perth Metro)</t>
  </si>
  <si>
    <t>Concrete, 32 MPa, in-situ, no reinforcement, (WE324E2)(Ecopact) (Holcim) (WA), (Perth Metro)</t>
  </si>
  <si>
    <t>Concrete, 32 MPa, in-situ, no reinforcement, (WE324E4)(Ecopact) (Holcim) (WA), (Perth Metro)</t>
  </si>
  <si>
    <t>Concrete, 20 MPa, in-situ, no reinforcement, (Adbri Concrete N Class GP:GL 20 MPa
- Winnellie) (Adbri) (NT)</t>
  </si>
  <si>
    <t>Concrete, 50 MPa, in-situ, no reinforcement, (QE502LPN2) (Ecopact) (Holcim) (QLD), Gold Coast</t>
  </si>
  <si>
    <t>363</t>
  </si>
  <si>
    <t>Concrete, 32 MPa, in-situ, no reinforcement, (Adbri Concrete N Class GP:GL 32 MPa
- Winnellie) (Adbri) (NT)</t>
  </si>
  <si>
    <t>Concrete, 40 MPa, in-situ, no reinforcement, (QE402LMO1) (Ecopact) (Holcim) (QLD) (Brisbane)</t>
  </si>
  <si>
    <t>Concrete, 40 MPa, in-situ, no reinforcement, (NE401E1L2)(Ecopact) (Holcim) (NSW), (Sydney)</t>
  </si>
  <si>
    <t>Concrete, 25 MPa, in-situ, no reinforcement, (Adbri Concrete N Class GP/GL 25 MPa) (Adbri) (VIC)</t>
  </si>
  <si>
    <t>Concrete, 25 MPa, in-situ, no reinforcement, (QE252L700) (Ecopact) (Holcim) (QLD), Gold Coast</t>
  </si>
  <si>
    <t>Concrete, 25 MPa, in-situ, no reinforcement, (Adbri Concrete N Class GP:GL 25 MPa
- Winnellie) (Adbri) (NT)</t>
  </si>
  <si>
    <t>Concrete, 40 MPa, in-situ, no reinforcement, (QE402L652) (Ecopact) (Holcim) (QLD) (Brisbane)</t>
  </si>
  <si>
    <t>Concrete, 32 MPa, in-situ, no reinforcement, (QE322EXT1) (Ecopact) (Holcim) (QLD) (Brisbane)</t>
  </si>
  <si>
    <t>Concrete, 40 MPa, in-situ, no reinforcement, (Futurecrete®  N
class Ternary
40 MPa) (Adbri) (QLD)</t>
  </si>
  <si>
    <t>Concrete, 40 MPa, in-situ, no reinforcement, (Futurecrete®  Special
Class GP 40 MPa
22 hours) (Adbri) (NT)</t>
  </si>
  <si>
    <t>Concrete, 32 MPa, in-situ, no reinforcement, (NE321E1L2)(Ecopact) (Holcim) (NSW), (Sydney)</t>
  </si>
  <si>
    <t>178</t>
  </si>
  <si>
    <t>Concrete, 32 MPa, in-situ, no reinforcement, (QE322LPN2) (Ecopact) (Holcim) (QLD), Gold Coast</t>
  </si>
  <si>
    <t>Concrete, 40 MPa, in-situ, no reinforcement, (QE402LPN2) (Ecopact) (Holcim) (QLD), Gold Coast</t>
  </si>
  <si>
    <t>Concrete, 32 MPa, in-situ, no reinforcement, (QE322L652) (Ecopact) (Holcim) (QLD), Gold Coast</t>
  </si>
  <si>
    <t>261</t>
  </si>
  <si>
    <t>Concrete, 32 MPa, in-situ, no reinforcement, (QE321L)(Ecopact) (Holcim) (QLD) (Sunshine Coast)</t>
  </si>
  <si>
    <t>Concrete, 32 MPa, in-situ, no reinforcement, (QE322LOX) (Ecopact) (Holcim) (QLD), Gold Coast</t>
  </si>
  <si>
    <t>Concrete, 50 MPa, in-situ, no reinforcement, (50MPa 20MM
PANEL CONCRETE
120 SLUMP) (Adbri) (VIC)</t>
  </si>
  <si>
    <t>Concrete, 40 MPa, in-situ, no reinforcement, (Adbri Concrete N Class GP/GL 40 MPa) (Adbri) (VIC)</t>
  </si>
  <si>
    <t>Concrete, 65 MPa, in-situ, no reinforcement, (QE651ELCF) (Ecopact) (Holcim) (QLD) (Brisbane)</t>
  </si>
  <si>
    <t>370</t>
  </si>
  <si>
    <t>Concrete, 50 MPa, in-situ, no reinforcement, (QE501ELCF) (Ecopact) (Holcim) (QLD) (Brisbane)</t>
  </si>
  <si>
    <t>Concrete, 32 MPa, in-situ, no reinforcement, (Adbri Concrete N Class GP/GL 32 MPa) (Adbri) (VIC)</t>
  </si>
  <si>
    <t>Concrete, 40 MPa, in-situ, no reinforcement, (QE401ELCF) (Ecopact) (Holcim) (QLD) (Brisbane)</t>
  </si>
  <si>
    <t>289</t>
  </si>
  <si>
    <t>Concrete, 65 MPa, in-situ, no reinforcement, (QE651ECFA) (Ecopact) (Holcim) (QLD) (Brisbane)</t>
  </si>
  <si>
    <t>369</t>
  </si>
  <si>
    <t>Concrete, 50 MPa, in-situ, no reinforcement, (Adbri Concrete N Class GP/GL 50 MPa) (Adbri) (VIC)</t>
  </si>
  <si>
    <t>Concrete, 50 MPa, in-situ, no reinforcement, (QE501ECFA) (Ecopact) (Holcim) (QLD) (Brisbane)</t>
  </si>
  <si>
    <t>Concrete, 50 MPa, in-situ, no reinforcement, (VE502ESW) (Ecopact) (Holcim) (VIC)</t>
  </si>
  <si>
    <t>Concrete, 40 MPa, in-situ, no reinforcement, (QE401ECFA) (Ecopact) (Holcim) (QLD) (Brisbane)</t>
  </si>
  <si>
    <t>Concrete, 55 MPa</t>
  </si>
  <si>
    <t>Concrete, 55 MPa, in-situ, no reinforcement, (VE552EVR3) (Ecopact) (Holcim) (VIC)</t>
  </si>
  <si>
    <t>Concrete, 25 MPa, in-situ, no reinforcement, (WE251EKC)(Ecopact) (Holcim) (WA), (Perth Metro)</t>
  </si>
  <si>
    <t>Concrete, 40 MPa, in-situ, no reinforcement, (VE404EWC) (Ecopact) (Holcim) (VIC)</t>
  </si>
  <si>
    <t>Concrete, 40 MPa, in-situ, no reinforcement, (VE402ESW) (Ecopact) (Holcim) (VIC)</t>
  </si>
  <si>
    <t>Concrete, 32 MPa, in-situ, no reinforcement, (WE321EKC)(Ecopact) (Holcim) (WA), (Perth Metro)</t>
  </si>
  <si>
    <t>266</t>
  </si>
  <si>
    <t>Concrete, 40 MPa, in-situ, no reinforcement,Pronto (EPT4735) (Barro Group) (VIC)</t>
  </si>
  <si>
    <t>265</t>
  </si>
  <si>
    <t>Concrete, 65 MPa, in-situ, no reinforcement, (65MPa 14MM
SUPER WORKABLE CONCRETE) (Adbri) (VIC)</t>
  </si>
  <si>
    <t>Concrete, 32 MPa, in-situ, no reinforcement, (VE321EK6) (Ecopact) (Holcim) (VIC)</t>
  </si>
  <si>
    <t>257</t>
  </si>
  <si>
    <t>Concrete, 32 MPa, in-situ, no reinforcement, (VE321EKC) (Ecopact) (Holcim) (VIC)</t>
  </si>
  <si>
    <t>Concrete, 25 MPa, in-situ, no reinforcement, (VE251EKC) (Ecopact) (Holcim) (VIC)</t>
  </si>
  <si>
    <t>Concrete, 25 MPa, in-situ, no reinforcement, (WE252EP1)(Ecopact) (Holcim) (WA), (Perth Metro)</t>
  </si>
  <si>
    <t>Concrete, 32 MPa, in-situ, no reinforcement, (WE324EP1)(Ecopact) (Holcim) (WA), (Perth Metro)</t>
  </si>
  <si>
    <t>Concrete, 25 MPa, in-situ, no reinforcement, (WE254EP1)(Ecopact) (Holcim) (WA), (Perth Metro)</t>
  </si>
  <si>
    <t>Concrete, 20 MPa, in-situ, no reinforcement, (WE202EP1)(Ecopact) (Holcim) (WA), (Perth Metro)</t>
  </si>
  <si>
    <t>0.09</t>
  </si>
  <si>
    <t>Concrete, 25 MPa, in-situ, no reinforcement, (WE251EBMX)(Ecopact) (Holcim) (WA), (Perth Metro)</t>
  </si>
  <si>
    <t>Concrete, 20 MPa, in-situ, no reinforcement, (WE201EBMX)(Ecopact) (Holcim) (WA), (Perth Metro)</t>
  </si>
  <si>
    <t>Concrete, 32 MPa, in-situ, no reinforcement, (WE322E31)(Ecopact) (Holcim) (WA), (Perth Metro)</t>
  </si>
  <si>
    <t>Concrete, 50 MPa, in-situ, no reinforcement, (Adbri Concrete N Class GP:GL 50 MPa
- Katherine) (Adbri) (NT)</t>
  </si>
  <si>
    <t>Concrete, 40 MPa, in-situ, no reinforcement,Pronto (EPG40F) (Barro Group) (VIC)</t>
  </si>
  <si>
    <t>211</t>
  </si>
  <si>
    <t>Concrete, 40 MPa, in-situ, no reinforcement, (Adbri Concrete N Class GP:GL 40 MPa
- Katherine) (Adbri) (NT)</t>
  </si>
  <si>
    <t>Concrete, 50 MPa, in-situ, no reinforcement, (Adbri Concrete N Class GP:GL 50 MPa
- Alice Springs) (Adbri) (NT)</t>
  </si>
  <si>
    <t>Concrete, 40 MPa, in-situ, no reinforcement, (Adbri Concrete N Class GP:GL 40 MPa
- Alice Springs) (Adbri) (NT)</t>
  </si>
  <si>
    <t>Concrete, 32 MPa, in-situ, no reinforcement, (Adbri Concrete N Class GP:GL 32 MPa
- Katherine) (Adbri) (NT)</t>
  </si>
  <si>
    <t>Concrete, 32 MPa, in-situ, no reinforcement, (Adbri Concrete N Class GP:GL 32 MPa
- Alice Springs) (Adbri) (NT)</t>
  </si>
  <si>
    <t>Concrete, 25 MPa, in-situ, no reinforcement, (Adbri Concrete N Class GP:GL 25 MPa
- Alice Springs) (Adbri) (NT)</t>
  </si>
  <si>
    <t>Concrete, 20 MPa, in-situ, no reinforcement, (Adbri Concrete N Class GP:GL 20 MPa
- Alice Springs) (Adbri) (NT)</t>
  </si>
  <si>
    <t>Concrete, 25 MPa, in-situ, no reinforcement, (Adbri Concrete N Class GP:GL 25 MPa
- Katherine) (Adbri) (NT)</t>
  </si>
  <si>
    <t>Concrete, 32 MPa, in-situ, no reinforcement, (EFM32) (Barro Group) (VIC)</t>
  </si>
  <si>
    <t>Concrete, 80 MPa, in-situ, no reinforcement, (E80SPHE) (Barro Group) (VIC)</t>
  </si>
  <si>
    <t>457</t>
  </si>
  <si>
    <t>Concrete, 40 MPa, in-situ, no reinforcement, (EGRA47) (Barro Group) (VIC)</t>
  </si>
  <si>
    <t>Concrete, 25 MPa, in-situ, no reinforcement, (R2520A)(GP) (BCG) (WA), (Perth)</t>
  </si>
  <si>
    <t>Concrete, 40 MPa, in-situ, no reinforcement,Pronto (EPG40) (Barro Group) (VIC)</t>
  </si>
  <si>
    <t>Concrete, 65 MPa, in-situ, no reinforcement, (E65SPHE) (Barro Group) (VIC)</t>
  </si>
  <si>
    <t>356</t>
  </si>
  <si>
    <t>Concrete, 100 MP</t>
  </si>
  <si>
    <t>&gt;80 MPa +</t>
  </si>
  <si>
    <t>Concrete, 100 MPa, in-situ, no reinforcement, (E100SP) (Barro Group) (VIC)</t>
  </si>
  <si>
    <t>444</t>
  </si>
  <si>
    <t>Concrete, 50 MPa, in-situ, no reinforcement, (E50SPHE) (Barro Group) (VIC)</t>
  </si>
  <si>
    <t>300</t>
  </si>
  <si>
    <t>Concrete, 50 MPa, in-situ, no reinforcement, (EN50) (Barro Group) (VIC)</t>
  </si>
  <si>
    <t>286</t>
  </si>
  <si>
    <t>Concrete, 80 MPa, in-situ, no reinforcement, (E80SP) (Barro Group) (VIC)</t>
  </si>
  <si>
    <t>379</t>
  </si>
  <si>
    <t>Concrete, 65 MPa, in-situ, no reinforcement, (E65N56PUD) (Barro Group) (VIC)</t>
  </si>
  <si>
    <t>352</t>
  </si>
  <si>
    <t>Concrete, 32 MPa, in-situ, no reinforcement,Pronto (EPG32) (Barro Group) (VIC)</t>
  </si>
  <si>
    <t>Concrete, 20 MPa, in-situ, no reinforcement,Pronto (EPG20F) (Barro Group) (VIC)</t>
  </si>
  <si>
    <t>146</t>
  </si>
  <si>
    <t>Concrete, 65 MPa, in-situ, no reinforcement, (E65SP) (Barro Group) (VIC)</t>
  </si>
  <si>
    <t>316</t>
  </si>
  <si>
    <t>Concrete, 25 MPa, in-situ, no reinforcement,Pronto (EPG25) (Barro Group) (VIC)</t>
  </si>
  <si>
    <t>Concrete, 40 MPa, in-situ, no reinforcement, (EN40) (Barro Group) (VIC)</t>
  </si>
  <si>
    <t>226</t>
  </si>
  <si>
    <t xml:space="preserve">Concrete, Kerb </t>
  </si>
  <si>
    <t>Concrete, Kerb 320kg MPa, in-situ, no reinforcement, (EKB320) (Barro Group) (VIC)</t>
  </si>
  <si>
    <t>Concrete, 50 MPa, in-situ, no reinforcement, (E50SP) (Barro Group) (VIC)</t>
  </si>
  <si>
    <t>Concrete, 20 MPa, in-situ, no reinforcement,Pronto (EPG20) (Barro Group) (VIC)</t>
  </si>
  <si>
    <t>Concrete, 35 MPa</t>
  </si>
  <si>
    <t>Concrete, 35 MPa, in-situ, no reinforcement, (S35MPA S CLASS 20MM R83 MACHINE PLACED) (Adbri) (NSW)</t>
  </si>
  <si>
    <t>S-P-05519</t>
  </si>
  <si>
    <t>https://epd-australasia.com/wp-content/uploads/2023/04/SP05519-Adbri-EPD-Concrete_NSW_Mar23.pdf</t>
  </si>
  <si>
    <t>Concrete, 40 MPa, in-situ, no reinforcement, (E40SP) (Barro Group) (VIC)</t>
  </si>
  <si>
    <t>Concrete, 50 MPa, in-situ, no reinforcement, (EVR450) (Barro Group) (VIC)</t>
  </si>
  <si>
    <t>Concrete, 50 MPa, in-situ, no reinforcement, (Futurecrete®  S Class
GP/GL:Slag 50 MPa) (Adbri) (SA)</t>
  </si>
  <si>
    <t>S-P-05521</t>
  </si>
  <si>
    <t>https://epd-australasia.com/wp-content/uploads/2023/04/SP05521-Adbri-EPD-Concrete_SA_Mar23.pdf</t>
  </si>
  <si>
    <t>Concrete, 32 MPa, in-situ, no reinforcement, (EN32) (Barro Group) (VIC)</t>
  </si>
  <si>
    <t>Concrete, 35 MPa, in-situ, no reinforcement, (S35MPA S CLASS 20MM R83 SLIPFORM) (Adbri) (NSW)</t>
  </si>
  <si>
    <t>Concrete, Kerb 280kg MPa, in-situ, no reinforcement, (EKB280) (Barro Group) (VIC)</t>
  </si>
  <si>
    <t>186</t>
  </si>
  <si>
    <t>Concrete, 50 MPa, in-situ, no reinforcement, (E50600) (Barro Group) (VIC)</t>
  </si>
  <si>
    <t>Concrete, 40 MPa, in-situ, no reinforcement, (Futurecrete®  S Class
GP/GL:FA 40 MPa) (Adbri) (SA)</t>
  </si>
  <si>
    <t>Concrete, 50 MPa, in-situ, no reinforcement, (S50MPA PT
22MPA AT 3 DAYS
20MM) (Adbri) (NSW)</t>
  </si>
  <si>
    <t>Concrete, 5 MPa,</t>
  </si>
  <si>
    <t>≤10 MPa</t>
  </si>
  <si>
    <t>Concrete, 5 MPa, in-situ, no reinforcement, (S5MPA R82 20MM LEAN MIX HAND PLACED AEA) (Adbri) (NSW)</t>
  </si>
  <si>
    <t>Concrete, 32 MPa, in-situ, no reinforcement, (S32MPA  20MM RMS B80 B1
EXPOSURE) (Adbri) (NSW)</t>
  </si>
  <si>
    <t>Concrete, 32 MPa, in-situ, no reinforcement, (S32MPA PT DECK 22MPA AT 7 DAYS 20MM) (Adbri) (NSW)</t>
  </si>
  <si>
    <t>Concrete, 32 MPa, in-situ, no reinforcement, (S32MPA 25MPA AT
7 DAYS 20MM) (Adbri) (NSW)</t>
  </si>
  <si>
    <t>Concrete, 50 MPa, in-situ, no reinforcement, (E50PT22N3) (Barro Group) (VIC)</t>
  </si>
  <si>
    <t>Concrete, 50 MPa, in-situ, no reinforcement, (E50700) (Barro Group) (VIC)</t>
  </si>
  <si>
    <t>Concrete, 40 MPa, in-situ, no reinforcement, (S40MPA 22MPA AT 7 DAYS 20MM) (Adbri) (NSW)</t>
  </si>
  <si>
    <t>Concrete, 40 MPa, in-situ, no reinforcement, (S40MPA 22MPA AT 5 DAYS 20MM) (Adbri) (NSW)</t>
  </si>
  <si>
    <t>Concrete, 40 MPa, in-situ, no reinforcement, (S40MPA 25MPA AT 7 DAYS 20MM) (Adbri) (NSW)</t>
  </si>
  <si>
    <t>Concrete, 40 MPa, in-situ, no reinforcement, (S40MPA 22MPA AT 4 DAYS 20MM) (Adbri) (NSW)</t>
  </si>
  <si>
    <t>Concrete, 40 MPa, in-situ, no reinforcement, (S40MPA 25MPA AT 5 DAYS 20MM) (Adbri) (NSW)</t>
  </si>
  <si>
    <t>Concrete, 40 MPa, in-situ, no reinforcement, (S40MPA 22MPA AT 4 DAYS 20MM 120MM SLUMP) (Adbri) (NSW)</t>
  </si>
  <si>
    <t>Concrete, 40 MPa, in-situ, no reinforcement, (S40MPA PT DECK
25MPA AT 3 DAYS
20MM) (Adbri) (NSW)</t>
  </si>
  <si>
    <t>Concrete, 40 MPa, in-situ, no reinforcement, (EVR400) (Barro Group) (VIC)</t>
  </si>
  <si>
    <t>Concrete, 50 MPa, in-situ, no reinforcement, (S50MPA 20MM RMS B80 B1
EXPOSURE PRCST) (Adbri) (NSW)</t>
  </si>
  <si>
    <t>Concrete, 40 MPa, in-situ, no reinforcement, (Futurecrete®  Ultra N Class GP/ GL:Slag 40 MPa) (Adbri) (NSW)</t>
  </si>
  <si>
    <t>Concrete, 25 MPa, in-situ, no reinforcement, (EN25) (Barro Group) (VIC)</t>
  </si>
  <si>
    <t>180</t>
  </si>
  <si>
    <t>Concrete, 40 MPa, in-situ, no reinforcement, (S40MPA RTA
SP40HC 20MM SP [HIGH EARLY]) (Adbri) (NSW)</t>
  </si>
  <si>
    <t>Concrete, 40 MPa, in-situ, no reinforcement, (S40MPA 20MM RTA 3201 SP40H) (Adbri) (NSW)</t>
  </si>
  <si>
    <t>Concrete, 40 MPa, in-situ, no reinforcement, (Futurecrete®  Ultra S40MPA 20MM RMS B80 B2
EXPOSURE AP) (Adbri) (NSW)</t>
  </si>
  <si>
    <t>Concrete, 50 MPa, in-situ, no reinforcement, (Futurecrete® S50MPA HY-LINE 2INCH 10MM PUMP
) (Adbri) (NSW)</t>
  </si>
  <si>
    <t>Concrete, ? MPa, in-situ, no reinforcement, (Futurecrete® Ultra Low Heat S65 10MM) (Adbri) (NSW)</t>
  </si>
  <si>
    <t>Concrete, 50 MPa, in-situ, no reinforcement, (Futurecrete®  Ultra N Class GP/ GL:Slag 50 MPa) (Adbri) (NSW)</t>
  </si>
  <si>
    <t>Concrete, 50 MPa, in-situ, no reinforcement, (Futurecrete® S50MPA JUMP/ SLIP/COLUMNS 10MM SP) (Adbri) (NSW)</t>
  </si>
  <si>
    <t>Concrete, 40 MPa, in-situ, no reinforcement, (Futurecrete® S40MPA HY-LINE 2INCH 10MM PUMP
) (Adbri) (NSW)</t>
  </si>
  <si>
    <t>Concrete, 60 MPa</t>
  </si>
  <si>
    <t>Concrete, 60 MPa, in-situ, no reinforcement, (Futurecrete®  Ultra S60MPA PILE/ TREMIE 10MM SP) (Adbri) (NSW)</t>
  </si>
  <si>
    <t>Concrete, 32 MPa, in-situ, no reinforcement, (Futurecrete® Ultra S32MPA BLOCKFILL 10MM 230MM SLUMP
) (Adbri) (NSW)</t>
  </si>
  <si>
    <t>Concrete, 50 MPa, in-situ, no reinforcement, (Futurecrete®
N Class Ternary
50 MPa) (Adbri) (NSW)</t>
  </si>
  <si>
    <t>Concrete, 32 MPa, in-situ, no reinforcement, (Futurecrete®  Ultra S32MPA PILE/ TREMIE 10MM SP) (Adbri) (NSW)</t>
  </si>
  <si>
    <t>Concrete, 32 MPa, in-situ, no reinforcement, (Futurecrete®
Ultra S32MPA
BLOCKFILL 10MM) (Adbri) (NSW)</t>
  </si>
  <si>
    <t>Concrete, 32 MPa, in-situ, no reinforcement, (Futurecrete®  Ultra N Class GP/ GL:Slag 32 MPa) (Adbri) (NSW)</t>
  </si>
  <si>
    <t>Concrete, 40 MPa, in-situ, no reinforcement, (Adbri Concrete
N Class GP/GL:FA
40 MPa) (Adbri) (NSW)</t>
  </si>
  <si>
    <t>Concrete, 40 MPa, in-situ, no reinforcement, (E40SPLS) (Barro Group) (VIC)</t>
  </si>
  <si>
    <t>Concrete, 32 MPa, in-situ, no reinforcement, (Futurecrete®  Ultra S32MPA 10MM RITEK SYSTEM) (Adbri) (NSW)</t>
  </si>
  <si>
    <t>Concrete, 20 MPa, in-situ, no reinforcement, (Futurecrete®  Ultra
N Class Ternary
20 MPa) (Adbri) (NSW)</t>
  </si>
  <si>
    <t>Concrete, ? MPa, in-situ, no reinforcement, (Futurecrete®  S50
SCC 10MM) (Adbri) (NSW)</t>
  </si>
  <si>
    <t>Concrete, 32 MPa, in-situ, no reinforcement, (Futurecrete®
Ultra S32MPA
10MM AFS WALL SYSTEM) (Adbri) (NSW)</t>
  </si>
  <si>
    <t>Concrete, 32 MPa, in-situ, no reinforcement, (Futurecrete® S32MPA HY-LINE 2INCH 10MM PUMP) (Adbri) (NSW)</t>
  </si>
  <si>
    <t>Concrete, 50 MPa, in-situ, no reinforcement, (Futurecrete® Ultra S50MPA 20MM RMS B80 C1 EXPOSURE AP) (Adbri) (NSW)</t>
  </si>
  <si>
    <t>Concrete, 50 MPa, in-situ, no reinforcement, (Futurecrete® Ultra S50MPA BLOCKFILL 10MM 230MM SLUMP) (Adbri) (NSW)</t>
  </si>
  <si>
    <t>Concrete, 32 MPa, in-situ, no reinforcement, (Futurecrete®  Ultra S32MPA JUMP/ SLIP/COLUMNS 10MM SP) (Adbri) (NSW)</t>
  </si>
  <si>
    <t>Concrete, 20 MPa, in-situ, no reinforcement, (General) (Holcim) (NSW)(ACT)</t>
  </si>
  <si>
    <t>NSW &amp; ACT</t>
  </si>
  <si>
    <t>S-P-01165</t>
  </si>
  <si>
    <t>https://epd-australasia.com/wp-content/uploads/2019/07/Holcim-ViroDecs-EPD_-2021-update_v2.pdf</t>
  </si>
  <si>
    <t>2.73E+02</t>
  </si>
  <si>
    <t>Concrete, 20 MPa, in-situ, no reinforcement, (Fly Ash) (Holcim) (NSW)(ACT)</t>
  </si>
  <si>
    <t>2.20E+02</t>
  </si>
  <si>
    <t>Concrete, 20 MPa, in-situ, no reinforcement, (GGBS Slag) (Holcim) (NSW)(ACT)</t>
  </si>
  <si>
    <t>1.71E+02</t>
  </si>
  <si>
    <t>Concrete, 20 MPa, in-situ, no reinforcement, (Triple Blend) (Holcim) (NSW)(ACT)</t>
  </si>
  <si>
    <t>1.52E+02</t>
  </si>
  <si>
    <t>Concrete, 25 MPa, in-situ, no reinforcement, (General) (Holcim) (NSW)(ACT)</t>
  </si>
  <si>
    <t>2.97E+02</t>
  </si>
  <si>
    <t>Concrete, 25 MPa, in-situ, no reinforcement, (Fly Ash) (Holcim) (NSW)(ACT)</t>
  </si>
  <si>
    <t>2.41E+02</t>
  </si>
  <si>
    <t>Concrete, 25 MPa, in-situ, no reinforcement, (GGBS Slag) (Holcim) (NSW)(ACT)</t>
  </si>
  <si>
    <t>1.85E+02</t>
  </si>
  <si>
    <t>Concrete, 25 MPa, in-situ, no reinforcement, (Triple Blend) (Holcim) (NSW)(ACT)</t>
  </si>
  <si>
    <t>1.54E+02</t>
  </si>
  <si>
    <t>Concrete, 32 MPa, in-situ, no reinforcement, (General) (Holcim) (NSW)(ACT)</t>
  </si>
  <si>
    <t>3.43E+02</t>
  </si>
  <si>
    <t>Concrete, 32 MPa, in-situ, no reinforcement, (Fly Ash) (Holcim) (NSW)(ACT)</t>
  </si>
  <si>
    <t>Concrete, 32 MPa, in-situ, no reinforcement, (GGBS Slag) (Holcim) (NSW)(ACT)</t>
  </si>
  <si>
    <t>1.96E+02</t>
  </si>
  <si>
    <t>Concrete, 32 MPa, in-situ, no reinforcement, (Triple Blend) (Holcim) (NSW)(ACT)</t>
  </si>
  <si>
    <t>1.76E+02</t>
  </si>
  <si>
    <t>Concrete, 40 MPa, in-situ, no reinforcement, (General) (Holcim) (NSW)(ACT)</t>
  </si>
  <si>
    <t>4.05E+02</t>
  </si>
  <si>
    <t>Concrete, 40 MPa, in-situ, no reinforcement, (Fly Ash) (Holcim) (NSW)(ACT)</t>
  </si>
  <si>
    <t>3.28E+02</t>
  </si>
  <si>
    <t>Concrete, 40 MPa, in-situ, no reinforcement, (GGBS Slag) (Holcim) (NSW)(ACT)</t>
  </si>
  <si>
    <t>2.43E+02</t>
  </si>
  <si>
    <t>Concrete, 40 MPa, in-situ, no reinforcement, (Triple Blend) (Holcim) (NSW)(ACT)</t>
  </si>
  <si>
    <t>2.19E+02</t>
  </si>
  <si>
    <t>Concrete, 50 MPa, in-situ, no reinforcement, (General) (Holcim) (NSW)(ACT)</t>
  </si>
  <si>
    <t>5.14E+02</t>
  </si>
  <si>
    <t>Concrete, 50 MPa, in-situ, no reinforcement, (Fly Ash) (Holcim) (NSW)(ACT)</t>
  </si>
  <si>
    <t>4.14E+02</t>
  </si>
  <si>
    <t>Concrete, 50 MPa, in-situ, no reinforcement, (GGBS Slag) (Holcim) (NSW)(ACT)</t>
  </si>
  <si>
    <t>3.03E+02</t>
  </si>
  <si>
    <t>Concrete, 50 MPa, in-situ, no reinforcement, (Triple Blend) (Holcim) (NSW)(ACT)</t>
  </si>
  <si>
    <t>2.84E+02</t>
  </si>
  <si>
    <t>Concrete, 20 MPa, in-situ, no reinforcement,(General)  (Holcim)  (QLD)</t>
  </si>
  <si>
    <t>2.42E+02</t>
  </si>
  <si>
    <t>Concrete, 20 MPa, in-situ, no reinforcement,(Fly Ash)  (Holcim)  (QLD)</t>
  </si>
  <si>
    <t>2.03E+02</t>
  </si>
  <si>
    <t>Concrete, 20 MPa, in-situ, no reinforcement,(GGBS Slag)  (Holcim)  (QLD)</t>
  </si>
  <si>
    <t>1.63E+02</t>
  </si>
  <si>
    <t>Concrete, 20 MPa, in-situ, no reinforcement,(Triple Blend)  (Holcim)  (QLD)</t>
  </si>
  <si>
    <t>Concrete, 25 MPa, in-situ, no reinforcement,(General)  (Holcim)  (QLD)</t>
  </si>
  <si>
    <t>2.57E+02</t>
  </si>
  <si>
    <t>Concrete, 25 MPa, in-situ, no reinforcement,(Fly Ash)  (Holcim)  (QLD)</t>
  </si>
  <si>
    <t>Concrete, 25 MPa, in-situ, no reinforcement,(GGBS Slag)  (Holcim)  (QLD)</t>
  </si>
  <si>
    <t>1.72E+02</t>
  </si>
  <si>
    <t>Concrete, 25 MPa, in-situ, no reinforcement,(Triple Blend)  (Holcim)  (QLD)</t>
  </si>
  <si>
    <t>1.67E+02</t>
  </si>
  <si>
    <t>Concrete, 32 MPa, in-situ, no reinforcement,(General)  (Holcim)  (QLD)</t>
  </si>
  <si>
    <t>Concrete, 32 MPa, in-situ, no reinforcement,(Fly Ash)  (Holcim)  (QLD)</t>
  </si>
  <si>
    <t>2.47E+02</t>
  </si>
  <si>
    <t>Concrete, 32 MPa, in-situ, no reinforcement,(Triple Blend)  (Holcim)  (QLD)</t>
  </si>
  <si>
    <t>1.86E+02</t>
  </si>
  <si>
    <t>Concrete, 40 MPa, in-situ, no reinforcement,(General)  (Holcim)  (QLD)</t>
  </si>
  <si>
    <t>3.55E+02</t>
  </si>
  <si>
    <t>Concrete, 40 MPa, in-situ, no reinforcement,(Fly Ash)  (Holcim)  (QLD)</t>
  </si>
  <si>
    <t>Concrete, 40 MPa, in-situ, no reinforcement,(Triple Blend)  (Holcim)  (QLD)</t>
  </si>
  <si>
    <t>2.18E+02</t>
  </si>
  <si>
    <t>Concrete, 50 MPa, in-situ, no reinforcement,(Fly Ash)  (Holcim)  (QLD)</t>
  </si>
  <si>
    <t>3.63E+02</t>
  </si>
  <si>
    <t>Concrete, 50 MPa, in-situ, no reinforcement,(Triple Blend)  (Holcim)  (QLD)</t>
  </si>
  <si>
    <t>2.96E+02</t>
  </si>
  <si>
    <t>Concrete, 20 MPa, in-situ, no reinforcement, (General) (Holcim) (VIC)</t>
  </si>
  <si>
    <t>Concrete, 20 MPa, in-situ, no reinforcement, (Fly Ash) (Holcim) (VIC)</t>
  </si>
  <si>
    <t>2.21E+02</t>
  </si>
  <si>
    <t>Concrete, 20 MPa, in-situ, no reinforcement, (Triple Blend) (Holcim) (VIC)</t>
  </si>
  <si>
    <t>2.09E+02</t>
  </si>
  <si>
    <t>Concrete, 25 MPa, in-situ, no reinforcement, (General) (Holcim) (VIC)</t>
  </si>
  <si>
    <t>2.86E+02</t>
  </si>
  <si>
    <t>Concrete, 25 MPa, in-situ, no reinforcement, (Fly Ash) (Holcim) (VIC)</t>
  </si>
  <si>
    <t>2.40E+02</t>
  </si>
  <si>
    <t>Concrete, 25 MPa, in-situ, no reinforcement, (Triple Blend) (Holcim) (VIC)</t>
  </si>
  <si>
    <t>2.15E+02</t>
  </si>
  <si>
    <t>Concrete, 32 MPa, in-situ, no reinforcement, (General) (Holcim) (VIC)</t>
  </si>
  <si>
    <t>Concrete, 32 MPa, in-situ, no reinforcement, (Fly Ash) (Holcim) (VIC)</t>
  </si>
  <si>
    <t>2.65E+02</t>
  </si>
  <si>
    <t>Concrete, 32 MPa, in-situ, no reinforcement, (Triple Blend) (Holcim) (VIC)</t>
  </si>
  <si>
    <t>2.52E+02</t>
  </si>
  <si>
    <t>Concrete, 40 MPa, in-situ, no reinforcement, (General) (Holcim) (VIC)</t>
  </si>
  <si>
    <t>3.86E+02</t>
  </si>
  <si>
    <t>Concrete, 40 MPa, in-situ, no reinforcement, (Fly Ash) (Holcim) (VIC)</t>
  </si>
  <si>
    <t>3.02E+02</t>
  </si>
  <si>
    <t>Concrete, 40 MPa, in-situ, no reinforcement, (Triple Blend) (Holcim) (VIC)</t>
  </si>
  <si>
    <t>2.72E+02</t>
  </si>
  <si>
    <t>Concrete, 50 MPa, in-situ, no reinforcement, (General) (Holcim) (VIC)</t>
  </si>
  <si>
    <t>4.54E+02</t>
  </si>
  <si>
    <t>Concrete, 50 MPa, in-situ, no reinforcement, (Fly Ash) (Holcim) (VIC)</t>
  </si>
  <si>
    <t>Concrete, 50 MPa, in-situ, no reinforcement, (Triple Blend) (Holcim) (VIC)</t>
  </si>
  <si>
    <t>Concrete, 20 MPa, in-situ, no reinforcement, (General) (Holcim) (SA)</t>
  </si>
  <si>
    <t>Concrete, 20 MPa, in-situ, no reinforcement, (Fly Ash) (Holcim) (SA)</t>
  </si>
  <si>
    <t>1.98E+02</t>
  </si>
  <si>
    <t>Concrete, 20 MPa, in-situ, no reinforcement, (GGBS Slag) (Holcim) (SA)</t>
  </si>
  <si>
    <t>2.00E+02</t>
  </si>
  <si>
    <t>Concrete, 25 MPa, in-situ, no reinforcement, (General) (Holcim) (SA)</t>
  </si>
  <si>
    <t>Concrete, 25 MPa, in-situ, no reinforcement, (Fly Ash) (Holcim) (SA)</t>
  </si>
  <si>
    <t>2.27E+02</t>
  </si>
  <si>
    <t>Concrete, 25 MPa, in-situ, no reinforcement, (GGBS Slag) (Holcim) (SA)</t>
  </si>
  <si>
    <t>Concrete, 32 MPa, in-situ, no reinforcement, (General) (Holcim) (SA)</t>
  </si>
  <si>
    <t>3.51E+02</t>
  </si>
  <si>
    <t>Concrete, 32 MPa, in-situ, no reinforcement, (Fly Ash) (Holcim) (SA)</t>
  </si>
  <si>
    <t>2.63E+02</t>
  </si>
  <si>
    <t>Concrete, 32 MPa, in-situ, no reinforcement, (GGBS Slag) (Holcim) (SA)</t>
  </si>
  <si>
    <t>2.38E+02</t>
  </si>
  <si>
    <t>Concrete, 40 MPa, in-situ, no reinforcement, (General) (Holcim) (SA)</t>
  </si>
  <si>
    <t>4.13E+02</t>
  </si>
  <si>
    <t>Concrete, 40 MPa, in-situ, no reinforcement, (Fly Ash) (Holcim) (SA)</t>
  </si>
  <si>
    <t>3.08E+02</t>
  </si>
  <si>
    <t>Concrete, 40 MPa, in-situ, no reinforcement, (GGBS Slag) (Holcim) (SA)</t>
  </si>
  <si>
    <t>2.62E+02</t>
  </si>
  <si>
    <t>Concrete, 50 MPa, in-situ, no reinforcement, (GGBS Slag) (Holcim) (SA)</t>
  </si>
  <si>
    <t>Concrete, 20 MPa, in-situ, no reinforcement, (General) (Holcim) (WA)</t>
  </si>
  <si>
    <t>Concrete, 20 MPa, in-situ, no reinforcement, (GGBS Slag) (Holcim) (WA)</t>
  </si>
  <si>
    <t>2.07E+02</t>
  </si>
  <si>
    <t>Concrete, 25 MPa, in-situ, no reinforcement, (General) (Holcim) (WA)</t>
  </si>
  <si>
    <t>2.80E+02</t>
  </si>
  <si>
    <t>Concrete, 25 MPa, in-situ, no reinforcement, (GGBS Slag) (Holcim) (WA)</t>
  </si>
  <si>
    <t>Concrete, 32 MPa, in-situ, no reinforcement, (General) (Holcim) (WA)</t>
  </si>
  <si>
    <t>3.21E+02</t>
  </si>
  <si>
    <t>Concrete, 32 MPa, in-situ, no reinforcement, (GGBS Slag) (Holcim) (WA)</t>
  </si>
  <si>
    <t>2.37E+02</t>
  </si>
  <si>
    <t>Concrete, 40 MPa, in-situ, no reinforcement, (General) (Holcim) (WA)</t>
  </si>
  <si>
    <t>3.70E+02</t>
  </si>
  <si>
    <t>Concrete, 40 MPa, in-situ, no reinforcement, (GGBS Slag) (Holcim) (WA)</t>
  </si>
  <si>
    <t>2.67E+02</t>
  </si>
  <si>
    <t>Concrete, 50 MPa, in-situ, no reinforcement, (GGBS Slag) (Holcim) (WA)</t>
  </si>
  <si>
    <t>3.34E+02</t>
  </si>
  <si>
    <t>Concrete, 20 MPa, in-situ, no reinforcement, (NE202E151)(Ecopact) (Holcim) (ACT)</t>
  </si>
  <si>
    <t>Canberra, ACT</t>
  </si>
  <si>
    <t>S-P-03715</t>
  </si>
  <si>
    <t>https://epd-australasia.com/wp-content/uploads/2021/10/2021-Holcim-ViroDecs%E2%84%A2-Special-ACT-ECOPact-Ver-1.0.pdf</t>
  </si>
  <si>
    <t>173.43</t>
  </si>
  <si>
    <t>Concrete, 20 MPa, in-situ, no reinforcement, (NE202E351)(Ecopact) (Holcim) (ACT)</t>
  </si>
  <si>
    <t>174.96</t>
  </si>
  <si>
    <t>Concrete, 25 MPa, in-situ, no reinforcement, (NE252E151)(Ecopact) (Holcim) (ACT)</t>
  </si>
  <si>
    <t>184.71</t>
  </si>
  <si>
    <t>Concrete, 25 MPa, in-situ, no reinforcement, (NE252E351)(Ecopact) (Holcim) (ACT)</t>
  </si>
  <si>
    <t>186.34</t>
  </si>
  <si>
    <t>Concrete, 32 MPa, in-situ, no reinforcement, (NE322E151)(Ecopact) (Holcim) (ACT)</t>
  </si>
  <si>
    <t>217.34</t>
  </si>
  <si>
    <t>Concrete, 32 MPa, in-situ, no reinforcement, (NE322E351)(Ecopact) (Holcim) (ACT)</t>
  </si>
  <si>
    <t>219.35</t>
  </si>
  <si>
    <t>Concrete, 40 MPa, in-situ, no reinforcement, (NE402E151)(Ecopact) (Holcim) (ACT)</t>
  </si>
  <si>
    <t>260.60</t>
  </si>
  <si>
    <t>Concrete, 40 MPa, in-situ, no reinforcement, (NE402E351)(Ecopact) (Holcim) (ACT)</t>
  </si>
  <si>
    <t>263.05</t>
  </si>
  <si>
    <t>Concrete, 20 MPa, in-situ, no reinforcement, (NE201E151)(Ecopact) (Holcim) (ACT)</t>
  </si>
  <si>
    <t>173.65</t>
  </si>
  <si>
    <t>Concrete, 20 MPa, in-situ, no reinforcement, (NE201E351)(Ecopact) (Holcim) (ACT)</t>
  </si>
  <si>
    <t>175.14</t>
  </si>
  <si>
    <t>Concrete, 25 MPa, in-situ, no reinforcement, (NE251E151)(Ecopact) (Holcim) (ACT)</t>
  </si>
  <si>
    <t>184.94</t>
  </si>
  <si>
    <t>Concrete, 25 MPa, in-situ, no reinforcement, (NE251E351)(Ecopact) (Holcim) (ACT)</t>
  </si>
  <si>
    <t>186.54</t>
  </si>
  <si>
    <t>Concrete, 32 MPa, in-situ, no reinforcement, (NE321E151)(Ecopact) (Holcim) (ACT)</t>
  </si>
  <si>
    <t>217.59</t>
  </si>
  <si>
    <t>Concrete, 32 MPa, in-situ, no reinforcement, (NE321E351)(Ecopact) (Holcim) (ACT)</t>
  </si>
  <si>
    <t>219.55</t>
  </si>
  <si>
    <t>Concrete, 40 MPa, in-situ, no reinforcement, (NE401E151)(Ecopact) (Holcim) (ACT)</t>
  </si>
  <si>
    <t>260.86</t>
  </si>
  <si>
    <t>Concrete, 40 MPa, in-situ, no reinforcement, (NE401E351)(Ecopact) (Holcim) (ACT)</t>
  </si>
  <si>
    <t>263.24</t>
  </si>
  <si>
    <t>Concrete, 32 MPa, in-situ, no reinforcement, (VN322B) (Holcim) (VIC)</t>
  </si>
  <si>
    <t>S-P-03712</t>
  </si>
  <si>
    <t>https://epd-australasia.com/wp-content/uploads/2021/08/SP03712-Holcim-ViroDecs%E2%84%A2-Special-Victoria-EPD-V2.0.pdf</t>
  </si>
  <si>
    <t>266.21</t>
  </si>
  <si>
    <t>Concrete, 32 MPa, in-situ, no reinforcement, (VS321MSPR) (Holcim) (VIC)</t>
  </si>
  <si>
    <t>324.73</t>
  </si>
  <si>
    <t>Concrete, 25 MPa, in-situ, no reinforcement, (VS251BPV) (Holcim) (VIC)</t>
  </si>
  <si>
    <t>252.50</t>
  </si>
  <si>
    <t>Concrete, 25 MPa, in-situ, no reinforcement, (VS252BOX) (Holcim) (VIC)</t>
  </si>
  <si>
    <t>244.19</t>
  </si>
  <si>
    <t>Concrete, 40 MPa, in-situ, no reinforcement, (VS401O100) (Holcim) (VIC)</t>
  </si>
  <si>
    <t>451.63</t>
  </si>
  <si>
    <t>Concrete, 25 MPa, in-situ, no reinforcement, (VX251DM) (Holcim) (VIC)</t>
  </si>
  <si>
    <t>350.41</t>
  </si>
  <si>
    <t>Concrete, 25 MPa, in-situ, no reinforcement, (VX251OBS) (Holcim) (VIC)</t>
  </si>
  <si>
    <t>331.82</t>
  </si>
  <si>
    <t>Concrete, 32 MPa, in-situ, no reinforcement, (VS321BPV) (Holcim) (VIC)</t>
  </si>
  <si>
    <t>275.49</t>
  </si>
  <si>
    <t>Concrete, 40 MPa, in-situ, no reinforcement, (VS404FSWC) (Holcim) (VIC)</t>
  </si>
  <si>
    <t>302.33</t>
  </si>
  <si>
    <t>Concrete, 50 MPa, in-situ, no reinforcement, (VS504FSWC) (Holcim) (VIC)</t>
  </si>
  <si>
    <t>334.84</t>
  </si>
  <si>
    <t>Concrete, 65 MPa, in-situ, no reinforcement, (VS654FSWC) (Holcim) (VIC)</t>
  </si>
  <si>
    <t>409.54</t>
  </si>
  <si>
    <t>Concrete, 40 MPa, in-situ, no reinforcement, (VE402ENV) (Holcim) (VIC)</t>
  </si>
  <si>
    <t>278.68</t>
  </si>
  <si>
    <t>Concrete, 50 MPa, in-situ, no reinforcement, (VE502ENV) (Holcim) (VIC)</t>
  </si>
  <si>
    <t>333.89</t>
  </si>
  <si>
    <t>Concrete, 32 MPa, in-situ, no reinforcement, (VE322E75) (Holcim) (VIC)</t>
  </si>
  <si>
    <t>249.31</t>
  </si>
  <si>
    <t>Concrete, 40 MPa, in-situ, no reinforcement, (VS402FVRT) (Holcim) (VIC)</t>
  </si>
  <si>
    <t>254.70</t>
  </si>
  <si>
    <t>Concrete, 50 MPa, in-situ, no reinforcement, (VS502FVRT) (Holcim) (VIC)</t>
  </si>
  <si>
    <t>286.08</t>
  </si>
  <si>
    <t>Concrete, 55 MPa, in-situ, no reinforcement, (VS552FVRT) (Holcim) (VIC)</t>
  </si>
  <si>
    <t>303.35</t>
  </si>
  <si>
    <t>Concrete, 40 MPa, in-situ, no reinforcement, (VS401VMWT) (Holcim) (VIC)</t>
  </si>
  <si>
    <t>252.32</t>
  </si>
  <si>
    <t>Concrete, 15 MPa</t>
  </si>
  <si>
    <t>Concrete, 15 MPa, in-situ, no reinforcement, (VS152BHS2) (Holcim) (VIC)</t>
  </si>
  <si>
    <t>158.51</t>
  </si>
  <si>
    <t>Concrete, 20 MPa, in-situ, no reinforcement, (VS202BHS2) (Holcim) (VIC)</t>
  </si>
  <si>
    <t>168.75</t>
  </si>
  <si>
    <t>Concrete, 25 MPa, in-situ, no reinforcement, (VS252BHS2) (Holcim) (VIC)</t>
  </si>
  <si>
    <t>185.25</t>
  </si>
  <si>
    <t>Concrete, 32 MPa, in-situ, no reinforcement, (VS322BHS2) (Holcim) (VIC)</t>
  </si>
  <si>
    <t>203.16</t>
  </si>
  <si>
    <t>Concrete, 40 MPa, in-situ, no reinforcement, (QS402PR02) (Holcim) (QLD), South East Queensland</t>
  </si>
  <si>
    <t>SE QLD</t>
  </si>
  <si>
    <t>https://epd-australasia.com/wp-content/uploads/2021/06/2021-06-03-Holcim-ViroDecs%E2%84%A2-Special-SEQ-Pre-cast-Ready-mix-EPD-v1.0.0.pdf</t>
  </si>
  <si>
    <t>424.99</t>
  </si>
  <si>
    <t>Concrete, 40 MPa, in-situ, no reinforcement, (QS402PR37) (Holcim) (QLD), South East Queensland</t>
  </si>
  <si>
    <t>426.26</t>
  </si>
  <si>
    <t>Concrete, 50 MPa, in-situ, no reinforcement, (QS502PR13) (Holcim) (QLD), South East Queensland</t>
  </si>
  <si>
    <t>381.90</t>
  </si>
  <si>
    <t>Concrete, 50 MPa, in-situ, no reinforcement, (QS502PR38) (Holcim) (QLD), South East Queensland</t>
  </si>
  <si>
    <t>436.45</t>
  </si>
  <si>
    <t>Concrete, 40 MPa, in-situ, no reinforcement, (QS402PR35) (Holcim) (QLD), South East Queensland</t>
  </si>
  <si>
    <t>407.83</t>
  </si>
  <si>
    <t>Concrete, 40 MPa, in-situ, no reinforcement, (QS402MRF4) (Holcim) (QLD), South East Queensland</t>
  </si>
  <si>
    <t>379.50</t>
  </si>
  <si>
    <t>Concrete, 50 MPa, in-situ, no reinforcement, (QS502PR36) (Holcim) (QLD), South East Queensland</t>
  </si>
  <si>
    <t>408.02</t>
  </si>
  <si>
    <t>Concrete, 50 MPa, in-situ, no reinforcement, (QS502MRF4) (Holcim) (QLD), South East Queensland</t>
  </si>
  <si>
    <t>395.24</t>
  </si>
  <si>
    <t>Concrete, 50 MPa, in-situ, no reinforcement, (QS502PR12) (Holcim) (QLD), South East Queensland</t>
  </si>
  <si>
    <t>408.58</t>
  </si>
  <si>
    <t>Concrete, 20 MPa, in-situ, no reinforcement, (QE202E)(Holcim) (QLD), (North QLD)</t>
  </si>
  <si>
    <t>North QLD</t>
  </si>
  <si>
    <t>S-P-03717</t>
  </si>
  <si>
    <t>https://epd-australasia.com/wp-content/uploads/2021/12/2021-Holcim-ViroDecs%E2%84%A2-Special-QLD-NQ-ECOPact-v-1.0.pdf</t>
  </si>
  <si>
    <t>197.24</t>
  </si>
  <si>
    <t>Concrete, 20 MPa, in-situ, no reinforcement, (QE202E1)(Holcim) (QLD), (North QLD)</t>
  </si>
  <si>
    <t>197.49</t>
  </si>
  <si>
    <t>Concrete, 25 MPa, in-situ, no reinforcement, (QE252E)(Holcim) (QLD), (North QLD)</t>
  </si>
  <si>
    <t>209.71</t>
  </si>
  <si>
    <t>Concrete, 25 MPa, in-situ, no reinforcement, (QE252E1)(Holcim) (QLD), (North QLD)</t>
  </si>
  <si>
    <t>209.99</t>
  </si>
  <si>
    <t>Concrete, 25 MPa, in-situ, no reinforcement, (QE252EFB1)(Holcim) (QLD), (North QLD)</t>
  </si>
  <si>
    <t>213.51</t>
  </si>
  <si>
    <t>Concrete, 32 MPa, in-situ, no reinforcement, (QE322E)(Holcim) (QLD), (North QLD)</t>
  </si>
  <si>
    <t>237.22</t>
  </si>
  <si>
    <t>Concrete, 32 MPa, in-situ, no reinforcement, (QE322E1)(Holcim) (QLD), (North QLD)</t>
  </si>
  <si>
    <t>237.71</t>
  </si>
  <si>
    <t>Concrete, 40 MPa, in-situ, no reinforcement, (QE402E)(Holcim) (QLD), (North QLD)</t>
  </si>
  <si>
    <t>286.14</t>
  </si>
  <si>
    <t>Concrete, 40 MPa, in-situ, no reinforcement, (QE402E1)(Holcim) (QLD), (North QLD)</t>
  </si>
  <si>
    <t>286.95</t>
  </si>
  <si>
    <t>Concrete, 50 MPa, in-situ, no reinforcement, (QE502E)(Holcim) (QLD), (North QLD)</t>
  </si>
  <si>
    <t>360.54</t>
  </si>
  <si>
    <t>Concrete, 50 MPa, in-situ, no reinforcement, (QE502E1)(Holcim) (QLD), (North QLD)</t>
  </si>
  <si>
    <t>362.11</t>
  </si>
  <si>
    <t>Concrete, 20 MPa, in-situ, no reinforcement, (QE201E)(Holcim) (QLD), (North QLD)</t>
  </si>
  <si>
    <t>202.72</t>
  </si>
  <si>
    <t>Concrete, 20 MPa, in-situ, no reinforcement, (QE201E1)(Holcim) (QLD), (North QLD)</t>
  </si>
  <si>
    <t>202.99</t>
  </si>
  <si>
    <t>Concrete, 25 MPa, in-situ, no reinforcement, (QE251E)(Holcim) (QLD), (North QLD)</t>
  </si>
  <si>
    <t>214.63</t>
  </si>
  <si>
    <t>Concrete, 25 MPa, in-situ, no reinforcement, (QE251E1)(Holcim) (QLD), (North QLD)</t>
  </si>
  <si>
    <t>215.19</t>
  </si>
  <si>
    <t>Concrete, 32 MPa, in-situ, no reinforcement, (QE321E)(Holcim) (QLD), (North QLD)</t>
  </si>
  <si>
    <t>245.84</t>
  </si>
  <si>
    <t>Concrete, 32 MPa, in-situ, no reinforcement, (QE321E1)(Holcim) (QLD), (North QLD)</t>
  </si>
  <si>
    <t>246.17</t>
  </si>
  <si>
    <t>Concrete, 40 MPa, in-situ, no reinforcement, (QE401E)(Holcim) (QLD), (North QLD)</t>
  </si>
  <si>
    <t>292.06</t>
  </si>
  <si>
    <t>Concrete, 40 MPa, in-situ, no reinforcement, (QE401E1)(Holcim) (QLD), (North QLD)</t>
  </si>
  <si>
    <t>292.68</t>
  </si>
  <si>
    <t>Concrete, 50 MPa, in-situ, no reinforcement, (QE501E)(Holcim) (QLD), (North QLD)</t>
  </si>
  <si>
    <t>365.28</t>
  </si>
  <si>
    <t>Concrete, 50 MPa, in-situ, no reinforcement, (QE501E1)(Holcim) (QLD), (North QLD)</t>
  </si>
  <si>
    <t>366.34</t>
  </si>
  <si>
    <t>Concrete, 20 MPa, in-situ, no reinforcement, (QE201EBMX)(Holcim) (QLD), (North QLD)</t>
  </si>
  <si>
    <t>221.60</t>
  </si>
  <si>
    <t>Concrete, 25 MPa, in-situ, no reinforcement, (QE251EBMX)(Holcim) (QLD), (North QLD)</t>
  </si>
  <si>
    <t>240.97</t>
  </si>
  <si>
    <t>Concrete, 50 MPa, in-situ, no reinforcement, (QE502EUF)(Holcim) (QLD), (North QLD)</t>
  </si>
  <si>
    <t>395.60</t>
  </si>
  <si>
    <t>Concrete, 25 MPa, in-situ, no reinforcement, (Adbri N Class
GP/GL 25 MPa) (Adbri) (SA)</t>
  </si>
  <si>
    <t>Concrete, 50 MPa, in-situ, no reinforcement, (Adbri N Class
GP/GL 50 MPa) (Adbri) (SA)</t>
  </si>
  <si>
    <t>Concrete, 40 MPa, in-situ, no reinforcement, (Futurecrete®  N
Class GP/GL:Slag
40 MPa) (Adbri) (SA)</t>
  </si>
  <si>
    <t>Concrete, 50 MPa, in-situ, no reinforcement, (Futurecrete®  N
Class GP/GL:Slag
50 MPa) (Adbri) (SA)</t>
  </si>
  <si>
    <t>Concrete, 40 MPa, in-situ, no reinforcement, (Futurecrete®  N Class
GP/GL:FA 40 MPa) (Adbri) (SA)</t>
  </si>
  <si>
    <t>Concrete, 50 MPa, in-situ, no reinforcement, (Futurecrete®  N Class
GP/GL:FA 50 MPa) (Adbri) (SA)</t>
  </si>
  <si>
    <t>Concrete, 32 MPa, in-situ, no reinforcement, (Futurecrete®  S Class
GP/GL:FA 32 MPa) (Adbri) (SA)</t>
  </si>
  <si>
    <t>Concrete, 40 MPa, in-situ, no reinforcement, (Futurecrete®  S Class
GP/GL:Slag 40 MPa) (Adbri) (SA)</t>
  </si>
  <si>
    <t>Concrete, 32 MPa, in-situ, no reinforcement, (Adbri Concrete
N Class GP/GL
32 MPa) (Adbri) (NSW)</t>
  </si>
  <si>
    <t>Concrete, 20 MPa, in-situ, no reinforcement, (Adbri Concrete
N Class GP/GL:FA
20 MPa) (Adbri) (NSW)</t>
  </si>
  <si>
    <t>Concrete, 25 MPa, in-situ, no reinforcement, (Adbri Concrete
N Class GP/GL:FA
25 MPa) (Adbri) (NSW)</t>
  </si>
  <si>
    <t>Concrete, 32 MPa, in-situ, no reinforcement, (Futurecrete®
N Class GP/GL:FA
32 Mpa) (Adbri) (NSW)</t>
  </si>
  <si>
    <t>Concrete, 25 MPa, in-situ, no reinforcement, (S25MPA
KERB&amp;GUTTER MACHINE PLACED
10MM) (Adbri) (NSW)</t>
  </si>
  <si>
    <t>Concrete, 32 MPa, in-situ, no reinforcement, (S32MPA 22MPA AT
4 DAYS 20MM) (Adbri) (NSW)</t>
  </si>
  <si>
    <t>Concrete, 32 MPa, in-situ, no reinforcement, (S32MPA KERB&amp;GUTTER MACHINE PLACED 10MM) (Adbri) (NSW)</t>
  </si>
  <si>
    <t>Concrete, 32 MPa, in-situ, no reinforcement, (S32MPA PT DECK 22MPA AT 5 DAYS 20MM) (Adbri) (NSW)</t>
  </si>
  <si>
    <t>Concrete, 35 MPa, in-situ, no reinforcement, (S35MPA S CLASS 20MM R83 FIBRE) (Adbri) (NSW)</t>
  </si>
  <si>
    <t>Concrete, 40 MPa, in-situ, no reinforcement, (S40MPA 20MM RMS B80 B1 EXPOSURE AP) (Adbri) (NSW)</t>
  </si>
  <si>
    <t>Concrete, 40 MPa, in-situ, no reinforcement, (S40MPA 22MPA AT 3 DAYS 20MM) (Adbri) (NSW)</t>
  </si>
  <si>
    <t>Concrete, 40 MPa, in-situ, no reinforcement, (S40MPA PT DECK
25MPA AT 4 DAYS
20MM) (Adbri) (NSW)</t>
  </si>
  <si>
    <t>Concrete, ? MPa, in-situ, no reinforcement, (S CLASS 20MM NO FINES 6:1) (Adbri) (NSW)</t>
  </si>
  <si>
    <t>Concrete, 20 MPa, in-situ, no reinforcement, (EN20) (Barro Group) (VIC)</t>
  </si>
  <si>
    <t>Concrete, 32 MPa, in-situ, no reinforcement, (EVR330) (Barro Group) (VIC)</t>
  </si>
  <si>
    <t>260</t>
  </si>
  <si>
    <t>Concrete, 40 MPa, in-situ, no reinforcement, (E40PT22N3M) (Barro Group) (VIC)</t>
  </si>
  <si>
    <t>Concrete, 40 MPa, in-situ, no reinforcement, (E40PT22N3) (Barro Group) (VIC)</t>
  </si>
  <si>
    <t>277</t>
  </si>
  <si>
    <t>Concrete, 32 MPa, in-situ, no reinforcement, (E32700) (Barro Group) (VIC)</t>
  </si>
  <si>
    <t>Concrete, 32 MPa, in-situ, no reinforcement, (E32600) (Barro Group) (VIC)</t>
  </si>
  <si>
    <t>Concrete, 40 MPa, in-situ, no reinforcement, (E40700) (Barro Group) (VIC)</t>
  </si>
  <si>
    <t>Concrete, 25 MPa, in-situ, no reinforcement, Pre-mix Concrete Normal Class GP blend (Boral) (ACT), (Canberra) Normal Class GP blend 25MPa</t>
  </si>
  <si>
    <t>S-P-02336</t>
  </si>
  <si>
    <t>Version 1.2</t>
  </si>
  <si>
    <t>https://epd-australasia.com/wp-content/uploads/2021/04/SP02336_Boral-EPD_NSW-ACT_Aug22_V1.2.pdf</t>
  </si>
  <si>
    <t>Concrete, 32 MPa, in-situ, no reinforcement, Pre-mix Concrete Normal Class GP blend (Boral) (ACT), (Canberra) Normal Class GP blend 32MPa</t>
  </si>
  <si>
    <t>Concrete, 40 MPa, in-situ, no reinforcement, Pre-mix Concrete Normal Class GP blend (Boral) (ACT), (Canberra) Normal Class GP blend 40MPa</t>
  </si>
  <si>
    <t>Concrete, 50 MPa, in-situ, no reinforcement, Pre-mix Concrete Normal Class GP blend (Boral) (ACT), (Canberra) Normal Class GP blend 50MPa</t>
  </si>
  <si>
    <t>Concrete, 20 MPa, in-situ, no reinforcement, Pre-mix Concrete Normal Class GP/FA blend (Boral) (ACT), (Canberra) Normal Class GP/FA blend 20 MPa</t>
  </si>
  <si>
    <t>Concrete, 25 MPa, in-situ, no reinforcement, Pre-mix Concrete Normal Class GP/FA blend (Boral) (ACT), (Canberra) Normal Class GP/FA blend 25 MPa</t>
  </si>
  <si>
    <t>Concrete, 32 MPa, in-situ, no reinforcement, Pre-mix Concrete Normal Class GP/FA blend (Boral) (ACT), (Canberra) Normal Class GP/FA blend 32 MPa</t>
  </si>
  <si>
    <t>Concrete, 40 MPa, in-situ, no reinforcement, Pre-mix Concrete Normal Class GP/FA blend (Boral) (ACT), (Canberra) Normal Class GP/FA blend 40 MPa</t>
  </si>
  <si>
    <t>Concrete, 50 MPa, in-situ, no reinforcement, Pre-mix Concrete Normal Class GP/FA blend (Boral) (ACT), (Canberra) Normal Class GP/FA blend 50 MPa</t>
  </si>
  <si>
    <t>Concrete, 20 MPa, in-situ, no reinforcement, Pre-mix Concrete Normal Class GP/GGBFS blend (Boral) (ACT), (Canberra) Normal Class GP/GGBFS blend 20 MPa</t>
  </si>
  <si>
    <t>Concrete, 25 MPa, in-situ, no reinforcement, Pre-mix Concrete Normal Class GP/GGBFS blend (Boral) (ACT), (Canberra) Normal Class GP/GGBFS blend 25 MPa</t>
  </si>
  <si>
    <t>Concrete, 32 MPa, in-situ, no reinforcement, Pre-mix Concrete Normal Class GP/GGBFS blend (Boral) (ACT), (Canberra) Normal Class GP/GGBFS blend 32 MPa</t>
  </si>
  <si>
    <t>Concrete, 40 MPa, in-situ, no reinforcement, Pre-mix Concrete Normal Class GP/GGBFS blend (Boral) (ACT), (Canberra) Normal Class GP/GGBFS blend 40 MPa</t>
  </si>
  <si>
    <t>Concrete, 50 MPa, in-situ, no reinforcement, Pre-mix Concrete Normal Class GP/GGBFS blend (Boral) (ACT), (Canberra) Normal Class GP/GGBFS blend 50 MPa</t>
  </si>
  <si>
    <t>Concrete, 20 MPa, in-situ, no reinforcement, Pre-mix Concrete ENVIROCRETE 30% (Boral) (ACT), (Canberra) ENVIROCRETE 30% 20 MPa</t>
  </si>
  <si>
    <t>Concrete, 25 MPa, in-situ, no reinforcement, Pre-mix Concrete ENVIROCRETE 30% (Boral) (ACT), (Canberra) ENVIROCRETE 30% 25 MPa</t>
  </si>
  <si>
    <t>Concrete, 32 MPa, in-situ, no reinforcement, Pre-mix Concrete ENVIROCRETE 30% (Boral) (ACT), (Canberra) ENVIROCRETE 30% 32 MPa</t>
  </si>
  <si>
    <t>Concrete, 40 MPa, in-situ, no reinforcement, Pre-mix Concrete ENVIROCRETE 30% (Boral) (ACT), (Canberra) ENVIROCRETE 30% 40 MPa</t>
  </si>
  <si>
    <t>Concrete, 50 MPa, in-situ, no reinforcement, Pre-mix Concrete ENVIROCRETE 30% (Boral) (ACT), (Canberra) ENVIROCRETE 30% 50 MPa</t>
  </si>
  <si>
    <t>Concrete, 20 MPa, in-situ, no reinforcement, Pre-mix Concrete ENVIROCRETE 40% (Boral) (ACT), (Canberra) ENVIROCRETE 40% 20 MPa</t>
  </si>
  <si>
    <t>Concrete, 25 MPa, in-situ, no reinforcement, Pre-mix Concrete ENVIROCRETE 40% (Boral) (ACT), (Canberra) ENVIROCRETE 40% 25 MPa</t>
  </si>
  <si>
    <t>Concrete, 32 MPa, in-situ, no reinforcement, Pre-mix Concrete ENVIROCRETE 40% (Boral) (ACT), (Canberra) ENVIROCRETE 40% 32 MPa</t>
  </si>
  <si>
    <t>Concrete, 80 MPa, in-situ, no reinforcement, Pre-mix Concrete ENVISIA 80MPa (Boral) (ACT), (Canberra) ENVISIA 80MPa</t>
  </si>
  <si>
    <t>Concrete, 40 MPa, in-situ, no reinforcement, Pre-mix Concrete POST TENSIONED (Boral) (ACT), (Canberra) POST TENSIONED 40MPa 22@3</t>
  </si>
  <si>
    <t>Concrete, 40 MPa, in-situ, no reinforcement, Pre-mix Concrete ENVIROCRETE 40% (Boral) (ACT), (Canberra) ENVIROCRETE 40% 40 MPa</t>
  </si>
  <si>
    <t>Concrete, 50 MPa, in-situ, no reinforcement, Pre-mix Concrete ENVIROCRETE 40% (Boral) (ACT), (Canberra) ENVIROCRETE 40% 50 MPa</t>
  </si>
  <si>
    <t>Concrete, 20 MPa, in-situ, no reinforcement, Pre-mix Concrete ENVIROCRETE PLUS (Boral) (ACT), (Canberra) ENVIROCRETE PLUS 20MPa</t>
  </si>
  <si>
    <t>Concrete, 25 MPa, in-situ, no reinforcement, Pre-mix Concrete ENVIROCRETE PLUS (Boral) (ACT), (Canberra) ENVIROCRETE PLUS 25MPa</t>
  </si>
  <si>
    <t>Concrete, 32 MPa, in-situ, no reinforcement, Pre-mix Concrete ENVIROCRETE PLUS (Boral) (ACT), (Canberra) ENVIROCRETE PLUS 32MPa</t>
  </si>
  <si>
    <t>Concrete, 40 MPa, in-situ, no reinforcement, Pre-mix Concrete ENVIROCRETE PLUS (Boral) (ACT), (Canberra) ENVIROCRETE PLUS 40MPa</t>
  </si>
  <si>
    <t>Concrete, 50 MPa, in-situ, no reinforcement, Pre-mix Concrete ENVIROCRETE PLUS (Boral) (ACT), (Canberra) ENVIROCRETE PLUS 50MPa</t>
  </si>
  <si>
    <t>Concrete, 20 MPa, in-situ, no reinforcement, Pre-mix Concrete ENVISIA (Boral) (ACT), (Canberra) ENVISIA 20MPa</t>
  </si>
  <si>
    <t>Concrete, 25 MPa, in-situ, no reinforcement, Pre-mix Concrete ENVISIA (Boral) (ACT), (Canberra) ENVISIA 25MPa</t>
  </si>
  <si>
    <t>Concrete, 40 MPa, in-situ, no reinforcement, Pre-mix Concrete POST TENSIONED (Boral) (ACT), (Canberra) POST TENSIONED 40MPa 22@4</t>
  </si>
  <si>
    <t>Concrete, 40 MPa, in-situ, no reinforcement, Pre-mix Concrete POST TENSIONED (Boral) (ACT), (Canberra) POST TENSIONED 40MPa 22@5</t>
  </si>
  <si>
    <t>Concrete, 50 MPa, in-situ, no reinforcement, Pre-mix Concrete HIGH SLUMP (Boral) (ACT), (Canberra) HIGH SLUMP 50MPa</t>
  </si>
  <si>
    <t>Concrete, 65 MPa, in-situ, no reinforcement, Pre-mix Concrete HIGH SLUMP (Boral) (ACT), (Canberra) HIGH SLUMP 65MPa</t>
  </si>
  <si>
    <t>Concrete, 32 MPa, in-situ, no reinforcement, Pre-mix Concrete ENVISIA (Boral) (ACT), (Canberra) ENVISIA 32MPa</t>
  </si>
  <si>
    <t>Concrete, 40 MPa, in-situ, no reinforcement, Pre-mix Concrete ENVISIA (Boral) (ACT), (Canberra) ENVISIA 40MPa</t>
  </si>
  <si>
    <t>Concrete, 50 MPa, in-situ, no reinforcement, Pre-mix Concrete ENVISIA (Boral) (ACT), (Canberra) ENVISIA 50MPa</t>
  </si>
  <si>
    <t>Concrete, 65 MPa, in-situ, no reinforcement, Pre-mix Concrete ENVISIA (Boral) (ACT), (Canberra) ENVISIA 65MPa</t>
  </si>
  <si>
    <t>Concrete, 80 MPa, in-situ, no reinforcement, Pre-mix Concrete HIGH SLUMP (Boral) (ACT), (Canberra) HIGH SLUMP 80MPa</t>
  </si>
  <si>
    <t>Concrete, 40 MPa, in-situ, no reinforcement, Pre-mix Concrete TREMIE (Boral) (ACT), (Canberra) TREMIE 40MPa</t>
  </si>
  <si>
    <t>Concrete, 50 MPa, in-situ, no reinforcement, Pre-mix Concrete TREMIE (Boral) (ACT), (Canberra) TREMIE 50MPa</t>
  </si>
  <si>
    <t>Concrete, 65 MPa, in-situ, no reinforcement, Pre-mix Concrete TREMIE (Boral) (ACT), (Canberra) TREMIE 65MPa</t>
  </si>
  <si>
    <t>Concrete, 40 MPa, in-situ, no reinforcement, Pre-mix Concrete SHOTCRETE (Boral) (ACT), (Canberra) SHOTCRETE 40MPa 10MM</t>
  </si>
  <si>
    <t>Concrete, 25 MPa, in-situ, no reinforcement, Pre-mix Concrete KERB MACHINE (Boral) (ACT), (Canberra) KERB MACHINE 25MPa 10MM</t>
  </si>
  <si>
    <t>Concrete, 32 MPa, in-situ, no reinforcement, Pre-mix Concrete KERB MACHINE (Boral) (ACT), (Canberra) KERB MACHINE 32MPa 10MM</t>
  </si>
  <si>
    <t>Concrete, ? MPa, in-situ, no reinforcement, Pre-mix Concrete NO FINES 6:1 (Boral) (ACT), (Canberra) NO FINES 6:1</t>
  </si>
  <si>
    <t>Concrete, Stabilised Sand, in-situ, no reinforcement, Pre-mix Concrete STABILISED SAND 14:1 (Boral) (ACT), (Canberra) STABILISED SAND 14:1</t>
  </si>
  <si>
    <t>Concrete, Stabilised Sand, in-situ, no reinforcement, Pre-mix Concrete STABILISED SAND 8:1 (Boral) (ACT), (Canberra) STABILISED SAND 8:1</t>
  </si>
  <si>
    <t>Concrete, Stabilised Sand, in-situ, no reinforcement, Pre-mix Concrete STABILISED SAND 4:1 (Boral) (ACT), (Canberra) STABILISED SAND 4:1</t>
  </si>
  <si>
    <t>Concrete, 40 MPa, in-situ, no reinforcement, Pre-mix Concrete TfNSW B80 (Boral) (ACT), (Canberra) TfNSW B80 40MPa 20MM PUMP B1 EXPOSURE</t>
  </si>
  <si>
    <t>Concrete, 40 MPa, in-situ, no reinforcement, Pre-mix Concrete TfNSW B80 (Boral) (ACT), (Canberra) TfNSW B80 40MPa 20MM PUMP B2 EXPOSURE</t>
  </si>
  <si>
    <t>Concrete, 40 MPa, in-situ, no reinforcement, Pre-mix Concrete TfNSW B80 (Boral) (ACT), (Canberra) TfNSW B80 40MPa 20MM TREMIE B2 EXPOSURE</t>
  </si>
  <si>
    <t>Concrete, 50 MPa, in-situ, no reinforcement, Pre-mix Concrete TfNSW B80 (Boral) (ACT), (Canberra) TfNSW B80 50MPa 20MM TREMIE CFA C1 EXPOSURE</t>
  </si>
  <si>
    <t>Concrete, 50 MPa, in-situ, no reinforcement, Pre-mix Concrete TfNSW B80 (Boral) (ACT), (Canberra) TfNSW B80 50MPa 20MM TREMIE B2 EXPOSURE</t>
  </si>
  <si>
    <t>Concrete, 35 MPa, in-situ, no reinforcement, Pre-mix Concrete TfNSW R83 (Boral) (ACT), (Canberra) TfNSW R83 35MPa 20MM HAND/MACHINE PLACED</t>
  </si>
  <si>
    <t>Concrete, 20 MPa, in-situ, no reinforcement, Pre-mix Concrete Normal Class GP blend (Boral) (ACT), (Canberra) Normal Class GP blend 20MPa</t>
  </si>
  <si>
    <t>Concrete, 25 MPa, in-situ, no reinforcement, Pre-mix Concrete Normal Class GP blend (Boral) (NSW), (Newcastle) Normal Class GP blend 25MPa</t>
  </si>
  <si>
    <t>Newcastle, NSW</t>
  </si>
  <si>
    <t>Concrete, 32 MPa, in-situ, no reinforcement, Pre-mix Concrete Normal Class GP blend (Boral) (NSW), (Newcastle) Normal Class GP blend 32MPa</t>
  </si>
  <si>
    <t>Concrete, 40 MPa, in-situ, no reinforcement, Pre-mix Concrete Normal Class GP blend (Boral) (NSW), (Newcastle) Normal Class GP blend 40MPa</t>
  </si>
  <si>
    <t>Concrete, 50 MPa, in-situ, no reinforcement, Pre-mix Concrete Normal Class GP blend (Boral) (NSW), (Newcastle) Normal Class GP blend 50MPa</t>
  </si>
  <si>
    <t>Concrete, 20 MPa, in-situ, no reinforcement, Pre-mix Concrete Normal Class GP/FA blend (Boral) (NSW), (Newcastle) Normal Class GP/FA blend 20 MPa</t>
  </si>
  <si>
    <t>Concrete, 25 MPa, in-situ, no reinforcement, Pre-mix Concrete Normal Class GP/FA blend (Boral) (NSW), (Newcastle) Normal Class GP/FA blend 25 MPa</t>
  </si>
  <si>
    <t>Concrete, 32 MPa, in-situ, no reinforcement, Pre-mix Concrete Normal Class GP/FA blend (Boral) (NSW), (Newcastle) Normal Class GP/FA blend 32 MPa</t>
  </si>
  <si>
    <t>Concrete, 40 MPa, in-situ, no reinforcement, Pre-mix Concrete Normal Class GP/FA blend (Boral) (NSW), (Newcastle) Normal Class GP/FA blend 40 MPa</t>
  </si>
  <si>
    <t>Concrete, 20 MPa, in-situ, no reinforcement, Pre-mix Concrete ENVIROCRETE 30% 20 MPa (Boral) (NSW), (Newcastle) ENVIROCRETE 30% 20 MPa</t>
  </si>
  <si>
    <t>Concrete, 50 MPa, in-situ, no reinforcement, Pre-mix Concrete Normal Class GP/FA blend (Boral) (NSW), (Newcastle) Normal Class GP/FA blend 50 MPa</t>
  </si>
  <si>
    <t>Concrete, 20 MPa, in-situ, no reinforcement, Pre-mix Concrete Normal Class GP/GGBFS blend (Boral) (NSW), (Newcastle) Normal Class GP/GGBFS blend 20 MPa</t>
  </si>
  <si>
    <t>Concrete, 25 MPa, in-situ, no reinforcement, Pre-mix Concrete Normal Class GP/GGBFS blend (Boral) (NSW), (Newcastle) Normal Class GP/GGBFS blend 25 MPa</t>
  </si>
  <si>
    <t>Concrete, 25 MPa, in-situ, no reinforcement, Pre-mix Concrete ENVIROCRETE 30% (Boral) (NSW), (Newcastle) ENVIROCRETE 30% 25 MPa</t>
  </si>
  <si>
    <t>Concrete, 32 MPa, in-situ, no reinforcement, Pre-mix Concrete ENVIROCRETE 30% (Boral) (NSW), (Newcastle) ENVIROCRETE 30% 32 MPa</t>
  </si>
  <si>
    <t>Concrete, 40 MPa, in-situ, no reinforcement, Pre-mix Concrete ENVIROCRETE 30% (Boral) (NSW), (Newcastle) ENVIROCRETE 30% 40 MPa</t>
  </si>
  <si>
    <t>Concrete, 50 MPa, in-situ, no reinforcement, Pre-mix Concrete ENVIROCRETE 30% (Boral) (NSW), (Newcastle) ENVIROCRETE 30% 50 MPa</t>
  </si>
  <si>
    <t>Concrete, 20 MPa, in-situ, no reinforcement, Pre-mix Concrete ENVIROCRETE 40% (Boral) (NSW), (Newcastle) ENVIROCRETE 40% 20 MPa</t>
  </si>
  <si>
    <t>Concrete, 25 MPa, in-situ, no reinforcement, Pre-mix Concrete ENVIROCRETE 40% (Boral) (NSW), (Newcastle) ENVIROCRETE 40% 25 MPa</t>
  </si>
  <si>
    <t>Concrete, 32 MPa, in-situ, no reinforcement, Pre-mix Concrete ENVIROCRETE 40% (Boral) (NSW), (Newcastle) ENVIROCRETE 40% 32 MPa</t>
  </si>
  <si>
    <t>Concrete, 40 MPa, in-situ, no reinforcement, Pre-mix Concrete ENVIROCRETE 40% (Boral) (NSW), (Newcastle) ENVIROCRETE 40% 40 MPa</t>
  </si>
  <si>
    <t>Concrete, 50 MPa, in-situ, no reinforcement, Pre-mix Concrete ENVIROCRETE 40% (Boral) (NSW), (Newcastle) ENVIROCRETE 40% 50 MPa</t>
  </si>
  <si>
    <t>Concrete, 20 MPa, in-situ, no reinforcement, Pre-mix Concrete ENVIROCRETE PLUS (Boral) (NSW), (Newcastle) ENVIROCRETE PLUS 20MPa</t>
  </si>
  <si>
    <t>Concrete, 25 MPa, in-situ, no reinforcement, Pre-mix Concrete ENVIROCRETE PLUS (Boral) (NSW), (Newcastle) ENVIROCRETE PLUS 25MPa</t>
  </si>
  <si>
    <t>Concrete, 32 MPa, in-situ, no reinforcement, Pre-mix Concrete ENVIROCRETE PLUS (Boral) (NSW), (Newcastle) ENVIROCRETE PLUS 32MPa</t>
  </si>
  <si>
    <t>Concrete, 40 MPa, in-situ, no reinforcement, Pre-mix Concrete ENVIROCRETE PLUS (Boral) (NSW), (Newcastle) ENVIROCRETE PLUS 40MPa</t>
  </si>
  <si>
    <t>Concrete, 50 MPa, in-situ, no reinforcement, Pre-mix Concrete ENVIROCRETE PLUS (Boral) (NSW), (Newcastle) ENVIROCRETE PLUS 50MPa</t>
  </si>
  <si>
    <t>Concrete, 20 MPa, in-situ, no reinforcement, Pre-mix Concrete ENVISIA (Boral) (NSW), (Newcastle) ENVISIA 20MPa</t>
  </si>
  <si>
    <t>Concrete, 25 MPa, in-situ, no reinforcement, Pre-mix Concrete ENVISIA (Boral) (NSW), (Newcastle) ENVISIA 25MPa</t>
  </si>
  <si>
    <t>Concrete, 32 MPa, in-situ, no reinforcement, Pre-mix Concrete ENVISIA (Boral) (NSW), (Newcastle) ENVISIA 32MPa</t>
  </si>
  <si>
    <t>Concrete, 40 MPa, in-situ, no reinforcement, Pre-mix Concrete ENVISIA (Boral) (NSW), (Newcastle) ENVISIA 40MPa</t>
  </si>
  <si>
    <t>Concrete, 50 MPa, in-situ, no reinforcement, Pre-mix Concrete ENVISIA (Boral) (NSW), (Newcastle) ENVISIA 50MPa</t>
  </si>
  <si>
    <t>Concrete, 65 MPa, in-situ, no reinforcement, Pre-mix Concrete ENVISIA (Boral) (NSW), (Newcastle) ENVISIA 65MPa</t>
  </si>
  <si>
    <t>Concrete, 80 MPa, in-situ, no reinforcement, Pre-mix Concrete ENVISIA (Boral) (NSW), (Newcastle) ENVISIA 80MPa</t>
  </si>
  <si>
    <t>Concrete, 40 MPa, in-situ, no reinforcement, Pre-mix Concrete POST TENSIONED (Boral) (NSW), (Newcastle) POST TENSIONED 40MPa 22@3</t>
  </si>
  <si>
    <t>Concrete, 40 MPa, in-situ, no reinforcement, Pre-mix Concrete POST TENSIONED (Boral) (NSW), (Newcastle) POST TENSIONED 40MPa 22@4</t>
  </si>
  <si>
    <t>Concrete, 40 MPa, in-situ, no reinforcement, Pre-mix Concrete POST TENSIONED (Boral) (NSW), (Newcastle) POST TENSIONED 40MPa 22@5</t>
  </si>
  <si>
    <t>Concrete, 50 MPa, in-situ, no reinforcement, Pre-mix Concrete HIGH SLUMP (Boral) (NSW), (Newcastle) HIGH SLUMP 50MPa</t>
  </si>
  <si>
    <t>Concrete, 65 MPa, in-situ, no reinforcement, Pre-mix Concrete HIGH SLUMP (Boral) (NSW), (Newcastle) HIGH SLUMP 65MPa</t>
  </si>
  <si>
    <t>Concrete, 80 MPa, in-situ, no reinforcement, Pre-mix Concrete HIGH SLUMP (Boral) (NSW), (Newcastle) HIGH SLUMP 80MPa</t>
  </si>
  <si>
    <t>Concrete, 40 MPa, in-situ, no reinforcement, Pre-mix Concrete TREMIE (Boral) (NSW), (Newcastle) TREMIE 40MPa</t>
  </si>
  <si>
    <t>Concrete, 50 MPa, in-situ, no reinforcement, Pre-mix Concrete TREMIE (Boral) (NSW), (Newcastle) TREMIE 50MPa</t>
  </si>
  <si>
    <t>Concrete, 65 MPa, in-situ, no reinforcement, Pre-mix Concrete TREMIE (Boral) (NSW), (Newcastle) TREMIE 65MPa</t>
  </si>
  <si>
    <t>Concrete, 40 MPa, in-situ, no reinforcement, Pre-mix Concrete SHOTCRETE (Boral) (NSW), (Newcastle) SHOTCRETE 40MPa 10MM</t>
  </si>
  <si>
    <t>Concrete, 25 MPa, in-situ, no reinforcement, Pre-mix Concrete KERB MACHINE (Boral) (NSW), (Newcastle) KERB MACHINE 25MPa 10MM</t>
  </si>
  <si>
    <t>Concrete, 32 MPa, in-situ, no reinforcement, Pre-mix Concrete Normal Class GP/GGBFS blend (Boral) (NSW), (Newcastle) Normal Class GP/GGBFS blend 32 MPa</t>
  </si>
  <si>
    <t>Concrete, 40 MPa, in-situ, no reinforcement, Pre-mix Concrete Normal Class GP/GGBFS blend (Boral) (NSW), (Newcastle) Normal Class GP/GGBFS blend 40 MPa</t>
  </si>
  <si>
    <t>Concrete, 32 MPa, in-situ, no reinforcement, Pre-mix Concrete KERB MACHINE (Boral) (NSW), (Newcastle) KERB MACHINE 32MPa 10MM</t>
  </si>
  <si>
    <t>Concrete, ? MPa, in-situ, no reinforcement, Pre-mix Concrete NO FINES 6:1 (Boral) (NSW), (Newcastle) NO FINES 6:1</t>
  </si>
  <si>
    <t>Concrete, Stabil</t>
  </si>
  <si>
    <t>Concrete, Stabilised Sand, in-situ, no reinforcement, Pre-mix Concrete STABILISED SAND 8:1 (Boral) (NSW), (Newcastle) STABILISED SAND 8:1</t>
  </si>
  <si>
    <t>Concrete, Stabilised Sand, in-situ, no reinforcement, Pre-mix Concrete STABILISED SAND 4:1 (Boral) (NSW), (Newcastle) STABILISED SAND 4:1</t>
  </si>
  <si>
    <t>Concrete, 50 MPa, in-situ, no reinforcement, Pre-mix Concrete Normal Class GP/GGBFS blend (Boral) (NSW), (Newcastle) Normal Class GP/GGBFS blend 50 MPa</t>
  </si>
  <si>
    <t>Concrete, 40 MPa, in-situ, no reinforcement, Pre-mix Concrete TfNSW B80 (Boral) (NSW), (Newcastle) TfNSW B80 40MPa 20MM PUMP B1 EXPOSURE</t>
  </si>
  <si>
    <t>Concrete, 40 MPa, in-situ, no reinforcement, Pre-mix Concrete TfNSW B80 (Boral) (NSW), (Newcastle) TfNSW B80 40MPa 20MM PUMP B2 EXPOSURE</t>
  </si>
  <si>
    <t>Concrete, 40 MPa, in-situ, no reinforcement, Pre-mix Concrete TfNSW B80 (Boral) (NSW), (Newcastle) TfNSW B80 40MPa 20MM TREMIE B2 EXPOSURE</t>
  </si>
  <si>
    <t>Concrete, 50 MPa, in-situ, no reinforcement, Pre-mix Concrete TfNSW B80 (Boral) (NSW), (Newcastle) TfNSW B80 50MPa 20MM TREMIE CFA C1 EXPOSURE</t>
  </si>
  <si>
    <t>Concrete, 50 MPa, in-situ, no reinforcement, Pre-mix Concrete TfNSW B80 (Boral) (NSW), (Newcastle) TfNSW B80 50MPa 20MM PUMP B2 EXPOSURE</t>
  </si>
  <si>
    <t>Concrete, 50 MPa, in-situ, no reinforcement, Pre-mix Concrete TfNSW B80 (Boral) (NSW), (Newcastle) TfNSW B80 50MPa 20MM TREMIE B2 EXPOSURE</t>
  </si>
  <si>
    <t>Concrete, 20 MPa, in-situ, no reinforcement, Pre-mix Concrete Normal Class GP blend (Boral) (NSW), (Newcastle) Normal Class GP blend 20MPa</t>
  </si>
  <si>
    <t>Concrete, 25 MPa, in-situ, no reinforcement, Pre-mix Concrete Normal Class GP blend (Boral) (NSW), (Sydney) Normal Class GP blend 25MPa</t>
  </si>
  <si>
    <t>Concrete, 32 MPa, in-situ, no reinforcement, Pre-mix Concrete Normal Class GP blend (Boral) (NSW), (Sydney) Normal Class GP blend 32MPa</t>
  </si>
  <si>
    <t>Concrete, 40 MPa, in-situ, no reinforcement, Pre-mix Concrete Normal Class GP blend (Boral) (NSW), (Sydney) Normal Class GP blend 40MPa</t>
  </si>
  <si>
    <t>Concrete, 50 MPa, in-situ, no reinforcement, Pre-mix Concrete Normal Class GP blend (Boral) (NSW), (Sydney) Normal Class GP blend 50MPa</t>
  </si>
  <si>
    <t>Concrete, 20 MPa, in-situ, no reinforcement, Pre-mix Concrete Normal Class GP/FA blend (Boral) (NSW), (Sydney) Normal Class GP/FA blend 20 MPa</t>
  </si>
  <si>
    <t>Concrete, 25 MPa, in-situ, no reinforcement, Pre-mix Concrete Normal Class GP/FA blend (Boral) (NSW), (Sydney) Normal Class GP/FA blend 25 MPa</t>
  </si>
  <si>
    <t>Concrete, 32 MPa, in-situ, no reinforcement, Pre-mix Concrete Normal Class GP/FA blend (Boral) (NSW), (Sydney) Normal Class GP/FA blend 32 MPa</t>
  </si>
  <si>
    <t>Concrete, 40 MPa, in-situ, no reinforcement, Pre-mix Concrete Normal Class GP/FA blend (Boral) (NSW), (Sydney) Normal Class GP/FA blend 40 MPa</t>
  </si>
  <si>
    <t>Concrete, 50 MPa, in-situ, no reinforcement, Pre-mix Concrete Normal Class GP/FA blend (Boral) (NSW), (Sydney) Normal Class GP/FA blend 50 MPa</t>
  </si>
  <si>
    <t>Concrete, 20 MPa, in-situ, no reinforcement, Pre-mix Concrete Normal Class GP/GGBFS blend (Boral) (NSW), (Sydney) Normal Class GP/GGBFS blend 20 MPa</t>
  </si>
  <si>
    <t>Concrete, 25 MPa, in-situ, no reinforcement, Pre-mix Concrete Normal Class GP/GGBFS blend (Boral) (NSW), (Sydney) Normal Class GP/GGBFS blend 25 MPa</t>
  </si>
  <si>
    <t>Concrete, 32 MPa, in-situ, no reinforcement, Pre-mix Concrete Normal Class GP/GGBFS blend (Boral) (NSW), (Sydney) Normal Class GP/GGBFS blend 32 MPa</t>
  </si>
  <si>
    <t>Concrete, 40 MPa, in-situ, no reinforcement, Pre-mix Concrete Normal Class GP/GGBFS blend (Boral) (NSW), (Sydney) Normal Class GP/GGBFS blend 40 MPa</t>
  </si>
  <si>
    <t>Concrete, 50 MPa, in-situ, no reinforcement, Pre-mix Concrete Normal Class GP/GGBFS blend (Boral) (NSW), (Sydney) Normal Class GP/GGBFS blend 50 MPa</t>
  </si>
  <si>
    <t>Concrete, 20 MPa, in-situ, no reinforcement, Pre-mix Concrete Normal Class GP/GGBFS/FA blend (Boral) (NSW), (Sydney) Normal Class GP/GGBFS/FA blend 20 MPa</t>
  </si>
  <si>
    <t>Concrete, 25 MPa, in-situ, no reinforcement, Pre-mix Concrete Normal Class GP/GGBFS/FA blend (Boral) (NSW), (Sydney) Normal Class GP/GGBFS/FA blend 25 MPa</t>
  </si>
  <si>
    <t>Concrete, 32 MPa, in-situ, no reinforcement, Pre-mix Concrete Normal Class GP/GGBFS/FA blend (Boral) (NSW), (Sydney) Normal Class GP/GGBFS/FA blend 32 MPa</t>
  </si>
  <si>
    <t>Concrete, 40 MPa, in-situ, no reinforcement, Pre-mix Concrete Normal Class GP/GGBFS /FA blend (Boral) (NSW), (Sydney) Normal Class GP/GGBFS /FA blend 40 MPa</t>
  </si>
  <si>
    <t>Concrete, 50 MPa, in-situ, no reinforcement, Pre-mix Concrete Normal Class GP/GGBFS/FA blend (Boral) (NSW), (Sydney) Normal Class GP/GGBFS/FA blend 50 MPa</t>
  </si>
  <si>
    <t>Concrete, 20 MPa, in-situ, no reinforcement, Pre-mix Concrete ENVIROCRETE 30% (Boral) (NSW), (Sydney) ENVIROCRETE 30% 20 MPa</t>
  </si>
  <si>
    <t>Concrete, 25 MPa, in-situ, no reinforcement, Pre-mix Concrete ENVIROCRETE 30% (Boral) (NSW), (Sydney) ENVIROCRETE 30% 25 MPa</t>
  </si>
  <si>
    <t>Concrete, 32 MPa, in-situ, no reinforcement, Pre-mix Concrete ENVIROCRETE 30% (Boral) (NSW), (Sydney) ENVIROCRETE 30% 32 MPa</t>
  </si>
  <si>
    <t>Concrete, 40 MPa, in-situ, no reinforcement, Pre-mix Concrete ENVIROCRETE 30% (Boral) (NSW), (Sydney) ENVIROCRETE 30% 40 MPa</t>
  </si>
  <si>
    <t>Concrete, 50 MPa, in-situ, no reinforcement, Pre-mix Concrete ENVIROCRETE 30% (Boral) (NSW), (Sydney) ENVIROCRETE 30% 50 MPa</t>
  </si>
  <si>
    <t>Concrete, 20 MPa, in-situ, no reinforcement, Pre-mix Concrete ENVIROCRETE 40% (Boral) (NSW), (Sydney) ENVIROCRETE 40% 20 MPa</t>
  </si>
  <si>
    <t>Concrete, 25 MPa, in-situ, no reinforcement, Pre-mix Concrete ENVIROCRETE 40% (Boral) (NSW), (Sydney) ENVIROCRETE 40% 25 MPa</t>
  </si>
  <si>
    <t>Concrete, 32 MPa, in-situ, no reinforcement, Pre-mix Concrete ENVIROCRETE 40% (Boral) (NSW), (Sydney) ENVIROCRETE 40% 32 MPa</t>
  </si>
  <si>
    <t>Concrete, 40 MPa, in-situ, no reinforcement, Pre-mix Concrete ENVIROCRETE 40% (Boral) (NSW), (Sydney) ENVIROCRETE 40% 40 MPa</t>
  </si>
  <si>
    <t>Concrete, 50 MPa, in-situ, no reinforcement, Pre-mix Concrete ENVIROCRETE 40% (Boral) (NSW), (Sydney) ENVIROCRETE 40% 50 MPa</t>
  </si>
  <si>
    <t>Concrete, 20 MPa, in-situ, no reinforcement, Pre-mix Concrete ENVIROCRETE PLUS (Boral) (NSW), (Sydney) ENVIROCRETE PLUS 20MPa</t>
  </si>
  <si>
    <t>Concrete, 25 MPa, in-situ, no reinforcement, Pre-mix Concrete ENVIROCRETE PLUS (Boral) (NSW), (Sydney) ENVIROCRETE PLUS 25MPa</t>
  </si>
  <si>
    <t>Concrete, 50 MPa, in-situ, no reinforcement, Pre-mix Concrete ENVIROCRETE PLUS (Boral) (NSW), (Sydney) ENVIROCRETE PLUS 50MPa</t>
  </si>
  <si>
    <t>Concrete, 20 MPa, in-situ, no reinforcement, Pre-mix Concrete ENVISIA (Boral) (NSW), (Sydney) ENVISIA 20MPa</t>
  </si>
  <si>
    <t>Concrete, 32 MPa, in-situ, no reinforcement, Pre-mix Concrete ENVIROCRETE PLUS (Boral) (NSW), (Sydney) ENVIROCRETE PLUS 32MPa</t>
  </si>
  <si>
    <t>Concrete, 40 MPa, in-situ, no reinforcement, Pre-mix Concrete ENVIROCRETE PLUS (Boral) (NSW), (Sydney) ENVIROCRETE PLUS 40MPa</t>
  </si>
  <si>
    <t>Concrete, 25 MPa, in-situ, no reinforcement, Pre-mix Concrete ENVISIA (Boral) (NSW), (Sydney) ENVISIA 25MPa</t>
  </si>
  <si>
    <t>Concrete, 32 MPa, in-situ, no reinforcement, Pre-mix Concrete ENVISIA (Boral) (NSW), (Sydney) ENVISIA 32MPa</t>
  </si>
  <si>
    <t>Concrete, 80 MPa, in-situ, no reinforcement, Pre-mix Concrete HIGH SLUMP (Boral) (NSW), (Sydney) HIGH SLUMP 80MPa</t>
  </si>
  <si>
    <t>Concrete, 40 MPa, in-situ, no reinforcement, Pre-mix Concrete TREMIE (Boral) (NSW), (Sydney) TREMIE 40MPa</t>
  </si>
  <si>
    <t>Concrete, 50 MPa, in-situ, no reinforcement, Pre-mix Concrete TREMIE (Boral) (NSW), (Sydney) TREMIE 50MPa</t>
  </si>
  <si>
    <t>Concrete, 40 MPa, in-situ, no reinforcement, Pre-mix Concrete ENVISIA (Boral) (NSW), (Sydney) ENVISIA 40MPa</t>
  </si>
  <si>
    <t>Concrete, 65 MPa, in-situ, no reinforcement, Pre-mix Concrete TREMIE (Boral) (NSW), (Sydney) TREMIE 65MPa</t>
  </si>
  <si>
    <t>Concrete, 40 MPa, in-situ, no reinforcement, Pre-mix Concrete SHOTCRETE (Boral) (NSW), (Sydney) SHOTCRETE 40MPa 10MM</t>
  </si>
  <si>
    <t>Concrete, 50 MPa, in-situ, no reinforcement, Pre-mix Concrete ENVISIA (Boral) (NSW), (Sydney) ENVISIA 50MPa</t>
  </si>
  <si>
    <t>Concrete, 65 MPa, in-situ, no reinforcement, Pre-mix Concrete ENVISIA (Boral) (NSW), (Sydney) ENVISIA 65MPa</t>
  </si>
  <si>
    <t>Concrete, 80 MPa, in-situ, no reinforcement, Pre-mix Concrete ENVISIA (Boral) (NSW), (Sydney) ENVISIA 80MPa</t>
  </si>
  <si>
    <t>Concrete, 40 MPa, in-situ, no reinforcement, Pre-mix Concrete POST TENSIONED (Boral) (NSW), (Sydney) POST TENSIONED 40MPa 22@3</t>
  </si>
  <si>
    <t>Concrete, 25 MPa, in-situ, no reinforcement, Pre-mix Concrete KERB MACHINE (Boral) (NSW), (Sydney) KERB MACHINE 25MPa 10MM</t>
  </si>
  <si>
    <t>Concrete, 40 MPa, in-situ, no reinforcement, Pre-mix Concrete POST TENSIONED (Boral) (NSW), (Sydney) POST TENSIONED 40MPa 22@4</t>
  </si>
  <si>
    <t>Concrete, 40 MPa, in-situ, no reinforcement, Pre-mix Concrete POST TENSIONED (Boral) (NSW), (Sydney) POST TENSIONED 40MPa 22@5</t>
  </si>
  <si>
    <t>Concrete, 50 MPa, in-situ, no reinforcement, Pre-mix Concrete HIGH SLUMP (Boral) (NSW), (Sydney) HIGH SLUMP 50MPa</t>
  </si>
  <si>
    <t>Concrete, 65 MPa, in-situ, no reinforcement, Pre-mix Concrete HIGH SLUMP (Boral) (NSW), (Sydney) HIGH SLUMP 65MPa</t>
  </si>
  <si>
    <t>Concrete, 32 MPa, in-situ, no reinforcement, Pre-mix Concrete KERB MACHINE (Boral) (NSW), (Sydney) KERB MACHINE 32MPa 10MM</t>
  </si>
  <si>
    <t>Concrete, ? MPa, in-situ, no reinforcement, Pre-mix Concrete NO FINES 6:1 (Boral) (NSW), (Sydney) NO FINES 6:1</t>
  </si>
  <si>
    <t>Concrete, 40 MPa, in-situ, no reinforcement, Pre-mix Concrete TfNSW B80 (Boral) (NSW), (Sydney) TfNSW B80 40MPa 20MM TREMIE B2 EXPOSURE</t>
  </si>
  <si>
    <t>Concrete, ? MPa, in-situ, no reinforcement, Pre-mix Concrete STABILISED SAND 4:1 (Boral) (NSW), (Sydney) STABILISED SAND 4:1</t>
  </si>
  <si>
    <t>Concrete, 50 MPa, in-situ, no reinforcement, Pre-mix Concrete TfNSW B80 (Boral) (NSW), (Sydney) TfNSW B80 50MPa 20MM TREMIE CFA C1 EXPOSURE</t>
  </si>
  <si>
    <t>Concrete, 50 MPa, in-situ, no reinforcement, Pre-mix Concrete TfNSW B80 (Boral) (NSW), (Sydney) TfNSW B80 50MPa 20MM PUMP B2 EXPOSURE</t>
  </si>
  <si>
    <t>Concrete, 50 MPa, in-situ, no reinforcement, Pre-mix Concrete TfNSW B80 (Boral) (NSW), (Sydney) TfNSW B80 50MPa 20MM TREMIE B2 EXPOSURE</t>
  </si>
  <si>
    <t>Concrete, 35 MPa, in-situ, no reinforcement, Pre-mix Concrete TfNSW R83 (Boral) (NSW), (Sydney) TfNSW R83 35MPa 20MM HAND/MACHINE PLACED</t>
  </si>
  <si>
    <t>Concrete, 40 MPa, in-situ, no reinforcement, Pre-mix Concrete TfNSW B80 (Boral) (NSW), (Sydney) TfNSW B80 40MPa 20MM PUMP B1 EXPOSURE</t>
  </si>
  <si>
    <t>Concrete, 40 MPa, in-situ, no reinforcement, Pre-mix Concrete TfNSW B80 (Boral) (NSW), (Sydney) TfNSW B80 40MPa 20MM PUMP B2 EXPOSURE</t>
  </si>
  <si>
    <t>Concrete, 20 MPa, in-situ, no reinforcement, Pre-mix Concrete Normal Class GP blend (Boral) (NSW), (Sydney) Normal Class GP blend 20MPa</t>
  </si>
  <si>
    <t>Concrete, 25 MPa, in-situ, no reinforcement, Pre-mix Concrete Normal Class GP blend (Boral) (NSW), (Wollongong) Normal Class GP blend 25MPa</t>
  </si>
  <si>
    <t>Wollongong, NSW</t>
  </si>
  <si>
    <t>Concrete, 32 MPa, in-situ, no reinforcement, Pre-mix Concrete Normal Class GP blend (Boral) (NSW), (Wollongong) Normal Class GP blend 32MPa</t>
  </si>
  <si>
    <t>Concrete, 40 MPa, in-situ, no reinforcement, Pre-mix Concrete Normal Class GP blend (Boral) (NSW), (Wollongong) Normal Class GP blend 40MPa</t>
  </si>
  <si>
    <t>Concrete, 50 MPa, in-situ, no reinforcement, Pre-mix Concrete Normal Class GP blend (Boral) (NSW), (Wollongong) Normal Class GP blend 50MPa</t>
  </si>
  <si>
    <t>Concrete, 20 MPa, in-situ, no reinforcement, Pre-mix Concrete Normal Class GP/FA blend (Boral) (NSW), (Wollongong) Normal Class GP/FA blend 20 MPa</t>
  </si>
  <si>
    <t>Concrete, 25 MPa, in-situ, no reinforcement, Pre-mix Concrete Normal Class GP/FA blend (Boral) (NSW), (Wollongong) Normal Class GP/FA blend 25 MPa</t>
  </si>
  <si>
    <t>Concrete, 32 MPa, in-situ, no reinforcement, Pre-mix Concrete Normal Class GP/FA blend (Boral) (NSW), (Wollongong) Normal Class GP/FA blend 32 MPa</t>
  </si>
  <si>
    <t>Concrete, 40 MPa, in-situ, no reinforcement, Pre-mix Concrete Normal Class GP/FA blend (Boral) (NSW), (Wollongong) Normal Class GP/FA blend 40 MPa</t>
  </si>
  <si>
    <t>Concrete, 25 MPa, in-situ, no reinforcement, Pre-mix Concrete KERB MACHINE (Boral) (NSW), (Wollongong) KERB MACHINE 25MPa 10MM</t>
  </si>
  <si>
    <t>Concrete, 50 MPa, in-situ, no reinforcement, Pre-mix Concrete Normal Class GP/FA blend (Boral) (NSW), (Wollongong) Normal Class GP/FA blend 50 MPa</t>
  </si>
  <si>
    <t>Concrete, 20 MPa, in-situ, no reinforcement, Pre-mix Concrete Normal Class GP/GGBFS blend (Boral) (NSW), (Wollongong) Normal Class GP/GGBFS blend 20 MPa</t>
  </si>
  <si>
    <t>Concrete, 25 MPa, in-situ, no reinforcement, Pre-mix Concrete Normal Class GP/GGBFS blend (Boral) (NSW), (Wollongong) Normal Class GP/GGBFS blend 25 MPa</t>
  </si>
  <si>
    <t>Concrete, 32 MPa, in-situ, no reinforcement, Pre-mix Concrete Normal Class GP/GGBFS blend (Boral) (NSW), (Wollongong) Normal Class GP/GGBFS blend 32 MPa</t>
  </si>
  <si>
    <t>Concrete, 40 MPa, in-situ, no reinforcement, Pre-mix Concrete Normal Class GP/GGBFS blend (Boral) (NSW), (Wollongong) Normal Class GP/GGBFS blend 40 MPa</t>
  </si>
  <si>
    <t>Concrete, 50 MPa, in-situ, no reinforcement, Pre-mix Concrete Normal Class GP/GGBFS blend (Boral) (NSW), (Wollongong) Normal Class GP/GGBFS blend 50 MPa</t>
  </si>
  <si>
    <t>Concrete, 20 MPa, in-situ, no reinforcement, Pre-mix Concrete Normal Class GP/GGBFS/FA blend (Boral) (NSW), (Wollongong) Normal Class GP/GGBFS/FA blend 20 MPa</t>
  </si>
  <si>
    <t>Concrete, 25 MPa, in-situ, no reinforcement, Pre-mix Concrete Normal Class GP/GGBFS/FA blend (Boral) (NSW), (Wollongong) Normal Class GP/GGBFS/FA blend 25 MPa</t>
  </si>
  <si>
    <t>Concrete, 32 MPa, in-situ, no reinforcement, Pre-mix Concrete KERB MACHINE (Boral) (NSW), (Wollongong) KERB MACHINE 32MPa 10MM</t>
  </si>
  <si>
    <t>Concrete, ? MPa, in-situ, no reinforcement, Pre-mix Concrete NO FINES 6:1 (Boral) (NSW), (Wollongong) NO FINES 6:1</t>
  </si>
  <si>
    <t>Concrete, Stabilised Sand, in-situ, no reinforcement, Pre-mix Concrete STABILISED SAND 8:1 (Boral) (NSW), (Wollongong) STABILISED SAND 8:1</t>
  </si>
  <si>
    <t>Concrete, Stabilised Sand, in-situ, no reinforcement, Pre-mix Concrete STABILISED SAND 4:1 (Boral) (NSW), (Wollongong) STABILISED SAND 4:1</t>
  </si>
  <si>
    <t>Concrete, 40 MPa, in-situ, no reinforcement, Pre-mix Concrete TfNSW B80 (Boral) (NSW), (Wollongong) TfNSW B80 40MPa 20MM PUMP B1 EXPOSURE</t>
  </si>
  <si>
    <t>Concrete, 32 MPa, in-situ, no reinforcement, Pre-mix Concrete Normal Class GP/GGBFS/FA blend (Boral) (NSW), (Wollongong) Normal Class GP/GGBFS/FA blend 32 MPa</t>
  </si>
  <si>
    <t>Concrete, 40 MPa, in-situ, no reinforcement, Pre-mix Concrete Normal Class GP/GGBFS /FA blend (Boral) (NSW), (Wollongong) Normal Class GP/GGBFS /FA blend 40 MPa</t>
  </si>
  <si>
    <t>Concrete, 50 MPa, in-situ, no reinforcement, Pre-mix Concrete Normal Class GP/GGBFS/FA blend (Boral) (NSW), (Wollongong) Normal Class GP/GGBFS/FA blend 50 MPa</t>
  </si>
  <si>
    <t>Concrete, 20 MPa, in-situ, no reinforcement, Pre-mix Concrete ENVIROCRETE 30% (Boral) (NSW), (Wollongong) ENVIROCRETE 30% 20 MPa</t>
  </si>
  <si>
    <t>Concrete, 40 MPa, in-situ, no reinforcement, Pre-mix Concrete TfNSW B80 (Boral) (NSW), (Wollongong) TfNSW B80 40MPa 20MM PUMP B2 EXPOSURE</t>
  </si>
  <si>
    <t>Concrete, 40 MPa, in-situ, no reinforcement, Pre-mix Concrete TfNSW B80 (Boral) (NSW), (Wollongong) TfNSW B80 40MPa 20MM TREMIE B2 EXPOSURE</t>
  </si>
  <si>
    <t>Concrete, 50 MPa, in-situ, no reinforcement, Pre-mix Concrete TfNSW B80 (Boral) (NSW), (Wollongong) TfNSW B80 50MPa 20MM TREMIE CFA C1 EXPOSURE</t>
  </si>
  <si>
    <t>Concrete, ? MPa, in-situ, no reinforcement, Pre-mix Concrete TfNSW B80 (Boral) (NSW), (Wollongong) TfNSW B80 50MPA 20MM TREMIE B2 EXPOSURE</t>
  </si>
  <si>
    <t>Concrete, 35 MPa, in-situ, no reinforcement, Pre-mix Concrete TfNSW R83 (Boral) (NSW), (Wollongong) TfNSW R83 35MPa 20MM HAND/MACHINE PLACED</t>
  </si>
  <si>
    <t>Concrete, 25 MPa, in-situ, no reinforcement, Pre-mix Concrete ENVIROCRETE 30% (Boral) (NSW), (Wollongong) ENVIROCRETE 30% 25 MPa</t>
  </si>
  <si>
    <t>Concrete, 32 MPa, in-situ, no reinforcement, Pre-mix Concrete ENVIROCRETE 30% (Boral) (NSW), (Wollongong) ENVIROCRETE 30% 32 MPa</t>
  </si>
  <si>
    <t>Concrete, 40 MPa, in-situ, no reinforcement, Pre-mix Concrete ENVIROCRETE 30% (Boral) (NSW), (Wollongong) ENVIROCRETE 30% 40 MPa</t>
  </si>
  <si>
    <t>Concrete, 50 MPa, in-situ, no reinforcement, Pre-mix Concrete ENVIROCRETE 30% (Boral) (NSW), (Wollongong) ENVIROCRETE 30% 50 MPa</t>
  </si>
  <si>
    <t>Concrete, 20 MPa, in-situ, no reinforcement, Pre-mix Concrete ENVIROCRETE 40% (Boral) (NSW), (Wollongong) ENVIROCRETE 40% 20 MPa</t>
  </si>
  <si>
    <t>Concrete, 25 MPa, in-situ, no reinforcement, Pre-mix Concrete ENVIROCRETE 40% (Boral) (NSW), (Wollongong) ENVIROCRETE 40% 25 MPa</t>
  </si>
  <si>
    <t>Concrete, 32 MPa, in-situ, no reinforcement, Pre-mix Concrete ENVIROCRETE 40% (Boral) (NSW), (Wollongong) ENVIROCRETE 40% 32 MPa</t>
  </si>
  <si>
    <t>Concrete, 40 MPa, in-situ, no reinforcement, Pre-mix Concrete ENVIROCRETE 40% (Boral) (NSW), (Wollongong) ENVIROCRETE 40% 40 MPa</t>
  </si>
  <si>
    <t>Concrete, 50 MPa, in-situ, no reinforcement, Pre-mix Concrete ENVIROCRETE 40% (Boral) (NSW), (Wollongong) ENVIROCRETE 40% 50 MPa</t>
  </si>
  <si>
    <t>Concrete, 20 MPa, in-situ, no reinforcement, Pre-mix Concrete ENVIROCRETE PLUS (Boral) (NSW), (Wollongong) ENVIROCRETE PLUS 20MPa</t>
  </si>
  <si>
    <t>Concrete, 25 MPa, in-situ, no reinforcement, Pre-mix Concrete ENVIROCRETE PLUS (Boral) (NSW), (Wollongong) ENVIROCRETE PLUS 25MPa</t>
  </si>
  <si>
    <t>Concrete, 32 MPa, in-situ, no reinforcement, Pre-mix Concrete ENVIROCRETE PLUS (Boral) (NSW), (Wollongong) ENVIROCRETE PLUS 32MPa</t>
  </si>
  <si>
    <t>Concrete, 40 MPa, in-situ, no reinforcement, Pre-mix Concrete ENVIROCRETE PLUS (Boral) (NSW), (Wollongong) ENVIROCRETE PLUS 40MPa</t>
  </si>
  <si>
    <t>Concrete, 50 MPa, in-situ, no reinforcement, Pre-mix Concrete ENVIROCRETE PLUS (Boral) (NSW), (Wollongong) ENVIROCRETE PLUS 50MPa</t>
  </si>
  <si>
    <t>Concrete, 20 MPa, in-situ, no reinforcement, Pre-mix Concrete ENVISIA (Boral) (NSW), (Wollongong) ENVISIA 20MPa</t>
  </si>
  <si>
    <t>Concrete, 25 MPa, in-situ, no reinforcement, Pre-mix Concrete ENVISIA (Boral) (NSW), (Wollongong) ENVISIA 25MPa</t>
  </si>
  <si>
    <t>Concrete, 32 MPa, in-situ, no reinforcement, Pre-mix Concrete ENVISIA (Boral) (NSW), (Wollongong) ENVISIA 32MPa</t>
  </si>
  <si>
    <t>Concrete, 40 MPa, in-situ, no reinforcement, Pre-mix Concrete ENVISIA (Boral) (NSW), (Wollongong) ENVISIA 40MPa</t>
  </si>
  <si>
    <t>Concrete, 50 MPa, in-situ, no reinforcement, Pre-mix Concrete ENVISIA (Boral) (NSW), (Wollongong) ENVISIA 50MPa</t>
  </si>
  <si>
    <t>Concrete, 65 MPa, in-situ, no reinforcement, Pre-mix Concrete ENVISIA (Boral) (NSW), (Wollongong) ENVISIA 65MPa</t>
  </si>
  <si>
    <t>Concrete, 80 MPa, in-situ, no reinforcement, Pre-mix Concrete ENVISIA (Boral) (NSW), (Wollongong) ENVISIA 80MPa</t>
  </si>
  <si>
    <t>Concrete, 40 MPa, in-situ, no reinforcement, Pre-mix Concrete POST TENSIONED (Boral) (NSW), (Wollongong) POST TENSIONED 40MPa 22@3</t>
  </si>
  <si>
    <t>Concrete, 40 MPa, in-situ, no reinforcement, Pre-mix Concrete POST TENSIONED (Boral) (NSW), (Wollongong) POST TENSIONED 40MPa 22@4</t>
  </si>
  <si>
    <t>Concrete, 40 MPa, in-situ, no reinforcement, Pre-mix Concrete POST TENSIONED (Boral) (NSW), (Wollongong) POST TENSIONED 40MPa 22@5</t>
  </si>
  <si>
    <t>Concrete, 50 MPa, in-situ, no reinforcement, Pre-mix Concrete HIGH SLUMP (Boral) (NSW), (Wollongong) HIGH SLUMP 50MPa</t>
  </si>
  <si>
    <t>Concrete, 65 MPa, in-situ, no reinforcement, Pre-mix Concrete HIGH SLUMP (Boral) (NSW), (Wollongong) HIGH SLUMP 65MPa</t>
  </si>
  <si>
    <t>Concrete, 80 MPa, in-situ, no reinforcement, Pre-mix Concrete HIGH SLUMP (Boral) (NSW), (Wollongong) HIGH SLUMP 80MPa</t>
  </si>
  <si>
    <t>Concrete, 40 MPa, in-situ, no reinforcement, Pre-mix Concrete TREMIE (Boral) (NSW), (Wollongong) TREMIE 40MPa</t>
  </si>
  <si>
    <t>Concrete, 50 MPa, in-situ, no reinforcement, Pre-mix Concrete TREMIE (Boral) (NSW), (Wollongong) TREMIE 50MPa</t>
  </si>
  <si>
    <t>Concrete, 65 MPa, in-situ, no reinforcement, Pre-mix Concrete TREMIE (Boral) (NSW), (Wollongong) TREMIE 65MPa</t>
  </si>
  <si>
    <t>Concrete, 40 MPa, in-situ, no reinforcement, Pre-mix Concrete SHOTCRETE (Boral) (NSW), (Wollongong) SHOTCRETE 40MPa 10MM</t>
  </si>
  <si>
    <t>Concrete, 20 MPa, in-situ, no reinforcement, Pre-mix Concrete Normal Class GP blend (Boral) (NSW), (Wollongong) Normal Class GP blend 20MPa</t>
  </si>
  <si>
    <t>Concrete, 25 MPa, in-situ, no reinforcement, Pre-mix Concrete Normal Class GP blend (Boral) (TAS), (Hobart) Normal Class GP blend 25MPa</t>
  </si>
  <si>
    <t>Hobart, TAS</t>
  </si>
  <si>
    <t>S-P-02337</t>
  </si>
  <si>
    <t>https://epd-australasia.com/wp-content/uploads/2021/05/BoralConcrete_EPDv1.1_2021_Tasmania_hr.pdf</t>
  </si>
  <si>
    <t>Concrete, 32 MPa, in-situ, no reinforcement, Pre-mix Concrete Normal Class GP blend (Boral) (TAS), (Hobart) Normal Class GP blend 32MPa</t>
  </si>
  <si>
    <t>Concrete, 40 MPa, in-situ, no reinforcement, Pre-mix Concrete Normal Class GP blend (Boral) (TAS), (Hobart) Normal Class GP blend 40MPa</t>
  </si>
  <si>
    <t>Concrete, 50 MPa, in-situ, no reinforcement, Pre-mix Concrete ENVISIA (Boral) (TAS), (Hobart) ENVISIA 50 MPa</t>
  </si>
  <si>
    <t>Concrete, 50 MPa, in-situ, no reinforcement, Pre-mix Concrete Normal Class GP blend (Boral) (TAS), (Hobart) Normal Class GP blend 50MPa</t>
  </si>
  <si>
    <t>Concrete, 25 MPa, in-situ, no reinforcement, Pre-mix Concrete ENVISIA (Boral) (TAS), (Hobart) ENVISIA 25 MPa</t>
  </si>
  <si>
    <t>Concrete, 50 MPa, in-situ, no reinforcement, Pre-mix Concrete HIGH STRENGTH (Boral) (TAS), (Hobart) HIGH STRENGTH 50 MPa</t>
  </si>
  <si>
    <t>Concrete, 65 MPa, in-situ, no reinforcement, Pre-mix Concrete HIGH STRENGTH (Boral) (TAS), (Hobart) HIGH STRENGTH 65 MPa</t>
  </si>
  <si>
    <t>Concrete, 32 MPa, in-situ, no reinforcement, Pre-mix Concrete ENVISIA (Boral) (TAS), (Hobart) ENVISIA 32 MPa</t>
  </si>
  <si>
    <t>Concrete, 40 MPa, in-situ, no reinforcement, Pre-mix Concrete ENVISIA (Boral) (TAS), (Hobart) ENVISIA 40 MPa</t>
  </si>
  <si>
    <t>Concrete, ? MPa, in-situ, no reinforcement, Pre-mix Concrete VICROADS VR400 (Boral) (TAS), (Hobart) VICROADS VR400 40 MPa 20MM PUMP B1 EXPOSURE</t>
  </si>
  <si>
    <t>Concrete, 50 MPa, in-situ, no reinforcement, Pre-mix Concrete (Boral) (TAS), (Hobart) VICROADS VR450 50 MPa 20MM TREMIE B2 / CFA C1 EXPOSURE</t>
  </si>
  <si>
    <t>Concrete, 20 MPa, in-situ, no reinforcement, Pre-mix Concrete Normal Class GP blend (Boral) (TAS), (Hobart) Normal Class GP blend 20MPa</t>
  </si>
  <si>
    <t>Concrete, 25 MPa, in-situ, no reinforcement, Pre-mix Concrete Normal Class GP blend (Boral) (TAS), (Launceston) Normal Class GP blend 25MPa</t>
  </si>
  <si>
    <t>Launceston, TAS</t>
  </si>
  <si>
    <t>Concrete, 32 MPa, in-situ, no reinforcement, Pre-mix Concrete Normal Class GP blend (Boral) (TAS), (Launceston) Normal Class GP blend 32MPa</t>
  </si>
  <si>
    <t>Concrete, 25 MPa, in-situ, no reinforcement, Pre-mix Concrete ENVISIA (Boral) (TAS), (Launceston) ENVISIA 25 MPa</t>
  </si>
  <si>
    <t>Concrete, 40 MPa, in-situ, no reinforcement, Pre-mix Concrete Normal Class GP blend (Boral) (TAS), (Launceston) Normal Class GP blend 40MPa</t>
  </si>
  <si>
    <t>Concrete, 50 MPa, in-situ, no reinforcement, Pre-mix Concrete Normal Class GP blend (Boral) (TAS), (Launceston) Normal Class GP blend 50MPa</t>
  </si>
  <si>
    <t>Concrete, 32 MPa, in-situ, no reinforcement, Pre-mix Concrete ENVISIA (Boral) (TAS), (Launceston) ENVISIA 32 MPa</t>
  </si>
  <si>
    <t>Concrete, 50 MPa, in-situ, no reinforcement, Pre-mix Concrete ENVISIA (Boral) (TAS), (Launceston) ENVISIA 50 MPa</t>
  </si>
  <si>
    <t>Concrete, 40 MPa, in-situ, no reinforcement, Pre-mix Concrete ENVISIA (Boral) (TAS), (Launceston) ENVISIA 40 MPa</t>
  </si>
  <si>
    <t>Concrete, 50 MPa, in-situ, no reinforcement, Pre-mix Concrete HIGH STRENGTH (Boral) (TAS), (Launceston) HIGH STRENGTH 50 MPa</t>
  </si>
  <si>
    <t>Concrete, 65 MPa, in-situ, no reinforcement, Pre-mix Concrete HIGH STRENGTH (Boral) (TAS), (Launceston) HIGH STRENGTH 65 MPa</t>
  </si>
  <si>
    <t>Concrete, ? MPa, in-situ, no reinforcement, Pre-mix Concrete VICROADS VR400 (Boral) (TAS), (Launceston) VICROADS VR400 40 MPa 20MM PUMP B1 EXPOSURE</t>
  </si>
  <si>
    <t>Concrete, 50 MPa, in-situ, no reinforcement, Pre-mix Concrete (Boral) (TAS), (Launceston) VICROADS VR450 50 MPa 20MM TREMIE B2 / CFA C1 EXPOSURE</t>
  </si>
  <si>
    <t>Concrete, 20 MPa, in-situ, no reinforcement, Pre-mix Concrete Normal Class GP blend (Boral) (TAS), (Launceston) Normal Class GP blend 20MPa</t>
  </si>
  <si>
    <t>Concrete, 50 MPa, in-situ, no reinforcement, GP, Normal Class (WA Premix) (WA), (Perth)</t>
  </si>
  <si>
    <t>S-P-05479</t>
  </si>
  <si>
    <t>https://epd-australasia.com/wp-content/uploads/2022/07/SP-05479_WA-Premix-Ready-Mix-Concrete-EPD-v1.0.pdf</t>
  </si>
  <si>
    <t>Concrete, 40 MPa, in-situ, no reinforcement, GP, Normal Class (WA Premix) (WA), (Perth)</t>
  </si>
  <si>
    <t>Concrete, 40 MPa, in-situ, no reinforcement, Blend, Normal Class (WA Premix) (WA), (Perth)</t>
  </si>
  <si>
    <t>Concrete, 20 MPa, in-situ, no reinforcement, GP, Normal Class (WA Premix) (WA), (Perth)</t>
  </si>
  <si>
    <t>Concrete, 25 MPa, in-situ, no reinforcement, GP, Normal Class (WA Premix) (WA), (Perth)</t>
  </si>
  <si>
    <t>Concrete, 25 MPa, in-situ, no reinforcement, Blend, Normal Class (WA Premix) (WA), (Perth)</t>
  </si>
  <si>
    <t>Concrete, 32 MPa, in-situ, no reinforcement, GP, Normal Class (WA Premix) (WA), (Perth)</t>
  </si>
  <si>
    <t>Concrete, 32 MPa, in-situ, no reinforcement, Blend, Normal Class (WA Premix) (WA), (Perth)</t>
  </si>
  <si>
    <t>Concrete, 40 MPa, in-situ, no reinforcement, AH6395, Special Class (WA Premix) (WA), (Perth)</t>
  </si>
  <si>
    <t>Concrete, 40 MPa, in-situ, no reinforcement, AH6415, Special Class (WA Premix) (WA), (Perth)</t>
  </si>
  <si>
    <t>Concrete, 40 MPa, in-situ, no reinforcement, AH6416, Special Class (WA Premix) (WA), (Perth)</t>
  </si>
  <si>
    <t>Concrete, 40 MPa, in-situ, no reinforcement, BH6395, Special Class (WA Premix) (WA), (Perth)</t>
  </si>
  <si>
    <t>Concrete, 32 MPa, in-situ, no reinforcement, AQ1339, Special Class (WA Premix) (WA), (Perth)</t>
  </si>
  <si>
    <t>Concrete, 32 MPa, in-situ, no reinforcement, AQ1340, Special Class (WA Premix) (WA), (Perth)</t>
  </si>
  <si>
    <t>Concrete, 32 MPa, in-situ, no reinforcement, AQ2339, Special Class (WA Premix) (WA), (Perth)</t>
  </si>
  <si>
    <t>Concrete, 32 MPa, in-situ, no reinforcement, AQ2340, Special Class (WA Premix) (WA), (Perth)</t>
  </si>
  <si>
    <t>Concrete, 50 MPa, in-situ, no reinforcement, AH1440, Special Class (WA Premix) (WA), (Perth)</t>
  </si>
  <si>
    <t>Concrete, 50 MPa, in-situ, no reinforcement, AH1450, Special Class (WA Premix) (WA), (Perth)</t>
  </si>
  <si>
    <t>Concrete, 50 MPa, in-situ, no reinforcement, BH1450, Special Class (WA Premix) (WA), (Perth)</t>
  </si>
  <si>
    <t>Concrete, 50 MPa, in-situ, no reinforcement, AH6444, Special Class (WA Premix) (WA), (Perth)</t>
  </si>
  <si>
    <t>Concrete, 50 MPa, in-situ, no reinforcement, AH6476, Special Class (WA Premix) (WA), (Perth)</t>
  </si>
  <si>
    <t>Concrete, 40 MPa, in-situ, no reinforcement, CH1420, Special Class (WA Premix) (WA), (Perth)</t>
  </si>
  <si>
    <t>Concrete, 40 MPa, in-situ, no reinforcement, CH6422, Special Class (WA Premix) (WA), (Perth)</t>
  </si>
  <si>
    <t>Concrete, 65 MPa, in-situ, no reinforcement, AH6484, Special Class (WA Premix) (WA), (Perth)</t>
  </si>
  <si>
    <t>Concrete, ? MPa, in-situ, no reinforcement, PB4400, Special Class (WA Premix) (WA), (Perth)</t>
  </si>
  <si>
    <t>Concrete, 50 MPa, in-situ, no reinforcement, AH6445, Special Class (WA Premix) (WA), (Perth)</t>
  </si>
  <si>
    <t>Concrete, 50 MPa, in-situ, no reinforcement, AH6450, Special Class (WA Premix) (WA), (Perth)</t>
  </si>
  <si>
    <t>Concrete, ? MPa, in-situ, no reinforcement, SN1200, Special Class (WA Premix) (WA), (Perth)</t>
  </si>
  <si>
    <t>Concrete, ? MPa, in-situ, no reinforcement, SN6206, Special Class (WA Premix) (WA), (Perth)</t>
  </si>
  <si>
    <t>Concrete, ? MPa, in-situ, no reinforcement, SN6306, Special Class (WA Premix) (WA), (Perth)</t>
  </si>
  <si>
    <t>Concrete, Mortar</t>
  </si>
  <si>
    <t>Concrete, Mortar/Grout cement MPa, in-situ, no reinforcement, EV1113, Special Class (WA Premix) (WA), (Perth)</t>
  </si>
  <si>
    <t>Concrete, Mortar/Grout cement MPa, in-situ, no reinforcement, EV1115, Special Class (WA Premix) (WA), (Perth)</t>
  </si>
  <si>
    <t>Concrete, Mortar/Grout cement MPa, in-situ, no reinforcement, EV6113, Special Class (WA Premix) (WA), (Perth)</t>
  </si>
  <si>
    <t>Concrete, Mortar/Grout cement MPa, in-situ, no reinforcement, EV6115, Special Class (WA Premix) (WA), (Perth)</t>
  </si>
  <si>
    <t>Concrete, Mortar/Grout cement MPa, in-situ, no reinforcement, SS1257, Special Class (WA Premix) (WA), (Perth)</t>
  </si>
  <si>
    <t>Concrete, Mortar/Grout cement MPa, in-situ, no reinforcement, SS1425, Special Class (WA Premix) (WA), (Perth)</t>
  </si>
  <si>
    <t>Concrete, Mortar/Grout cement MPa, in-situ, no reinforcement, SS7257, Special Class (WA Premix) (WA), (Perth)</t>
  </si>
  <si>
    <t>Concrete, Mortar/Grout cement MPa, in-situ, no reinforcement, SS7425, Special Class (WA Premix) (WA), (Perth)</t>
  </si>
  <si>
    <t>Concrete, 65 MPa, in-situ, no reinforcement, AH1465, Special Class (WA Premix) (WA), (Perth)</t>
  </si>
  <si>
    <t>Concrete, 40 MPa, in-situ, no reinforcement, BP6418, Special Class (WA Premix) (WA), (Perth)</t>
  </si>
  <si>
    <t>Concrete, 40 MPa, in-situ, no reinforcement, BP8418, Special Class (WA Premix) (WA), (Perth)</t>
  </si>
  <si>
    <t>Concrete, 50 MPa, in-situ, no reinforcement, BP6450, Special Class (WA Premix) (WA), (Perth)</t>
  </si>
  <si>
    <t>Concrete, 50 MPa, in-situ, no reinforcement, BP8450, Special Class (WA Premix) (WA), (Perth)</t>
  </si>
  <si>
    <t>Concrete, 65 MPa, in-situ, no reinforcement, BP6500, Special Class (WA Premix) (WA), (Perth)</t>
  </si>
  <si>
    <t>Concrete, 65 MPa, in-situ, no reinforcement, BP8500, Special Class (WA Premix) (WA), (Perth)</t>
  </si>
  <si>
    <t>Concrete, 40 MPa, in-situ, no reinforcement, AH1395, Special Class (WA Premix) (WA), (Perth)</t>
  </si>
  <si>
    <t>Concrete, 40 MPa, in-situ, no reinforcement, AH1404, Special Class (WA Premix) (WA), (Perth)</t>
  </si>
  <si>
    <t>Concrete, 40 MPa, in-situ, no reinforcement, BH1395, Special Class (WA Premix) (WA), (Perth)</t>
  </si>
  <si>
    <t>Concrete, 50 MPa, in-situ, no reinforcement, AH1446, Special Class (WA Premix) (WA), (Perth)</t>
  </si>
  <si>
    <t>Concrete, 50 MPa, in-situ, no reinforcement, AH1448, Special Class (WA Premix) (WA), (Perth)</t>
  </si>
  <si>
    <t>Concrete, 50 MPa, in-situ, no reinforcement, AH9450, Special Class (WA Premix) (WA), (Perth)</t>
  </si>
  <si>
    <t>Concrete, 50 MPa, in-situ, no reinforcement, BH1446, Special Class (WA Premix) (WA), (Perth)</t>
  </si>
  <si>
    <t>Concrete, 50 MPa, in-situ, no reinforcement, BH1447, Special Class (WA Premix) (WA), (Perth)</t>
  </si>
  <si>
    <t>Concrete, 50 MPa, in-situ, no reinforcement, BH3500, Special Class (WA Premix) (WA), (Perth)</t>
  </si>
  <si>
    <t>Concrete, 50 MPa, in-situ, no reinforcement, CK9419, Special Class (WA Premix) (WA), (Perth)</t>
  </si>
  <si>
    <t>Concrete, 40 MPa, in-situ, no reinforcement, BKA410, Special Class (WA Premix) (WA), (Perth)</t>
  </si>
  <si>
    <t>Concrete, 40 MPa, in-situ, no reinforcement, CK9439, Special Class (WA Premix) (WA), (Perth)</t>
  </si>
  <si>
    <t>Concrete, Stabilised sand MPa, in-situ, no reinforcement, SS1100, Special Class (WA Premix) (WA), (Perth)</t>
  </si>
  <si>
    <t>Concrete, Stabilised sand MPa, in-situ, no reinforcement, SS1150, Special Class (WA Premix) (WA), (Perth)</t>
  </si>
  <si>
    <t>Concrete, Stabilised sand MPa, in-situ, no reinforcement, SS1250, Special Class (WA Premix) (WA), (Perth)</t>
  </si>
  <si>
    <t>Concrete, Stabilised sand MPa, in-situ, no reinforcement, SS1300, Special Class (WA Premix) (WA), (Perth)</t>
  </si>
  <si>
    <t>Concrete, Stabilised sand MPa, in-situ, no reinforcement, SS2065, Special Class (WA Premix) (WA), (Perth)</t>
  </si>
  <si>
    <t>Concrete, Stabilised sand MPa, in-situ, no reinforcement, SS2110, Special Class (WA Premix) (WA), (Perth)</t>
  </si>
  <si>
    <t>Concrete, Stabilised sand MPa, in-situ, no reinforcement, SS2150, Special Class (WA Premix) (WA), (Perth)</t>
  </si>
  <si>
    <t>Concrete, Stabilised sand MPa, in-situ, no reinforcement, SS2250, Special Class (WA Premix) (WA), (Perth)</t>
  </si>
  <si>
    <t>Concrete, Stabilised sand MPa, in-situ, no reinforcement, SS2300, Special Class (WA Premix) (WA), (Perth)</t>
  </si>
  <si>
    <t>Concrete, 40 MPa, in-situ, no reinforcement, CC1421, Special Class (WA Premix) (WA), (Perth)</t>
  </si>
  <si>
    <t>Concrete, 20 MPa, in-situ, no reinforcement, Ready-Mix Concrete (LC)50 (Concrite) (NSW) (Sydney Region, NSW)</t>
  </si>
  <si>
    <t>Sydney Region, NSW</t>
  </si>
  <si>
    <t>Concrete, 25 MPa, in-situ, no reinforcement, Ready-Mix Concrete (LC)50 (Concrite) (NSW) (Sydney Region, NSW)</t>
  </si>
  <si>
    <t>Concrete, 32 MPa, in-situ, no reinforcement, Ready-Mix Concrete (LC)50 (Concrite) (NSW) (Sydney Region, NSW)</t>
  </si>
  <si>
    <t>Concrete, 40 MPa, in-situ, no reinforcement, Ready-Mix Concrete (LC)50 (Concrite) (NSW) (Sydney Region, NSW)</t>
  </si>
  <si>
    <t>Concrete, 50 MPa, in-situ, no reinforcement, Ready-Mix Concrete (LC)50 (Concrite) (NSW) (Sydney Region, NSW)</t>
  </si>
  <si>
    <t>Concrete, 65 MPa, in-situ, no reinforcement, Ready-Mix Concrete (LC)50 (Concrite) (NSW) (Sydney Region, NSW)</t>
  </si>
  <si>
    <t>Concrete, 80 MPa, in-situ, no reinforcement, Ready-Mix Concrete (LC)50 (Concrite) (NSW) (Sydney Region, NSW)</t>
  </si>
  <si>
    <t>Concrete, 20 MPa, in-situ, no reinforcement, Ready-Mix Concrete (LC)40 (Concrite) (NSW) (Sydney Region, NSW)</t>
  </si>
  <si>
    <t>Concrete, 25 MPa, in-situ, no reinforcement, Ready-Mix Concrete (LC)40 (Concrite) (NSW) (Sydney Region, NSW)</t>
  </si>
  <si>
    <t>Concrete, 32 MPa, in-situ, no reinforcement, Ready-Mix Concrete (LC)40 (Concrite) (NSW) (Sydney Region, NSW)</t>
  </si>
  <si>
    <t>Concrete, 40 MPa, in-situ, no reinforcement, Ready-Mix Concrete (LC)40 (Concrite) (NSW) (Sydney Region, NSW)</t>
  </si>
  <si>
    <t>Concrete, 50 MPa, in-situ, no reinforcement, Ready-Mix Concrete (LC)40 (Concrite) (NSW) (Sydney Region, NSW)</t>
  </si>
  <si>
    <t>Concrete, 20 MPa, in-situ, no reinforcement, Ready-Mix Concrete (LC)30 (Concrite) (NSW) (Sydney Region, NSW)</t>
  </si>
  <si>
    <t>Concrete, 25 MPa, in-situ, no reinforcement, Ready-Mix Concrete (LC)30 (Concrite) (NSW) (Sydney Region, NSW)</t>
  </si>
  <si>
    <t>Concrete, 32 MPa, in-situ, no reinforcement, Ready-Mix Concrete (LC)30 (Concrite) (NSW) (Sydney Region, NSW)</t>
  </si>
  <si>
    <t>Concrete, 40 MPa, in-situ, no reinforcement, Ready-Mix Concrete (LC)30 (Concrite) (NSW) (Sydney Region, NSW)</t>
  </si>
  <si>
    <t>Concrete, 50 MPa, in-situ, no reinforcement, Ready-Mix Concrete (LC)30 (Concrite) (NSW) (Sydney Region, NSW)</t>
  </si>
  <si>
    <t>Concrete, 20 MPa, in-situ, no reinforcement, Ready-Mix Concrete (LCHP) (Concrite) (NSW) (Sydney Region, NSW)</t>
  </si>
  <si>
    <t>Concrete, 25 MPa, in-situ, no reinforcement, Ready-Mix Concrete (LCHP) (Concrite) (NSW) (Sydney Region, NSW)</t>
  </si>
  <si>
    <t>Concrete, 32 MPa, in-situ, no reinforcement, Ready-Mix Concrete (LCHP) (Concrite) (NSW) (Sydney Region, NSW)</t>
  </si>
  <si>
    <t>Concrete, 40 MPa, in-situ, no reinforcement, Ready-Mix Concrete (LCHP) (Concrite) (NSW) (Sydney Region, NSW)</t>
  </si>
  <si>
    <t>Concrete, 50 MPa, in-situ, no reinforcement, Ready-Mix Concrete (LCHP) (Concrite) (NSW) (Sydney Region, NSW)</t>
  </si>
  <si>
    <t>Concrete, ? MPa, (LCHP) (Concrite) (NSW) (Sydney Region, NSW)</t>
  </si>
  <si>
    <t>Concrete, 20 MPa, in-situ, no reinforcement, Ready-Mix Concrete (LCP) (Concrite) (NSW) (Sydney Region, NSW)</t>
  </si>
  <si>
    <t>Concrete, 25 MPa, in-situ, no reinforcement, Ready-Mix Concrete (LCP) (Concrite) (NSW) (Sydney Region, NSW)</t>
  </si>
  <si>
    <t>Concrete, 32 MPa, in-situ, no reinforcement, Ready-Mix Concrete (LCP) (Concrite) (NSW) (Sydney Region, NSW)</t>
  </si>
  <si>
    <t>Concrete, 40 MPa, in-situ, no reinforcement, Ready-Mix Concrete (LCP) (Concrite) (NSW) (Sydney Region, NSW)</t>
  </si>
  <si>
    <t>Concrete, 50 MPa, in-situ, no reinforcement, Ready-Mix Concrete (LCP) (Concrite) (NSW) (Sydney Region, NSW)</t>
  </si>
  <si>
    <t>Concrete, 65 MPa, in-situ, no reinforcement, Ready-Mix Concrete (LCP) (Concrite) (NSW) (Sydney Region, NSW)</t>
  </si>
  <si>
    <t>Concrete, 20 MPa, in-situ, no reinforcement, Ready-Mix Concrete Normal class GP blend (Concrite) (NSW) (Sydney Region, NSW)</t>
  </si>
  <si>
    <t>Concrete, 25 MPa, in-situ, no reinforcement, Ready-Mix Concrete Normal class GP blend (Concrite) (NSW) (Sydney Region, NSW)</t>
  </si>
  <si>
    <t>Concrete, 32 MPa, in-situ, no reinforcement, Ready-Mix Concrete Normal class GP blend (Concrite) (NSW) (Sydney Region, NSW)</t>
  </si>
  <si>
    <t>Concrete, 40 MPa, in-situ, no reinforcement, Ready-Mix Concrete Normal class GP blend (Concrite) (NSW) (Sydney Region, NSW)</t>
  </si>
  <si>
    <t>Concrete, 50 MPa, in-situ, no reinforcement, Ready-Mix Concrete Normal class GP blend (Concrite) (NSW) (Sydney Region, NSW)</t>
  </si>
  <si>
    <t>Concrete, ? MPa, BURNISHED MIX WITHOUT STEEL FIBRES (Concrite) (NSW) (Sydney Region, NSW)</t>
  </si>
  <si>
    <t>Concrete, 50 MPa, in-situ, no reinforcement, Ready-Mix Concrete HIGH SLUMP (Concrite) (NSW) (Sydney Region, NSW)</t>
  </si>
  <si>
    <t>Concrete, 65 MPa, in-situ, no reinforcement, Ready-Mix Concrete HIGH STRENGTH (Concrite) (NSW) (Sydney Region, NSW)</t>
  </si>
  <si>
    <t>Concrete, 80 MPa, in-situ, no reinforcement, Ready-Mix Concrete HIGH STRENGTH (Concrite) (NSW) (Sydney Region, NSW)</t>
  </si>
  <si>
    <t>Concrete, 25 MPa, in-situ, no reinforcement, Ready-Mix Concrete KERB MACHINE (Concrite) (NSW) (Sydney Region, NSW)</t>
  </si>
  <si>
    <t>Concrete, 32 MPa, in-situ, no reinforcement, Ready-Mix Concrete KERB MACHINE (Concrite) (NSW) (Sydney Region, NSW)</t>
  </si>
  <si>
    <t>Concrete, 40 MPa, in-situ, no reinforcement, Ready-Mix Concrete POST TENSIONED (Concrite) (NSW) (Sydney Region, NSW)</t>
  </si>
  <si>
    <t>Concrete, 40 MPa, in-situ, no reinforcement, Ready-Mix Concrete TREMIE 40MPa (Concrite) (NSW) (Sydney Region, NSW)</t>
  </si>
  <si>
    <t>Concrete, 50 MPa, in-situ, no reinforcement, Ready-Mix Concrete TREMIE 50MPa (Concrite) (NSW) (Sydney Region, NSW)</t>
  </si>
  <si>
    <t>Concrete, 40 MPa, in-situ, no reinforcement, Ready-Mix Concrete TfNSW B80 20MM PUMP B1 EXPOSURE (Concrite) (NSW) (Sydney Region, NSW)</t>
  </si>
  <si>
    <t>Concrete, 40 MPa, in-situ, no reinforcement, Ready-Mix Concrete TfNSW B80 20MM PUMP B2 EXPOSURE (Concrite) (NSW) (Sydney Region, NSW)</t>
  </si>
  <si>
    <t>Concrete, 50 MPa, in-situ, no reinforcement, Ready-Mix Concrete TfNSW B80 10MM PUMP B2 EXPOSURE (Concrite) (NSW) (Sydney Region, NSW)</t>
  </si>
  <si>
    <t>Concrete, 50 MPa, in-situ, no reinforcement, Ready-Mix Concrete TfNSW B80 20MM PUMP B1 EXPOSURE (Concrite) (NSW) (Sydney Region, NSW)</t>
  </si>
  <si>
    <t>Concrete, 50 MPa, in-situ, no reinforcement, Ready-Mix Concrete TfNSW B80 20MM PUMP B2 EXPOSURE (Concrite) (NSW) (Sydney Region, NSW)</t>
  </si>
  <si>
    <t>Concrete, Sta MPa, NO FINES 6:1 (Concrite) (NSW) (Sydney Region, NSW)</t>
  </si>
  <si>
    <t>Concrete, 20 MPa, in-situ, no reinforcement, Ready-Mix Concrete SLAG AGG CONCRETE MIX, (LC)50 (Concrite) (NSW) (Sydney Region, NSW)</t>
  </si>
  <si>
    <t>Concrete, 25 MPa, in-situ, no reinforcement, Ready-Mix Concrete SLAG AGG CONCRETE MIX, (LC)50 (Concrite) (NSW) (Sydney Region, NSW)</t>
  </si>
  <si>
    <t>Concrete, 32 MPa, in-situ, no reinforcement, Ready-Mix Concrete SLAG AGG CONCRETE MIX, (LC)50 (Concrite) (NSW) (Sydney Region, NSW)</t>
  </si>
  <si>
    <t>Concrete, 40 MPa, in-situ, no reinforcement, Ready-Mix Concrete SLAG AGG CONCRETE MIX, (LC)50 (Concrite) (NSW) (Sydney Region, NSW)</t>
  </si>
  <si>
    <t>Concrete, 50 MPa, in-situ, no reinforcement, Ready-Mix Concrete SLAG AGG CONCRETE MIX, (LC)50 (Concrite) (NSW) (Sydney Region, NSW)</t>
  </si>
  <si>
    <t>Concrete, 20 MPa, in-situ, no reinforcement, Ready-Mix Concrete SLAG AGG CONCRETE MIX, (LC)40 (Concrite) (NSW) (Sydney Region, NSW)</t>
  </si>
  <si>
    <t>Concrete, 25 MPa, in-situ, no reinforcement, Ready-Mix Concrete SLAG AGG CONCRETE MIX, (LC)40 (Concrite) (NSW) (Sydney Region, NSW)</t>
  </si>
  <si>
    <t>Concrete, 32 MPa, in-situ, no reinforcement, Ready-Mix Concrete SLAG AGG CONCRETE MIX, (LC)40 (Concrite) (NSW) (Sydney Region, NSW)</t>
  </si>
  <si>
    <t>Concrete, 40 MPa, in-situ, no reinforcement, Ready-Mix Concrete SLAG AGG CONCRETE MIX, (LC)40 (Concrite) (NSW) (Sydney Region, NSW)</t>
  </si>
  <si>
    <t>Concrete, 50 MPa, in-situ, no reinforcement, Ready-Mix Concrete SLAG AGG CONCRETE MIX, (LC)40 (Concrite) (NSW) (Sydney Region, NSW)</t>
  </si>
  <si>
    <t>Concrete, 20 MPa, in-situ, no reinforcement, Ready-Mix Concrete SLAG AGG CONCRETE MIX, (LC)30 (Concrite) (NSW) (Sydney Region, NSW)</t>
  </si>
  <si>
    <t>Concrete, 25 MPa, in-situ, no reinforcement, Ready-Mix Concrete SLAG AGG CONCRETE MIX, (LC)30 (Concrite) (NSW) (Sydney Region, NSW)</t>
  </si>
  <si>
    <t>Concrete, 32 MPa, in-situ, no reinforcement, Ready-Mix Concrete SLAG AGG CONCRETE MIX, (LC)30 (Concrite) (NSW) (Sydney Region, NSW)</t>
  </si>
  <si>
    <t>Concrete, 40 MPa, in-situ, no reinforcement, Ready-Mix Concrete SLAG AGG CONCRETE MIX, (LC)30 (Concrite) (NSW) (Sydney Region, NSW)</t>
  </si>
  <si>
    <t>Concrete, 50 MPa, in-situ, no reinforcement, Ready-Mix Concrete SLAG AGG CONCRETE MIX, (LC)30 (Concrite) (NSW) (Sydney Region, NSW)</t>
  </si>
  <si>
    <t>Concrete, 20 MPa, in-situ, no reinforcement, Ready-Mix Concrete (LC)30 20MPa (Concrite) (NSW) (Southern Highlands, NSW)</t>
  </si>
  <si>
    <t>Southern Highlands, NSW</t>
  </si>
  <si>
    <t>Concrete, 25 MPa, in-situ, no reinforcement, Ready-Mix Concrete (LC)30 25MPa (Concrite) (NSW) (Southern Highlands, NSW)</t>
  </si>
  <si>
    <t>Concrete, 32 MPa, in-situ, no reinforcement, Ready-Mix Concrete (LC)30 32MPa (Concrite) (NSW) (Southern Highlands, NSW)</t>
  </si>
  <si>
    <t>Concrete, 40 MPa, in-situ, no reinforcement, Ready-Mix Concrete (LC)30 40MPa (Concrite) (NSW) (Southern Highlands, NSW)</t>
  </si>
  <si>
    <t>Concrete, 50 MPa, in-situ, no reinforcement, Ready-Mix Concrete (LC)30 50MPa (Concrite) (NSW) (Southern Highlands, NSW)</t>
  </si>
  <si>
    <t>Concrete, 20 MPa, in-situ, no reinforcement, Ready-Mix Concrete NORMAL CLASS GP BLEND (Concrite) (NSW) (Southern Highlands, NSW)</t>
  </si>
  <si>
    <t>Concrete, 25 MPa, in-situ, no reinforcement, Ready-Mix Concrete NORMAL CLASS GP BLEND (Concrite) (NSW) (Southern Highlands, NSW)</t>
  </si>
  <si>
    <t>Concrete, 32 MPa, in-situ, no reinforcement, Ready-Mix Concrete NORMAL CLASS GP BLEND (Concrite) (NSW) (Southern Highlands, NSW)</t>
  </si>
  <si>
    <t>Concrete, 40 MPa, in-situ, no reinforcement, Ready-Mix Concrete NORMAL CLASS GP BLEND (Concrite) (NSW) (Southern Highlands, NSW)</t>
  </si>
  <si>
    <t>Concrete, 50 MPa, in-situ, no reinforcement, Ready-Mix Concrete NORMAL CLASS GP BLEND (Concrite) (NSW) (Southern Highlands, NSW)</t>
  </si>
  <si>
    <t>Concrete, ? MPa, NO FINES 6:1 (Concrite) (NSW) (Southern Highlands, NSW)</t>
  </si>
  <si>
    <t>Concrete, 40 MPa, in-situ, no reinforcement, Ready-Mix Concrete POST TENSIONED 40MPa 22@4 (Concrite) (NSW) (Southern Highlands, NSW)</t>
  </si>
  <si>
    <t>Concrete, ? MPa, BURNISHED MIX WITHOUT FIBRES (Concrite) (NSW) (Southern Highlands, NSW)</t>
  </si>
  <si>
    <t>Concrete, 50 MPa, in-situ, no reinforcement, Ready-Mix Concrete HIGH SLUMP (Concrite) (NSW) (Southern Highlands, NSW)</t>
  </si>
  <si>
    <t>Concrete, 25 MPa, in-situ, no reinforcement, Ready-Mix Concrete KERB MACHINE 10MM (Concrite) (NSW) (Southern Highlands, NSW)</t>
  </si>
  <si>
    <t>Concrete, 32 MPa, in-situ, no reinforcement, Ready-Mix Concrete KERB MACHINE 10MM (Concrite) (NSW) (Southern Highlands, NSW)</t>
  </si>
  <si>
    <t>Concrete, 20 MPa, in-situ, no reinforcement, Ready-Mix Concrete LC30 20MPa (Concrite) (ACT) (Canberra, ACT)</t>
  </si>
  <si>
    <t>Concrete, 25 MPa, in-situ, no reinforcement, Ready-Mix Concrete LC30 25MPa (Concrite) (ACT) (Canberra, ACT)</t>
  </si>
  <si>
    <t>Concrete, 32 MPa, in-situ, no reinforcement, Ready-Mix Concrete LC30 32MPa (Concrite) (ACT) (Canberra, ACT)</t>
  </si>
  <si>
    <t>Concrete, 40 MPa, in-situ, no reinforcement, Ready-Mix Concrete LC30 40MPa (Concrite) (ACT) (Canberra, ACT)</t>
  </si>
  <si>
    <t>Concrete, 50 MPa, in-situ, no reinforcement, Ready-Mix Concrete LC30 50MPa (Concrite) (ACT) (Canberra, ACT)</t>
  </si>
  <si>
    <t>Concrete, 20 MPa, in-situ, no reinforcement, Ready-Mix Concrete NORMAL CLASS GP BLEND (Concrite) (ACT) (Canberra, ACT)</t>
  </si>
  <si>
    <t>Concrete, 25 MPa, in-situ, no reinforcement, Ready-Mix Concrete NORMAL CLASS GP BLEND (Concrite) (ACT) (Canberra, ACT)</t>
  </si>
  <si>
    <t>Concrete, 32 MPa, in-situ, no reinforcement, Ready-Mix Concrete NORMAL CLASS GP BLEND (Concrite) (ACT) (Canberra, ACT)</t>
  </si>
  <si>
    <t>Concrete, 40 MPa, in-situ, no reinforcement, Ready-Mix Concrete NORMAL CLASS GP BLEND (Concrite) (ACT) (Canberra, ACT)</t>
  </si>
  <si>
    <t>Concrete, ? MPa, NO FINES 6:1 (Concrite) (ACT) (Canberra, ACT)</t>
  </si>
  <si>
    <t>Concrete, 40 MPa, in-situ, no reinforcement, Ready-Mix Concrete POST TENSIONED 40MPa 22@5 (Concrite) (ACT) (Canberra, ACT)</t>
  </si>
  <si>
    <t>Concrete, 40 MPa, in-situ, no reinforcement, Ready-Mix Concrete SHOTCRETE 40MPa 10MM (Concrite) (ACT) (Canberra, ACT)</t>
  </si>
  <si>
    <t>Concrete, 40 MPa, in-situ, no reinforcement, Ready-Mix Concrete TFNSW B80 20MM PUMP B1 EXPOSURE (Concrite) (ACT) (Canberra, ACT)</t>
  </si>
  <si>
    <t>Concrete, 40 MPa, in-situ, no reinforcement, Ready-Mix Concrete TFNSW B80 20MM TREMIE B2 EXPOSURE (Concrite) (ACT) (Canberra, ACT)</t>
  </si>
  <si>
    <t>Concrete, 25 MPa, in-situ, no reinforcement, Ready-Mix Concrete KERB MACHINE 10MM (Concrite) (ACT) (Canberra, ACT)</t>
  </si>
  <si>
    <t>Concrete, 32 MPa, in-situ, no reinforcement, Ready-Mix Concrete KERB MACHINE 10MM (Concrite) (ACT) (Canberra, ACT)</t>
  </si>
  <si>
    <t>Concrete, 25 MPa, in-situ, no reinforcement, (Futurecrete®  Ultra S25MPA PILE/ TREMIE 10MM SP) (Adbri) (NSW)</t>
  </si>
  <si>
    <t>Concrete, 50 MPa, in-situ, no reinforcement, (Futurecrete® Ultra S50MPA DINCEL 10MM) (Adbri) (NSW)</t>
  </si>
  <si>
    <t>Concrete, 50 MPa, in-situ, no reinforcement, (Futurecrete®  Ultra S50MPA PILE/ TREMIE 10MM SP) (Adbri) (NSW)</t>
  </si>
  <si>
    <t>Concrete, 50 MPa, in-situ, no reinforcement, (Futurecrete® Ultra S50MPA 10MM RITEK) (Adbri) (NSW)</t>
  </si>
  <si>
    <t>Concrete, ? MPa, in-situ, no reinforcement, (Futurecrete®  Ultra Low Heat S50 20MM) (Adbri) (NSW)</t>
  </si>
  <si>
    <t>Concrete, 50 MPa, in-situ, no reinforcement, (Futurecrete® Ultra S50MPA 10MM AFS WALL SYSTEM) (Adbri) (NSW)</t>
  </si>
  <si>
    <t>Concrete, 15 MPa, in-situ, no reinforcement, (Futurecrete®
Ultra S15MPA
BLOCKFILL 10MM
230MM SLUMP) (Adbri) (NSW)</t>
  </si>
  <si>
    <t>Concrete, 40 MPa, in-situ, no reinforcement, (Futurecrete® S40MPA JUMP/ SLIP/COLUMNS 10MM SP) (Adbri) (NSW)</t>
  </si>
  <si>
    <t>Concrete, ? MPa, in-situ, no reinforcement, (Futurecrete®  S40
SCC 10MM) (Adbri) (NSW)</t>
  </si>
  <si>
    <t>Concrete, 50 MPa, in-situ, no reinforcement, (Adbri Concrete
N Class GP/GL:FA
50 MPa) (Adbri) (NSW)</t>
  </si>
  <si>
    <t>Concrete, 25 MPa, in-situ, no reinforcement, (Futurecrete®  Ultra
S25MPA DINCEL
10MM) (Adbri) (NSW)</t>
  </si>
  <si>
    <t>Concrete, 64 MPa</t>
  </si>
  <si>
    <t>Concrete, 64 MPa, in-situ, no reinforcement, (Futurecrete®  Ultra S65MPA PILE/ TREMIE 10MM SP
) (Adbri) (NSW)</t>
  </si>
  <si>
    <t>Concrete, 40 MPa, in-situ, no reinforcement, (Futurecrete®  Ultra
N Class Ternary
40 MPa) (Adbri) (NSW)</t>
  </si>
  <si>
    <t>Concrete, 25 MPa, in-situ, no reinforcement, (Futurecrete®
S25MPA HY-LINE
2INCH 10MM PUMP) (Adbri) (NSW)</t>
  </si>
  <si>
    <t>Concrete, 40 MPa, in-situ, no reinforcement, (Futurecrete®  Ultra S40 10MM RMS B80 B2 HWC) (Adbri) (NSW)</t>
  </si>
  <si>
    <t>Concrete, 40 MPa, in-situ, no reinforcement, (Futurecrete®
Ultra S40MPA
BLOCKFILL 10MM
230MM SLUMP SP) (Adbri) (NSW)</t>
  </si>
  <si>
    <t>Concrete, 32 MPa, in-situ, no reinforcement, (Adbri Concrete
N Class GP/GL:FA
32 MPa) (Adbri) (NSW)</t>
  </si>
  <si>
    <t>Concrete, 40 MPa, in-situ, no reinforcement, (Futurecrete®
Ultra S40MPA
BLOCKFILL 10MM) (Adbri) (NSW)</t>
  </si>
  <si>
    <t>Concrete, 40 MPa, in-situ, no reinforcement, (Futurecrete®  Ultra S40MPA PILE/ TREMIE 10MM SP) (Adbri) (NSW)</t>
  </si>
  <si>
    <t>Concrete, 40 MPa, in-situ, no reinforcement, (Futurecrete®  Ultra S40MPA 10MM RITEK SYSTEM) (Adbri) (NSW)</t>
  </si>
  <si>
    <t>Concrete, 40 MPa, in-situ, no reinforcement, (Futurecrete®
Ultra S40MPA
10MM AFS WALL SYSTEM) (Adbri) (NSW)</t>
  </si>
  <si>
    <t>Concrete, 20 MPa, in-situ, no reinforcement, (Futurecrete®  Ultra N Class GP/ GL:Slag 20 MPa) (Adbri) (NSW)</t>
  </si>
  <si>
    <t>Concrete, 65 MPa, in-situ, no reinforcement, (Futurecrete® S65MPA JUMP/ SLIP/COLUMNS 10MM SP) (Adbri) (NSW)</t>
  </si>
  <si>
    <t>Concrete, 20 MPa, in-situ, no reinforcement, (Futurecrete®  Ultra
S20MPA DINCEL
10MM) (Adbri) (NSW)</t>
  </si>
  <si>
    <t>Concrete, 32 MPa, in-situ, no reinforcement, (Futurecrete®  Ultra
N Class Ternary
32 MPa) (Adbri) (NSW)</t>
  </si>
  <si>
    <t>Concrete, 20 MPa, in-situ, no reinforcement, (Futurecrete®
Ultra S20MPA
BLOCKFILL 10MM
230MM SLUMP) (Adbri) (NSW)</t>
  </si>
  <si>
    <t>Concrete, 40 MPa, in-situ, no reinforcement, (Futurecrete®  S Class
GP/GL 40 MPa) (Adbri) (SA)</t>
  </si>
  <si>
    <t>Concrete, 40 MPa, in-situ, no reinforcement, (Adbri N Class
GP/GL 40 MPa) (Adbri) (SA)</t>
  </si>
  <si>
    <t>Concrete, 35 MPa, in-situ, no reinforcement, (Futurecrete® S35MPA S CLASS 20MM R83 HAND PLACE) (Adbri) (NSW)</t>
  </si>
  <si>
    <t>Concrete, 25 MPa, in-situ, no reinforcement, (Futurecrete®  Ultra
N Class Ternary
25 MPa) (Adbri) (NSW)</t>
  </si>
  <si>
    <t>Concrete, 32 MPa, in-situ, no reinforcement, (Futurecrete®  S Class
GP/GL 32 MPa) (Adbri) (SA)</t>
  </si>
  <si>
    <t>Concrete, 32 MPa, in-situ, no reinforcement, (Adbri N Class
GP/GL 32 MPa) (Adbri) (SA)</t>
  </si>
  <si>
    <t>Concrete, 20 MPa, in-situ, no reinforcement, (Adbri N Class
GP/GL 20 MPa) (Adbri) (SA)</t>
  </si>
  <si>
    <t>Concrete, 25 MPa, in-situ, no reinforcement, (Futurecrete®  Ultra N Class GP/ GL:Slag 25 MPa) (Adbri) (NSW)</t>
  </si>
  <si>
    <t>Concrete, 32 MPa, in-situ, no reinforcement, (Futurecrete®  N Class
GP/GL:FA 32 MPa) (Adbri) (SA)</t>
  </si>
  <si>
    <t>Concrete, 32 MPa, in-situ, no reinforcement, (Futurecrete®  N
Class GP/GL:Slag
32 MPa) (Adbri) (SA)</t>
  </si>
  <si>
    <t>Concrete, 32 MPa, in-situ, no reinforcement, (Futurecrete®  S Class
GP/GL:Slag 32 MPa) (Adbri) (SA)</t>
  </si>
  <si>
    <t>Concrete, 25 MPa, in-situ, no reinforcement, (Futurecrete®  N Class
GP/GL:FA 25 MPa) (Adbri) (SA)</t>
  </si>
  <si>
    <t>Concrete, 25 MPa, in-situ, no reinforcement, (Futurecrete®  N
Class GP/GL:Slag
25 MPa) (Adbri) (SA)</t>
  </si>
  <si>
    <t>Concrete, 20 MPa, in-situ, no reinforcement, (Futurecrete®  N
Class GP/GL:FA
20 MPa) (Adbri) (SA)</t>
  </si>
  <si>
    <t>Concrete, 25 MPa, in-situ, no reinforcement, (Futurecrete®
Ultra S25MPA
BLOCKFILL 10MM) (Adbri) (NSW)</t>
  </si>
  <si>
    <t>Concrete, 20 MPa, in-situ, no reinforcement, (Futurecrete®  N
Class GP/GL:Slag
20 MPa) (Adbri) (SA)</t>
  </si>
  <si>
    <t>Concrete, 15 MPa, in-situ, no reinforcement, (Futurecrete®
Ultra S15MPA
BLOCKFILL 10MM) (Adbri) (NSW)</t>
  </si>
  <si>
    <t>Concrete, 25 MPa, in-situ, no reinforcement, (Futurecrete®
Ultra S25MPA
BLOCKFILL 10MM
230MM SLUMP) (Adbri) (NSW)</t>
  </si>
  <si>
    <t>Concrete, 25 MPa, in-situ, no reinforcement, (Futurecrete®  Ultra S25MPA 10MM RITEK SYSTEM) (Adbri) (NSW)</t>
  </si>
  <si>
    <t>Concrete, 20 MPa, in-situ, no reinforcement, (Futurecrete®
Ultra S20MPA
BLOCKFILL 10MM) (Adbri) (NSW)</t>
  </si>
  <si>
    <t>Concrete, 7 MPa,</t>
  </si>
  <si>
    <t>Concrete, 7 MPa, in-situ, no reinforcement, (Futurecrete®  Ultra S7MPA LEAN HAND PLACED 20MM) (Adbri) (NSW)</t>
  </si>
  <si>
    <t>Concrete, 50 MPa, in-situ, no reinforcement, (TR5014E1)(LH) (BCG) (WA), (Perth)</t>
  </si>
  <si>
    <t>Concrete, 50 MPa, in-situ, no reinforcement, (R5020A)(GP) (BCG) (WA), (Perth)</t>
  </si>
  <si>
    <t>Concrete, 25 MPa, in-situ, no reinforcement, (R2520B)(GB) (BCG) (WA), (Perth)</t>
  </si>
  <si>
    <t>Concrete, 40 MPa, in-situ, no reinforcement, (R4020B)(GB) (BCG) (WA), (Perth)</t>
  </si>
  <si>
    <t>Concrete, 40 MPa, in-situ, no reinforcement, (Futurecrete®  Special
GP/GL:Slag 40 MPa
4D 85/60) (Adbri) (SA)</t>
  </si>
  <si>
    <t>Concrete, 32 MPa, in-situ, no reinforcement, (CS3220BGS)(B) (BCG) (WA), (Perth)</t>
  </si>
  <si>
    <t>Concrete, 32 MPa, in-situ, no reinforcement, (CS3220ASC)(GP) (BCG) (WA), (Perth)</t>
  </si>
  <si>
    <t>Concrete, 32 MPa, in-situ, no reinforcement, (R3220A)(GP) (BCG) (WA), (Perth)</t>
  </si>
  <si>
    <t>Concrete, 40 MPa, in-situ, no reinforcement, (QE407LSPR) (Ecopact) (Holcim) (QLD), Gold Coast</t>
  </si>
  <si>
    <t>Concrete, 40 MPa, in-situ, no reinforcement, (R4020A)(GP) (BCG) (WA), (Perth)</t>
  </si>
  <si>
    <t>Concrete, 50 MPa, in-situ, no reinforcement, (Adbri Concrete N Class GP:GL 50 MPa
- Winnellie) (Adbri) (NT)</t>
  </si>
  <si>
    <t>Concrete, 40 MPa, in-situ, no reinforcement, (WE404EQ01)(Ecopact) (Holcim) (WA), (Perth Metro)</t>
  </si>
  <si>
    <t>Concrete, 50 MPa, in-situ, no reinforcement, (WE504EQ01)(Ecopact) (Holcim) (WA), (Perth Metro)</t>
  </si>
  <si>
    <t>Concrete, 32 MPa, in-situ, no reinforcement, (QE327LSPR) (Ecopact) (Holcim) (QLD) (Brisbane)</t>
  </si>
  <si>
    <t>Concrete, 32 MPa, in-situ, no reinforcement, (QE327LSPR) (Ecopact) (Holcim) (QLD), Gold Coast</t>
  </si>
  <si>
    <t>Concrete, 40 MPa, in-situ, no reinforcement, (TR4010E1)(LH) (BCG) (WA), (Perth)</t>
  </si>
  <si>
    <t>Concrete, 50 MPa, in-situ, no reinforcement, (SE501EHES) (Ecopact) (Holcim) (SA) (Adelaide)</t>
  </si>
  <si>
    <t>Concrete, 50 MPa, in-situ, no reinforcement, (SE501EPSW) (Ecopact) (Holcim) (SA) (Adelaide)</t>
  </si>
  <si>
    <t>Concrete, 32 MPa, in-situ, no reinforcement, (LH3220E)(LH) (BCG) (WA), (Perth)</t>
  </si>
  <si>
    <t>Concrete, 50 MPa, in-situ, no reinforcement, (Futurecrete®
N class GP/GL:FA
50 MPa) (Adbri) (QLD)</t>
  </si>
  <si>
    <t>Concrete, 80 MPa, in-situ, no reinforcement, (NE801ELH)(Ecopact) (Holcim) (NSW), (Sydney)</t>
  </si>
  <si>
    <t>Concrete, 80 MPa, in-situ, no reinforcement, (QE801E200) (Ecopact) (Holcim) (QLD), Gold Coast</t>
  </si>
  <si>
    <t>Concrete, 80 MPa, in-situ, no reinforcement, (80MPa 14MM
SUPER WORKABLE CONCRETE) (Adbri) (VIC)</t>
  </si>
  <si>
    <t>Concrete, 20 MPa, in-situ, no reinforcement, (R2020A)(GP) (BCG) (WA), (Perth)</t>
  </si>
  <si>
    <t>Concrete, 40 MPa, in-situ, no reinforcement, (Adbri Concrete N Class GP:GL 40 MPa- Winnellie) (Adbri) (NT)</t>
  </si>
  <si>
    <t>Concrete, 50 MPa, in-situ, no reinforcement, (CS5020BGS)(B) (BCG) (WA), (Perth)</t>
  </si>
  <si>
    <t>Concrete, 40 MPa, in-situ, no reinforcement, (VE402EF2) (Ecopact) (Holcim) (VIC)</t>
  </si>
  <si>
    <t>Concrete, 50 MPa, in-situ, no reinforcement, (VE502E56) (Ecopact) (Holcim) (VIC)</t>
  </si>
  <si>
    <t>Concrete, 40 MPa, in-situ, no reinforcement, (QE402EBF1) (Ecopact) (Holcim) (QLD) (Brisbane)</t>
  </si>
  <si>
    <t>Concrete, 50 MPa, in-situ, no reinforcement, (SE501EWC) (Ecopact) (Holcim) (SA) (Adelaide)</t>
  </si>
  <si>
    <t>Concrete, 32 MPa, in-situ, no reinforcement, (VE322EF26) (Ecopact) (Holcim) (VIC)</t>
  </si>
  <si>
    <t>Concrete, 50 MPa, in-situ, no reinforcement, (SE501E2) (Ecopact) (Holcim) (SA) (Adelaide)</t>
  </si>
  <si>
    <t>Concrete, 40 MPa, in-situ, no reinforcement, (SE401EAV6) (Ecopact) (Holcim) (SA) (Adelaide)</t>
  </si>
  <si>
    <t>Concrete, 65 MPa, in-situ, no reinforcement, (QE651EDUF) (Ecopact) (Holcim) (QLD), Gold Coast</t>
  </si>
  <si>
    <t>Concrete, 50 MPa, in-situ, no reinforcement, (SE502E5) (Ecopact) (Holcim) (SA) (Adelaide)</t>
  </si>
  <si>
    <t>Concrete, 50 MPa, in-situ, no reinforcement, (SE502E) (Ecopact) (Holcim) (SA) (Adelaide)</t>
  </si>
  <si>
    <t>Concrete, 40 MPa, in-situ, no reinforcement, (CS4020A9)(GP) (BCG) (WA), (Perth)</t>
  </si>
  <si>
    <t>Concrete, 40 MPa, in-situ, no reinforcement, (VE401EAP) (Ecopact) (Holcim) (VIC)</t>
  </si>
  <si>
    <t>Concrete, 40 MPa, in-situ, no reinforcement, (40MPa 7MM BLOCKMIX) (Adbri) (QLD)</t>
  </si>
  <si>
    <t>Concrete, 25 MPa, in-situ, no reinforcement, (VE252EF26) (Ecopact) (Holcim) (VIC)</t>
  </si>
  <si>
    <t>Concrete, 50 MPa, in-situ, no reinforcement, (QE501EL21) (Ecopact) (Holcim) (QLD) (Brisbane)</t>
  </si>
  <si>
    <t>Concrete, 50 MPa, in-situ, no reinforcement, (WE504E2)(Ecopact) (Holcim) (WA), (Perth Metro)</t>
  </si>
  <si>
    <t>Concrete, 50 MPa, in-situ, no reinforcement, (WE504E4)(Ecopact) (Holcim) (WA), (Perth Metro)</t>
  </si>
  <si>
    <t>Concrete, 40 MPa, in-situ, no reinforcement, (CS4020BGS)(B) (BCG) (WA), (Perth)</t>
  </si>
  <si>
    <t>Concrete, 40 MPa, in-situ, no reinforcement, (SE401E3) (Ecopact) (Holcim) (SA) (Adelaide)</t>
  </si>
  <si>
    <t>Concrete, 40 MPa, in-situ, no reinforcement, (SE402E3) (Ecopact) (Holcim) (SA) (Adelaide)</t>
  </si>
  <si>
    <t>Concrete, 25 MPa, in-situ, no reinforcement, (CS2520BGS)(B) (BCG) (WA), (Perth)</t>
  </si>
  <si>
    <t>Concrete, 40 MPa, in-situ, no reinforcement, (QE402EBR2) (Ecopact) (Holcim) (QLD) (Brisbane)</t>
  </si>
  <si>
    <t>Concrete, 32 MPa, in-situ, no reinforcement, (32MPa 7MM BLOCKMIX) (Adbri) (QLD)</t>
  </si>
  <si>
    <t>Concrete, 50 MPa, in-situ, no reinforcement, (Futurecrete®  N Class
GP/GL:Slag 50 MPa) (Adbri) (VIC)</t>
  </si>
  <si>
    <t>Concrete, 50 MPa, in-situ, no reinforcement, (QE502E) (Ecopact) (Holcim) (QLD), Gold Coast</t>
  </si>
  <si>
    <t>Concrete, 50 MPa, in-situ, no reinforcement, (QE502EEZY) (Ecopact) (Holcim) (QLD), Gold Coast</t>
  </si>
  <si>
    <t>Concrete, 32 MPa, in-situ, no reinforcement, (SE322FE56) (Ecopact) (Holcim) (SA) (Adelaide)</t>
  </si>
  <si>
    <t>Concrete, 50 MPa, in-situ, no reinforcement, (QE501E) (Ecopact) (Holcim) (QLD), Gold Coast</t>
  </si>
  <si>
    <t>Concrete, 50 MPa, in-situ, no reinforcement, (QE502E) (Ecopact) (Holcim) (QLD) (Brisbane)</t>
  </si>
  <si>
    <t>Concrete, 40 MPa, in-situ, no reinforcement, (QE402EBR1) (Ecopact) (Holcim) (QLD) (Brisbane)</t>
  </si>
  <si>
    <t>Concrete, 40 MPa, in-situ, no reinforcement, (QE402EXT1) (Ecopact) (Holcim) (QLD) (Brisbane)</t>
  </si>
  <si>
    <t>Concrete, 20 MPa, in-situ, no reinforcement, (VE202EF2) (Ecopact) (Holcim) (VIC)</t>
  </si>
  <si>
    <t>Concrete, 32 MPa, in-situ, no reinforcement, (SE322E2) (Ecopact) (Holcim) (SA) (Adelaide)</t>
  </si>
  <si>
    <t>Concrete, 40 MPa, in-situ, no reinforcement, (QE402LPN2) (Ecopact) (Holcim) (QLD) (Brisbane)</t>
  </si>
  <si>
    <t>Concrete, 25 MPa, in-situ, no reinforcement, (VE251E56) (Ecopact) (Holcim) (VIC)</t>
  </si>
  <si>
    <t>Concrete, 50 MPa, in-situ, no reinforcement, (EFM50) (Barro Group) (VIC)</t>
  </si>
  <si>
    <t>Concrete, 40 MPa, in-situ, no reinforcement, (VE402EVR2) (Ecopact) (Holcim) (VIC)</t>
  </si>
  <si>
    <t>Concrete, 25 MPa, in-situ, no reinforcement, (LH2520E)(LH) (BCG) (WA), (Perth)</t>
  </si>
  <si>
    <t>Concrete, 40 MPa, in-situ, no reinforcement, (Futurecrete®  N Class
GP/GL:Slag 40 MPa) (Adbri) (VIC)</t>
  </si>
  <si>
    <t>Concrete, 25 MPa, in-situ, no reinforcement, (SE252E) (Ecopact) (Holcim) (SA) (Adelaide)</t>
  </si>
  <si>
    <t>Concrete, 32 MPa, in-situ, no reinforcement, (QE322LPN2) (Ecopact) (Holcim) (QLD) (Brisbane)</t>
  </si>
  <si>
    <t>Concrete, 10 MPa</t>
  </si>
  <si>
    <t>Concrete, 10 MPa, in-situ, no reinforcement, (Futurecrete®  Special
Class GP 10 MPa
- Winnellie) (Adbri) (NT)</t>
  </si>
  <si>
    <t>Concrete, 32 MPa, in-situ, no reinforcement, (VZ322E5) (Ecopact) (Holcim) (VIC)</t>
  </si>
  <si>
    <t>Concrete, 20 MPa, in-situ, no reinforcement, (20MPa 7MM BLOCKMIX) (Adbri) (QLD)</t>
  </si>
  <si>
    <t>Concrete, 40 MPa, in-situ, no reinforcement, (QE401E100)(Ecopact) (Holcim) (QLD) (Sunshine Coast)</t>
  </si>
  <si>
    <t>Concrete, 20 MPa, in-situ, no reinforcement, (Adbri Concrete N Class GP:GL 20 MPa
- Katherine) (Adbri) (NT)</t>
  </si>
  <si>
    <t>Concrete, 20 MPa, in-situ, no reinforcement, (20MPa 10MM BLOCKMIX) (Adbri) (QLD)</t>
  </si>
  <si>
    <t>Concrete, 32 MPa, in-situ, no reinforcement, (WE324EKC)(Ecopact) (Holcim) (WA), (Perth Metro)</t>
  </si>
  <si>
    <t>Concrete, 25 MPa, in-situ, no reinforcement, (VE252E /
BE252E) (Ecopact) (Holcim) (VIC)</t>
  </si>
  <si>
    <t>Concrete, 20 MPa, in-situ, no reinforcement, (SE202E3) (Ecopact) (Holcim) (SA) (Adelaide)</t>
  </si>
  <si>
    <t>Concrete, 40 MPa, in-situ, no reinforcement, (QE402E)(Ecopact) (Holcim) (QLD) (Sunshine Coast)</t>
  </si>
  <si>
    <t>Concrete, 32 MPa, in-situ, no reinforcement, (QE322L652) (Ecopact) (Holcim) (QLD) (Brisbane)</t>
  </si>
  <si>
    <t>Concrete, 25 MPa, in-situ, no reinforcement, (QE201L)(Ecopact) (Holcim) (QLD) (Sunshine Coast)</t>
  </si>
  <si>
    <t>Concrete, 32 MPa, in-situ, no reinforcement, (WE321EBMX)(Ecopact) (Holcim) (WA), (Perth Metro)</t>
  </si>
  <si>
    <t>Concrete, 32 MPa, in-situ, no reinforcement, (Futurecrete®
Ultra N class GP/ GL:Slag 32 MPa) (Adbri) (QLD)</t>
  </si>
  <si>
    <t>Concrete, 25 MPa, in-situ, no reinforcement, (Futurecrete® N Class
GP:GL:Slag 25 MPa
- Winnellie) (Adbri) (NT)</t>
  </si>
  <si>
    <t>Concrete, 32 MPa, in-situ, no reinforcement, (WE322E2)(Ecopact) (Holcim) (WA), (Perth Metro)</t>
  </si>
  <si>
    <t>Concrete, 32 MPa, in-situ, no reinforcement, (WE322E4)(Ecopact) (Holcim) (WA), (Perth Metro)</t>
  </si>
  <si>
    <t>Concrete, 25 MPa, in-situ, no reinforcement, (QE252L100)(Ecopact) (Holcim) (QLD) (Sunshine Coast)</t>
  </si>
  <si>
    <t>Concrete, 40 MPa, in-situ, no reinforcement,Pronto (EPT4035) (Barro Group) (VIC)</t>
  </si>
  <si>
    <t>Concrete, 20 MPa, in-situ, no reinforcement, (VE202E /
BE202E) (Ecopact) (Holcim) (VIC)</t>
  </si>
  <si>
    <t>Concrete, ? MPa, in-situ, no reinforcement, (SS100A)(GP) (BCG) (WA), (Perth)</t>
  </si>
  <si>
    <t>Concrete, 40 MPa, in-situ, no reinforcement, (Futurecrete®  Ultra
N Class GP/GL:Slag
40 MPa) (Adbri) (VIC)</t>
  </si>
  <si>
    <t>Concrete, 25 MPa, in-situ, no reinforcement, (QE252ESF) (Ecopact) (Holcim) (QLD) (Brisbane)</t>
  </si>
  <si>
    <t>Concrete, 32 MPa, in-situ, no reinforcement, (QE321E100)(Ecopact) (Holcim) (QLD) (Sunshine Coast)</t>
  </si>
  <si>
    <t>Concrete, 20 MPa, in-situ, no reinforcement, (QE203EBMX) (Ecopact) (Holcim) (QLD) (Brisbane)</t>
  </si>
  <si>
    <t>Concrete, 25 MPa, in-situ, no reinforcement, (WE252E31)(Ecopact) (Holcim) (WA), (Perth Metro)</t>
  </si>
  <si>
    <t>Concrete, 40 MPa, in-situ, no reinforcement, (NE401E5)(Ecopact) (Holcim) (NSW), (Sydney)</t>
  </si>
  <si>
    <t>Concrete, 40 MPa, in-situ, no reinforcement,Pronto (EPT4050) (Barro Group) (VIC)</t>
  </si>
  <si>
    <t>Concrete, 25 MPa, in-situ, no reinforcement, (WE254EKC)(Ecopact) (Holcim) (WA), (Perth Metro)</t>
  </si>
  <si>
    <t>Concrete, 25 MPa, in-situ, no reinforcement, (WE252E1)(Ecopact) (Holcim) (WA), (Perth Metro)</t>
  </si>
  <si>
    <t>Concrete, 32 MPa, in-situ, no reinforcement, (QE322E100)(Ecopact) (Holcim) (QLD) (Sunshine Coast)</t>
  </si>
  <si>
    <t>Concrete, 32 MPa, in-situ, no reinforcement, (QE321E) (Ecopact) (Holcim) (QLD), Gold Coast</t>
  </si>
  <si>
    <t>Concrete, 25 MPa, in-situ, no reinforcement, (Futurecrete®  N Class
GP/GL:Slag 25 MPa) (Adbri) (VIC)</t>
  </si>
  <si>
    <t>Concrete, 20 MPa, in-situ, no reinforcement, (Futurecrete®
Ultra N class GP/ GL:Slag 20 MPa) (Adbri) (QLD)</t>
  </si>
  <si>
    <t>Concrete, 25 MPa, in-situ, no reinforcement, (QE251EEZY) (Ecopact) (Holcim) (QLD), Gold Coast</t>
  </si>
  <si>
    <t>Concrete, 20 MPa, in-situ, no reinforcement, (QE202E) (Ecopact) (Holcim) (QLD), Gold Coast</t>
  </si>
  <si>
    <t>Concrete, 20 MPa, in-situ, no reinforcement, (QE201E) (Ecopact) (Holcim) (QLD), Gold Coast</t>
  </si>
  <si>
    <t>Concrete precast</t>
  </si>
  <si>
    <t>Prefabricated concrete</t>
  </si>
  <si>
    <t>Prefabricated concrete, , Prefabricated concrete balcony with connector (AF Prefab) (Sweden)</t>
  </si>
  <si>
    <t>Sweden</t>
  </si>
  <si>
    <t>S-P-08665</t>
  </si>
  <si>
    <t>https://api.environdec.com/api/v1/EPDLibrary/Files/74466ed9-877e-4bbf-ce82-08db351f0eff/Data</t>
  </si>
  <si>
    <t>Prefabricated concrete, , Prefabricated massive concrete slab for building (AF Prefab) (Sweden)</t>
  </si>
  <si>
    <t>S-P-08664</t>
  </si>
  <si>
    <t>https://api.environdec.com/api/v1/EPDLibrary/Files/131903ec-0fe2-4bea-ce80-08db351f0eff/Data</t>
  </si>
  <si>
    <t>Hollowcore</t>
  </si>
  <si>
    <t>Hollow core - precast concrete</t>
  </si>
  <si>
    <t>Hollowcore concrete, , Hollowcore BGC (HC500) Conc Mix 2  (BGC) (Australia)</t>
  </si>
  <si>
    <t>S-P-05492</t>
  </si>
  <si>
    <t>https://api.environdec.com/api/v1/EPDLibrary/Files/c24082d0-e085-41f7-248b-08db259f9365/Data</t>
  </si>
  <si>
    <t>Prefabricated concrete, , Prefabricated massive balcony  - Australia worse-case (Calculated) (Australia)</t>
  </si>
  <si>
    <t>Calculated</t>
  </si>
  <si>
    <t>See Other_conc. tab</t>
  </si>
  <si>
    <t>Prefabricated concrete, , Prefabricated concrete massive concrete slab for buildin - Australia worse case (Calculated) (Australia)</t>
  </si>
  <si>
    <t>Hollowcore concrete, , Hollowcore BGC (HC200W) Conc Mix 2  (BGC) (Australia)</t>
  </si>
  <si>
    <t>Hollowcore concrete, , Hollowcore BGC (HC160) Conc Mix 2  (BGC) (Australia)</t>
  </si>
  <si>
    <t>Hollowcore concrete, , Hollowcore BGC (HC250) Conc Mix 2  (BGC) (Australia)</t>
  </si>
  <si>
    <t>Prefabricated concrete, , Prefabricated massive balcony  - Australia average-case (Calculated) (Australia)</t>
  </si>
  <si>
    <t>Prefabricated concrete, , Prefabricated concrete massive concrete slab for buildin - Australia average case (Calculated) (Australia)</t>
  </si>
  <si>
    <t>Curtain wall</t>
  </si>
  <si>
    <t>Curtain wall, , M60 Curtain wall aluminium (IGU) (Alumil) (Global)</t>
  </si>
  <si>
    <t>S-P-07195</t>
  </si>
  <si>
    <t>https://api.environdec.com/api/v1/EPDLibrary/Files/496974cd-02a3-40ca-15a3-08daab5a6b31/Data</t>
  </si>
  <si>
    <t>Curtain wall, , Strugal S52SGi (66.1/20 Arg/44.1 BE) anodised, high secondary material (Strugal) (Global)</t>
  </si>
  <si>
    <t>S-P-05213</t>
  </si>
  <si>
    <t>https://api.environdec.com/api/v1/EPDLibrary/Files/88903aa8-7d0a-46b3-ab11-08d9c4927501/Data</t>
  </si>
  <si>
    <t>Curtain wall, , Strugal S52CRi (66.1/20Arg/44.1 BE) anodised, high secondary material (Strugal) (Global)</t>
  </si>
  <si>
    <t>Curtain wall, , Strugal S52NT (66.1/12 Arg/44.1 BE) anodised, high secondary material (Strugal) (Global)</t>
  </si>
  <si>
    <t>Curtain wall, , Curtain wall systems, R70ST (Riventi) (Global)</t>
  </si>
  <si>
    <t>S-P-01078</t>
  </si>
  <si>
    <t>https://api.environdec.com/api/v1/EPDLibrary/Files/d4d59c33-d066-4431-2abe-08daf54e6438/Data</t>
  </si>
  <si>
    <t>Curtain wall, , Strugal S52CR (66.1/12 Arg/44.1 BE) anodised, high secondary material (Strugal) (Global)</t>
  </si>
  <si>
    <t>Door</t>
  </si>
  <si>
    <t>Door, Wood</t>
  </si>
  <si>
    <t>Door panel, Wood, Outward balcony door ED (Elitfonster) (Sweden)</t>
  </si>
  <si>
    <t>S-P-05384</t>
  </si>
  <si>
    <t>https://api.environdec.com/api/v1/EPDLibrary/Files/0ce56b1b-ff3e-4e77-2611-08db259f9365/Data</t>
  </si>
  <si>
    <t xml:space="preserve">Door, Glass - aluminium frame  </t>
  </si>
  <si>
    <t>Door panel, Glass - aluminium frame  , ABD - Lyssand 105, outward opening balcony door (Lyssand) (Global)</t>
  </si>
  <si>
    <t>S-P-08017</t>
  </si>
  <si>
    <t>https://api.environdec.com/api/v1/EPDLibrary/Files/a2db30f2-c446-43d3-24e1-08db259f9365/Data</t>
  </si>
  <si>
    <t>Door panel, Glass - aluminium frame  , Aluminium framed single glazed doors (Optima) (UK, Global)</t>
  </si>
  <si>
    <t>UK, Global</t>
  </si>
  <si>
    <t>S-P-05432</t>
  </si>
  <si>
    <t>https://api.environdec.com/api/v1/EPDLibrary/Files/03e7cf25-79b8-4a5d-0eb3-08d9f09b841d/Data</t>
  </si>
  <si>
    <t>Door, Metal</t>
  </si>
  <si>
    <t>Door panel, Metal, Carbon steel door without glazing  Model 1 (Sakumetall) (Estonia)</t>
  </si>
  <si>
    <t>Estonia</t>
  </si>
  <si>
    <t>S-P-04373</t>
  </si>
  <si>
    <t>https://api.environdec.com/api/v1/EPDLibrary/Files/3c5a05e2-11f9-488d-1c18-08da2ccce1bd/Data</t>
  </si>
  <si>
    <t>Door panel, Metal, Carbon steel door without glazing  Model 4 EI60 fire resistant (Sakumetall) (Estonia)</t>
  </si>
  <si>
    <t>Door panel, Metal, Carbon steel door without glazing  Model 7 EI120 fire resistant (Sakumetall) (Estonia)</t>
  </si>
  <si>
    <t>Door panel, Wood, ST11 RW40 RC3 without glass (Dieden ekodoor) (Sweden)</t>
  </si>
  <si>
    <t>S-P-07004</t>
  </si>
  <si>
    <t>https://api.environdec.com/api/v1/EPDLibrary/Files/1fb65f0f-8289-4f64-787e-08da99e2b147/Data</t>
  </si>
  <si>
    <t>Door panel, Wood, ST11 EI30 RW43 without glass (Dieden ekodoor) (Sweden)</t>
  </si>
  <si>
    <t>Door panel, Glass - aluminium frame  , Aluminium doors strugal S72RPC, anodized (Strugal) (Global)</t>
  </si>
  <si>
    <t>S-P-05212</t>
  </si>
  <si>
    <t>https://api.environdec.com/api/v1/EPDLibrary/Files/cc6c9ff9-9df8-4c6d-ab0f-08d9c4927501/Data</t>
  </si>
  <si>
    <t>Door panel, Glass - aluminium frame  , ITESAL 128 ELV aluminim door, coated (ITESAL) (Global)</t>
  </si>
  <si>
    <t>S-P-05709</t>
  </si>
  <si>
    <t>https://api.environdec.com/api/v1/EPDLibrary/Files/b2f94eb5-3deb-4ce3-79f8-08da491c4cdf/Data</t>
  </si>
  <si>
    <t>Door panel, Glass - aluminium frame  , Aluminium doors strugal, S160RP horizon, anodized (Strugal) (Global)</t>
  </si>
  <si>
    <t>Door panel, Wood, Architectural doors - Tubular core door veener (WKS) (Mexico)</t>
  </si>
  <si>
    <t>Mexico</t>
  </si>
  <si>
    <t>S-P-01667</t>
  </si>
  <si>
    <t>api.environdec.com/api/v1/EPDLibrary/Files/0d6ef785-ec1c-406f-bd88-631902056be2/Data</t>
  </si>
  <si>
    <t>Door panel, Wood, Architectural doors - Solid core door veneer (WKS) (Mexico)</t>
  </si>
  <si>
    <t>Door, Mineral core</t>
  </si>
  <si>
    <t>Door panel, Mineral core, Architectural doors - Mineral core door - painted (WKS) (Mexico)</t>
  </si>
  <si>
    <t>Door panel, Wood, Wooden door - wood frame (DALOC) (Sweden)</t>
  </si>
  <si>
    <t>S-P-01392</t>
  </si>
  <si>
    <t>https://api.environdec.com/api/v1/EPDLibrary/Files/df481903-a021-4a5b-9548-ec60342d769b/Data</t>
  </si>
  <si>
    <t>Door panel, Wood, Wooden door - wood frame - glass inc (DALOC) (Sweden)</t>
  </si>
  <si>
    <t>Door panel, Wood, Wooden door - steel frame (DALOC) (Sweden)</t>
  </si>
  <si>
    <t>Door panel, Wood, Wooden door - steel frame - glass inc (DALOC) (Sweden)</t>
  </si>
  <si>
    <t>Door, Steel</t>
  </si>
  <si>
    <t>Door panel, Steel, Steel door - carbon steel (DALOC) (Sweden)</t>
  </si>
  <si>
    <t>S-P-01393</t>
  </si>
  <si>
    <t>https://api.environdec.com/api/v1/EPDLibrary/Files/52635996-871c-4748-8604-52b562e4b2d0/Data</t>
  </si>
  <si>
    <t>Unit</t>
  </si>
  <si>
    <t>Door panel, Steel, Steel door - stainless steel (DALOC) (Sweden)</t>
  </si>
  <si>
    <t>Door panel, Steel, Steel door - carbon steel - glass inc (DALOC) (Sweden)</t>
  </si>
  <si>
    <t>Roller door</t>
  </si>
  <si>
    <t>Roller doors</t>
  </si>
  <si>
    <t>Roller doors, , Sectional door 601 - full vision (Loading Systems) (Europe)</t>
  </si>
  <si>
    <t>S-P-12890</t>
  </si>
  <si>
    <t xml:space="preserve">EPD (International) </t>
  </si>
  <si>
    <t>https://api.environdec.com/api/v1/EPDLibrary/Files/1cdb805e-831a-4b4d-0d92-08dc5e07fd56/Data</t>
  </si>
  <si>
    <t>Roller doors, , Sectional door 601 (Loading Systems) (Europe)</t>
  </si>
  <si>
    <t>S-P-12445</t>
  </si>
  <si>
    <t>https://api.environdec.com/api/v1/EPDLibrary/Files/376c6a1e-9642-43a8-0d82-08dc5e07fd56/Data</t>
  </si>
  <si>
    <t>Door panel, Glass - aluminium frame  , Aluminium doors strugal, S88RP Elevable, anodized (Strugal) (Global)</t>
  </si>
  <si>
    <t>Door panel, Glass - aluminium frame  , IsoPro Db door aluminium framed glass door (RP Products) (UK, Global)</t>
  </si>
  <si>
    <t>S-P-05543</t>
  </si>
  <si>
    <t>https://api.environdec.com/api/v1/EPDLibrary/Files/c86ba157-93ac-439a-1bbc-08da2ccce1bd/Data</t>
  </si>
  <si>
    <t>Door panel, Glass - aluminium frame  , Aluminium doors strugal, S150RP, anodized (Strugal) (Global)</t>
  </si>
  <si>
    <t>, , Door panel - chipboard (Kastamonu) (Turkey)</t>
  </si>
  <si>
    <t>S-P-02227</t>
  </si>
  <si>
    <t>https://api.environdec.com/api/v1/EPDLibrary/Files/7f400915-e66c-4b13-001b-08dab65855de/Data</t>
  </si>
  <si>
    <t>Duct</t>
  </si>
  <si>
    <t>Ducting, , Folded circular ventilation ducts (Hallstroms) (Global)</t>
  </si>
  <si>
    <t>S-P-07750</t>
  </si>
  <si>
    <t>https://api.environdec.com/api/v1/EPDLibrary/Files/0b01a8df-55e9-41e5-69ba-08dadd20f56d/Data</t>
  </si>
  <si>
    <t>m</t>
  </si>
  <si>
    <t>Ducting, , Altech Circular ventilation ducts (Saint-Gobain) (Global)</t>
  </si>
  <si>
    <t>S-P-10900</t>
  </si>
  <si>
    <t>https://api.environdec.com/api/v1/EPDLibrary/Files/cf371b54-15a6-4b1d-1118-08dbca69748b/Data</t>
  </si>
  <si>
    <t>Ducting, , Panel of rigid PU foam and aluminium  (Piral) (Global)</t>
  </si>
  <si>
    <t>S-P-00146</t>
  </si>
  <si>
    <t>https://api.environdec.com/api/v1/EPDLibrary/Files/e4e06a8d-682a-4cdd-bb38-a8a0bfeb902b/Data</t>
  </si>
  <si>
    <t>Ducting, , Climate recovery ducts (Climate recovery) (Global)</t>
  </si>
  <si>
    <t>S-P-02271</t>
  </si>
  <si>
    <t>https://api.environdec.com/api/v1/EPDLibrary/Files/91406196-2e31-4581-b454-08d903bd98d2/Data</t>
  </si>
  <si>
    <t>Ethylene Propylene diene terpolymer</t>
  </si>
  <si>
    <t>EPDM</t>
  </si>
  <si>
    <t>EPDM, , Vi-Pro EPDM Membrane external (Proventuss Polska) (Global)</t>
  </si>
  <si>
    <t>S-P-09066</t>
  </si>
  <si>
    <t>EPDM, , EPDM Membrane (TRC) (Global)</t>
  </si>
  <si>
    <t>S-P-12591</t>
  </si>
  <si>
    <t>https://api.environdec.com/api/v1/EPDLibrary/Files/1f1f1ac4-b306-42c2-520f-08dc2e3a662b/Data</t>
  </si>
  <si>
    <t>EPDM, , EPDM Roofing and waterproofing membranes (Alwitra) (Global)</t>
  </si>
  <si>
    <t>S-P-08369</t>
  </si>
  <si>
    <t>https://api.environdec.com/api/v1/EPDLibrary/Files/35451c5f-3c2c-4e6f-9540-08db0f3b9032/Data</t>
  </si>
  <si>
    <t>Fibre cement</t>
  </si>
  <si>
    <t>Fibre cement flooring</t>
  </si>
  <si>
    <t>Fibre cement board</t>
  </si>
  <si>
    <t>Fibre cement, Flooring, Secura™ Interior Flooring 19mm</t>
  </si>
  <si>
    <t>S-P-02052</t>
  </si>
  <si>
    <t>https://epd-australasia.com/wp-content/uploads/2020/10/SP02052-James-Hardie-EPD-AU-vJul23.pdf</t>
  </si>
  <si>
    <t>Fibre cement, Flooring, Secura™ Interior Flooring 22mm</t>
  </si>
  <si>
    <t>Fibre cement lining</t>
  </si>
  <si>
    <t>Fibre cement, Lining, Secura™ Exterior Flooring 22mm</t>
  </si>
  <si>
    <t>Fibre cement, Flooring, Secura™ Exterior Flooring 19mm</t>
  </si>
  <si>
    <t>Fibre cement cladding</t>
  </si>
  <si>
    <t>Fibre cement, Cladding, Hardie™ Fine Texture Cladding 8.5mm</t>
  </si>
  <si>
    <t>Fibre cement, Cladding, Hardie™ Plank Weatherboards 7.5mm</t>
  </si>
  <si>
    <t>Fibre cement, Flooring, Hardie™ Deck 19mm</t>
  </si>
  <si>
    <t>Fibre cement, Cladding, EasyLap™ Panel 8.5mm</t>
  </si>
  <si>
    <t>Fibre cement, Cladding, PrimeLine™ Weatherboards 9mm</t>
  </si>
  <si>
    <t>Fibre cement, Cladding, ExoTec™ Façade Panel 9mm</t>
  </si>
  <si>
    <t>Fibre cement, Lining, Villaboard™ Lining 9mm</t>
  </si>
  <si>
    <t>Fibre cement, Cladding, Linea™ Weatherboards 16mm</t>
  </si>
  <si>
    <t>Fibre cement, Lining, Versilux™ Lining 6mm</t>
  </si>
  <si>
    <t>Fibre cement, Compressed sheet, Hardie™ Panel Compressed Sheet 24mm</t>
  </si>
  <si>
    <t>Fibre cement, Lining, Versilux™ Lining 9 mm</t>
  </si>
  <si>
    <t>Fibre cement, Compressed sheet, Hardie™ Panel Compressed Sheet 18mm</t>
  </si>
  <si>
    <t>Fibre cement, Compressed sheet, Hardie™ Panel Compressed Sheet 15mm</t>
  </si>
  <si>
    <t>Fibre cement, Lining, Villaboard™ Lining 6mm</t>
  </si>
  <si>
    <t>Fibre cement, Cladding, Axon™ Cladding 9mm</t>
  </si>
  <si>
    <t>Fibre cement, Flooring, Hardie™ Groove Lining 7.5mm</t>
  </si>
  <si>
    <t>Fibre cement, Cladding, Hardie™ Flex Eaves Lining 4.5mm</t>
  </si>
  <si>
    <t>Fibre cement, Cladding, Hardie™ Flex Sheet 6mm</t>
  </si>
  <si>
    <t>Fibre cement, Cladding, Hardie™ Flex Sheet 4.5mm</t>
  </si>
  <si>
    <t>Fibre cement, Cladding, Stria™ Cladding 14mm</t>
  </si>
  <si>
    <t>Fibre cement, Cladding, HardieTM ObliqueTM Cladding 14mm</t>
  </si>
  <si>
    <t>Fibre cement, Flooring, RAB™ Board 6mm</t>
  </si>
  <si>
    <t>Fibre cement, Flooring, Ceramic Tire Underlay 6mm</t>
  </si>
  <si>
    <t>Fibre cement, Cladding, Matrix™ Cladding 8mm</t>
  </si>
  <si>
    <t>Fibre cement, Lining, Versilux™ Lining 4.5mm</t>
  </si>
  <si>
    <t>Fibre cement roofing</t>
  </si>
  <si>
    <t>Fibre cement, , Greencor Roofing sheet thickness 6 mm (Ramco Industries) (India)</t>
  </si>
  <si>
    <t>S-P-01410</t>
  </si>
  <si>
    <t>https://api.environdec.com/api/v1/EPDLibrary/Files/dbc7e7af-6ded-475b-93e6-712456128081/Data</t>
  </si>
  <si>
    <t>Fibre cement, , Hicem Fibre cement board thickness 4 mm (Ramco Industries) (India)</t>
  </si>
  <si>
    <t>Fibre cement, , HiLux Fibre cement Board thickness 6mm (Ramco Industries) (India)</t>
  </si>
  <si>
    <t>Fibre cement, , Natural coloured 8mm (Valcan) (UK)</t>
  </si>
  <si>
    <t>S-P-03995</t>
  </si>
  <si>
    <t>https://api.environdec.com/api/v1/EPDLibrary/Files/353716a9-d2e5-4b2a-8229-08d941d5f1c9/Data</t>
  </si>
  <si>
    <t>Fibre cement, , Natural coloured 10mm (Valcan) (UK)</t>
  </si>
  <si>
    <t>Fibre cement, , Natural coloured 12mm, painted (Valcan) (UK)</t>
  </si>
  <si>
    <t>Finishing</t>
  </si>
  <si>
    <t>MDF</t>
  </si>
  <si>
    <t>MDF  (25 mm, E0 and E1, moisture resistant (MR) melamine coated) [from sustainable forest management practices], FWPA, Australian Industry</t>
  </si>
  <si>
    <t>S-P-00563</t>
  </si>
  <si>
    <t>https://epd-australasia.com/wp-content/uploads/2018/04/EDP-4-MDF-Dec-2020-1.pdf</t>
  </si>
  <si>
    <t>MDF  (18 mm, E0 and E1,  melamine coated) [from sustainable forest management practices], FWPA, Australian Industry</t>
  </si>
  <si>
    <t>MDF  (16 mm, E0 and E1, moisture resistant (MR) melamine coated) [from sustainable forest management practices], FWPA, Australian Industry</t>
  </si>
  <si>
    <t>MDF  (25 mm, E0 and E1, melamine coated) [from sustainable forest management practices], FWPA, Australian Industry</t>
  </si>
  <si>
    <t>MDF (16 mm, E0 and E1,  melamine coated) [from sustainable forest management practices], FWPA, Australian Industry</t>
  </si>
  <si>
    <t>MDF  (18 mm, E0 and E1, moisture resistant (MR) melamine coated) [from sustainable forest management practices], FWPA, Australian Industry</t>
  </si>
  <si>
    <t>Flooring</t>
  </si>
  <si>
    <t>Hybrid floor</t>
  </si>
  <si>
    <t>Hybrid flooring</t>
  </si>
  <si>
    <t>Hybrid floor, , Maxwear (Golvabia) (Sweden)</t>
  </si>
  <si>
    <t>S-P-06406</t>
  </si>
  <si>
    <t>https://api.environdec.com/api/v1/EPDLibrary/Files/ab6050c5-ba34-438c-1bbc-08dc2330a814/Data</t>
  </si>
  <si>
    <t>Vinyl floor</t>
  </si>
  <si>
    <t>Vinyl flooring</t>
  </si>
  <si>
    <t>Vinyl floor, , VINYL FLOORING (LVT, SPC, WPC) (Changzhou Tooyei New Material Co.,ltd) (China)</t>
  </si>
  <si>
    <t>S-P-11629</t>
  </si>
  <si>
    <t>https://api.environdec.com/api/v1/EPDLibrary/Files/4b9164ad-7a7c-408e-cf14-08dc1e81dd8e/Data</t>
  </si>
  <si>
    <t>Vinyl floor, , VINYL FLOORING (LVT, SPC, WPC) (BIYORK MATERIALS CANADA INC) (China and Canada)</t>
  </si>
  <si>
    <t>China and Canada</t>
  </si>
  <si>
    <t>S-P-11977</t>
  </si>
  <si>
    <t>https://api.environdec.com/api/v1/EPDLibrary/Files/47a5e32b-c9ff-49c2-936f-08dc3c72202b/Data</t>
  </si>
  <si>
    <t>Vinyl floor, , VINYL FLOORING (LVT, SPC, WPC) (REPUBLIC FLOOR GMBH) (China and Europe)</t>
  </si>
  <si>
    <t>China and Europe</t>
  </si>
  <si>
    <t>S-P-11665</t>
  </si>
  <si>
    <t>https://api.environdec.com/api/v1/EPDLibrary/Files/6412041e-5925-4a84-544a-08dc2e3a662b/Data</t>
  </si>
  <si>
    <t>Carpet</t>
  </si>
  <si>
    <t>Not used, , Academy carpet sheet (Burmatex) (Global)</t>
  </si>
  <si>
    <t>27/03/2029</t>
  </si>
  <si>
    <t>S-P-12372</t>
  </si>
  <si>
    <t>https://api.environdec.com/api/v1/EPDLibrary/Files/f0e65b5f-fb85-4623-3f14-08dc5384dbad/Data</t>
  </si>
  <si>
    <t>Rubber floor</t>
  </si>
  <si>
    <t>Rubber flooring</t>
  </si>
  <si>
    <t>Rubber floor, , FLEXXER Resilient rubber flooring 2cm thick (NAR Kauçuk ve Zemin Sistemleri SAN. TİC. A.Ş.) (Turkey)</t>
  </si>
  <si>
    <t>S-P-10630</t>
  </si>
  <si>
    <t>https://api.environdec.com/api/v1/EPDLibrary/Files/d0c3f413-dcb4-4e22-2808-08dc176fe0d5/Data</t>
  </si>
  <si>
    <t>Access floor</t>
  </si>
  <si>
    <t>Access flooring</t>
  </si>
  <si>
    <t>Access floor, , Icon Data HPL access floor system (ASP Accees Floors) (Australia)</t>
  </si>
  <si>
    <t>S-P-00863-03</t>
  </si>
  <si>
    <t>https://epd-australasia.com/wp-content/uploads/2018/04/SP00863-ASP-Floors-EPD_Icon_v2Feb24.pdf</t>
  </si>
  <si>
    <t>Icon Air, , Icon Air access floor system (ASP Accees Floors) (Australia)</t>
  </si>
  <si>
    <t>S-P-00863-02</t>
  </si>
  <si>
    <t>Access floor, , Icon X access floor system (ASP Accees Floors) (Australia)</t>
  </si>
  <si>
    <t>S-P-00863-01</t>
  </si>
  <si>
    <t>Plywood</t>
  </si>
  <si>
    <t>Plywood (all)</t>
  </si>
  <si>
    <t>plywood flooring, tongue and groove, A-bond, 25 mm (commercial), FWPA</t>
  </si>
  <si>
    <t>S-P-00564</t>
  </si>
  <si>
    <t>https://epd-australasia.com/epd/plywood/</t>
  </si>
  <si>
    <t>Vinyl floor, , DIOCO REGAL PLUS 70 VINYL FLOOR DIOCO GREENFLOORING VINYL FLOOR (DIOCO GLOBAL TRADING, S.L.) (Global)</t>
  </si>
  <si>
    <t>S-P-09979</t>
  </si>
  <si>
    <t>https://api.environdec.com/api/v1/EPDLibrary/Files/c0f1d978-76db-49ca-9ec0-08db7e35bd3c/Data</t>
  </si>
  <si>
    <t>Carpet flooring</t>
  </si>
  <si>
    <t>Carpet, , Colortec RE:THINK 500g, 1300g/m2 (Dansk Wilton) (Global)</t>
  </si>
  <si>
    <t>26/07/2028</t>
  </si>
  <si>
    <t>S-P-09908</t>
  </si>
  <si>
    <t>https://api.environdec.com/api/v1/EPDLibrary/Files/e1f563b4-f7be-49c1-048d-08db8d1ef4eb/Data</t>
  </si>
  <si>
    <t>Vinyl floor, , VINYL FLOORING (LVT, SPC, WPC) (JIANGSU ZHENGYOUNG FLOORING DECORATION MATERIAL CO., LTD.) (China)</t>
  </si>
  <si>
    <t>27/07/2029</t>
  </si>
  <si>
    <t>S-P-10141</t>
  </si>
  <si>
    <t>https://api.environdec.com/api/v1/EPDLibrary/Files/b42d1076-24b4-4914-e720-08db8f6daa29/Data</t>
  </si>
  <si>
    <t>Carpet tile, , Vibe carpet tiles (Burmatex) (United Kingdom)</t>
  </si>
  <si>
    <t>United Kingdom</t>
  </si>
  <si>
    <t>S-P-08171</t>
  </si>
  <si>
    <t>https://api.environdec.com/api/v1/EPDLibrary/Files/396474c2-a173-4d21-cd14-08db4c1420c4/Data</t>
  </si>
  <si>
    <t>Carpet, , Colortec RE:THINK 500g, 1100g/m2 (Dansk Wilton) (Global)</t>
  </si>
  <si>
    <t>Access floor, , Urban X S2 access floor system - medium (ASP Accees Floors) (Australia)</t>
  </si>
  <si>
    <t>30/07/2014</t>
  </si>
  <si>
    <t>S-P-00996</t>
  </si>
  <si>
    <t>https://epd-australasia.com/wp-content/uploads/2020/04/180017-Urban-EPD-2019-FA3_LR-update-030919.pdf</t>
  </si>
  <si>
    <t>Access floor, , Urban X S2 access floor system - heavy (ASP Accees Floors) (Australia)</t>
  </si>
  <si>
    <t>Access floor, , Urban X S2 access floor system - extra heavy (ASP Accees Floors) (Australia)</t>
  </si>
  <si>
    <t>Access floor, , Urban X S4 access floor system - medium (ASP Accees Floors) (Australia)</t>
  </si>
  <si>
    <t>Access floor, , Urban X S4 access floor system - heavy (ASP Accees Floors) (Australia)</t>
  </si>
  <si>
    <t>Access floor, , Urban X S4 access floor system - extra heavy (ASP Accees Floors) (Australia)</t>
  </si>
  <si>
    <t>Access floor, , Urban X S6 access floor system - medium (ASP Accees Floors) (Australia)</t>
  </si>
  <si>
    <t>Access floor, , Urban X S6 access floor system - heavy (ASP Accees Floors) (Australia)</t>
  </si>
  <si>
    <t>Access floor, , Urban X S6 access floor system - extra heavy (ASP Accees Floors) (Australia)</t>
  </si>
  <si>
    <t>Access floor, , Urban IL S2 access floor system (ASP Accees Floors) (Australia)</t>
  </si>
  <si>
    <t>Access floor, , Urban IL S4 access floor system (ASP Accees Floors) (Australia)</t>
  </si>
  <si>
    <t>Access floor, , Urban IL S6 access floor system - extra heavy (ASP Accees Floors) (Australia)</t>
  </si>
  <si>
    <t>Access floor, , ConCore 800 (Tate Asia-Pacific Pty td) (Australia)</t>
  </si>
  <si>
    <t>S-P-02049</t>
  </si>
  <si>
    <t>https://api.environdec.com/api/v1/EPDLibrary/Files/c4ad93fb-024c-417d-84ca-ad2c5b3ad09d/Data</t>
  </si>
  <si>
    <t>Access floor, , ConCore 1000 (Tate Asia-Pacific Pty td) (Australia)</t>
  </si>
  <si>
    <t>Access floor, , ConCore 1250 (Tate Asia-Pacific Pty td) (Australia)</t>
  </si>
  <si>
    <t>Access floor, , ConCore 1500 (Tate Asia-Pacific Pty td) (Australia)</t>
  </si>
  <si>
    <t>Access floor, , ConCore 2000 (Tate Asia-Pacific Pty td) (Australia)</t>
  </si>
  <si>
    <t>Access floor, , ConCore 2500 (Tate Asia-Pacific Pty td) (Australia)</t>
  </si>
  <si>
    <t>Access floor, , ConCore 3000 (Tate Asia-Pacific Pty td) (Australia)</t>
  </si>
  <si>
    <t>Access floor, , ConCore 1000 with HPL (Tate Asia-Pacific Pty td) (Australia)</t>
  </si>
  <si>
    <t>Access floor, , ConCore 1250 with HPL (Tate Asia-Pacific Pty td) (Australia)</t>
  </si>
  <si>
    <t>Access floor, , ConCore 1500 with HPL (Tate Asia-Pacific Pty td) (Australia)</t>
  </si>
  <si>
    <t>Access floor, , ConCore 2000 with HPL (Tate Asia-Pacific Pty td) (Australia)</t>
  </si>
  <si>
    <t>Access floor, , ConCore 2500 with HPL (Tate Asia-Pacific Pty td) (Australia)</t>
  </si>
  <si>
    <t>Access floor, , ConCore 3000 with HPL (Tate Asia-Pacific Pty td) (Australia)</t>
  </si>
  <si>
    <t>Carpet tile, , Nexus Cushion Modular Carpet Tile -Ultima 19oz face weight (J+J Flooring) (Global)</t>
  </si>
  <si>
    <t>S-P-13032</t>
  </si>
  <si>
    <t>https://api.environdec.com/api/v1/EPDLibrary/Files/e7657f54-3f27-4faa-95de-08dc3c72202b/Data</t>
  </si>
  <si>
    <t>Carpet tile, , Nexus Cushion Modular Carpet Tile - Encore 100 19oz face weight (J+J Flooring) (Global)</t>
  </si>
  <si>
    <t>Carpet tile, , Nexus Cushion Modular Carpet Tile - TerePlex 19oz face weight (J+J Flooring) (Global)</t>
  </si>
  <si>
    <t>Carpet, , Endure Plus Broadloom carpet - Ultima (J+J Flooring) (North America)</t>
  </si>
  <si>
    <t>North America</t>
  </si>
  <si>
    <t>S-P-13036</t>
  </si>
  <si>
    <t>https://api.environdec.com/api/v1/EPDLibrary/Files/e39d6f77-b9d4-4390-95d6-08dc3c72202b/Data</t>
  </si>
  <si>
    <t>Carpet, , Endure Plus Broadloom carpet - Encore (J+J Flooring) (North America)</t>
  </si>
  <si>
    <t>Carpet, , Endure Plus Broadloom carpet - TeraPlex (J+J Flooring) (North America)</t>
  </si>
  <si>
    <t>Carpet tile, , Nexus Cushion Modular Carpet Tile -Ultima (EF Contract) (North America)</t>
  </si>
  <si>
    <t>S-P-13027</t>
  </si>
  <si>
    <t>https://api.environdec.com/api/v1/EPDLibrary/Files/062da6cf-8c60-4946-95d5-08dc3c72202b/Data</t>
  </si>
  <si>
    <t>Carpet tile, , Nexus Cushion Modular Carpet Tile - Encore 100 (EF Contract) (North America)</t>
  </si>
  <si>
    <t>Carpet tile, , Nexus Cushion Modular Carpet Tile - TerePlex (EF Contract) (North America)</t>
  </si>
  <si>
    <t>Carpet, , Endure Plus Broadloom carpet - Ultima (EF Contract) (North America)</t>
  </si>
  <si>
    <t>S-P-13031</t>
  </si>
  <si>
    <t>https://api.environdec.com/api/v1/EPDLibrary/Files/dfb96b51-bf5e-4a02-95d1-08dc3c72202b/Data</t>
  </si>
  <si>
    <t>Carpet, , Endure Plus Broadloom carpet - Encore (EF Contract) (North America)</t>
  </si>
  <si>
    <t>Carpet, , Endure Plus Broadloom carpet - TeraPlex (EF Contract) (North America)</t>
  </si>
  <si>
    <t>plywood flooring, tongue and groove, A-bond, 15 mm (residential), FWPA</t>
  </si>
  <si>
    <t>Carpet, , Colortec RE:THINK 500g, 1500g/m2 (Dansk Wilton) (Global)</t>
  </si>
  <si>
    <t>Laminate floor</t>
  </si>
  <si>
    <t>Laminate flooring</t>
  </si>
  <si>
    <t>Laminate floor, , Laminate flooring (Kronospan) (Turkey)</t>
  </si>
  <si>
    <t>S-P-08742</t>
  </si>
  <si>
    <t>https://api.environdec.com/api/v1/EPDLibrary/Files/0b9279e4-3dee-4a4d-9a5c-08db7e35bd3c/Data</t>
  </si>
  <si>
    <t>Laminate floor, , Laminate flooring (Peli Parke) (Global)</t>
  </si>
  <si>
    <t>S-P-06740</t>
  </si>
  <si>
    <t>https://api.environdec.com/api/v1/EPDLibrary/Files/09339ae6-48cd-4de8-a2c4-08db196e9a1c/Data</t>
  </si>
  <si>
    <t>Galvanising</t>
  </si>
  <si>
    <t>Galvanising (add-on)</t>
  </si>
  <si>
    <t>Steel, Galvanizers Association of Australia</t>
  </si>
  <si>
    <t>S-P-01166</t>
  </si>
  <si>
    <t>https://epd-australasia.com/wp-content/uploads/2019/10/Environmental-Product-Declaration-for-Galvanizers-Association-of-Australia.pdf</t>
  </si>
  <si>
    <t>Glass</t>
  </si>
  <si>
    <t>Float Glass</t>
  </si>
  <si>
    <t>Glass (treated or untreated)</t>
  </si>
  <si>
    <t>Float Glass, Glazing glass, Unprocessed flat glass (Guardian Glass) (Global)</t>
  </si>
  <si>
    <t>4791213166.101.1</t>
  </si>
  <si>
    <t>UL Environment</t>
  </si>
  <si>
    <t>https://www.guardianglass.com/us/en/tools-and-resources/product-certifications/product-declarations</t>
  </si>
  <si>
    <t>Float Glass, Glazing glass, Processed glass products (Guardian Glass) (Global)</t>
  </si>
  <si>
    <t>4788140764.102.1</t>
  </si>
  <si>
    <t>Environmental Product Declaration (EPD) | Guardian Glass</t>
  </si>
  <si>
    <t>Double glazing</t>
  </si>
  <si>
    <t>Double glazing, Glazing glass, Pilkington Suncool Optilam™ range  (4/16/6.8) (Pilkington Group Limited) (Europe)</t>
  </si>
  <si>
    <t>S-P-02492</t>
  </si>
  <si>
    <t>https://api.environdec.com/api/v1/EPDLibrary/Files/51247226-2d6c-4246-508b-08dbd569605a/Data</t>
  </si>
  <si>
    <t>Double glazing, Glazing glass, Pilkington Optilam™ Therm range  (4/16/6.8) (Pilkington Group Limited) (Europe)</t>
  </si>
  <si>
    <t>Double glazing, Glazing glass, Pilkington Optilam K Glass™ S range  (4/16/6.8) (Pilkington Group Limited) (Europe)</t>
  </si>
  <si>
    <t>Double glazing, Glazing glass, Pilkington Mirropane Optilam™ Chrome range  (4/16/6.8) (Pilkington Group Limited) (Europe)</t>
  </si>
  <si>
    <t>Double glazing, Glazing glass, Pilkington Spandrel Glass Laminated range  (4/16/6.8) (Pilkington Group Limited) (Europe)</t>
  </si>
  <si>
    <t>Double glazing, Glazing glass, Pilkington Optifloat™ Clear and Tinted  (4/16/6.8) (Pilkington Group Limited) (Europe)</t>
  </si>
  <si>
    <t>Triple glazing</t>
  </si>
  <si>
    <t>Triple glazing, Glazing glass, Pilkington Suncool™ range (6/12/6/12/8.8) (Pilkington Group Limited) (Europe)</t>
  </si>
  <si>
    <t>S-P-02888</t>
  </si>
  <si>
    <t>https://api.environdec.com/api/v1/EPDLibrary/Files/e7d2bb09-334f-4b04-507e-08dbd569605a/Data</t>
  </si>
  <si>
    <t>Triple glazing, Glazing glass, Pilkington Optitherm™ range (6/12/6/12/8.8) (Pilkington Group Limited) (Europe)</t>
  </si>
  <si>
    <t>Triple glazing, Glazing glass, Pilkington K Glass™ S range (6/12/6/12/8.8) (Pilkington Group Limited) (Europe)</t>
  </si>
  <si>
    <t>Triple glazing, Glazing glass, Pilkington Mirropane™ Chrome range (6/12/6/12/8.8) (Pilkington Group Limited) (Europe)</t>
  </si>
  <si>
    <t>Triple glazing, Glazing glass, Pilkington Spandrel Glass Coated range (6/12/6/12/8.8) (Pilkington Group Limited) (Europe)</t>
  </si>
  <si>
    <t>Triple glazing, Glazing glass, Pilkington Suncool Optilam™ range (6/12/6/12/8.8) (Pilkington Group Limited) (Europe)</t>
  </si>
  <si>
    <t>Triple glazing, Glazing glass, Pilkington Optilam™ Therm range  (6/12/6/12/8.8) (Pilkington Group Limited) (Europe)</t>
  </si>
  <si>
    <t>Triple glazing, Glazing glass, Pilkington Optilam K Glass™ S range  (6/12/6/12/8.8) (Pilkington Group Limited) (Europe)</t>
  </si>
  <si>
    <t>Triple glazing, Glazing glass, Pilkington Mirropane Optilam™ Chrome (6/12/6/12/8.8) (Pilkington Group Limited) (Europe)</t>
  </si>
  <si>
    <t>Triple glazing, Glazing glass, Pilkington Optifloat™ T (6/12/6/12/8.8) (Pilkington Group Limited) (Europe)</t>
  </si>
  <si>
    <t>Triple glazing, Glazing glass, Pilkington Optiwhite™ T (6/12/6/12/8.8) (Pilkington Group Limited) (Europe)</t>
  </si>
  <si>
    <t>Float Glass, Glazing glass, Average float glass 3mm thick (Asahi - India Glass Ltd) (Global)</t>
  </si>
  <si>
    <t>S-P-01114</t>
  </si>
  <si>
    <t>https://api.environdec.com/api/v1/EPDLibrary/Files/dcbbb399-c22e-407f-941a-05a94fc14953/Data</t>
  </si>
  <si>
    <t>Float Glass, Glazing glass, Average float glass 4mm thick (Asahi - India Glass Ltd) (Global)</t>
  </si>
  <si>
    <t>Float Glass, Glazing glass, Average float glass 3.5mm thick (Asahi - India Glass Ltd) (Global)</t>
  </si>
  <si>
    <t>Float Glass, Glazing glass, Average float glass 5mm thick (Asahi - India Glass Ltd) (Global)</t>
  </si>
  <si>
    <t>Float Glass, Glazing glass, Average float glass 6mm thick (Asahi - India Glass Ltd) (Global)</t>
  </si>
  <si>
    <t>Float Glass, Glazing glass, Average float glass 8mm thick (Asahi - India Glass Ltd) (Global)</t>
  </si>
  <si>
    <t>Float Glass, Glazing glass, Average float glass 10mm thick (Asahi - India Glass Ltd) (Global)</t>
  </si>
  <si>
    <t>Float Glass, Glazing glass, Average float glass 12mm thick (Asahi - India Glass Ltd) (Global)</t>
  </si>
  <si>
    <t>Float Glass, Glazing glass, Laminated float glass 1mm (Pilkington Group Limited) (Global)</t>
  </si>
  <si>
    <t>S-P-08826</t>
  </si>
  <si>
    <t>https://api.environdec.com/api/v1/EPDLibrary/Files/d89694e8-801d-4b08-872d-08db523a4d9e/Data</t>
  </si>
  <si>
    <t>Float Glass, Glazing glass, Guardian glass wet coated glass (Guardian Glass) (North America)</t>
  </si>
  <si>
    <t>4791213166.107.1</t>
  </si>
  <si>
    <t>Float Glass, Glazing glass, Guardian glass heat treated glass (Guardian Glass) (North America)</t>
  </si>
  <si>
    <t>4791213166.105.1</t>
  </si>
  <si>
    <t>Float Glass, Glazing glass, Guardian glass processed glass AME &amp; I region (coated glass) (Guardian Glass) (Global)</t>
  </si>
  <si>
    <t>478887138.102.1</t>
  </si>
  <si>
    <t>https://www.guardianglass.com/me/en/tools-and-resources/resources/product-declarations</t>
  </si>
  <si>
    <t>Double glazing, Glazing glass, Climalit 4-16-4 (Saint-Gobain) (Global)</t>
  </si>
  <si>
    <t>S-P-00934</t>
  </si>
  <si>
    <t>https://api.environdec.com/api/v1/EPDLibrary/Files/21b433c4-ae50-4c96-1bd6-08da2ccce1bd/Data</t>
  </si>
  <si>
    <t>Double glazing, Glazing glass, Climalit 4-16-44.1 (Saint-Gobain) (Global)</t>
  </si>
  <si>
    <t>Double glazing, Glazing glass, Climalit 4-16-33.1 (Saint-Gobain) (Global)</t>
  </si>
  <si>
    <t>Double glazing, Glazing glass, Pilkington Suncool™ range  (4/16/6.8) (Pilkington Group Limited) (Europe)</t>
  </si>
  <si>
    <t>S-P-02493</t>
  </si>
  <si>
    <t>https://api.environdec.com/api/v1/EPDLibrary/Files/98ee93ed-f49c-4092-5086-08dbd569605a/Data</t>
  </si>
  <si>
    <t>Double glazing, Glazing glass, Pilkington Optitherm™ range  (4/16/6.8) (Pilkington Group Limited) (Europe)</t>
  </si>
  <si>
    <t>Double glazing, Glazing glass, Pilkington K Glass™ S range  (4/16/6.8) (Pilkington Group Limited) (Europe)</t>
  </si>
  <si>
    <t>Double glazing, Glazing glass, Pilkington Mirropane™ Chrome range  (4/16/6.8) (Pilkington Group Limited) (Europe)</t>
  </si>
  <si>
    <t>Double glazing, Glazing glass, Pilkington Spandrel Glass Coated range  (4/16/6.8) (Pilkington Group Limited) (Europe)</t>
  </si>
  <si>
    <t>Double glazing, Glazing glass, Pilkington Optifloat™ Clear and Tinted   (4/16/6.8) (Pilkington Group Limited) (Europe)</t>
  </si>
  <si>
    <t>Glazing glass</t>
  </si>
  <si>
    <t>Float Glass, Glazing glass, Magnetron coated glass on SGG PLANILUX 6 mm (Saint-Gobain India Private Limited) (India)</t>
  </si>
  <si>
    <t>S-P-09807</t>
  </si>
  <si>
    <t>https://api.environdec.com/api/v1/EPDLibrary/Files/b309127f-a302-42ca-8779-08db9e3bfd8a/Data</t>
  </si>
  <si>
    <t>Triple glazing, Glazing glass, Pilkington Suncool™ range  (4/12/4/12/4) (Pilkington Group Limited) (Europe)</t>
  </si>
  <si>
    <t>S-P-02592</t>
  </si>
  <si>
    <t>https://api.environdec.com/api/v1/EPDLibrary/Files/031486b8-1d98-4ee3-5090-08dbd569605a/Data</t>
  </si>
  <si>
    <t>Triple glazing, Glazing glass, Pilkington Optitherm™ range  (4/12/4/12/4) (Pilkington Group Limited) (Europe)</t>
  </si>
  <si>
    <t>Triple glazing, Glazing glass, Pilkington K Glass™ S range  (4/12/4/12/4) (Pilkington Group Limited) (Europe)</t>
  </si>
  <si>
    <t>Triple glazing, Glazing glass, Pilkington Mirropane™ Chrome range  (4/12/4/12/4) (Pilkington Group Limited) (Europe)</t>
  </si>
  <si>
    <t>Triple glazing, Glazing glass, Pilkington Spandrel Glass Coated range  (4/12/4/12/4) (Pilkington Group Limited) (Europe)</t>
  </si>
  <si>
    <t>Triple glazing, Glazing glass, Pilkington Optifloat™ Clear and Tinted  (4/12/4/12/4) (Pilkington Group Limited) (Europe)</t>
  </si>
  <si>
    <t>Float Glass, Glazing glass, Magnetron coated glass On SGG PARSOL 4 mm (Saint-Gobain India Private Limited) (India)</t>
  </si>
  <si>
    <t>S-P-09810</t>
  </si>
  <si>
    <t>https://api.environdec.com/api/v1/EPDLibrary/Files/ef7ee920-5ecf-499e-fa40-08db99345335/Data</t>
  </si>
  <si>
    <t>Double glazing, Glazing glass, Pilkington Activ™ range (4/16/4) (Pilkington Group Limited) (Europe)</t>
  </si>
  <si>
    <t>S-P-02491</t>
  </si>
  <si>
    <t>https://api.environdec.com/api/v1/EPDLibrary/Files/f765c72b-3dc3-440a-508c-08dbd569605a/Data</t>
  </si>
  <si>
    <t>Double glazing, Glazing glass, Pilkington K Glass™ range  (4/16/4) (Pilkington Group Limited) (Europe)</t>
  </si>
  <si>
    <t>Double glazing, Glazing glass, NSG TEC™ range  (4/16/4) (Pilkington Group Limited) (Europe)</t>
  </si>
  <si>
    <t>Double glazing, Glazing glass, Pilkington OptiView™ range  (4/16/4) (Pilkington Group Limited) (Europe)</t>
  </si>
  <si>
    <t>Double glazing, Glazing glass, Pilkington OptiShower™ range  (4/16/4) (Pilkington Group Limited) (Europe)</t>
  </si>
  <si>
    <t>Double glazing, Glazing glass, Pilkington K Glass™ OW range  (4/16/4) (Pilkington Group Limited) (Europe)</t>
  </si>
  <si>
    <t>Double glazing, Glazing glass, Pilkington OptiView™ OW range  (4/16/4) (Pilkington Group Limited) (Europe)</t>
  </si>
  <si>
    <t>Double glazing, Glazing glass, Pilkington OptiShower™ OW range  (4/16/4) (Pilkington Group Limited) (Europe)</t>
  </si>
  <si>
    <t>Double glazing, Glazing glass, Pilkington Anti-condensation Glass  (4/16/4) (Pilkington Group Limited) (Europe)</t>
  </si>
  <si>
    <t>Double glazing, Glazing glass, Pilkington Optifloat™ Clear and Tinted   (4/16/4) (Pilkington Group Limited) (Europe)</t>
  </si>
  <si>
    <t>Float Glass, Glazing glass, Magnetron coated glass on SGG PARSOL 6 mm (Saint-Gobain India Private Limited) (India)</t>
  </si>
  <si>
    <t>S-P-09811</t>
  </si>
  <si>
    <t>https://api.environdec.com/api/v1/EPDLibrary/Files/5b9bb9a8-4a24-4155-fa48-08db99345335/Data</t>
  </si>
  <si>
    <t>Float Glass, Glazing glass, Magnetron coated glass on SGG PARSOL 8 mm (Saint-Gobain India Private Limited) (India)</t>
  </si>
  <si>
    <t>S-P-09812</t>
  </si>
  <si>
    <t>https://api.environdec.com/api/v1/EPDLibrary/Files/97c235aa-457c-4a4c-fa4d-08db99345335/Data</t>
  </si>
  <si>
    <t>Glass fibre reinforced concrete</t>
  </si>
  <si>
    <t>GRC</t>
  </si>
  <si>
    <t>GRC cladding</t>
  </si>
  <si>
    <t>GRC, , Plain GRC façade panels (Ibstock telling) (Global)</t>
  </si>
  <si>
    <t>BF1805-C-ECOP Rev 0.1</t>
  </si>
  <si>
    <t>Bre</t>
  </si>
  <si>
    <t>https://assets.ctfassets.net/eta2vegx3yuv/Cix5RfrcDZ8exR10U2p4M/205db0194af9b161ae72840b7f035324/BREGENEPD000366.pdf</t>
  </si>
  <si>
    <t>GRC, , Concrete skin and oko skin glass fibre reinforced concrete (Reider Smart Elements GmbH) (Global)</t>
  </si>
  <si>
    <t>4789090717.101.1</t>
  </si>
  <si>
    <t>https://cdn.sanity.io/files/3f1jzp9g/development/396044cb5b2fed172297434d28878da50068f0bb.pdf?dl=</t>
  </si>
  <si>
    <t>GRC, , Brick faced GRC façade panels (12 mm) (Ibstock telling) (Global)</t>
  </si>
  <si>
    <t>https://assets.ctfassets.net/eta2vegx3yuv/5p7jHx3MOV4BmjIIuBlKg2/ea9a028fd25aafdaeb5f109aaeedca11/BREGENEPD000365.pdf</t>
  </si>
  <si>
    <t>Insulation only</t>
  </si>
  <si>
    <t>Insulation decorative/acoustic, , dECO Baffle Platform 26mm Black  (CSR Martini)</t>
  </si>
  <si>
    <t>S-P-01004</t>
  </si>
  <si>
    <t>https://epd-australasia.com/wp-content/uploads/2018/08/168-CSRMartini_EPD_R14.pdf</t>
  </si>
  <si>
    <t>Insulation decorative/acoustic, , dECO Baffle Platform 26mm White  (CSR Martini)</t>
  </si>
  <si>
    <t>Insulation decorative/acoustic, , dECO Baffle Rise 26mm Black  (CSR Martini)</t>
  </si>
  <si>
    <t>Insulation decorative/acoustic, , dECO Baffle Rise 26mm White  (CSR Martini)</t>
  </si>
  <si>
    <t>Insulation decorative/acoustic, , dECO Board 7mm Black  (CSR Martini)</t>
  </si>
  <si>
    <t>Insulation decorative/acoustic, , dECO Board 7mm White  (CSR Martini)</t>
  </si>
  <si>
    <t>Insulation decorative/acoustic, , dECO Board 12mm Black  (CSR Martini)</t>
  </si>
  <si>
    <t>Insulation decorative/acoustic, , dECO Board 12mm White  (CSR Martini)</t>
  </si>
  <si>
    <t>Insulation decorative/acoustic, , dECO Deluxe 7mm  (CSR Martini)</t>
  </si>
  <si>
    <t>Insulation decorative/acoustic, , dECO Deluxe 12mm  (CSR Martini)</t>
  </si>
  <si>
    <t>Insulation decorative/acoustic, , dECO Deluxe 24mm  (CSR Martini)</t>
  </si>
  <si>
    <t>Insulation decorative/acoustic, , dECO Deluxe 48mm  (CSR Martini)</t>
  </si>
  <si>
    <t>Insulation decorative/acoustic, , dECO Deluxe EP 7mm  (CSR Martini)</t>
  </si>
  <si>
    <t>Insulation decorative/acoustic, , dECO Deluxe EP 7mm Black  (CSR Martini)</t>
  </si>
  <si>
    <t>Insulation decorative/acoustic, , dECO Deluxe EP 7mm White  (CSR Martini)</t>
  </si>
  <si>
    <t>Insulation decorative/acoustic, , dECO Deluxe EP 12mm  (CSR Martini)</t>
  </si>
  <si>
    <t>Insulation decorative/acoustic, , dECO Deluxe EP 12mm Black  (CSR Martini)</t>
  </si>
  <si>
    <t>Insulation decorative/acoustic, , dECO Deluxe EP 12mm White  (CSR Martini)</t>
  </si>
  <si>
    <t>Insulation decorative/acoustic, , dECO Deluxe EP 24mm  (CSR Martini)</t>
  </si>
  <si>
    <t>Insulation decorative/acoustic, , dECO Deluxe EP 24mm Black  (CSR Martini)</t>
  </si>
  <si>
    <t>Insulation decorative/acoustic, , dECO Deluxe EP 24mm White  (CSR Martini)</t>
  </si>
  <si>
    <t>Insulation decorative/acoustic, , dECO E Fabric  (CSR Martini)</t>
  </si>
  <si>
    <t>Insulation decorative/acoustic, , dECO Embrace Fabric  (CSR Martini)</t>
  </si>
  <si>
    <t>Insulation decorative/acoustic, , dECO Flex  (CSR Martini)</t>
  </si>
  <si>
    <t>Insulation decorative/acoustic, , dECO Hanging Cloud Black  (CSR Martini)</t>
  </si>
  <si>
    <t>Insulation decorative/acoustic, , dECO Hanging Cloud White  (CSR Martini)</t>
  </si>
  <si>
    <t>Insulation decorative/acoustic, , dECO M Fabric  (CSR Martini)</t>
  </si>
  <si>
    <t>Insulation decorative/acoustic, , dECO Mini Flex  (CSR Martini)</t>
  </si>
  <si>
    <t>Insulation decorative/acoustic, , dECO Panel 8mm Black  (CSR Martini)</t>
  </si>
  <si>
    <t>Insulation decorative/acoustic, , dECO Panel 8mm White  (CSR Martini)</t>
  </si>
  <si>
    <t>Insulation decorative/acoustic, , dECO Panel 13.5mm Black  (CSR Martini)</t>
  </si>
  <si>
    <t>Insulation decorative/acoustic, , dECO Panel 13.5mm White  (CSR Martini)</t>
  </si>
  <si>
    <t>Insulation decorative/acoustic, , dECO Panel 25mm Black  (CSR Martini)</t>
  </si>
  <si>
    <t>Insulation decorative/acoustic, , dECO Panel 25mm White  (CSR Martini)</t>
  </si>
  <si>
    <t>Insulation decorative/acoustic, , dECO Panel 50mm Black  (CSR Martini)</t>
  </si>
  <si>
    <t>Insulation decorative/acoustic, , dECO Panel 50mm White  (CSR Martini)</t>
  </si>
  <si>
    <t>Insulation decorative/acoustic, , dECO Quiet Board 25mm Black  (CSR Martini)</t>
  </si>
  <si>
    <t>Insulation decorative/acoustic, , dECO Quiet Board 25mm White  (CSR Martini)</t>
  </si>
  <si>
    <t>Insulation decorative/acoustic, , dECO Quiet Board 50mm Black  (CSR Martini)</t>
  </si>
  <si>
    <t>Insulation decorative/acoustic, , dECO Quiet Board 50mm White  (CSR Martini)</t>
  </si>
  <si>
    <t>Insulation decorative/acoustic, , dECO Quiet Panel 25mm Black  (CSR Martini)</t>
  </si>
  <si>
    <t>Insulation decorative/acoustic, , dECO Quiet Panel 25mm White  (CSR Martini)</t>
  </si>
  <si>
    <t>Insulation decorative/acoustic, , dECO Quiet Panel 50mm Black  (CSR Martini)</t>
  </si>
  <si>
    <t>Insulation decorative/acoustic, , dECO Quiet Panel 50mm White  (CSR Martini)</t>
  </si>
  <si>
    <t>Insulation decorative/acoustic, , dECO Quiet Panel Export 25mm White  (CSR Martini)</t>
  </si>
  <si>
    <t>Insulation decorative/acoustic, , dECO Quiet Panel Export 50mm White  (CSR Martini)</t>
  </si>
  <si>
    <t>Insulation decorative/acoustic, , dECO Screen 12mm Black  (CSR Martini)</t>
  </si>
  <si>
    <t>Insulation decorative/acoustic, , dECO Screen 12mm White  (CSR Martini)</t>
  </si>
  <si>
    <t>Insulation decorative/acoustic, , dECO Stick It  (CSR Martini)</t>
  </si>
  <si>
    <t>Insulation decorative/acoustic, , dECO Tile 3D ET Wall  (CSR Martini)</t>
  </si>
  <si>
    <t>Insulation decorative/acoustic, , dECO Tile 3D H Ceiling  (CSR Martini)</t>
  </si>
  <si>
    <t>Insulation decorative/acoustic, , dECO Tile 3D H Wall  (CSR Martini)</t>
  </si>
  <si>
    <t>Insulation decorative/acoustic, , dECO Tile 3D WW Ceiling  (CSR Martini)</t>
  </si>
  <si>
    <t>Insulation decorative/acoustic, , dECO Tile 3D WW Wall  (CSR Martini)</t>
  </si>
  <si>
    <t>Insulation decorative/acoustic, , dECO Tile Flat H Ceiling 13mm  (CSR Martini)</t>
  </si>
  <si>
    <t>Insulation decorative/acoustic, , dECO Tile Flat H Ceiling 25mm  (CSR Martini)</t>
  </si>
  <si>
    <t>Insulation decorative/acoustic, , Absorb Black  (CSR Martini)</t>
  </si>
  <si>
    <t>Insulation decorative/acoustic, , Absorb White  (CSR Martini)</t>
  </si>
  <si>
    <t>Insulation decorative/acoustic, , Blanket  (CSR Martini)</t>
  </si>
  <si>
    <t>Insulation decorative/acoustic, , Easy Baffle  (CSR Martini)</t>
  </si>
  <si>
    <t>Insulation decorative/acoustic, , Easy Baffle Black  (CSR Martini)</t>
  </si>
  <si>
    <t>Insulation decorative/acoustic, , MAB Black  (CSR Martini)</t>
  </si>
  <si>
    <t>Insulation decorative/acoustic, , MAB White  (CSR Martini)</t>
  </si>
  <si>
    <t>Insulation decorative/acoustic, , MSB Black  (CSR Martini)</t>
  </si>
  <si>
    <t>Insulation decorative/acoustic, , MSB White  (CSR Martini)</t>
  </si>
  <si>
    <t>Insulation decorative/acoustic, , Polymax Acoustic R1.5  (CSR Martini)</t>
  </si>
  <si>
    <t>Insulation decorative/acoustic, , Polymax Acoustic R2.0 75mm  (CSR Martini)</t>
  </si>
  <si>
    <t>Insulation decorative/acoustic, , Polymax Acoustic R2.0 90mm  (CSR Martini)</t>
  </si>
  <si>
    <t>Insulation decorative/acoustic, , Polymax Acoustic R2.5  (CSR Martini)</t>
  </si>
  <si>
    <t>Insulation decorative/acoustic, , Prime Black  (CSR Martini)</t>
  </si>
  <si>
    <t>Insulation decorative/acoustic, , Prime White  (CSR Martini)</t>
  </si>
  <si>
    <t>Insulation decorative/acoustic, , Flexible Ducting  (CSR Martini)</t>
  </si>
  <si>
    <t>Insulation panels</t>
  </si>
  <si>
    <t>Insulation only, Polystyrene, MetecnoTherm 25mm  (Metecno Pty Ltd t/a MetecnoPIR)</t>
  </si>
  <si>
    <t>S-P-08465</t>
  </si>
  <si>
    <t>https://epd-australasia.com/wp-content/uploads/2023/05/SP08465-Bondor-EPD_MetencnoTherm-Insulation_May23.pdf</t>
  </si>
  <si>
    <t>Insulation only, Polystyrene, MetecnoTherm 80mm  (Metecno Pty Ltd t/a MetecnoPIR)</t>
  </si>
  <si>
    <t>Insulation only, Polystyrene, MetecnoTherm 100mm  (Metecno Pty Ltd t/a MetecnoPIR)</t>
  </si>
  <si>
    <t>Insulation only, Polystyrene, MetecnoTherm 90mm  (Metecno Pty Ltd t/a MetecnoPIR)</t>
  </si>
  <si>
    <t>Insulation only, Polystyrene, MetecnoTherm 70mm  (Metecno Pty Ltd t/a MetecnoPIR)</t>
  </si>
  <si>
    <t>Insulation only, Polystyrene, MetecnoTherm 60mm  (Metecno Pty Ltd t/a MetecnoPIR)</t>
  </si>
  <si>
    <t>Insulation only, Polystyrene, MetecnoTherm 50mm  (Metecno Pty Ltd t/a MetecnoPIR)</t>
  </si>
  <si>
    <t>Insulation only, Polystyrene, MetecnoTherm 40mm  (Metecno Pty Ltd t/a MetecnoPIR)</t>
  </si>
  <si>
    <t>Insulation only, Polystyrene, MetecnoTherm 30mm  (Metecno Pty Ltd t/a MetecnoPIR)</t>
  </si>
  <si>
    <t>Masonry</t>
  </si>
  <si>
    <t>Clay brick</t>
  </si>
  <si>
    <t>Clay bricks</t>
  </si>
  <si>
    <t>Clay brick, , FACING, Horizontally Perforated Bricks (KEBE SA) (Global)</t>
  </si>
  <si>
    <t>S-P-08942</t>
  </si>
  <si>
    <t>https://api.environdec.com/api/v1/EPDLibrary/Files/31953b06-df9f-4fc0-28d9-08db259f9365/Data</t>
  </si>
  <si>
    <t>Clay brick, , N 60, Horizontally Perforated Bricks (KEBE SA) (Global)</t>
  </si>
  <si>
    <t>Clay brick, , N 70, Horizontally Perforated Bricks (KEBE SA) (Global)</t>
  </si>
  <si>
    <t>Clay brick, , Ν 90, Horizontally Perforated Bricks (KEBE SA) (Global)</t>
  </si>
  <si>
    <t>Clay brick, , Ν 180, Horizontally Perforated Bricks (KEBE SA) (Global)</t>
  </si>
  <si>
    <t>Clay brick, , FACING N 180, Horizontally Perforated Bricks (KEBE SA) (Global)</t>
  </si>
  <si>
    <t>Clay brick, , N 225, Horizontally Perforated Bricks (KEBE SA) (Global)</t>
  </si>
  <si>
    <t>Clay brick, , N 200, Horizontally Perforated Bricks (KEBE SA) (Global)</t>
  </si>
  <si>
    <t>Clay brick, , N 250, Horizontally Perforated Bricks (KEBE SA) (Global)</t>
  </si>
  <si>
    <t>Clay brick, , Ν 280, Horizontally Perforated Bricks (KEBE SA) (Global)</t>
  </si>
  <si>
    <t>Clay brick, , B250-12/25, Horizontally Perforated Bricks (KEBE SA) (Global)</t>
  </si>
  <si>
    <t>Clay brick, , B250-12/33, Horizontally Perforated Bricks (KEBE SA) (Global)</t>
  </si>
  <si>
    <t>Clay brick, , B250-20/33, Horizontally Perforated Bricks (KEBE SA) (Global)</t>
  </si>
  <si>
    <t>Clay brick, , N 0, Horizontally Perforated Bricks (KEBE SA) (Global)</t>
  </si>
  <si>
    <t>Clay brick, , N 1, Horizontally Perforated Bricks (KEBE SA) (Global)</t>
  </si>
  <si>
    <t>Clay brick, , N 2, Horizontally Perforated Bricks (KEBE SA) (Global)</t>
  </si>
  <si>
    <t>Clay brick, , N 3, Horizontally Perforated Bricks (KEBE SA) (Global)</t>
  </si>
  <si>
    <t>Clay brick, , ΜΚ200, Vertically Perforated Bricks (KEBE SA) (Global)</t>
  </si>
  <si>
    <t>Clay brick, , ΜΚ250, Vertically Perforated Bricks (KEBE SA) (Global)</t>
  </si>
  <si>
    <t>Clay brick, , ORTHOBLOCK K100, Vertically Perforated Bricks (KEBE SA) (Global)</t>
  </si>
  <si>
    <t>Clay brick, , ORTHOBLOCK K120, Vertically Perforated Bricks (KEBE SA) (Global)</t>
  </si>
  <si>
    <t>Clay brick, , HALF Κ250, Vertically Perforated Bricks (KEBE SA) (Global)</t>
  </si>
  <si>
    <t>Clay brick, , ORTHOBLOCK K250, Vertically Perforated Bricks (KEBE SA) (Global)</t>
  </si>
  <si>
    <t>Clay brick, , ORTHOBLOCK K250 NEW, Vertically Perforated Bricks (KEBE SA) (Global)</t>
  </si>
  <si>
    <t>Clay brick, , ORTHOBLOCK K300, Vertically Perforated Bricks (KEBE SA) (Global)</t>
  </si>
  <si>
    <t>Clay brick, , Φ 180, Chimneys (KEBE SA) (Global)</t>
  </si>
  <si>
    <t>Clay brick, , Φ 180 – Τ 130, Chimneys (KEBE SA) (Global)</t>
  </si>
  <si>
    <t>Clay brick, , Φ 180 – Τ 150, Chimneys (KEBE SA) (Global)</t>
  </si>
  <si>
    <t>Clay brick, , Φ 250, Chimneys (KEBE SA) (Global)</t>
  </si>
  <si>
    <t>Clay brick, , Φ 250 – Τ 180, Chimneys (KEBE SA) (Global)</t>
  </si>
  <si>
    <t>Clay brick, , Φ 250 – Τ 150, Chimneys (KEBE SA) (Global)</t>
  </si>
  <si>
    <t>Clay brick, , ORTHOBLOCK K300 PLUS NEW, Vertically Perforated Bricks (KEBE SA) (Global)</t>
  </si>
  <si>
    <t>Clay brick, , ORTHOBLOCK K300 PLUS, Vertically Perforated Bricks (KEBE SA) (Global)</t>
  </si>
  <si>
    <t>Clay brick, , ORTHOBLOCK K250 PLUS NEW, Vertically Perforated Bricks (KEBE SA) (Global)</t>
  </si>
  <si>
    <t>Clay brick, , ORTHOBLOCK K250 PLUS, Vertically Perforated Bricks (KEBE SA) (Global)</t>
  </si>
  <si>
    <t>Clay Brick</t>
  </si>
  <si>
    <t>Clay Brick, , Sencis, red clay facing brick (Lode Sia) (Europe)</t>
  </si>
  <si>
    <t>S-P-11030</t>
  </si>
  <si>
    <t>https://api.environdec.com/api/v1/EPDLibrary/Files/d0461f2c-ff3d-429f-88a7-08dbc3e797a5/Data</t>
  </si>
  <si>
    <t>Clay Brick, , Janka, red clay facing brick (Lode Sia) (Europe)</t>
  </si>
  <si>
    <t>Clay Brick, , Gemini, red clay facing brick (Lode Sia) (Europe)</t>
  </si>
  <si>
    <t>Clay Brick, , Cameleo, red clay facing brick (Lode Sia) (Europe)</t>
  </si>
  <si>
    <t>Clay Brick, , Argon, red clay facing brick (Lode Sia) (Europe)</t>
  </si>
  <si>
    <t>Clay Brick, , Andromeda, red clay facing brick (Lode Sia) (Europe)</t>
  </si>
  <si>
    <t>Clay Brick, , Aquarius, red clay facing brick (Lode Sia) (Europe)</t>
  </si>
  <si>
    <t>Clay Brick, , Etna, red clay facing brick (Lode Sia) (Europe)</t>
  </si>
  <si>
    <t>Clay Brick, , Luna, red clay facing brick (Lode Sia) (Europe)</t>
  </si>
  <si>
    <t>Clay Brick, , Brunis , brown clay facing brick (Lode Sia) (Europe)</t>
  </si>
  <si>
    <t>S-P-11031</t>
  </si>
  <si>
    <t>https://api.environdec.com/api/v1/EPDLibrary/Files/f4a19b1a-e0e7-4377-888c-08dbc3e797a5/Data</t>
  </si>
  <si>
    <t>Clay Brick, , Carbon, brown clay facing brick (Lode Sia) (Europe)</t>
  </si>
  <si>
    <t>Clay Brick, , Centaur, brown clay facing brick (Lode Sia) (Europe)</t>
  </si>
  <si>
    <t>Clay Brick, , Galaxy, brown clay facing brick (Lode Sia) (Europe)</t>
  </si>
  <si>
    <t>Clay Brick, , Krypton, brown clay facing brick (Lode Sia) (Europe)</t>
  </si>
  <si>
    <t>Clay Brick, , Saturn, brown clay facing brick (Lode Sia) (Europe)</t>
  </si>
  <si>
    <t>Clay Brick, , Sotis, brown clay facing brick (Lode Sia) (Europe)</t>
  </si>
  <si>
    <t>Clay Brick, , Sahara, yellow clay facing brick (Lode Sia) (Europe)</t>
  </si>
  <si>
    <t>S-P-11028</t>
  </si>
  <si>
    <t>https://api.environdec.com/api/v1/EPDLibrary/Files/5f971301-da79-466b-88b2-08dbc3e797a5/Data</t>
  </si>
  <si>
    <t>Clay Brick, , Blanka, yellow clay facing brick (Lode Sia) (Europe)</t>
  </si>
  <si>
    <t>Clay Brick, , Wenus, yellow clay facing brick (Lode Sia) (Europe)</t>
  </si>
  <si>
    <t>Clay Brick, , Tybet, clay brick (reduction firing) (Lode Sia) (Europe)</t>
  </si>
  <si>
    <t>S-P-11054</t>
  </si>
  <si>
    <t>https://api.environdec.com/api/v1/EPDLibrary/Files/b7b7c343-0620-45c7-88d1-08dbc3e797a5/Data</t>
  </si>
  <si>
    <t>Clay Brick, , Syriusz, clay brick (reduction firing) (Lode Sia) (Europe)</t>
  </si>
  <si>
    <t>Stone</t>
  </si>
  <si>
    <t>Stone brick</t>
  </si>
  <si>
    <t>Stone, , Natural stone products of granite and limestone (flamed or bush hammered granite slab) (Naturestens) (Global)</t>
  </si>
  <si>
    <t>S-P-04621</t>
  </si>
  <si>
    <t>https://api.environdec.com/api/v1/EPDLibrary/Files/9ccc4db8-b66e-4e93-1965-08d972a96257/Data</t>
  </si>
  <si>
    <t>Stone, , Natural stone products of granite and limestone (split surface granite walls) (Naturestens) (Global)</t>
  </si>
  <si>
    <t>Masonry (Concrete bricks)</t>
  </si>
  <si>
    <t>Masonry (Concrete bricks), BLOCK Campbellfield (VIC) (Adbri)</t>
  </si>
  <si>
    <t>S-P-05517</t>
  </si>
  <si>
    <t>https://epd-australasia.com/wp-content/uploads/2023/04/SP05517-Adbri-EPD-Masonry_Mar23.pdf</t>
  </si>
  <si>
    <t>Masonry (Concrete bricks), BLOCK Maroochydore (QLD) (Adbri)</t>
  </si>
  <si>
    <t>Masonry (Concrete bricks), BLOCK Stapylton (QLD) (Adbri)</t>
  </si>
  <si>
    <t>Masonry (Concrete bricks), BLOCK Ulverstone (TAS) (Adbri)</t>
  </si>
  <si>
    <t>Masonry (Concrete bricks), BRICK Bendigo Smooth Shot Dark (VIC) (Adbri)</t>
  </si>
  <si>
    <t>Masonry (Concrete bricks), BRICK Bendigo Honed Dark (VIC) (Adbri)</t>
  </si>
  <si>
    <t>Masonry (Concrete bricks), BRICK Bendigo Smooth Shot Light (VIC) (Adbri)</t>
  </si>
  <si>
    <t>Masonry (Concrete bricks), BRICK Bendigo Honed Light (VIC) (Adbri)</t>
  </si>
  <si>
    <t>Masonry (Concrete bricks), BRICK Bendigo Cored Light (VIC) (Adbri)</t>
  </si>
  <si>
    <t>Masonry (Concrete bricks), BRICK Maroochydore (QLD) (Adbri)</t>
  </si>
  <si>
    <t>Masonry (Concrete bricks), BRICK Ulverstone (TAS) (Adbri)</t>
  </si>
  <si>
    <t>Masonry (Concrete bricks), Aura Porcelain (Australia) (Austral)</t>
  </si>
  <si>
    <t>S-P-05476</t>
  </si>
  <si>
    <t>https://epd-australasia.com/wp-content/uploads/2022/04/SP05476-Brickworks-EPDv1.2_Dec-22-1.pdf</t>
  </si>
  <si>
    <t>Masonry (Concrete bricks), Aura Grey (Australia) (Austral)</t>
  </si>
  <si>
    <t>Masonry (Concrete bricks), Aura Oak (Australia) (Austral)</t>
  </si>
  <si>
    <t>Masonry (Concrete bricks), GB Sandstone Rock Face (Australia) (Austral)</t>
  </si>
  <si>
    <t>Masonry (Concrete bricks), GB Sandstone Split Face (Australia) (Austral)</t>
  </si>
  <si>
    <t>Masonry (Concrete bricks), GB Sandstone Smooth (Australia) (Austral)</t>
  </si>
  <si>
    <t>Masonry (Concrete bricks), GB Stone (Australia) (Austral)</t>
  </si>
  <si>
    <t>Masonry (Concrete bricks), GB Split Face (Australia) (Austral)</t>
  </si>
  <si>
    <t>Masonry (Concrete bricks), GB Smooth (Australia) (Austral)</t>
  </si>
  <si>
    <t>Masonry (Concrete bricks), GB Veneer (Australia) (Austral)</t>
  </si>
  <si>
    <t>Masonry (Concrete bricks), Breeze Blocks (Australia) (Austral)</t>
  </si>
  <si>
    <t>Masonry (Concrete bricks), GB Latitude (Australia) (Austral)</t>
  </si>
  <si>
    <t>Masonry (Concrete bricks), 100MM Standard (Australia) (Austral)</t>
  </si>
  <si>
    <t>Masonry (Concrete bricks), 200MM Standard (Australia) (Austral)</t>
  </si>
  <si>
    <t>Masonry (Concrete bricks), 150MM Mortarless (Australia) (Austral)</t>
  </si>
  <si>
    <t>Clay brick, , Clay brick - Wollert (Brickworks) (Australia)</t>
  </si>
  <si>
    <t>Climate Active</t>
  </si>
  <si>
    <t>https://www.climateactive.org.au/sites/default/files/2024-05/Brickworks_All%20sites_PDS_FY23.pdf</t>
  </si>
  <si>
    <t>Clay brick, , Clay brick - Longford (Brickworks) (Australia)</t>
  </si>
  <si>
    <t>Clay brick, , Clay brick - Golden Grove (Brickworks) (Australia)</t>
  </si>
  <si>
    <t>Clay brick, , Clay brick - Horsley Park Plant 21  (Brickworks) (Australia)</t>
  </si>
  <si>
    <t>Clay brick, , Clay brick - Horsley Park Plant 22 (Brickworks) (Australia)</t>
  </si>
  <si>
    <t>Clay brick, , Clay brick - Horsley Park Plant 23 (Brickworks) (Australia)</t>
  </si>
  <si>
    <t>Clay brick, , Clay brick - Bowral Plant 28 (Brickworks) (Australia)</t>
  </si>
  <si>
    <t>Clay brick, , Clay brick - Punchbowl Plant 91 (Brickworks) (Australia)</t>
  </si>
  <si>
    <t>Clay brick, , Clay brick - Bellevue Plant 64 (Brickworks) (Australia)</t>
  </si>
  <si>
    <t>Clay brick, , Clay brick - Cardup Plant 67 (Brickworks) (Australia)</t>
  </si>
  <si>
    <t>Clay brick, , Clay brick - Rochedale Plant 41 (Brickworks) (Australia)</t>
  </si>
  <si>
    <t>Stone, , Natural stone 10 mm (Silkarstone) (Global)</t>
  </si>
  <si>
    <t>S-P-01976</t>
  </si>
  <si>
    <t>https://api.environdec.com/api/v1/EPDLibrary/Files/a87c6d3c-227f-4f93-acc8-08d9952442c5/Data</t>
  </si>
  <si>
    <t>Stone, , Natural stone 20 mm  (Silkarstone) (Global)</t>
  </si>
  <si>
    <t>Stone, , Natural stone 30 mm (Silkarstone) (Global)</t>
  </si>
  <si>
    <t>Stone, , Natural stone 40 mm (Silkarstone) (Global)</t>
  </si>
  <si>
    <t>Stone, , Natural stone 50 mm (Silkarstone) (Global)</t>
  </si>
  <si>
    <t>Clay brick, , Clay facing bricks U masonry units for unprotected masonry walls (perforated) (HISPALYT) (Global)</t>
  </si>
  <si>
    <t>HISPALYT-008-004</t>
  </si>
  <si>
    <t>AENOR</t>
  </si>
  <si>
    <t>HISPALYT - Asociación Española de Fabricantes de Ladrillos y Tejas de Arcilla Cocida - Publicaciones</t>
  </si>
  <si>
    <t>Clay brick, , Clay facing bricks U masonry units for unprotected masonry walls (solid) (HISPALYT) (Global)</t>
  </si>
  <si>
    <t>Stone, , Natural stone products of granite and limestone (pacing stone granite) (Naturestens) (Global)</t>
  </si>
  <si>
    <t>Clay brick, , Brick (Prayag Clay Products Limited (PCPL) (Global)</t>
  </si>
  <si>
    <t>S-P-06476</t>
  </si>
  <si>
    <t>https://api.environdec.com/api/v1/EPDLibrary/Files/53ffd826-e11c-42dd-90ce-08db0d9b78e5/Data</t>
  </si>
  <si>
    <t>Clay brick, , Block (Prayag Clay Products Limited (PCPL) (Global)</t>
  </si>
  <si>
    <t>Clay brick, , Paver (Prayag Clay Products Limited (PCPL)) (Global)</t>
  </si>
  <si>
    <t>Stone, , Natural stone products of granite and limestone (flamed or planed limestone slab) (Naturestens) (Global)</t>
  </si>
  <si>
    <t>Stone, , Natural stone products of granite and limestone (limestone floor tile) (Naturestens) (Global)</t>
  </si>
  <si>
    <t>Metal treatment</t>
  </si>
  <si>
    <t>Painting steel (add-on)</t>
  </si>
  <si>
    <t>Painting steel , , Painting steel coils (UMC) (Global)</t>
  </si>
  <si>
    <t>S-P-01371</t>
  </si>
  <si>
    <t>EPD_UMC Final Certified.pdf (umcuae.ae)</t>
  </si>
  <si>
    <t>, , Aluminium powder coated add-on (Calculated) (Global)</t>
  </si>
  <si>
    <t>Alum_extr_powdercoat_anodised tab</t>
  </si>
  <si>
    <t>, , Aluminium anodised add-on (Calculated) (Global)</t>
  </si>
  <si>
    <t>Mortar and grout</t>
  </si>
  <si>
    <t>Mortar/Grout, Adhesive, Ultralite mortar zero (MAPEI) (Global)</t>
  </si>
  <si>
    <t>S-P-08605</t>
  </si>
  <si>
    <t>https://api.environdec.com/api/v1/EPDLibrary/Files/ce3e2f25-2c11-4156-0c70-08db3c2e10fb/Data</t>
  </si>
  <si>
    <t>Mortar/Grout, adhesive, Webertherm prime fix adhesive mortar for theraml insulation systems  (Weber Saint Gobain) (Turkey)</t>
  </si>
  <si>
    <t>S-P-06791</t>
  </si>
  <si>
    <t>https://api.environdec.com/api/v1/EPDLibrary/Files/99e2204c-6555-4d53-aa5d-08db4497f421/Data</t>
  </si>
  <si>
    <t>Mortar/Grout, Adhesive, Durocret (ISOMAT) (Global)</t>
  </si>
  <si>
    <t>S-P-09183</t>
  </si>
  <si>
    <t>https://api.environdec.com/api/v1/EPDLibrary/Files/da136426-8457-4a2c-ef91-08db5cc782d3/Data</t>
  </si>
  <si>
    <t>Mortar/Grout, adhesive, MEGACRET-40 repair mortar (Isomat) (Europe)</t>
  </si>
  <si>
    <t>S-P-06172</t>
  </si>
  <si>
    <t>https://api.environdec.com/api/v1/EPDLibrary/Files/5fc10d27-a6bf-4540-a971-08da599e304a/Data</t>
  </si>
  <si>
    <t>Mortar/Grout, cement, Exterior mortar (Readymix industries) (Israel)</t>
  </si>
  <si>
    <t>Israel</t>
  </si>
  <si>
    <t>S-P-06621</t>
  </si>
  <si>
    <t>https://api.environdec.com/api/v1/EPDLibrary/Files/8db42601-7245-40fb-152c-08daf357f6d4/Data</t>
  </si>
  <si>
    <t>Mortar/Grout, adhesive, Marine environment mortar (Ready mix industries) (Israel)</t>
  </si>
  <si>
    <t>S-P-06624</t>
  </si>
  <si>
    <t>https://api.environdec.com/api/v1/EPDLibrary/Files/1e344086-270c-4ed5-1522-08daf357f6d4/Data</t>
  </si>
  <si>
    <t>Mortar/Grout, Adhesive, Morteros de impermeabilización (DRIZORO) (Global)</t>
  </si>
  <si>
    <t>S-P-06117</t>
  </si>
  <si>
    <t>https://api.environdec.com/api/v1/EPDLibrary/Files/80ff4377-fa30-43c1-a941-08da599e304a/Data</t>
  </si>
  <si>
    <t>Pipe conduit</t>
  </si>
  <si>
    <t>PE pipe, , Polyethylene pipes (iplex) (Australia)</t>
  </si>
  <si>
    <t>S-P-00715</t>
  </si>
  <si>
    <t>https://api.environdec.com/api/v1/EPDLibrary/Files/b3665830-d7fa-4dff-e1b1-08dad11ff8e7/Data</t>
  </si>
  <si>
    <t>PVC pipe, , PVC non-pressure pipes - foam core wall (iplex) (Australia)</t>
  </si>
  <si>
    <t>S-P-00713</t>
  </si>
  <si>
    <t>PE pipe, , PE pipe  (vinidex) (Australia)</t>
  </si>
  <si>
    <t>S-P-00719</t>
  </si>
  <si>
    <t>https://api.environdec.com/api/v1/EPDLibrary/Files/0570e2bd-247e-4cb6-cf34-08daa1eb7336/Data</t>
  </si>
  <si>
    <t>PVC pipe, , PVC non-pressure pipes - solid wall (iplex) (Australia)</t>
  </si>
  <si>
    <t>PVC pipe, , PVC pressure pipes PVC-O pressure pipe (vinidex) (Australia)</t>
  </si>
  <si>
    <t>S-P-00718</t>
  </si>
  <si>
    <t>https://api.environdec.com/api/v1/EPDLibrary/Files/827ee963-045a-4a79-cf2e-08daa1eb7336/Data</t>
  </si>
  <si>
    <t>PVC pipe, , PVC pressure pipes PVC-U pressure pipe (vinidex) (Australia)</t>
  </si>
  <si>
    <t>PVC pipe, , PVC pressure pipes PVC-M pressure pipe (vinidex) (Australia)</t>
  </si>
  <si>
    <t>PVC pipe, , Non-pressure pipes and conduit (vinidex) (Australia)</t>
  </si>
  <si>
    <t>S-P-00716</t>
  </si>
  <si>
    <t>https://api.environdec.com/api/v1/EPDLibrary/Files/30360b82-5bee-4296-9589-3ec1b30b6136/Data</t>
  </si>
  <si>
    <t>Plasterboard</t>
  </si>
  <si>
    <t>Plasterboard, Opal 10 mm,  (Siniat)</t>
  </si>
  <si>
    <t>S-P-07445</t>
  </si>
  <si>
    <t>https://epd-australasia.com/wp-content/uploads/2023/06/SP07445-Etex-Siniat-Plasterboard-280623.pdf</t>
  </si>
  <si>
    <t>Plasterboard, trurock 13 mm,  (Siniat)</t>
  </si>
  <si>
    <t>Plasterboard, fireshield 13 mm,  (Siniat)</t>
  </si>
  <si>
    <t>Plasterboard, soundshield 13 mm,  (Siniat)</t>
  </si>
  <si>
    <t>Plasterboard, fireshield H 13 mm,  (Siniat)</t>
  </si>
  <si>
    <t>Plasterboard, fireshield 16 mm,  (Siniat)</t>
  </si>
  <si>
    <t>Plasterboard, , Regular Plasterboard (Knauf Orbond) (Israel)</t>
  </si>
  <si>
    <t>S-P-09656</t>
  </si>
  <si>
    <t>https://api.environdec.com/api/v1/EPDLibrary/Files/43c64dfc-1b96-4881-8e10-08db7203e99c/Data</t>
  </si>
  <si>
    <t>Plasterboard, , Fire Plus+2.0 (Knauf Orbond) (Israel)</t>
  </si>
  <si>
    <t>S-P-09659</t>
  </si>
  <si>
    <t>https://api.environdec.com/api/v1/EPDLibrary/Files/ca4f7e40-3cc3-4d80-8df2-08db7203e99c/Data</t>
  </si>
  <si>
    <t>Plasterboard, , Piano HD Board (Knauf Orbond) (Israel)</t>
  </si>
  <si>
    <t>S-P-09657</t>
  </si>
  <si>
    <t>https://api.environdec.com/api/v1/EPDLibrary/Files/86e1a6f9-6e9e-40ce-8df4-08db7203e99c/Data</t>
  </si>
  <si>
    <t>Plasterboard, , Blue EX Board (Knauf Orbond) (Israel)</t>
  </si>
  <si>
    <t>S-P-09658</t>
  </si>
  <si>
    <t>https://api.environdec.com/api/v1/EPDLibrary/Files/2e7e5134-fc8f-449e-8df3-08db7203e99c/Data</t>
  </si>
  <si>
    <t>Plasterboard, , Fire-Resistant Board - Knauf Orbond (Knauf Orbond) (Israel)</t>
  </si>
  <si>
    <t>S-P-09128</t>
  </si>
  <si>
    <t>https://api.environdec.com/api/v1/EPDLibrary/Files/c68012f9-c42c-4734-8e11-08db7203e99c/Data</t>
  </si>
  <si>
    <t>Plasterboard, , Water-Resistant Board - Knauf Orbond (Knauf Orbond) (Israel)</t>
  </si>
  <si>
    <t>S-P-09491</t>
  </si>
  <si>
    <t>Plasterboard, curveshield
6.5 mm,  (Siniat)</t>
  </si>
  <si>
    <t>Plasterboard, shaftliner/
intershield
25 mm,  (Siniat)</t>
  </si>
  <si>
    <t>Plasterboard, watershield 10 mm,  (Siniat)</t>
  </si>
  <si>
    <t>Plasterboard, watershield 13 mm,  (Siniat)</t>
  </si>
  <si>
    <t>Plasterboard, multishield
13 mm,  (Siniat)</t>
  </si>
  <si>
    <t>Plasterboard, multishield
16 mm,  (Siniat)</t>
  </si>
  <si>
    <t>https://epd-australasia.com/wp-content/uploads/2023/04/SP07446-Kingspan-EPD_Kooltherm_Mar23.pdf</t>
  </si>
  <si>
    <t>Plasterboard, spanshield 10 mm,  (Siniat)</t>
  </si>
  <si>
    <t>Plasterboard, trurock HD
13 mm,  (Siniat)</t>
  </si>
  <si>
    <t>Plasterboard, mastashield 13 mm,  (Siniat)</t>
  </si>
  <si>
    <t>Plasterboard, trurock
16 mm*,  (Siniat)</t>
  </si>
  <si>
    <t>Plasterboard, trurock HD
16 mm,  (Siniat)</t>
  </si>
  <si>
    <t>Plasterboard, mastashield 10 mm,  (Siniat)</t>
  </si>
  <si>
    <t>Plasterboard, soundshield 10 mm*,  (Siniat)</t>
  </si>
  <si>
    <t>Plywood, Global, SELEX Plywood products (CMPC) (Chile)</t>
  </si>
  <si>
    <t>Chile</t>
  </si>
  <si>
    <t>S-P-02010</t>
  </si>
  <si>
    <t>https://api.environdec.com/api/v1/EPDLibrary/Files/4ab1ebc5-aa39-4993-a589-08dae89fe9e4/Data</t>
  </si>
  <si>
    <t>Plywood, Global, SELEX Plywood 9mm (CMPC) (Chile)</t>
  </si>
  <si>
    <t>S-P-02011</t>
  </si>
  <si>
    <t>https://api.environdec.com/api/v1/EPDLibrary/Files/55b09d26-2c80-4a6d-a58f-08dae89fe9e4/Data</t>
  </si>
  <si>
    <t>Plywood, Global, Plywood CHH Ply (Carter Holt Harvey) (New Zealand)</t>
  </si>
  <si>
    <t>S-P-05513</t>
  </si>
  <si>
    <t>https://api.environdec.com/api/v1/EPDLibrary/Files/7a0c4ed1-3747-44a2-0e84-08db3c2e10fb/Data</t>
  </si>
  <si>
    <t>Plywood, Global, Grupo Garnica Plywood (MADERAS) (Spain)</t>
  </si>
  <si>
    <t>Spain</t>
  </si>
  <si>
    <t>S-P-00531</t>
  </si>
  <si>
    <t>https://api.environdec.com/api/v1/EPDLibrary/Files/967dee7b-efeb-472f-8729-08dbc3e797a5/Data</t>
  </si>
  <si>
    <t>Plywood, Global, Plywood C1D (Panguaneta) (Italy)</t>
  </si>
  <si>
    <t>S-P-09388</t>
  </si>
  <si>
    <t>https://api.environdec.com/api/v1/EPDLibrary/Files/a3537711-c006-4118-ed97-08db605618f8/Data</t>
  </si>
  <si>
    <t>Polyamide</t>
  </si>
  <si>
    <t>Polyamide, , Polyamide  (Beaulieu International Group) (Global)</t>
  </si>
  <si>
    <t>S-P-02416</t>
  </si>
  <si>
    <t>Sand</t>
  </si>
  <si>
    <t>Concrete, Sta MPa, Stabilised Sand 14:1 (Concrite) (NSW) (Sydney Region, NSW)</t>
  </si>
  <si>
    <t>Concrete, Sta MPa, Stabilised Sand 4:1 (Concrite) (NSW) (Sydney Region, NSW)</t>
  </si>
  <si>
    <t>Concrete, Sta MPa, Stabilised Sand 8:1 (Concrite) (NSW) (Sydney Region, NSW)</t>
  </si>
  <si>
    <t>Concrete, Sta MP</t>
  </si>
  <si>
    <t>Concrete, Sta MPa, STABILISED SAND 14:1 (Concrite) (NSW) (Southern Highlands, NSW)</t>
  </si>
  <si>
    <t>Concrete, Sta MPa, STABILISED SAND 8:1 (Concrite) (NSW) (Southern Highlands, NSW)</t>
  </si>
  <si>
    <t>Concrete, Sta MPa, STABILISED SAND 4:1 (Concrite) (ACT) (Canberra, ACT)</t>
  </si>
  <si>
    <t>Concrete, Sta MPa, STABILISED SAND 8:1 (Concrite) (ACT) (Canberra, ACT)</t>
  </si>
  <si>
    <t>Stainless steel</t>
  </si>
  <si>
    <t>Stainless steel (general)</t>
  </si>
  <si>
    <t>Stainless steel, , Stainless steel long and tube products (BE group) (Global)</t>
  </si>
  <si>
    <t>S-P-07999</t>
  </si>
  <si>
    <t>https://api.environdec.com/api/v1/EPDLibrary/Files/f1805f74-54b1-4bb2-1577-08daf357f6d4/Data</t>
  </si>
  <si>
    <t>Stainless steel, , Stainless steel long and tube products (BE group) (Europe)</t>
  </si>
  <si>
    <t>Stainless steel, Flat, Stainless steel - Cold rolled (Acerinox) (Europe)</t>
  </si>
  <si>
    <t>S-P-08506</t>
  </si>
  <si>
    <t>Stainless steel, Flat, Stainless steel - Hot rolled austenitic stainless steel (Acerinox ) (Europe)</t>
  </si>
  <si>
    <t>S-P-08507</t>
  </si>
  <si>
    <t>https://api.environdec.com/api/v1/EPDLibrary/Files/12ce3410-7e85-462e-0d4f-08dbae79b560/Data</t>
  </si>
  <si>
    <t>Stainless steel, Flat, Stainless steel - ferritic stainless steel hot rolling (Acerinox ) (Europe)</t>
  </si>
  <si>
    <t>S-P-08509</t>
  </si>
  <si>
    <t>https://api.environdec.com/api/v1/EPDLibrary/Files/2b6b4da1-86b6-4caa-0d4b-08dbae79b560/Data</t>
  </si>
  <si>
    <t>Stainless steel, , Stainless steel reinforcing bar (Rebarinox) (Europe)</t>
  </si>
  <si>
    <t>S-P-03902</t>
  </si>
  <si>
    <t>Stainless steel, Flat, Stainless steel - Hot rolled (Marcegaglia Specialties S.p.A.) (Europe)</t>
  </si>
  <si>
    <t>S-P-09699</t>
  </si>
  <si>
    <t>Stainless steel, Flat, Stainless steel - Cold rolled (Marcegaglia Specialties S.p.A.) (Europe)</t>
  </si>
  <si>
    <t>Stainless steel, Flat, Cold rolled Stainless Steel  (Outokumpu Oyj) (Global)</t>
  </si>
  <si>
    <t>EPD-OTO-20190002-IBD1-EN</t>
  </si>
  <si>
    <t>https://ibu-epd.com/en/published-epds/</t>
  </si>
  <si>
    <t>Stainless steel, Flat, Hot rolled Stainless Steel  (Outokumpu Oyj) (Global)</t>
  </si>
  <si>
    <t>EPD-OTO-20190003-IBD1-EN</t>
  </si>
  <si>
    <t>Stainless steel, Flat, Stainless steel flat products (BE group) (Europe)</t>
  </si>
  <si>
    <t>S-P-07998</t>
  </si>
  <si>
    <t>https://api.environdec.com/api/v1/EPDLibrary/Files/a52f73dc-e75a-444c-1576-08daf357f6d4/Data</t>
  </si>
  <si>
    <t>Stainless steel, Flat, Cold-rolled Ferritic stainless steel (Acerinox ) (Europe)</t>
  </si>
  <si>
    <t>S-P-08508</t>
  </si>
  <si>
    <t>https://environdec.com/library/epd8507</t>
  </si>
  <si>
    <t>Steel</t>
  </si>
  <si>
    <t>Steel, Structural sections (hot - rolled)</t>
  </si>
  <si>
    <t>Structural steel (hot rolled)</t>
  </si>
  <si>
    <t>Steel, Structural sections (hot - rolled), XLERPLATE® steel – Low Carbon Steel (Bluescope)</t>
  </si>
  <si>
    <t>S-P-00558</t>
  </si>
  <si>
    <t>https://epd-australasia.com/wp-content/uploads/2018/04/BSS22179-XLER_EPD_2020_Final.pdf</t>
  </si>
  <si>
    <t>Steel, Structural sections (hot - rolled), XLERPLATE® steel – Medium Carbon Steel (Bluescope)</t>
  </si>
  <si>
    <t>S-P-00559</t>
  </si>
  <si>
    <t>Steel, Structural sections (hot - rolled), XLERPLATE® steel – Alloyed Steel (Bluescope)</t>
  </si>
  <si>
    <t>S-P-00560</t>
  </si>
  <si>
    <t>Steel, Structural sections (hot - rolled), Steel – Welded Beams and Columns (Bluescope)</t>
  </si>
  <si>
    <t>https://epd-australasia.com/wp-content/uploads/2018/04/BSS22179-WB_C_EPD_2020_Final.pdf</t>
  </si>
  <si>
    <t>Steel, Structural sections (hot - rolled), Hot Rolled Coil – Low Carbon Steel (Bluescope)</t>
  </si>
  <si>
    <t>S-P-00557</t>
  </si>
  <si>
    <t>https://epd-australasia.com/wp-content/uploads/2018/03/BSS22179-HRC_EPD_2020_Final.pdf</t>
  </si>
  <si>
    <t>Steel, Structural sections (hot - rolled), Hot Rolled Coil – Medium Carbon Steel (Bluescope)</t>
  </si>
  <si>
    <t>Steel, Structural sections (hot - rolled), Hot Rolled Coil – Alloyed Steel (Bluescope)</t>
  </si>
  <si>
    <t>Steel, Structural purlins and grits (cold - rolled)</t>
  </si>
  <si>
    <t>Structural steel (cold rolled)</t>
  </si>
  <si>
    <t>Steel, Structural purlins and grits (cold - rolled), GALVASPAN® steel in 3.00mm base metal thickness (BMT), incl. rollforming (Bluescope)</t>
  </si>
  <si>
    <t>S-P-09341</t>
  </si>
  <si>
    <t>https://epd-australasia.com/wp-content/uploads/2023/08/SP09341-Bluescope-EPD-GALVASPAN_Jul23.pdf</t>
  </si>
  <si>
    <t>Steel, Structural purlins and grits (cold - rolled), GALVASPAN® steel in 2.40mm base metal thickness (BMT), incl. rollforming (Bluescope)</t>
  </si>
  <si>
    <t>Steel, Structural purlins and grits (cold - rolled), GALVASPAN® steel in 1.90mm base metal thickness (BMT), incl. rollforming (Bluescope)</t>
  </si>
  <si>
    <t>Steel, Structural framing (cold - rolled)</t>
  </si>
  <si>
    <t>Steel, Structural framing (cold - rolled), TRUECORE® steel in 1.60mm base material thickness (BMT), incl. rollforming (Bluescope)</t>
  </si>
  <si>
    <t>S-P-08455</t>
  </si>
  <si>
    <t>https://epd-australasia.com/wp-content/uploads/2023/06/SP08455-Bluescope-EPD_Truecore_May23.pdf</t>
  </si>
  <si>
    <t>Steel, Structural purlins and grits (cold - rolled), GALVASPAN® steel in 1.50mm base metal thickness (BMT), incl. rollforming (Bluescope)</t>
  </si>
  <si>
    <t>Steel, Structural framing (cold - rolled), TRUECORE® steel in 1.50mm base material thickness (BMT), incl. rollforming (Bluescope)</t>
  </si>
  <si>
    <t>Steel, Structural purlins and grits (cold - rolled), GALVASPAN® steel in 1.20mm base metal thickness (BMT), incl. rollforming (Bluescope)</t>
  </si>
  <si>
    <t>Steel, Structural framing (cold - rolled), TRUECORE® steel in 1.20mm base material thickness (BMT), incl. rollforming (Bluescope)</t>
  </si>
  <si>
    <t>Steel, Structural framing (cold - rolled), TRUECORE® steel in 1.15mm base material thickness (BMT), incl. rollforming (Bluescope)</t>
  </si>
  <si>
    <t>Steel, Structural purlins and grits (cold - rolled), GALVASPAN® steel in 1.00mm base metal thickness (BMT), incl. rollforming (Bluescope)</t>
  </si>
  <si>
    <t>Steel, Structural framing (cold - rolled), TRUECORE® steel in 1.00mm base material thickness (BMT), incl. rollforming (Bluescope)</t>
  </si>
  <si>
    <t>Steel, Structural framing (cold - rolled), TRUECORE® steel in 0.95mm base material thickness (BMT), incl. rollforming (Bluescope)</t>
  </si>
  <si>
    <t>Steel, Structural framing (cold - rolled), TRUECORE® steel in 0.75mm base material thickness (BMT), incl. rollforming (Bluescope)</t>
  </si>
  <si>
    <t>Steel, Structural framing (cold - rolled), TRUECORE® steel in 0.60mm base material thickness (BMT), incl. rollforming (Bluescope)</t>
  </si>
  <si>
    <t>Steel, Structural framing (cold - rolled), TRUECORE® steel in 0.55mm base material thickness (BMT), incl. rollforming (Bluescope)</t>
  </si>
  <si>
    <t>Steel, Structural framing (cold - rolled), TRUECORE® steel in 0.48mm base material thickness (BMT), incl. rollforming (Bluescope)</t>
  </si>
  <si>
    <t>Steel, Structural framing (cold - rolled), TRUECORE® steel in 0.42mm base material thickness (BMT), incl. rollforming (Bluescope)</t>
  </si>
  <si>
    <t>Steel, Structural purlins and grits (cold - rolled), GALVASPAN® steel in 1.00mm base metal thickness (BMT) (Bluescope)</t>
  </si>
  <si>
    <t>Steel, Structural purlins and grits (cold - rolled), GALVASPAN® steel in 1.20mm base metal thickness (BMT) (Bluescope)</t>
  </si>
  <si>
    <t>Steel, Structural purlins and grits (cold - rolled), GALVASPAN® steel in 1.50mm base metal thickness (BMT) (Bluescope)</t>
  </si>
  <si>
    <t>Steel, Structural purlins and grits (cold - rolled), GALVASPAN® steel in 1.90mm base metal thickness (BMT) (Bluescope)</t>
  </si>
  <si>
    <t>Steel, Structural purlins and grits (cold - rolled), GALVASPAN® steel in 2.40mm base metal thickness (BMT) (Bluescope)</t>
  </si>
  <si>
    <t>Steel, Structural formwork and decking (cold - rolled)</t>
  </si>
  <si>
    <t>Steel, Structural formwork and decking (cold - rolled), DECKFORM® steel in 0.60mm base material thickness (BMT) (Bluescope)</t>
  </si>
  <si>
    <t>S-P-08457</t>
  </si>
  <si>
    <t>https://epd-australasia.com/wp-content/uploads/2023/06/SP08457-Bluescope-EPD_Deckform_May23.pdf</t>
  </si>
  <si>
    <t>Steel, Structural formwork and decking (cold - rolled), DECKFORM® steel in 0.75mm base material thickness (BMT) (Bluescope)</t>
  </si>
  <si>
    <t>Steel, Structural formwork and decking (cold - rolled), DECKFORM® steel in 0.90mm base material thickness (BMT) (Bluescope)</t>
  </si>
  <si>
    <t>Steel, Structural formwork and decking (cold - rolled), Low Glare DECKFORM® steel in 0.60mm base material thickness (BMT) (Bluescope)</t>
  </si>
  <si>
    <t>Steel, Structural purlins and grits (cold - rolled), GALVASPAN® steel in 3.00mm base metal thickness (BMT) (Bluescope)</t>
  </si>
  <si>
    <t>Steel, Structural formwork and decking (cold - rolled), DECKFORM® steel in 1.00mm base material thickness (BMT) (Bluescope)</t>
  </si>
  <si>
    <t>Steel, Structural formwork and decking (cold - rolled), Low Glare DECKFORM® steel in 1.00mm base material thickness (BMT) (Bluescope)</t>
  </si>
  <si>
    <t>Steel, Structural formwork and decking (cold - rolled), Low Glare DECKFORM® steel in 0.75mm base material thickness (BMT) (Bluescope)</t>
  </si>
  <si>
    <t>Steel, Structural formwork and decking (cold - rolled), Low Glare DECKFORM® steel in 0.90mm base material thickness (BMT) (Bluescope)</t>
  </si>
  <si>
    <t>Steel, Structural framing (cold - rolled), TRUECORE® steel in 0.42mm base material thickness (BMT) (Bluescope)</t>
  </si>
  <si>
    <t>Steel, Structural framing (cold - rolled), TRUECORE® steel in 0.48mm base material thickness (BMT) (Bluescope)</t>
  </si>
  <si>
    <t>Steel, Structural framing (cold - rolled), TRUECORE® steel in 0.55mm base material thickness (BMT) (Bluescope)</t>
  </si>
  <si>
    <t>Steel, Structural framing (cold - rolled), TRUECORE® steel in 0.60mm base material thickness (BMT) (Bluescope)</t>
  </si>
  <si>
    <t>Steel, Structural framing (cold - rolled), TRUECORE® steel in 0.75mm base material thickness (BMT) (Bluescope)</t>
  </si>
  <si>
    <t>Steel, Structural formwork and decking (cold - rolled), DECKFORM® steel in 1.50mm base material thickness (BMT) (Bluescope)</t>
  </si>
  <si>
    <t>Steel, Structural framing (cold - rolled), TRUECORE® steel in 0.95mm base material thickness (BMT) (Bluescope)</t>
  </si>
  <si>
    <t>Steel, Reinforcing</t>
  </si>
  <si>
    <t>Steel, Reinforcing bar, Steel reinforcement, recycled, bar (ARC), Australia</t>
  </si>
  <si>
    <t>S-P-00858</t>
  </si>
  <si>
    <t>https://epd-australasia.com/wp-content/uploads/2018/04/SP-00858_ARC-Reinforcing-Bar-Mesh-EPD_2022.pdf</t>
  </si>
  <si>
    <t>Steel, Reinforcing mesh, Steel reinforcement, recycled, mesh (ARC)  , Australia</t>
  </si>
  <si>
    <t>S-P-00859</t>
  </si>
  <si>
    <t>Steel, Structural sections (hot - rolled), Steel, equal angle (EA), structural section, unpainted, 125 x 125 x 8 mm to 200 x 200 x 26 mm,  (InfraBuild via Distributor IBSC), Australia</t>
  </si>
  <si>
    <t>S-P-00856</t>
  </si>
  <si>
    <t>https://epd-australasia.com/wp-content/uploads/2018/04/SP-00856_Hot-Rolled-Structural-and-Merchant-Bar-Products-EPD_IBSC_2022.pdf</t>
  </si>
  <si>
    <t>Steel, Structural sections (hot - rolled), Steel, parallel flange channel (PFC), structural section, unpainted, 180 x 75 mm to 380 x 100 mm,  (InfraBuild via Distributor IBSC), Australia</t>
  </si>
  <si>
    <t>S-P-00857</t>
  </si>
  <si>
    <t>Steel, Structural sections (hot - rolled), Steel, universal beam (UB),  structural section, unpainted, 150 x 75 mm to 612 x 229 mm,  (InfraBuild via Distributor IBSC), Australia</t>
  </si>
  <si>
    <t>Steel, Structural sections (hot - rolled), Steel, universal column (UC), structural section, unpainted, 97 x 99 mm to 327 x 311 mm,  (InfraBuild via Distributor IBSC), Australia</t>
  </si>
  <si>
    <t>Steel, Structural sections (cold - rolled)</t>
  </si>
  <si>
    <t>Steel, Structural sections (cold - rolled), Steel, equal angle (EA), merchant bar, unpainted, 25 x 25 x 3 mm to 100 x 100 x 12 mm,  (InfraBuild via Distributor IBSC), Australia</t>
  </si>
  <si>
    <t>S-P-00860</t>
  </si>
  <si>
    <t>Steel, Structural sections (cold - rolled), Steel, unequal angles, merchant bar, unpainted, 65 x 50 x 5 mm to 125 x 75 x 12 mm,  (InfraBuild via Distributor IBSC), Australia</t>
  </si>
  <si>
    <t>S-P-00861</t>
  </si>
  <si>
    <t>Steel, Structural sections (cold - rolled), Steel, parallel flange channels (PFC),  merchant bar, unpainted, 180 x 75 mm to 380 x 100 mm,  (InfraBuild via Distributor IBSC), Australia</t>
  </si>
  <si>
    <t>S-P-00862</t>
  </si>
  <si>
    <t>Steel, Structural sections (cold - rolled), Steel, flat Bar (SEF), merchant bar, unpainted, 20 x 10 mm to 150 x 25 mm,  (InfraBuild via Distributor IBSC), Australia</t>
  </si>
  <si>
    <t>S-P-00863</t>
  </si>
  <si>
    <t>Steel, Structural sections (cold - rolled), Steel, square Bar, merchant bar, unpainted, 10 mm to 40 mm,  (InfraBuild via Distributor IBSC), Australia</t>
  </si>
  <si>
    <t>S-P-00864</t>
  </si>
  <si>
    <t>Steel, Structural sections (cold - rolled), Steel, round Bar, merchant bar, unpainted, 10 mm to 90 mm,  (InfraBuild via Distributor IBSC), Australia</t>
  </si>
  <si>
    <t>S-P-00865</t>
  </si>
  <si>
    <t>Steel, Structural sections (cold - rolled), Steel, equal angle (EA), merchant bar, unpainted, 25 x 25 x 3 mm to 100 x 100 x 12 mm,  (InfraBuild, Australia), Australia</t>
  </si>
  <si>
    <t>S-P-00866</t>
  </si>
  <si>
    <t>https://epd-australasia.com/wp-content/uploads/2018/04/SP-00854_Hot-Rolled-Structural-Merchant-Bar-EPD_2022.pdf</t>
  </si>
  <si>
    <t>S-P-00867</t>
  </si>
  <si>
    <t>Steel, Structural sections (cold - rolled), Steel, unequal angles, merchant bar, unpainted, 65 x 50 x 5 mm to 125 x 75 x 12 mm,  (InfraBuild, Australia), Australia</t>
  </si>
  <si>
    <t>S-P-00868</t>
  </si>
  <si>
    <t>Steel, Structural sections (cold - rolled), Steel, flat Bar (SEF), merchant bar, unpainted, 20 x 10 mm to 150 x 25 mm,  (InfraBuild, Australia), Australia</t>
  </si>
  <si>
    <t>S-P-00869</t>
  </si>
  <si>
    <t>Steel, Structural sections (cold - rolled), Steel, square Bar, merchant bar, unpainted, 10 mm to 40 mm,  (InfraBuild, Australia), Australia</t>
  </si>
  <si>
    <t>S-P-00870</t>
  </si>
  <si>
    <t>Steel, Structural sections (cold - rolled), Steel, round Bar, merchant bar, unpainted, 10 mm to 90 mm,  (InfraBuild, Australia), Australia</t>
  </si>
  <si>
    <t>S-P-00871</t>
  </si>
  <si>
    <t>Steel, Reinforcing bar, Steel, Reinforcing bar, 10 mm to 50 mm,  (InfraBuild, Australia), Australia</t>
  </si>
  <si>
    <t>https://epd-australasia.com/wp-content/uploads/2018/04/SP-00857_Reinforcing-Bar-and-Mesh-EPD-InfraBuild-Reinforcing_2022.pdf</t>
  </si>
  <si>
    <t>Steel, Reinforcing bar, Steel, reinforcing component of (piles, ground beams, pad footings, columns, beams, arches and lattice girders), (InfraBuild, Australia), Australia</t>
  </si>
  <si>
    <t>Steel, Reinforcing mesh, Steel, Reinforcing carpets (BAMTEC®) (InfraBuild, Australia), Australia</t>
  </si>
  <si>
    <t>Steel, Reinforcing mesh, Steel, Reinforcing Mesh - SL53 to SL81, RL718 to RL1218 (mm) (InfraBuild, Australia), Australia</t>
  </si>
  <si>
    <t>Steel, Structural sections (hot - rolled), Steel, equal angle (EA), structural section, unpainted, 125 x 125 x 8 mm to 200 x 200 x 26 mm,  (Liberty Primary Steel, Australia), Australia</t>
  </si>
  <si>
    <t>S-P-01547</t>
  </si>
  <si>
    <t>https://epd-australasia.com/wp-content/uploads/2016/09/SP-01547_Hot-Rolled-Structural-and-Rail-Products-EPD-Liberty-Primary-Steel_2022.pdf</t>
  </si>
  <si>
    <t>Steel, Structural sections (hot - rolled), Steel, parallel flange channel (PFC), structural section, unpainted, 180 x 75 mm to 380 x 100 mm,  (Liberty Primary Steel, Australia), Australia</t>
  </si>
  <si>
    <t>Steel, Structural sections (hot - rolled), Steel, universal beam (UB),  structural section, unpainted, 150 x 75 mm to 612 x 229 mm,  (Liberty Primary Steel, Australia), Australia</t>
  </si>
  <si>
    <t>Steel, Structural sections (hot - rolled), Steel, universal columns (UC),  structural section, unpainted, 97 x 99 mm to 327 x 311 mm,  (Liberty Primary Steel, Australia), Australia</t>
  </si>
  <si>
    <t>Steel, Reinforcing Prefabricated cages , Steel, Prefabricated cages,  (Ausreo), Australia</t>
  </si>
  <si>
    <t>S-P-08459</t>
  </si>
  <si>
    <t>https://epd-australasia.com/wp-content/uploads/2023/06/SP08459-AUSREO-EPD-Reinforcing-Bar-Prefabricated-Steel-Reinforcement-Cages-260623.pdf</t>
  </si>
  <si>
    <t>Steel, Reinforcing bar, Steel, Bars,  (Ausreo), Australia</t>
  </si>
  <si>
    <t>Steel, Structural formwork and decking (cold - rolled), Low Glare DECKFORM® steel in 1.50mm base material thickness (BMT) (Bluescope)</t>
  </si>
  <si>
    <t>Steel, Structural framing (cold - rolled), TRUECORE® steel in 1.00mm base material thickness (BMT) (Bluescope)</t>
  </si>
  <si>
    <t>Steel, Structural framing (cold - rolled), TRUECORE® steel in 1.15mm base material thickness (BMT) (Bluescope)</t>
  </si>
  <si>
    <t>Steel, Structural framing (cold - rolled), TRUECORE® steel in 1.20mm base material thickness (BMT) (Bluescope)</t>
  </si>
  <si>
    <t>Steel, Structural framing (cold - rolled), TRUECORE® steel in 1.50mm base material thickness (BMT) (Bluescope)</t>
  </si>
  <si>
    <t>Steel, Structural framing (cold - rolled), TRUECORE® steel in 1.60mm base material thickness (BMT) (Bluescope)</t>
  </si>
  <si>
    <t>Steel, reinforcing</t>
  </si>
  <si>
    <t>Steel, reinforcing, Steel reinforcing bar/coil (NatSteel) (Global)</t>
  </si>
  <si>
    <t>Bre-000379</t>
  </si>
  <si>
    <t>https://www.greenbooklive.com/filelibrary/EN_15804/EPD/BREGENEPD000379.pdf</t>
  </si>
  <si>
    <t>Steel, Structural steel (cold - rolled)</t>
  </si>
  <si>
    <t>Structural steel , Structural steel (cold - rolled), Representative product 681 (Rondo) (Australia)</t>
  </si>
  <si>
    <t>S-P-01548</t>
  </si>
  <si>
    <t>https://www.rondo.com.au/media/3338/epd-sp01548-rondo.pdf</t>
  </si>
  <si>
    <t>Structural steel , Structural steel (cold - rolled), Representative product 592 (Rondo) (Australia)</t>
  </si>
  <si>
    <t>Structural steel , Structural steel (cold - rolled), Representative product 495 (Rondo) (Australia)</t>
  </si>
  <si>
    <t>Structural steel , Structural steel (cold - rolled), Representative product 107 (Rondo) (Australia)</t>
  </si>
  <si>
    <t>Structural steel , Structural steel (cold - rolled), Representative product 506 (Rondo) (Australia)</t>
  </si>
  <si>
    <t>Steel, Reinforcing, Carbon steel reinforcing bar (sector average) - maximum (Carbon steel reinforcing bar) (Global)</t>
  </si>
  <si>
    <t>Bre-000125</t>
  </si>
  <si>
    <t>https://www.greenbooklive.com/filelibrary/EN_15804/EPD/BREGENEPD000125.pdf</t>
  </si>
  <si>
    <t>Steel, Reinforcing, Carbon steel reinforcing bar (sector average) - minimum (Carbon steel reinforcing bar) (Global)</t>
  </si>
  <si>
    <t xml:space="preserve">Steel </t>
  </si>
  <si>
    <t>Steel, Reinforcing wire, Prestressed Concrete Steel Wire Strand (Siam Industrial Wire Co. Ltd) (Global)</t>
  </si>
  <si>
    <t>S-P-05640</t>
  </si>
  <si>
    <t>https://api.environdec.com/api/v1/EPDLibrary/Files/a3e7ac80-e486-43af-4892-08db1f315c5e/Data</t>
  </si>
  <si>
    <t>Steel , Reinforcing</t>
  </si>
  <si>
    <t>Steel, Reinforcing, Average reinforcement steel bars (Jindal) (India, Global)</t>
  </si>
  <si>
    <t>India, Global</t>
  </si>
  <si>
    <t>S-P-09805</t>
  </si>
  <si>
    <t>Steel, Reinforcing, Steel Rebar (Raajratna) (India, Global)</t>
  </si>
  <si>
    <t>S-P-09225</t>
  </si>
  <si>
    <t>https://api.environdec.com/api/v1/EPDLibrary/Files/da89e40d-b6a1-4fd3-9abd-08db7e35bd3c/Data</t>
  </si>
  <si>
    <t>Steel, Reinforcing strand, PC Strand (Galcore) (Global)</t>
  </si>
  <si>
    <t>S-P-11535</t>
  </si>
  <si>
    <t>https://api.environdec.com/api/v1/EPDLibrary/Files/34263db7-19ae-4bf1-561c-08dbdfa90a02/Data</t>
  </si>
  <si>
    <t>Steel , Structural steel (hot - rolled)</t>
  </si>
  <si>
    <t>Steel, Structural steel (hot - rolled), Steel structural hollow sections (Tata) (India, Global)</t>
  </si>
  <si>
    <t>S-P-05020</t>
  </si>
  <si>
    <t>https://api.environdec.com/api/v1/EPDLibrary/Files/36c98de3-5def-4a53-f0ff-08daa04473b0/Data</t>
  </si>
  <si>
    <t>Steel, Structural steel (hot - rolled), Average structural steel product (Jindal) (India, Global)</t>
  </si>
  <si>
    <t>S-P-09803</t>
  </si>
  <si>
    <t>https://api.environdec.com/api/v1/EPDLibrary/Files/20aeac82-0577-44cc-13f9-08dbca69748b/Data</t>
  </si>
  <si>
    <t>Steel, Reinforcing strand, Multi-strand post-tensioning system anchorage Type GC (VSL International Ltd.) (Global)</t>
  </si>
  <si>
    <t>S-P-11599</t>
  </si>
  <si>
    <t>https://api.environdec.com/api/v1/EPDLibrary/Files/95f88ffa-808a-4b86-dd8d-08dbf085b35e/Data</t>
  </si>
  <si>
    <t>Steel, , Non-Alloy Structural Steel (secondary production route - scrap) (Izmir Demir Celik Sanayi ) (Global)</t>
  </si>
  <si>
    <t>ECO EPD 00000614</t>
  </si>
  <si>
    <t>Eco Platform EPD</t>
  </si>
  <si>
    <t>https://www.greenbooklive.com/filelibrary/EN_15804/EPD/BREGENEPD000182.pdf</t>
  </si>
  <si>
    <t>Galvanizing, , Hot Dip Galvanizing in Australia (galvanizing impact of 1 kg of zinc) (Galavanizers Australia) (Australia)</t>
  </si>
  <si>
    <t>Steel, Reinforcing, Reinforcing steel in bars and coils (Sidenor) (Greece, Global)</t>
  </si>
  <si>
    <t>Greece, Global</t>
  </si>
  <si>
    <t>S-P-09422</t>
  </si>
  <si>
    <t>https://api.environdec.com/api/v1/EPDLibrary/Files/9e61bba0-ad55-426b-8d68-08db7203e99c/Data</t>
  </si>
  <si>
    <t>Steel, , Non-alloy structural steel (direct reduced iron production) (Emirates steel Industries) (Global)</t>
  </si>
  <si>
    <t>ECO EPD 000426</t>
  </si>
  <si>
    <t>https://www.greenbooklive.com/filelibrary/EN_15804/EPD/BREGENEPD000132.pdf</t>
  </si>
  <si>
    <t>Steel cladding - metallic coated</t>
  </si>
  <si>
    <t>Steel cladding - metallic coat</t>
  </si>
  <si>
    <t>Steel, Steel cladding - metallic coated, ZINCALUME® steel in 1.20mm base material thickness (BMT), incl. rollforming (Bluescope)</t>
  </si>
  <si>
    <t>S-P-08456</t>
  </si>
  <si>
    <t>https://epd-australasia.com/wp-content/uploads/2023/06/SP08456-Bluescope-EPD_Zincalume_May23.pdf</t>
  </si>
  <si>
    <t>Steel, Steel cladding - metallic coated, ZINCALUME® steel in 1.15mm base material thickness (BMT), incl. rollforming (Bluescope)</t>
  </si>
  <si>
    <t>Steel, Steel cladding - metallic coated, ZINCALUME® steel in 1.00mm base material thickness (BMT), incl. rollforming (Bluescope)</t>
  </si>
  <si>
    <t>Steel, Steel cladding - metallic coated, ZINCALUME® steel in 0.95mm base material thickness (BMT), incl. rollforming (Bluescope)</t>
  </si>
  <si>
    <t>Steel, Steel cladding - metallic coated, ZINCALUME® steel in 0.75mm base material thickness (BMT), incl. rollforming (Bluescope)</t>
  </si>
  <si>
    <t>Steel, Steel cladding - metallic coated, ZINCALUME® steel in 0.70mm base material thickness (BMT), incl. rollforming (Bluescope)</t>
  </si>
  <si>
    <t>Steel, Steel cladding - metallic coated, ZINCALUME® steel in 0.60mm base material thickness (BMT), incl. rollforming (Bluescope)</t>
  </si>
  <si>
    <t>Steel, Steel cladding - metallic coated, ZINCALUME® steel in 0.55mm base material thickness (BMT), incl. rollforming (Bluescope)</t>
  </si>
  <si>
    <t>Steel, Steel cladding - metallic coated, ZINCALUME® steel in 0.50mm base material thickness (BMT), incl. rollforming (Bluescope)</t>
  </si>
  <si>
    <t>Steel, Steel cladding - metallic coated, ZINCALUME® steel in 0.48mm base material thickness (BMT), incl. rollforming (Bluescope)</t>
  </si>
  <si>
    <t>Steel, Steel cladding - metallic coated, ZINCALUME® steel in 0.42mm base material thickness (BMT), incl. rollforming (Bluescope)</t>
  </si>
  <si>
    <t>Steel, Steel cladding - metallic coated, ZINCALUME® steel in 0.38mm base material thickness (BMT), incl. rollforming (Bluescope)</t>
  </si>
  <si>
    <t>Steel, Steel cladding - metallic coated, ZINCALUME® steel in 0.40mm base material thickness (BMT), incl. rollforming (Bluescope)</t>
  </si>
  <si>
    <t>Steel, Steel cladding - metallic coated, ZINCALUME® steel in 0.35mm base material thickness (BMT), incl. rollforming (Bluescope)</t>
  </si>
  <si>
    <t>Steel, Steel cladding - metallic coated, ZINCALUME® steel in 0.30mm base material thickness (BMT), incl. rollforming (Bluescope)</t>
  </si>
  <si>
    <t>Steel cladding - metallic coated, , Galvanized steel product (JSW Steel) (Global)</t>
  </si>
  <si>
    <t>S-P-06487</t>
  </si>
  <si>
    <t>https://api.environdec.com/api/v1/EPDLibrary/Files/48a27610-9f09-45b2-8009-08dbb657dbae/Data</t>
  </si>
  <si>
    <t>Steel, Steel cladding - metallic coated, GALVABOND® steel with a zinc coating class of Z100 in 0.37mm base metal thickness (BMT) (Bluescope)</t>
  </si>
  <si>
    <t>S-P-09342</t>
  </si>
  <si>
    <t>https://epd-australasia.com/wp-content/uploads/2023/08/SP09342-Bluescope-EPD-GALVABOND_Jul23.pdf</t>
  </si>
  <si>
    <t>Steel, Steel cladding - metallic coated, GALVABOND® steel with a zinc coating class of Z100 in 0.40mm base metal thickness (BMT) (Bluescope)</t>
  </si>
  <si>
    <t>Steel, Steel cladding - metallic coated, GALVABOND® steel with a zinc coating class of Z275 in 0.40mm base metal thickness (BMT) (Bluescope)</t>
  </si>
  <si>
    <t>Steel, Steel cladding - metallic coated, GALVABOND® steel with a zinc coating class of Z100 in 0.45mm base metal thickness (BMT) (Bluescope)</t>
  </si>
  <si>
    <t>Steel, Steel cladding - metallic coated, GALVABOND® steel with a zinc coating class of Z100 in 0.50mm base metal thickness (BMT) (Bluescope)</t>
  </si>
  <si>
    <t>Steel, Steel cladding - metallic coated, GALVABOND® steel with a zinc coating class of Z200 in 0.40mm base metal thickness (BMT) (Bluescope)</t>
  </si>
  <si>
    <t>Steel, Steel cladding - metallic coated, GALVABOND® steel with a zinc coating class of Z275 in 0.50mm base metal thickness (BMT) (Bluescope)</t>
  </si>
  <si>
    <t>Steel, Steel cladding - metallic coated, GALVABOND® steel with a zinc coating class of Z100 in 0.55mm base metal thickness (BMT) (Bluescope)</t>
  </si>
  <si>
    <t>Steel, Steel cladding - metallic coated, GALVABOND® steel with a zinc coating class of Z275 in 0.55mm base metal thickness (BMT) (Bluescope)</t>
  </si>
  <si>
    <t>Steel, Steel cladding - metallic coated, GALVABOND® steel with a zinc coating class of Z275 in 0.60mm base metal thickness (BMT) (Bluescope)</t>
  </si>
  <si>
    <t>Steel, Steel cladding - metallic coated, GALVABOND® steel with a zinc coating class of Z200 in 0.50mm base metal thickness (BMT) (Bluescope)</t>
  </si>
  <si>
    <t>Steel, Steel cladding - metallic coated, GALVABOND® steel with a zinc coating class of Z200 in 0.55mm base metal thickness (BMT) (Bluescope)</t>
  </si>
  <si>
    <t>Steel, Steel cladding - metallic coated, GALVABOND® steel with a zinc coating class of Z100 in 0.70mm base metal thickness (BMT) (Bluescope)</t>
  </si>
  <si>
    <t>Steel, Steel cladding - metallic coated, GALVABOND® steel with a zinc coating class of Z275 in 0.70mm base metal thickness (BMT) (Bluescope)</t>
  </si>
  <si>
    <t>Steel, Steel cladding - metallic coated, GALVABOND® steel with a zinc coating class of Z100 in 0.75mm base metal thickness (BMT) (Bluescope)</t>
  </si>
  <si>
    <t>Steel, Steel cladding - metallic coated, GALVABOND® steel with a zinc coating class of Z275 in 0.75mm base metal thickness (BMT) (Bluescope)</t>
  </si>
  <si>
    <t>Steel, Steel cladding - metallic coated, ZINCALUME® steel in 0.30mm base material thickness (BMT) (Bluescope)</t>
  </si>
  <si>
    <t>Steel, Steel cladding - metallic coated, GALVABOND® steel with a zinc coating class of Z275 in 0.80mm base metal thickness (BMT) (Bluescope)</t>
  </si>
  <si>
    <t>Steel, Steel cladding - metallic coated, GALVABOND® steel with a zinc coating class of Z275 in 0.85mm base metal thickness (BMT) (Bluescope)</t>
  </si>
  <si>
    <t>Steel, Steel cladding - metallic coated, ZINCALUME® steel in 0.35mm base material thickness (BMT) (Bluescope)</t>
  </si>
  <si>
    <t>Steel, Steel cladding - metallic coated, GALVABOND® steel with a zinc coating class of Z275 in 0.90mm base metal thickness (BMT) (Bluescope)</t>
  </si>
  <si>
    <t>Steel, Steel cladding - metallic coated, GALVABOND® steel with a zinc coating class of Z275 in 0.95mm base metal thickness (BMT) (Bluescope)</t>
  </si>
  <si>
    <t>Steel, Steel cladding - metallic coated, ZINCALUME® steel in 0.38mm base material thickness (BMT) (Bluescope)</t>
  </si>
  <si>
    <t>Steel, Steel cladding - metallic coated, GALVABOND® steel with a zinc coating class of Z100 in 1.00mm base metal thickness (BMT) (Bluescope)</t>
  </si>
  <si>
    <t>Steel, Steel cladding - metallic coated, GALVABOND® steel with a zinc coating class of Z275 in 1.00mm base metal thickness (BMT) (Bluescope)</t>
  </si>
  <si>
    <t>Steel, Steel cladding - metallic coated, ZINCALUME® steel in 0.40mm base material thickness (BMT) (Bluescope)</t>
  </si>
  <si>
    <t>Steel, Steel cladding - metallic coated, ZINCALUME® steel in 0.42mm base material thickness (BMT) (Bluescope)</t>
  </si>
  <si>
    <t>Steel, Steel cladding - metallic coated, GALVABOND® steel with a zinc coating class of Z275 in 1.10mm base metal thickness (BMT) (Bluescope)</t>
  </si>
  <si>
    <t>Steel, Steel cladding - metallic coated, GALVABOND® steel with a zinc coating class of Z275 in 1.15mm base metal thickness (BMT) (Bluescope)</t>
  </si>
  <si>
    <t>Steel, Steel cladding - metallic coated, ZINCALUME® steel in 0.48mm base material thickness (BMT) (Bluescope)</t>
  </si>
  <si>
    <t>Steel, Steel cladding - metallic coated, GALVABOND® steel with a zinc coating class of Z275 in 1.20mm base metal thickness (BMT) (Bluescope)</t>
  </si>
  <si>
    <t>Steel, Steel cladding - metallic coated, ZINCALUME® steel in 0.50mm base material thickness (BMT) (Bluescope)</t>
  </si>
  <si>
    <t>Steel, Steel cladding - metallic coated, ZINCALUME® steel in 0.55mm base material thickness (BMT) (Bluescope)</t>
  </si>
  <si>
    <t>Steel, Steel cladding - metallic coated, ZINCALUME® steel in 0.60mm base material thickness (BMT) (Bluescope)</t>
  </si>
  <si>
    <t>Steel, Steel cladding - metallic coated, GALVABOND® steel with a zinc coating class of Z275 in 1.50mm base metal thickness (BMT) (Bluescope)</t>
  </si>
  <si>
    <t>Steel, Steel cladding - metallic coated, GALVABOND® steel with a zinc coating class of Z275 in 1.55mm base metal thickness (BMT) (Bluescope)</t>
  </si>
  <si>
    <t>Steel, Steel cladding - metallic coated, GALVABOND® steel with a zinc coating class of Z275 in 1.60mm base metal thickness (BMT) (Bluescope)</t>
  </si>
  <si>
    <t>Steel, Steel cladding - metallic coated, GALVABOND® steel with a zinc coating class of Z200 in 1.40mm base metal thickness (BMT) (Bluescope)</t>
  </si>
  <si>
    <t>Steel, Steel cladding - metallic coated, GALVABOND® steel with a zinc coating class of Z275 in 1.90mm base metal thickness (BMT) (Bluescope)</t>
  </si>
  <si>
    <t>Steel, Steel cladding - metallic coated, GALVABOND® steel with a zinc coating class of Z275 in 1.95mm base metal thickness (BMT) (Bluescope)</t>
  </si>
  <si>
    <t>Steel, Steel cladding - metallic coated, GALVABOND® steel with a zinc coating class of Z275 in 2.40mm base metal thickness (BMT) (Bluescope)</t>
  </si>
  <si>
    <t>Steel, Steel cladding - metallic coated, GALVABOND® steel with a zinc coating class of Z275 in 2.90mm base metal thickness (BMT) (Bluescope)</t>
  </si>
  <si>
    <t>Steel, Steel cladding - metallic coated, ZINCALUME® steel in 0.70mm base material thickness (BMT) (Bluescope)</t>
  </si>
  <si>
    <t>Steel, Steel cladding - metallic coated, ZINCALUME® steel in 0.75mm base material thickness (BMT) (Bluescope)</t>
  </si>
  <si>
    <t>Steel, Steel cladding - metallic coated, ZINCALUME® steel in 0.95mm base material thickness (BMT) (Bluescope)</t>
  </si>
  <si>
    <t>Steel, Steel cladding - metallic coated, ZINCALUME® steel in 1.00mm base material thickness (BMT) (Bluescope)</t>
  </si>
  <si>
    <t>Steel, Steel cladding - metallic coated, ZINCALUME® steel in 1.15mm base material thickness (BMT) (Bluescope)</t>
  </si>
  <si>
    <t>Steel, Steel cladding - metallic coated, ZINCALUME® steel in 1.20mm base material thickness (BMT) (Bluescope)</t>
  </si>
  <si>
    <t>Steel cladding - metallic coated, , Magnaflow 0.42mm (Colorcote) (New Zealand)</t>
  </si>
  <si>
    <t>S-P-01542</t>
  </si>
  <si>
    <t>Steel cladding - metallic coated, , Magnaflow 0.48mm (Colorcote) (New Zealand)</t>
  </si>
  <si>
    <t>S-P-01543</t>
  </si>
  <si>
    <t>Steel cladding - painted</t>
  </si>
  <si>
    <t>Steel, Steel cladding - painted, COLORBOND® steel in 1.00mm base metal thickness (BMT), incl. rollforming (Bluescope)</t>
  </si>
  <si>
    <t>S-P-00999</t>
  </si>
  <si>
    <t>Version 2.0</t>
  </si>
  <si>
    <t>https://epd-australasia.com/wp-content/uploads/2018/04/SP00999-Bluescope-EPD-Colorbond_EPD_v2_Mar23.pdf</t>
  </si>
  <si>
    <t>Steel, Roofing, COLORBOND® Coolmax® steel in 0.55mm base material thickness (BMT), incl. rollforming (Bluescope)</t>
  </si>
  <si>
    <t>S-P-05199</t>
  </si>
  <si>
    <t>https://epd-australasia.com/wp-content/uploads/2023/03/SP05199-Bluescope-EPD-Colorbond_Coolmax_Mar23.pdf</t>
  </si>
  <si>
    <t>Steel, Steel cladding - painted, COLORBOND® steel in 0.75mm base metal thickness (BMT), incl. rollforming (Bluescope)</t>
  </si>
  <si>
    <t>Steel, Steel cladding - painted, COLORBOND® steel in 0.70mm base metal thickness (BMT), incl. rollforming (Bluescope)</t>
  </si>
  <si>
    <t>Steel, Roofing, COLORBOND® Coolmax® steel in 0.48mm base material thickness (BMT), incl. rollforming (Bluescope)</t>
  </si>
  <si>
    <t>Steel, Steel cladding - painted, COLORBOND® steel in 0.60mm base metal thickness (BMT), incl. rollforming (Bluescope)</t>
  </si>
  <si>
    <t>Steel, Roofing, COLORBOND® Coolmax® steel in 0.42mm base material thickness (BMT), incl. rollforming (Bluescope)</t>
  </si>
  <si>
    <t>Steel, Steel cladding - painted, COLORBOND® steel in 0.55mm base metal thickness (BMT), incl. rollforming (Bluescope)</t>
  </si>
  <si>
    <t>Steel, Steel cladding - painted, COLORBOND® steel in 0.48mm base metal thickness (BMT), incl. rollforming (Bluescope)</t>
  </si>
  <si>
    <t>Steel, Steel cladding - painted, COLORBOND® steel in 0.45mm base metal thickness (BMT), incl. rollforming (Bluescope)</t>
  </si>
  <si>
    <t>Steel, Steel cladding - painted, COLORBOND® steel in 0.42mm base metal thickness (BMT), incl. rollforming (Bluescope)</t>
  </si>
  <si>
    <t>Steel, Steel cladding - painted, COLORBOND® steel in 0.40mm base metal thickness (BMT), incl. rollforming (Bluescope)</t>
  </si>
  <si>
    <t>Steel, Steel cladding - painted, COLORBOND® steel in 0.35mm base metal thickness (BMT), incl. rollforming (Bluescope)</t>
  </si>
  <si>
    <t>Steel, Steel cladding - painted, COLORBOND® steel in 0.30mm base metal thickness (BMT), incl. rollforming (Bluescope)</t>
  </si>
  <si>
    <t>Steel, Roofing, COLORBOND® Coolmax® steel in 0.42mm base material thickness (BMT) (Bluescope)</t>
  </si>
  <si>
    <t>Steel, Steel cladding - painted, COLORBOND® steel Metallic in 0.42mm base metal thickness (BMT) (Bluescope)</t>
  </si>
  <si>
    <t>S-P-09343</t>
  </si>
  <si>
    <t>https://epd-australasia.com/wp-content/uploads/2023/08/SP09343-Bluescope-EPD-COLORBOND-Metallic_Jul23.pdf</t>
  </si>
  <si>
    <t>Steel, Roofing, COLORBOND® Coolmax® steel in 0.48mm base material thickness (BMT) (Bluescope)</t>
  </si>
  <si>
    <t>Steel, Steel cladding - painted, COLORBOND® steel Metallic in 0.48mm base metal thickness (BMT) (Bluescope)</t>
  </si>
  <si>
    <t>Steel, Steel cladding - painted, COLORBOND® steel in 0.30mm base metal thickness (BMT) (Bluescope)</t>
  </si>
  <si>
    <t>Steel, Roofing, COLORBOND® Coolmax® steel in 0.55mm base material thickness (BMT) (Bluescope)</t>
  </si>
  <si>
    <t>Steel, Steel cladding - painted, COLORBOND® steel Metallic in 0.55mm base metal thickness (BMT) (Bluescope)</t>
  </si>
  <si>
    <t>Steel, Steel cladding - painted, COLORBOND® steel in 0.35mm base metal thickness (BMT) (Bluescope)</t>
  </si>
  <si>
    <t>Steel, Steel cladding - painted, COLORBOND® steel Metallic in 0.60mm base metal thickness (BMT) (Bluescope)</t>
  </si>
  <si>
    <t>Steel, Steel cladding - painted, COLORBOND® steel in 0.40mm base metal thickness (BMT) (Bluescope)</t>
  </si>
  <si>
    <t>Steel, Steel cladding - painted, COLORBOND® steel in 0.42mm base metal thickness (BMT) (Bluescope)</t>
  </si>
  <si>
    <t>Steel, Steel cladding - painted, COLORBOND® steel Metallic in 0.70mm base metal thickness (BMT) (Bluescope)</t>
  </si>
  <si>
    <t>Steel, Steel cladding - painted, COLORBOND® steel in 0.45mm base metal thickness (BMT) (Bluescope)</t>
  </si>
  <si>
    <t>Steel, Steel cladding - painted, COLORBOND® steel in 0.48mm base metal thickness (BMT) (Bluescope)</t>
  </si>
  <si>
    <t>Steel, Steel cladding - painted, COLORBOND® steel Metallic in 0.75mm base metal thickness (BMT) (Bluescope)</t>
  </si>
  <si>
    <t>Steel, Steel cladding - painted, COLORBOND® steel in 0.55mm base metal thickness (BMT) (Bluescope)</t>
  </si>
  <si>
    <t>Steel, Steel cladding - painted, COLORBOND® Ultra steel in 0.42mm base metal thickness (BMT) (Bluescope)</t>
  </si>
  <si>
    <t>S-P-09344</t>
  </si>
  <si>
    <t>https://epd-australasia.com/wp-content/uploads/2023/08/SP09344-Bluescope-EPD-COLORBOND-Ultra_Jul23.pdf</t>
  </si>
  <si>
    <t>Steel, Steel cladding - painted, COLORBOND® steel in 0.60mm base metal thickness (BMT) (Bluescope)</t>
  </si>
  <si>
    <t>Steel, Steel cladding - painted, COLORBOND® Ultra steel in 0.48mm base metal thickness (BMT) (Bluescope)</t>
  </si>
  <si>
    <t>Steel, Steel cladding - painted, COLORBOND® steel in 0.70mm base metal thickness (BMT) (Bluescope)</t>
  </si>
  <si>
    <t>Steel, Steel cladding - painted, COLORBOND® Ultra steel in 0.55mm base metal thickness (BMT) (Bluescope)</t>
  </si>
  <si>
    <t>Steel, Steel cladding - painted, COLORBOND® steel in 0.75mm base metal thickness (BMT) (Bluescope)</t>
  </si>
  <si>
    <t>Steel, Steel cladding - painted, COLORBOND® Ultra steel in 0.60mm base metal thickness (BMT) (Bluescope)</t>
  </si>
  <si>
    <t>Steel, Steel cladding - painted, COLORBOND® Ultra steel in 0.70mm base metal thickness (BMT) (Bluescope)</t>
  </si>
  <si>
    <t>Steel, Steel cladding - painted, COLORBOND® Ultra steel in 0.75mm base metal thickness (BMT) (Bluescope)</t>
  </si>
  <si>
    <t>Steel, Steel cladding - painted, COLORBOND® steel in 1.00mm base metal thickness (BMT) (Bluescope)</t>
  </si>
  <si>
    <t>Steel cladding - painted, , Zinacore 0.42mm (Colorcote) (New Zealand)</t>
  </si>
  <si>
    <t>S-P-01540</t>
  </si>
  <si>
    <t>Steel cladding - painted, , Zinacore 0.48mm (Colorcote) (New Zealand)</t>
  </si>
  <si>
    <t>S-P-01541</t>
  </si>
  <si>
    <t>steel cladding - painted</t>
  </si>
  <si>
    <t>steel cladding - painted, , Pre-painted galvanized steel (JSW Steel) (Global)</t>
  </si>
  <si>
    <t>S-P-06489</t>
  </si>
  <si>
    <t>https://api.environdec.com/api/v1/EPDLibrary/Files/7c9c1b88-478c-4c6f-8015-08dbb657dbae/Data</t>
  </si>
  <si>
    <t>steel cladding - painted, , Pre-painted galvalume steel product (JSW Steel) (Global)</t>
  </si>
  <si>
    <t>S-P-06490</t>
  </si>
  <si>
    <t>https://api.environdec.com/api/v1/EPDLibrary/Files/b76fa4b3-9346-41a1-801b-08dbb657dbae/Data</t>
  </si>
  <si>
    <t>Structural Insulated Panel (SIP)</t>
  </si>
  <si>
    <t>Panel - SIP ≤100mm</t>
  </si>
  <si>
    <t>Panel - SIP ≤100mm, , InsulWall® - 90mm  (Bondor)</t>
  </si>
  <si>
    <t>S-P-08462</t>
  </si>
  <si>
    <t>https://epd-australasia.com/wp-content/uploads/2023/05/SP08462-Bondor-EPD_EPS-FR_May23.pdf</t>
  </si>
  <si>
    <t>Panel - SIP &gt;100mm</t>
  </si>
  <si>
    <t>Panel - SIP &gt;100mm, , InsulWall® - 140mm  (Bondor)</t>
  </si>
  <si>
    <t>Panel - SIP &gt;100mm, , Equideck® - 250mm  (Bondor)</t>
  </si>
  <si>
    <t>Panel - SIP &gt;100mm, , BondorPanel® 0.6mm steel – 250mm  (Bondor)</t>
  </si>
  <si>
    <t>Panel - SIP &gt;100mm, , Equitilt® 0.7mm steel – 250mm  (Bondor)</t>
  </si>
  <si>
    <t>Panel - SIP &gt;100mm, , Equitilt® 0.6mm steel – 250mm  (Bondor)</t>
  </si>
  <si>
    <t>Panel - SIP &gt;100mm, , BondorPanel® 0.4mm steel – 250mm  (Bondor)</t>
  </si>
  <si>
    <t>Panel - SIP &gt;100mm, , Solaris Ridge® 0.5mm steel - 200mm  (Bondor)</t>
  </si>
  <si>
    <t>Panel - SIP &gt;100mm, , Equideck® - 125mm  (Bondor)</t>
  </si>
  <si>
    <t>Panel - SIP &gt;100mm, , Solaris Ridge® 0.6mm steel - 200mm  (Bondor)</t>
  </si>
  <si>
    <t>Panel - SIP &gt;100mm, , BondorPanel® 0.4mm steel – 200mm  (Bondor)</t>
  </si>
  <si>
    <t>Panel - SIP &gt;100mm, , SolarSpan® - 200mm  (Bondor)</t>
  </si>
  <si>
    <t>Panel - SIP ≤100mm, , LuxeWall FlameGuard® 0.7mm steel - 50mm  (Bondor)</t>
  </si>
  <si>
    <t>S-P-08463</t>
  </si>
  <si>
    <t>https://epd-australasia.com/wp-content/uploads/2023/05/SP08463-Bondor-EPD-MW-Core_May23.pdf</t>
  </si>
  <si>
    <t>Panel - SIP &gt;100mm, , Solaris Corro® 0.5mm steel - 200mm  (Bondor)</t>
  </si>
  <si>
    <t>Panel - SIP ≤100mm, , KS1100/1200RL Roofliner Panel, 50mm thick  (Kingspan)</t>
  </si>
  <si>
    <t>Asia Pacific (Australia, New Zealand, South-East Asia)</t>
  </si>
  <si>
    <t>S-P-05484</t>
  </si>
  <si>
    <t>https://epd-australasia.com/wp-content/uploads/2022/11/SP05484-Kingspan-EPD-roofliner-panel_Oct22.pdf</t>
  </si>
  <si>
    <t>Panel - SIP ≤100mm, , K-Dek Roof Panel with TPO membrane, 70mm thick  (Kingspan)</t>
  </si>
  <si>
    <t>S-P-00848</t>
  </si>
  <si>
    <t>Version 2</t>
  </si>
  <si>
    <t>https://epd-australasia.com/wp-content/uploads/2018/04/SP00848-Kingspan-EPD-k-dek-roof-panel_Oct22v2.pdf</t>
  </si>
  <si>
    <t>Panel - SIP ≤100mm, , Equitilt FlameGuard® 0.6mm steel - 75mm  (Bondor)</t>
  </si>
  <si>
    <t>Panel - SIP ≤100mm, , CoolRoof® - 75mm  (Bondor)</t>
  </si>
  <si>
    <t>Panel - SIP &gt;100mm, , Solaris Corro® 0.6mm steel - 125mm  (Bondor)</t>
  </si>
  <si>
    <t>Panel - SIP &gt;100mm, , Solaris Corro® 0.6mm steel - 200mm  (Bondor)</t>
  </si>
  <si>
    <t>Panel - SIP &gt;100mm, , InsulRoof® - 125mm  (Bondor)</t>
  </si>
  <si>
    <t>Panel - SIP ≤100mm, , KS1000RW Trapezoidal Wall Panel, 40mm thick  (Kingspan)</t>
  </si>
  <si>
    <t>S-P-05482</t>
  </si>
  <si>
    <t>https://epd-australasia.com/wp-content/uploads/2022/11/SP05482-Kingspan-EPD-wallpanelOct22.pdf</t>
  </si>
  <si>
    <t>Panel - SIP ≤100mm, , KS1000RW Trapezoidal Roof Panel, 40mm thick  (Kingspan)</t>
  </si>
  <si>
    <t>S-P-00846</t>
  </si>
  <si>
    <t>https://epd-australasia.com/wp-content/uploads/2018/04/SP00846-Kingspan-EPD-roof-panel_Oct22v2.pdf</t>
  </si>
  <si>
    <t>Panel - SIP &gt;100mm, , Solaris Corro® 0.5mm steel - 125mm  (Bondor)</t>
  </si>
  <si>
    <t>Panel - SIP &gt;100mm, , BondorPanel® 0.4mm steel – 150mm  (Bondor)</t>
  </si>
  <si>
    <t>Panel - SIP &gt;100mm, , InsulRoof® - 200mm  (Bondor)</t>
  </si>
  <si>
    <t>Panel - SIP &gt;100mm, , BondorPanel® 0.6mm steel – 125mm  (Bondor)</t>
  </si>
  <si>
    <t>Panel - SIP &gt;100mm, , Equitilt® 0.7mm steel – 125mm  (Bondor)</t>
  </si>
  <si>
    <t>Panel - SIP &gt;100mm, , Solaris Ridge® 0.6mm steel - 125mm  (Bondor)</t>
  </si>
  <si>
    <t>Panel - SIP &gt;100mm, , Equitilt FlameGuard® 0.6mm steel - 150mm  (Bondor)</t>
  </si>
  <si>
    <t>Panel - SIP ≤100mm, , Architectural Wall Panel, 50mm thick  (Kingspan)</t>
  </si>
  <si>
    <t>S-P-00847</t>
  </si>
  <si>
    <t>https://epd-australasia.com/wp-content/uploads/2018/04/SP00847-Kingspan-EPD-architectural-wall-panel_Oct22v2.pdf</t>
  </si>
  <si>
    <t>Panel - SIP ≤100mm, , Equideck® - 50mm  (Bondor)</t>
  </si>
  <si>
    <t>Panel - SIP &gt;100mm, , Solaris Ridge® 0.5mm steel - 125mm  (Bondor)</t>
  </si>
  <si>
    <t>Panel - SIP &gt;100mm, , Equitilt FlameGuard® 0.7mm steel - 150mm  (Bondor)</t>
  </si>
  <si>
    <t>Panel - SIP ≤100mm, , KS1100KP Karrier Wall Panel, 50mm thick  (Kingspan)</t>
  </si>
  <si>
    <t>S-P-05483</t>
  </si>
  <si>
    <t>https://epd-australasia.com/wp-content/uploads/2022/11/SP05483-Kingspan-EPD-karrier-wall-panel_Oct22.pdf</t>
  </si>
  <si>
    <t>Panel - SIP ≤100mm, , Evolution Panelised Facade, 50mm thick  (Kingspan)</t>
  </si>
  <si>
    <t>S-P-05481</t>
  </si>
  <si>
    <t>https://epd-australasia.com/wp-content/uploads/2022/11/SP005481-Kingspan-EPD-evolution-panelised-facade_Oct22.pdf</t>
  </si>
  <si>
    <t>Panel - SIP ≤100mm, , K-Dek Roof Panel with PVC membrane, 70mm thick  (Kingspan)</t>
  </si>
  <si>
    <t>Panel - SIP ≤100mm, , BondorPanel® 0.4mm steel - 100mm  (Bondor)</t>
  </si>
  <si>
    <t>Panel - SIP &gt;100mm, , Equitilt® 0.6mm steel – 125mm  (Bondor)</t>
  </si>
  <si>
    <t>Panel - SIP ≤100mm, , Equitilt FlameGuard® 0.7mm steel - 100mm  (Bondor)</t>
  </si>
  <si>
    <t>Panel - SIP &gt;100mm, , BondorPanel® 0.4mm steel – 125mm  (Bondor)</t>
  </si>
  <si>
    <t>Panel - SIP ≤100mm, , K-Dek Roof Panel with TPO membrane, 100mm thick  (Kingspan)</t>
  </si>
  <si>
    <t>Panel - SIP ≤100mm, , LuxeWall FlameGuard® 0.6mm steel - 50mm  (Bondor)</t>
  </si>
  <si>
    <t>Panel - SIP ≤100mm, , LuxeWall FlameGuard® 0.6mm steel - 75mm  (Bondor)</t>
  </si>
  <si>
    <t>Panel - SIP ≤100mm, , Equitilt FlameGuard® 0.7mm steel - 75mm  (Bondor)</t>
  </si>
  <si>
    <t>Panel - SIP ≤100mm, , Solaris Ridge® 0.5mm steel - 50mm  (Bondor)</t>
  </si>
  <si>
    <t>Panel - SIP ≤100mm, , Equitilt FlameGuard® 0.6mm steel - 100mm  (Bondor)</t>
  </si>
  <si>
    <t>Panel - SIP ≤100mm, , LuxeWall FlameGuard® 0.7mm steel - 75mm  (Bondor)</t>
  </si>
  <si>
    <t>Panel - SIP ≤100mm, , Solaris Corro® 0.6mm steel - 50mm  (Bondor)</t>
  </si>
  <si>
    <t>Panel - SIP ≤100mm, , DesignerWall® - 50mm  (Bondor)</t>
  </si>
  <si>
    <t>Panel - SIP ≤100mm, , KS1000RW Trapezoidal Wall Panel, 60mm thick  (Kingspan)</t>
  </si>
  <si>
    <t>Panel - SIP ≤100mm, , KS1000RW Trapezoidal Roof Panel, 60mm thick  (Kingspan)</t>
  </si>
  <si>
    <t>Panel - SIP ≤100mm, , DesignerWall® - 75mm  (Bondor)</t>
  </si>
  <si>
    <t>Panel - SIP ≤100mm, , Equitilt® 0.6mm steel – 50mm  (Bondor)</t>
  </si>
  <si>
    <t>Panel - SIP ≤100mm, , LuxeWall® - 75mm  (Bondor)</t>
  </si>
  <si>
    <t>Panel - SIP ≤100mm, , KS1100/1200CS Coldstore Panel, 50mm thick  (Kingspan)</t>
  </si>
  <si>
    <t>S-P-00845</t>
  </si>
  <si>
    <t>https://epd-australasia.com/wp-content/uploads/2018/04/SP00845-Kingspan-EPD-coldstore-panel_Oct22v2.pdf</t>
  </si>
  <si>
    <t>Panel - SIP &gt;100mm, , SolarSpan® - 125mm  (Bondor)</t>
  </si>
  <si>
    <t>Panel - SIP ≤100mm, , Equitilt FlameGuard® 0.7mm steel - 50mm  (Bondor)</t>
  </si>
  <si>
    <t>Panel - SIP ≤100mm, , KS1000RW Trapezoidal Wall Panel, 70mm thick  (Kingspan)</t>
  </si>
  <si>
    <t>Panel - SIP ≤100mm, , KS1000RW Trapezoidal Roof Panel, 70mm thick  (Kingspan)</t>
  </si>
  <si>
    <t>Panel - SIP ≤100mm, , Architectural Wall Panel, 80mm thick  (Kingspan)</t>
  </si>
  <si>
    <t>Panel - SIP ≤100mm, , Equitilt FlameGuard® 0.6mm steel - 50mm  (Bondor)</t>
  </si>
  <si>
    <t>Panel - SIP ≤100mm, , KS1100KP Karrier Wall Panel, 75mm thick  (Kingspan)</t>
  </si>
  <si>
    <t>Panel - SIP ≤100mm, , KS1100/1200RL Roofliner Panel, 75mm thick  (Kingspan)</t>
  </si>
  <si>
    <t>Panel - SIP ≤100mm, , KS1000RW Trapezoidal Wall Panel, 100mm thick  (Kingspan)</t>
  </si>
  <si>
    <t>Panel - SIP ≤100mm, , KS1000RW Trapezoidal Roof Panel, 100mm thick  (Kingspan)</t>
  </si>
  <si>
    <t>Panel - SIP ≤100mm, , Evolution Panelised Facade, 80mm thick  (Kingspan)</t>
  </si>
  <si>
    <t>Panel - SIP ≤100mm, , K-Dek Roof Panel with PVC membrane, 100mm thick  (Kingspan)</t>
  </si>
  <si>
    <t>Panel - SIP &gt;100mm, , KS1000RW Trapezoidal Wall Panel, 120mm thick  (Kingspan)</t>
  </si>
  <si>
    <t>Panel - SIP &gt;100mm, , KS1000RW Trapezoidal Roof Panel, 120mm thick  (Kingspan)</t>
  </si>
  <si>
    <t>Panel - SIP ≤100mm, , KS1100/1200RL Roofliner Panel, 100mm thick  (Kingspan)</t>
  </si>
  <si>
    <t>Panel - SIP ≤100mm, , BondorPanel® 0.6mm steel – 50mm  (Bondor)</t>
  </si>
  <si>
    <t>Panel - SIP ≤100mm, , Solaris Ridge® 0.6mm steel - 50mm  (Bondor)</t>
  </si>
  <si>
    <t>Panel - SIP ≤100mm, , SolarSpan® - 50mm  (Bondor)</t>
  </si>
  <si>
    <t>Panel - SIP ≤100mm, , LuxeWall® - 50mm  (Bondor)</t>
  </si>
  <si>
    <t>Panel - SIP ≤100mm, , CoolRoof® - 50mm  (Bondor)</t>
  </si>
  <si>
    <t>Panel - SIP ≤100mm, , BondorPanel® 0.4mm steel - 50mm  (Bondor)</t>
  </si>
  <si>
    <t>Panel - SIP ≤100mm, , InsulRoof® - 50mm  (Bondor)</t>
  </si>
  <si>
    <t>Panel - SIP ≤100mm, , Solaris Corro® 0.5mm steel - 50mm  (Bondor)</t>
  </si>
  <si>
    <t>Panel - SIP ≤100mm, , BondorPanel® 0.4mm steel - 75mm  (Bondor)</t>
  </si>
  <si>
    <t>Panel - SIP ≤100mm, , Equitilt® 0.7mm steel – 50mm  (Bondor)</t>
  </si>
  <si>
    <t>Panel - SIP ≤100mm, , r KS1100/1200CS Coldstore Panel, 75mm thick  (Kingspan)</t>
  </si>
  <si>
    <t>Panel - SIP ≤100mm, , Architectural Wall Panel, 100mm thick  (Kingspan)</t>
  </si>
  <si>
    <t>Panel - SIP ≤100mm, , KS1100/1200CS Coldstore Panel, 100mm thick  (Kingspan)</t>
  </si>
  <si>
    <t>Panel - SIP ≤100mm, , KS1100KP Karrier Wall Panel, 100mm thick  (Kingspan)</t>
  </si>
  <si>
    <t>Panel - SIP ≤100mm, , Evolution Panelised Facade, 100mm thick  (Kingspan)</t>
  </si>
  <si>
    <t>Panel - SIP &gt;100mm, , KS1100/1200CS Coldstore Panel, 125mm thick  (Kingspan)</t>
  </si>
  <si>
    <t>Panel - SIP &gt;100mm, , KS1100KP Karrier Wall Panel, 125mm thick  (Kingspan)</t>
  </si>
  <si>
    <t>Panel - SIP &gt;100mm, , KS1100/1200RL Roofliner Panel, 125mm thick  (Kingspan)</t>
  </si>
  <si>
    <t>Panel - SIP &gt;100mm, , Architectural Wall Panell, 140mm thick  (Kingspan)</t>
  </si>
  <si>
    <t>Panel - SIP &gt;100mm, , Evolution Panelised Facade, 140mm thick  (Kingspan)</t>
  </si>
  <si>
    <t>Panel - SIP &gt;100mm, , KS1100KP Karrier Wall Panel, 150mm thick  (Kingspan)</t>
  </si>
  <si>
    <t>Panel - SIP ≤100mm, , EconoClad® 25mm  (Metecno Pty Ltd t/a MetecnoPIR)</t>
  </si>
  <si>
    <t>S-P-08464</t>
  </si>
  <si>
    <t>https://epd-australasia.com/wp-content/uploads/2023/05/SP08464-Bondor-EPD_PIR_May23.pdf</t>
  </si>
  <si>
    <t>Panel - SIP ≤100mm, , EconoClad® 40mm  (Metecno Pty Ltd t/a MetecnoPIR)</t>
  </si>
  <si>
    <t>Panel - SIP ≤100mm, , EconoClad® 60mm  (Metecno Pty Ltd t/a MetecnoPIR)</t>
  </si>
  <si>
    <t>Panel - SIP ≤100mm, , EconoClad® 80mm  (Metecno Pty Ltd t/a MetecnoPIR)</t>
  </si>
  <si>
    <t>Panel - SIP ≤100mm, , EconoClad® 100mm  (Metecno Pty Ltd t/a MetecnoPIR)</t>
  </si>
  <si>
    <t>Steel, Insulation panel, COLORBOND® steel for insulated panels in 0.40mm base metal thickness (BMT) (Bluescope)</t>
  </si>
  <si>
    <t>S-P-09345</t>
  </si>
  <si>
    <t>https://epd-australasia.com/wp-content/uploads/2023/08/SP09345-Bluescope-EPD-COLORBOND-Insulated-Panels_Jul23.pdf</t>
  </si>
  <si>
    <t>Panel - SIP ≤100mm, , MetecnoPanel® 75mm  (Metecno Pty Ltd t/a MetecnoPIR)</t>
  </si>
  <si>
    <t>Panel - SIP ≤100mm, , MetecnoPanel® 50mm  (Metecno Pty Ltd t/a MetecnoPIR)</t>
  </si>
  <si>
    <t>Cold room panel</t>
  </si>
  <si>
    <t>Steel, Cold room panels, COLORBOND® Intramax® steel in 0.40mm base metal thickness (BMT) (Bluescope)</t>
  </si>
  <si>
    <t>S-P-09346</t>
  </si>
  <si>
    <t>https://epd-australasia.com/wp-content/uploads/2023/08/SP09346-Bluescope-EPD-COLORBOND-Intramax_Jul23.pdf</t>
  </si>
  <si>
    <t>Panel - SIP ≤100mm, , MetecnoInspire® 60mm  (Metecno Pty Ltd t/a MetecnoPIR)</t>
  </si>
  <si>
    <t>Steel, Insulation panel, COLORBOND® steel for insulated panels in 0.50mm base metal thickness (BMT) (Bluescope)</t>
  </si>
  <si>
    <t>Panel - SIP ≤100mm, , MetecnoInspire® 50mm  (Metecno Pty Ltd t/a MetecnoPIR)</t>
  </si>
  <si>
    <t>Steel, Cold room panels, COLORBOND® Intramax® steel in 0.45mm base metal thickness (BMT) (Bluescope)</t>
  </si>
  <si>
    <t>Steel, Cold room panels, COLORBOND® Intramax® steel in 0.50mm base metal thickness (BMT) (Bluescope)</t>
  </si>
  <si>
    <t>Steel, Insulation panel, COLORBOND® steel for insulated panels in 0.60mm base metal thickness (BMT) (Bluescope)</t>
  </si>
  <si>
    <t>Steel, Cold room panels, COLORBOND® Intramax® steel in 0.60mm base metal thickness (BMT) (Bluescope)</t>
  </si>
  <si>
    <t>Panel - SIP ≤100mm, K17 100 mm,  (Kingspan)</t>
  </si>
  <si>
    <t>S-P-07446</t>
  </si>
  <si>
    <t>Panel - SIP &gt;100mm, , KS1100/1200RL Roofliner Panel, 150mm thick  (Kingspan)</t>
  </si>
  <si>
    <t>Panel - SIP &gt;100mm, , KS1100/1200RL Roofliner Panel, 200mm thick  (Kingspan)</t>
  </si>
  <si>
    <t>Panel - SIP &gt;100mm, , KS1100KP Karrier Wall Panel, 200mm thick  (Kingspan)</t>
  </si>
  <si>
    <t>Panel - SIP &gt;100mm, , KS1100/1200CS Coldstore Panel, 150mm thick  (Kingspan)</t>
  </si>
  <si>
    <t>Panel - SIP &gt;100mm, , MetecnoPanel® 200mm  (Metecno Pty Ltd t/a MetecnoPIR)</t>
  </si>
  <si>
    <t>Panel - SIP ≤100mm, K17 50 mm,  (Kingspan)</t>
  </si>
  <si>
    <t>Panel - SIP &gt;100mm, , MetecnoPanel® 150mm  (Metecno Pty Ltd t/a MetecnoPIR)</t>
  </si>
  <si>
    <t>Panel - SIP ≤100mm, , MetecnoSpan® 100mm  (Metecno Pty Ltd t/a MetecnoPIR)</t>
  </si>
  <si>
    <t>Panel - SIP &gt;100mm, , MetecnoPanel® 125mm  (Metecno Pty Ltd t/a MetecnoPIR)</t>
  </si>
  <si>
    <t>Panel - SIP ≤100mm, , MetecnoInspire® 100mm  (Metecno Pty Ltd t/a MetecnoPIR)</t>
  </si>
  <si>
    <t>Panel - SIP ≤100mm, , MetecnoSpan® 80mm  (Metecno Pty Ltd t/a MetecnoPIR)</t>
  </si>
  <si>
    <t>Panel - SIP ≤100mm, , MetecnoPanel® 100mm  (Metecno Pty Ltd t/a MetecnoPIR)</t>
  </si>
  <si>
    <t>Panel - SIP &gt;100mm, , KS1100/1200CS Coldstore Panel, 200mm thick  (Kingspan)</t>
  </si>
  <si>
    <t>Panel - SIP ≤100mm, K17 25 mm,  (Kingspan)</t>
  </si>
  <si>
    <t>Panel - SIP ≤100mm, , MetecnoInspire® 80mm  (Metecno Pty Ltd t/a MetecnoPIR)</t>
  </si>
  <si>
    <t>Panel - SIP ≤100mm, , MetecnoSpan® 60mm  (Metecno Pty Ltd t/a MetecnoPIR)</t>
  </si>
  <si>
    <t>Panel - SIP ≤100mm, , MetecnoSpan® 40mm  (Metecno Pty Ltd t/a MetecnoPIR)</t>
  </si>
  <si>
    <t>Thermal break</t>
  </si>
  <si>
    <t>Thermal break, , Warm Edge Spacer SP12, SP13, SP14 (Technoform) (Global)</t>
  </si>
  <si>
    <t>S-P-10425</t>
  </si>
  <si>
    <t>https://api.environdec.com/api/v1/EPDLibrary/Files/03d0f5d1-0321-4714-fbbb-08dbfcbc4c1b/Data</t>
  </si>
  <si>
    <t>Tile</t>
  </si>
  <si>
    <t>Ceramic tiles</t>
  </si>
  <si>
    <t>Pavers Ceramic</t>
  </si>
  <si>
    <t>Ceramic tiles, , Ceramic Facade Tile Products (Xiamen Togen Building Products Co.,Ltd) (Global)</t>
  </si>
  <si>
    <t>S-P-10800</t>
  </si>
  <si>
    <t>https://api.environdec.com/api/v1/EPDLibrary/Files/78cb0e72-3625-4e9f-acd5-08dbbea226bc/Data</t>
  </si>
  <si>
    <t>Terracotta tiles</t>
  </si>
  <si>
    <t>Roof tiles - clay</t>
  </si>
  <si>
    <t>Roof tiles - clay, , Terracotta tiles (Sahtas) (Turkey)</t>
  </si>
  <si>
    <t>S-P-02240</t>
  </si>
  <si>
    <t>https://api.environdec.com/api/v1/EPDLibrary/Files/8280064d-71bf-4f2e-abbc-08d9c4927501/Data</t>
  </si>
  <si>
    <t>Ceramic tiles, , Ceramic wall tiles (Kaleseramik Canakkale) (Global)</t>
  </si>
  <si>
    <t>S-P-00873</t>
  </si>
  <si>
    <t>Roof tiles - clay, , Clay roofing tiles  (HISPALYT) (Global)</t>
  </si>
  <si>
    <t>HISPALYT-008-001</t>
  </si>
  <si>
    <t>Ceramic tiles, , Ceramic tiles for exterior and interior floor and wall coverings (Exa) (Global)</t>
  </si>
  <si>
    <t>S-P-08006</t>
  </si>
  <si>
    <t>https://api.environdec.com/api/v1/EPDLibrary/Files/9435e4ac-691f-4b28-2314-08daedae32be/Data</t>
  </si>
  <si>
    <t>Roof tiles - clay, , Tile (Prayag Clay Products Limited (PCPL) (Global)</t>
  </si>
  <si>
    <t>Roof tiles - clay, , Clay roofing tile (BMI Sverige AB) (Sweden)</t>
  </si>
  <si>
    <t>S-P-08975</t>
  </si>
  <si>
    <t>https://api.environdec.com/api/v1/EPDLibrary/Files/0cbd0b42-8096-4ad3-74ff-08dba3f6d3f1/Data</t>
  </si>
  <si>
    <t>Ceramic tiles, , Porcelain Stone ware tiles (Saloni) (Global)</t>
  </si>
  <si>
    <t>S-P-01155</t>
  </si>
  <si>
    <t>https://api.environdec.com/api/v1/EPDLibrary/Files/08e8581b-33e7-4738-566c-08da12da9675/Data</t>
  </si>
  <si>
    <t>Timber &amp; engineered woods</t>
  </si>
  <si>
    <t>Plywood, A-bond 17 mm (formwork),FWPA</t>
  </si>
  <si>
    <t>Particleboard</t>
  </si>
  <si>
    <t>Decorative pb</t>
  </si>
  <si>
    <t>Decorative Pboard, 18 mm E0 &amp; E1 moisture resistant (MR) melamine coated, decorative particleboard, Wood solutions, FWPA, Australia</t>
  </si>
  <si>
    <t>S-P-00562</t>
  </si>
  <si>
    <t>https://epd-australasia.com/wp-content/uploads/2018/04/EDP-3-Particleboard-Dec-2020-1.pdf</t>
  </si>
  <si>
    <t>OSB</t>
  </si>
  <si>
    <t>Oriented Strand Board (OSB) (Kronospan Orman) (Turkey)</t>
  </si>
  <si>
    <t>S-P-08738</t>
  </si>
  <si>
    <t>https://api.environdec.com/api/v1/EPDLibrary/Files/6af2b676-5a23-43a9-86a6-08db9e3bfd8a/Data</t>
  </si>
  <si>
    <t>Hardwood</t>
  </si>
  <si>
    <t>Sawn hardwood</t>
  </si>
  <si>
    <t>Hardwood, rough sawn, kiln-dried H3 ACQ, Australia</t>
  </si>
  <si>
    <t>S-P-00561</t>
  </si>
  <si>
    <t>https://epd-australasia.com/wp-content/uploads/2018/04/EDP-2-Hardwood-Dec-2020-2.pdf</t>
  </si>
  <si>
    <t>Hardwood, rough sawn, kiln-dried H3 copper, Australia</t>
  </si>
  <si>
    <t>Hardwood, rough sawn, kiln-dried H1, FWPA, Australia</t>
  </si>
  <si>
    <t>Hardwood, rough-sawn, kiln-dried hardwood, Wood solutions, FWPA, Australia</t>
  </si>
  <si>
    <t>Hardwood, dressed, kiln-dried H3 ACQ, Australia</t>
  </si>
  <si>
    <t>Hardwood, dressed, kiln-dried H1, Australia</t>
  </si>
  <si>
    <t>Hardwood, dressed, kiln-dried hardwood, Wood solutions, FWPA, Australia</t>
  </si>
  <si>
    <t>Hardwood, dressed, kiln-dried H3 copper, Australia</t>
  </si>
  <si>
    <t>LVL</t>
  </si>
  <si>
    <t>S-beam LVL (Kerto) (Finland)</t>
  </si>
  <si>
    <t>Finland</t>
  </si>
  <si>
    <t>S-P-02802</t>
  </si>
  <si>
    <t>https://api.environdec.com/api/v1/EPDLibrary/Files/a53edc97-874a-46e3-cddc-08d9df0ea78f/Data</t>
  </si>
  <si>
    <t>Q-panel LVL (Kerto) (Finland)</t>
  </si>
  <si>
    <t>Qp-beam LVL (Kerto) (Finland)</t>
  </si>
  <si>
    <t>Kate LVL (Kerto) (Finland)</t>
  </si>
  <si>
    <t>L-panel LVL (Kerto) (Finland)</t>
  </si>
  <si>
    <t>T-Stud LVL (Kerto) (Finland)</t>
  </si>
  <si>
    <t>Particleboard, 22 mm flooring, Wood solutions, FWPA, Australia</t>
  </si>
  <si>
    <t>GLT&amp;CLT (sw)</t>
  </si>
  <si>
    <t>GLT&amp;CLT (softwood)</t>
  </si>
  <si>
    <t>GLT&amp;CLT (sw), Global, CLT (Cross Laminated Timber) (Stora Enso) (Austria)</t>
  </si>
  <si>
    <t>Austria</t>
  </si>
  <si>
    <t>S-P-02033</t>
  </si>
  <si>
    <t xml:space="preserve"> https://api.environdec.com/api/v1/EPDLibrary/Files/186e4440-1809-4e7e-41b3-08d8dc8471b1/Data</t>
  </si>
  <si>
    <t>LVL (Stora Enso) (Finland)</t>
  </si>
  <si>
    <t>S-P-09942</t>
  </si>
  <si>
    <t>https://api.environdec.com/api/v1/EPDLibrary/Files/43bb8147-f766-4606-86f3-08dbc3e797a5/Data</t>
  </si>
  <si>
    <t>Softwood</t>
  </si>
  <si>
    <t>Sawn softwood, surfaced</t>
  </si>
  <si>
    <t>Softwood (Radiata pine), surfaced, kiln-dried, H2 LOSP treated, [majority from sustainable forest management practices] (FWPA)</t>
  </si>
  <si>
    <t>https://epd-australasia.com/wp-content/uploads/2018/04/EPD-1_Softwood_Revised-14-Feb-2022.pdf</t>
  </si>
  <si>
    <t>Softwood (Radiata pine), surfaced, kiln-dried, H3 copper azole  treated,  [majority from sustainable forest management practices] (FWPA)</t>
  </si>
  <si>
    <t>Sawn softwood</t>
  </si>
  <si>
    <t>Softwood (Radiata pine), roughsawn, kiln-dried, H3 Copper Azole treated, e.g. framing [majority from sustainable forest management practices] (FWPA)</t>
  </si>
  <si>
    <t>Particleboard, 25 mm flooring, Wood solutions, FWPA, Australia</t>
  </si>
  <si>
    <t>Plywood, A-bond, 7 mm (bracing), FWPA</t>
  </si>
  <si>
    <t>Plywood, A-bond, 9 mm (structural), FWPA</t>
  </si>
  <si>
    <t>GLT&amp;CLT (hw)</t>
  </si>
  <si>
    <t>GLT&amp;CLT (hardwood)</t>
  </si>
  <si>
    <t>GLT&amp;CLT (hw), , Min variaton for  hardwood Glulam FWPA, Australia (FWPA) (Australia)</t>
  </si>
  <si>
    <t>S-P-00565</t>
  </si>
  <si>
    <t>https://epd-australasia.com/wp-content/uploads/2018/03/epd565-Glued-Laminated-Timber-v1.pdf</t>
  </si>
  <si>
    <t>Max variation, hardwood, dressed, kiln-dried H3 ACQ FWPA, Australia</t>
  </si>
  <si>
    <t>Max variation of Formply A-bond 17mm FWPA, Australia</t>
  </si>
  <si>
    <t>Max variation of 19mm flooring particleboard FWPA, Australia</t>
  </si>
  <si>
    <t>Max variaton for softwood Glulam FWPA, Australia</t>
  </si>
  <si>
    <t>Max variaton for  hardwood Glulam FWPA, Australia</t>
  </si>
  <si>
    <t>Max variaton for  MDF, MR 25mm FWPA, Australia</t>
  </si>
  <si>
    <t>Maximum variaton, Softwood (Radiata pine),surfaced, dressed, kiln-dried, LOSP azole+permethrin), e.g. framing [majority from sustainable forest management practices] (FWPA)</t>
  </si>
  <si>
    <t>Softwood (Radiata pine), roughsawn, kiln-dried, untreated, e.g. framing [majority from sustainable forest management practices] (FWPA)</t>
  </si>
  <si>
    <t>Softwood (Radiata pine), surfaced, kiln-dried, untreated  [majority from sustainable forest management practices] (FWPA)</t>
  </si>
  <si>
    <t>XLam CLT panels, XLam Australia, Australia</t>
  </si>
  <si>
    <t>S-P-02326</t>
  </si>
  <si>
    <t>Version: 1.1</t>
  </si>
  <si>
    <t>https://epd-australasia.com/wp-content/uploads/2021/03/SP02326-XLam-EPD_v1.1_Jun23.pdf</t>
  </si>
  <si>
    <t>Glulam, sw, Wood solutions, FWPA, Australia</t>
  </si>
  <si>
    <t>Glulam, hw or cypress pine, Wood solutions, FWPA, Australia</t>
  </si>
  <si>
    <t>LVL (Laminated Veneer Lumber) (Stora Enso) (Finland)</t>
  </si>
  <si>
    <t>S-P-01730</t>
  </si>
  <si>
    <t>https://api.environdec.com/api/v1/EPDLibrary/Files/e5b39f2f-7029-49f0-b427-4f3108dd95c6/Data</t>
  </si>
  <si>
    <t>Multiple glued LVL G (Stora Enso) (Finland)</t>
  </si>
  <si>
    <t>S-P-01731</t>
  </si>
  <si>
    <t>https://api.environdec.com/api/v1/EPDLibrary/Files/cffcfc6b-d002-4a7c-98fb-f20421ddcc4d/Data</t>
  </si>
  <si>
    <t>LVL Rib panel (Stora Enso) (Finland)</t>
  </si>
  <si>
    <t>https://api.environdec.com/api/v1/EPDLibrary/Files/080a14f9-0808-4b7b-881c-042304f141da/Data</t>
  </si>
  <si>
    <t>Glued laminated timber beams from Spruce and pine (ZAZA TIMBER Production, Ltd) (Europe)</t>
  </si>
  <si>
    <t>S-P-04453</t>
  </si>
  <si>
    <t>https://api.environdec.com/api/v1/EPDLibrary/Files/48e12385-c4bd-450b-be3b-08d99924be73/Data</t>
  </si>
  <si>
    <t>Treated Glued laminated timber beams from Spruce and Pine (ZAZA TIMBER Production, Ltd) (Europe)</t>
  </si>
  <si>
    <t>OSB, , Egger OSB boards Fritz Egger GmbH and Co. OG (Egger) (Global)</t>
  </si>
  <si>
    <t>EPD-EGG-20180107-IBD1-EN</t>
  </si>
  <si>
    <t>https://www.egger.com/get_download/0b9a6cee-8a7b-47c6-a1e8-a1eb855cce32/Environmental_product_declaration_EGGER+_OSB_EN.pdf</t>
  </si>
  <si>
    <t>LVL, , LVL produced in North America (North American Laminated Veneer Lumber) (Global)</t>
  </si>
  <si>
    <t>4788424634.105.1</t>
  </si>
  <si>
    <t>https://corrim.org/wp-content/uploads/2020/06/AWC_EPD_NorthAmericanLaminatedVeneerLumber_20200605.pdf</t>
  </si>
  <si>
    <t>Particleboard, , Min variation 19mm particleboard (FWPA) (Australia)</t>
  </si>
  <si>
    <t>Decorative Pb, , Min variation 16mm standard, melamine coated particleboard (FWPA) (Australia)</t>
  </si>
  <si>
    <t>Decorative Pb, , Max variation 16mm moisture resistant, melamine coated particleboard (FWPA) (Australia)</t>
  </si>
  <si>
    <t>GLT&amp;CLT (sw), , Min variaton for softwood Glulam FWPA, Australia (FWPA) (Australia)</t>
  </si>
  <si>
    <t>MDF, , Min variaton for  MDF, MR 25mm FWPA, Australia (FWPA) (Australia)</t>
  </si>
  <si>
    <t>Softwood, , Min variaton, Softwood (Radiata pine),surfaced, dressed, kiln-dried, LOSP azole+permethrin), e.g. framing [majority from sustainable forest management practices] (FWPA) (FWPA) (Australia)</t>
  </si>
  <si>
    <t>Plywood, , Min variation of Formply A-bond 15mm FWPA, Australia (FWPA) (Australia)</t>
  </si>
  <si>
    <t>https://epd-australasia.com/wp-content/uploads/2018/04/EDP-5-Plywood-Dec-2020-2.pdf</t>
  </si>
  <si>
    <t>Sylva™ LVL Rib (Stora Enso) (Sweden)</t>
  </si>
  <si>
    <t>S-P-06725</t>
  </si>
  <si>
    <t>https://api.environdec.com/api/v1/EPDLibrary/Files/b542a333-263f-4033-86f4-08dbc3e797a5/Data</t>
  </si>
  <si>
    <t>Softwood (Radiata pine), surfaced, kiln-dried, untreated,  [from sustainable forest management practices] (Timberlink, Australia)</t>
  </si>
  <si>
    <t>S-P-07431</t>
  </si>
  <si>
    <t>https://epd-australasia.com/epd/timberlink-structural-softwood-timber/</t>
  </si>
  <si>
    <t>Softwood (Radiata pine), surfaced, kiln-dried, H3, treated, eg outdoor use, not in contact with ground, non structural [from sustainable forest management practices] (Timberlink, Australia)</t>
  </si>
  <si>
    <t>Decorative Pb, Global, Decorative Pboard, superfine standard 9mm (Laminex) (New Zealand)</t>
  </si>
  <si>
    <t>S-P-09355</t>
  </si>
  <si>
    <t>https://api.environdec.com/api/v1/EPDLibrary/Files/59be304a-6745-4dd3-f9b7-08dbfcbc4c1b/Data</t>
  </si>
  <si>
    <t>Softwood (Radiata pine), surfaced, kiln-dried, H2F treated, eg framing [from sustainable forest management practices] (Timberlink, Australia)</t>
  </si>
  <si>
    <t>Softwood (Radiata pine), roughsawn, kiln-dried, H3 Copper+DDAX treated, e.g. framing [majority from sustainable forest management practices] (FWPA)</t>
  </si>
  <si>
    <t>Softwood (Radiata pine), surfaced, kiln-dried, H3 Copper+DDAX treated,  [majority from sustainable forest management practices] (FWPA)</t>
  </si>
  <si>
    <t>Softwood (Radiata pine), roughsawn, kiln-dried, H4 CCA treated, e.g. framing [majority from sustainable forest management practices] (FWPA)</t>
  </si>
  <si>
    <t>Softwood (Radiata pine), surfaced, kiln-dried, H4 CCA treated, e.g. framing [majority from sustainable forest management practices] (FWPA)</t>
  </si>
  <si>
    <t>Softwood (Radiata pine), roughsawn, kiln-dried, H4 Copper Azole treated, e.g. framing [majority from sustainable forest management practices] (FWPA)</t>
  </si>
  <si>
    <t>Softwood (Radiata pine), surfaced, kiln-dried, H4 Copper Azole treated, e.g. framing [majority from sustainable forest management practices] (FWPA)</t>
  </si>
  <si>
    <t>MDF, , medium density fibreboard wood (Kastamonu) (Global)</t>
  </si>
  <si>
    <t>S-P-01989</t>
  </si>
  <si>
    <t>https://api.environdec.com/api/v1/EPDLibrary/Files/3cfa882f-8705-4918-0023-08dab65855de/Data</t>
  </si>
  <si>
    <t>Treated LVL (Carter Holt Harvey) (New Zealand)</t>
  </si>
  <si>
    <t>S-P-05514</t>
  </si>
  <si>
    <t>https://epd-australasia.com/wp-content/uploads/2023/04/SP05514-CHH-EPD_LVL_hyJOIST_Apr23.pdf</t>
  </si>
  <si>
    <t>Untreated LVL (Carter Holt Harvey) (New Zealand)</t>
  </si>
  <si>
    <t>Decorative Pboard, 16 mm E0 &amp; E1 moisture resistant (MR) melamine coated, decorative particleboard, Wood solutions, FWPA, Australia</t>
  </si>
  <si>
    <t>Softwood (Radiata pine), roughsawn, kiln-dried, H3 LOSP treated, e.g. framing [majority from sustainable forest management practices] (FWPA)</t>
  </si>
  <si>
    <t>Softwood (Radiata pine), surfaced, kiln-dried, H3 LOSP treated, e.g. framing [majority from sustainable forest management practices] (FWPA)</t>
  </si>
  <si>
    <t>LVL (VMG Lingnum) (Sweden)</t>
  </si>
  <si>
    <t>S-P-10876</t>
  </si>
  <si>
    <t>https://api.environdec.com/api/v1/EPDLibrary/Files/93983208-4427-4b0c-87ca-08dbc3e797a5/Data</t>
  </si>
  <si>
    <t>OSB, , Oreinted Strand Board (Sonae Arauco) (Global)</t>
  </si>
  <si>
    <t>EPD-SON-20220209-ICCI-EN</t>
  </si>
  <si>
    <t>IBU</t>
  </si>
  <si>
    <t>epd_agepan_osb_ecoboard_osb_ecoboard_.pdf (sonaearauco.com)</t>
  </si>
  <si>
    <t>OSB, Global, Oriented Strand Board (620kg/m3) (Norbord Europe Ltd) (Global)</t>
  </si>
  <si>
    <t>S-P-01850</t>
  </si>
  <si>
    <t>https://api.environdec.com/api/v1/EPDLibrary/Files/b4c3d1cb-ba83-415c-ad77-08dbbea226bc/Data</t>
  </si>
  <si>
    <t>Hardwood, rough-sawn, green hardwood, Wood solutions, FWPA, Australia</t>
  </si>
  <si>
    <t>Decorative Pboard, 16 mm E0 &amp; E1 standard melamine coated, decorative particleboard, Wood solutions, FWPA, Australia</t>
  </si>
  <si>
    <t>Particleboard, 19 mm flooring, Wood solutions, FWPA, Australia</t>
  </si>
  <si>
    <t>Decorative Pboard, 18 mm E0 &amp; E1 standard melamine coated, decorative particleboard, Wood solutions, FWPA, Australia</t>
  </si>
  <si>
    <t>GLT&amp;CLT (sw), Global, KLH® - CLT (Cross Laminated Timber) (KLH Massivholz GmbH) (Austria)</t>
  </si>
  <si>
    <t>S-P-04195</t>
  </si>
  <si>
    <t>https://api.environdec.com/api/v1/EPDLibrary/Files/ecd39d2a-5be5-486b-7527-08dba3f6d3f1/Data</t>
  </si>
  <si>
    <t>GLT&amp;CLT (sw), Global, CLT, H4 CCA (Red Stag) (New Zealand)</t>
  </si>
  <si>
    <t>S-P-03711</t>
  </si>
  <si>
    <t>https://api.environdec.com/api/v1/EPDLibrary/Files/5ebca247-e3e6-4cd9-0efe-08d9f09b841d/Data</t>
  </si>
  <si>
    <t>GLT&amp;CLT (sw), Global, CLT, H4 CCA Re-dried (Red Stag) (New Zealand)</t>
  </si>
  <si>
    <t>GLT&amp;CLT (sw), Global, CLT, H1.2 Boron re-dried (Red Stag) (New Zealand)</t>
  </si>
  <si>
    <t>GLT&amp;CLT (sw), Global, CLT, H3.1 Copper Azole (Red Stag) (New Zealand)</t>
  </si>
  <si>
    <t>GLT&amp;CLT (sw), Global, CLT, H1.2 Boron (Red Stag) (New Zealand)</t>
  </si>
  <si>
    <t>GLT&amp;CLT (sw), Global, CLT, No Treatment (Red Stag) (New Zealand)</t>
  </si>
  <si>
    <t>GLT&amp;CLT (sw), Global, CLT, H3 CCA Re-dried (Red Stag) (New Zealand)</t>
  </si>
  <si>
    <t>GLT&amp;CLT (sw), Global, CLT, H3 CCA (Red Stag) (New Zealand)</t>
  </si>
  <si>
    <t>OSB, Global, Oriented Strand Board (600kg/m3) (Norbord Europe Ltd) (Global)</t>
  </si>
  <si>
    <t>GLT&amp;CLT (sw), Global, CLT, H3.1 LOSP (Red Stag) (New Zealand)</t>
  </si>
  <si>
    <t>Plywood, formply, B-bond, 17 mm (formwork) FWPA</t>
  </si>
  <si>
    <t>GLT&amp;CLT (sw), NEXTIMBER CLT, Timberlink, Australia</t>
  </si>
  <si>
    <t>S-P-07432</t>
  </si>
  <si>
    <t>https://epd-australasia.com/wp-content/uploads/2023/06/SP07432-Timberlink_EPD_NeXTimber_Jun23.pdf</t>
  </si>
  <si>
    <t>GLT&amp;CLT (sw), NEXTIMBER GLT (UNTREATED), Timberlink, Australia</t>
  </si>
  <si>
    <t>GLT&amp;CLT (sw), NEXTIMBER GLT (TREATED) treated to H3 level, Timberlink, Australia</t>
  </si>
  <si>
    <t>Softwood (Radiata pine), roughsawn, kiln-dried, H3 CCA treated, e.g. framing [majority from sustainable forest management practices] (FWPA)</t>
  </si>
  <si>
    <t>sawn softwood (Abodo Wood Ltd) (New Zealand)</t>
  </si>
  <si>
    <t>https://epd-australasia.com/wp-content/uploads/2020/08/SP01543-AbodoWood-EPD-Mar2023.v1.3.pdf</t>
  </si>
  <si>
    <t>Thermally Modified Timber, surfaced softwood (Abodo Wood Ltd) (New Zealand)</t>
  </si>
  <si>
    <t>Softwood (Radiata pine), surfaced, kiln-dried, H3 CCA treated, [majority from sustainable forest management practices] (FWPA)</t>
  </si>
  <si>
    <t>Sawn sw, surfaced</t>
  </si>
  <si>
    <t>Thermally Modified Timber, Finger-Jointed softwood (Abodo Wood Ltd) (New Zealand)</t>
  </si>
  <si>
    <t>softwood glulam (Abodo Wood Ltd) (New Zealand)</t>
  </si>
  <si>
    <t>Hardwood, , Min variation, hardwood, white cypress, roughsawn green (FWPA) (Australia)</t>
  </si>
  <si>
    <t>White Cypress, rough-sawn, green, FWPA</t>
  </si>
  <si>
    <t>S-P-02327</t>
  </si>
  <si>
    <t>https://epd-australasia.com/epd/forest-and-wood-products-australia-australian-sawn-white-cypress-timber/</t>
  </si>
  <si>
    <t>Planed and painted softwood product (Latvia Timber International) (Europe)</t>
  </si>
  <si>
    <t>S-P-09144</t>
  </si>
  <si>
    <t>https://api.environdec.com/api/v1/EPDLibrary/Files/c493cf4c-157d-4ea2-ab4f-08db4497f421/Data</t>
  </si>
  <si>
    <t>White Cypress, dressed, green, FWPA</t>
  </si>
  <si>
    <t>Glued laminated timber (Jures Glulam) (Europe)</t>
  </si>
  <si>
    <t>S-P-07323</t>
  </si>
  <si>
    <t>https://api.environdec.com/api/v1/EPDLibrary/Files/36768563-03b5-4028-15af-08daab5a6b31/Data</t>
  </si>
  <si>
    <t>Glued Laminated Timber (L.A. COST srl) (Global)</t>
  </si>
  <si>
    <t>S-P-04608</t>
  </si>
  <si>
    <t>https://api.environdec.com/api/v1/EPDLibrary/Files/4be6707c-dbd2-46b4-172d-08d972a96257/Data</t>
  </si>
  <si>
    <t>Particleboard, Global, Particleboard 660 kg/m3 (Norbord Europe Ltd) (Global)</t>
  </si>
  <si>
    <t>S-P-01856</t>
  </si>
  <si>
    <t>https://api.environdec.com/api/v1/EPDLibrary/Files/c594ad8b-2072-40a8-ad7b-08dbbea226bc/Data</t>
  </si>
  <si>
    <t>Vertical services</t>
  </si>
  <si>
    <t>Lift</t>
  </si>
  <si>
    <t>Lift_warehouse_residential_commercial_less7500sqm_Usage Cat_1_2</t>
  </si>
  <si>
    <t>Lift, , KONE Monospace 300 DX (Usage Cat. 1/2) (KONE) (Global)</t>
  </si>
  <si>
    <t>S-P-04623</t>
  </si>
  <si>
    <t>https://api.environdec.com/api/v1/EPDLibrary/Files/613d858a-9a03-4c74-bc78-08da527ee518/Data</t>
  </si>
  <si>
    <t>Lift_Residential_commercial_less7500sqm_Usage Cat_3_4</t>
  </si>
  <si>
    <t>Lift, , TK Elevator (Usage Cat. 3/4) (TK Elevator GmbH) (Europe)</t>
  </si>
  <si>
    <t>S-P-08258</t>
  </si>
  <si>
    <t>https://api.environdec.com/api/v1/EPDLibrary/Files/015c245e-e403-4e0e-764c-08db719c9c63/Data</t>
  </si>
  <si>
    <t>Lift, , TK Elevator (Usage Cat. 1/2) (TK Elevator GmbH) (Europe)</t>
  </si>
  <si>
    <t xml:space="preserve">https://api.environdec.com/api/v1/EPDLibrary/Files/015c245e-e403-4e0e-764c-08db719c9c63/Data </t>
  </si>
  <si>
    <t>Lift, , KONE Minispace DX HighRise elevator with steel rope (Usage Cat. 3/4) (KONE) (Global)</t>
  </si>
  <si>
    <t>S-P-08215</t>
  </si>
  <si>
    <t>https://api.environdec.com/api/v1/EPDLibrary/Files/a204fb29-346c-49ae-27fd-08db259f9365/Data</t>
  </si>
  <si>
    <t>Lift, , KONE Monospace 500 DX (Usage Cat. 1/2) (KONE) (Global)</t>
  </si>
  <si>
    <t>S-P-05555</t>
  </si>
  <si>
    <t>https://api.environdec.com/api/v1/EPDLibrary/Files/5b0c5c93-3c15-41a7-70da-08db473a5587/Data</t>
  </si>
  <si>
    <t>Lift, , OTIS GEN2 LIFE (Usage Cat. 1/2) (OTIS) (Europe)</t>
  </si>
  <si>
    <t>S-P-01068</t>
  </si>
  <si>
    <t>https://api.environdec.com/api/v1/EPDLibrary/Files/ff8b8783-a268-4545-0527-08db8d1ef4eb/Data</t>
  </si>
  <si>
    <t>Lift, , OTIS GEN2 STREAM (Usage Cat. 3/4) (OTIS) (Europe)</t>
  </si>
  <si>
    <t>https://api.environdec.com/api/v1/EPDLibrary/Files/61908712-1a28-4f62-9a86-08db7e35bd3c/Data</t>
  </si>
  <si>
    <t>Lift, , OTIS Gen2 Stream® HR (Usage Cat. 3/4) (OTIS) (Europe)</t>
  </si>
  <si>
    <t>S-P-01069</t>
  </si>
  <si>
    <t>https://api.environdec.com/api/v1/EPDLibrary/Files/fe3b28f3-66ce-40fd-9a85-08db7e35bd3c/Data</t>
  </si>
  <si>
    <t>Escalator</t>
  </si>
  <si>
    <t>Escalator, , TravelMaster 140T (KONE) (Global)</t>
  </si>
  <si>
    <t>S-P-05304</t>
  </si>
  <si>
    <t>https://api.environdec.com/api/v1/EPDLibrary/Files/1a720bf2-614c-44cb-dcb2-08da1c754aa8/Data</t>
  </si>
  <si>
    <t>Escalator, , TravelMaster 110 (KONE) (Global)</t>
  </si>
  <si>
    <t>S-P-06533</t>
  </si>
  <si>
    <t>https://api.environdec.com/api/v1/EPDLibrary/Files/40f33ae4-372c-4166-ac50-08da599e304a/Data</t>
  </si>
  <si>
    <t>Escalator, , OTIS Link Escalator (OTIS) (Global)</t>
  </si>
  <si>
    <t>S-P-10848</t>
  </si>
  <si>
    <t>https://api.environdec.com/api/v1/EPDLibrary/Files/d451c0b1-88ad-4516-f715-08dbfcbc4c1b/Data</t>
  </si>
  <si>
    <t>Escalator, , TravelMaster 110T (KONE) (Global)</t>
  </si>
  <si>
    <t>S-P-06370</t>
  </si>
  <si>
    <t>https://api.environdec.com/api/v1/EPDLibrary/Files/1c9f7e9d-5b90-4e86-ac53-08da599e304a/Data</t>
  </si>
  <si>
    <t>Not used, , ORONA NEXT SMART+ S16 LIFT (Usage Cat. 3/4) (Orana) (Global)</t>
  </si>
  <si>
    <t>S-P-04548</t>
  </si>
  <si>
    <t>https://api.environdec.com/api/v1/EPDLibrary/Files/cdac101a-c4cc-4bb6-6959-08d9b3ca1199/Data</t>
  </si>
  <si>
    <t>Escalator, , TransitMaster 120 (KONE) (Global)</t>
  </si>
  <si>
    <t>S-P-10740</t>
  </si>
  <si>
    <t>https://api.environdec.com/api/v1/EPDLibrary/Files/1812acb5-48dd-4eaa-d087-08dbb4ebef81/Data</t>
  </si>
  <si>
    <t>Lift_High_rise_hospital_shopcentre_Usage Cat_5_6</t>
  </si>
  <si>
    <t>Lift, , UCA(Ultra China Altitude) elevator (Usage Cat. 5/6) (Hitachi Elevator (China) Co., Ltd.) (China)</t>
  </si>
  <si>
    <t>S-P-11087</t>
  </si>
  <si>
    <t>https://api.environdec.com/api/v1/EPDLibrary/Files/94778d5c-dbf3-4f9b-5149-08dbd569605a/Data</t>
  </si>
  <si>
    <t>Not used, , ORONA NEXT SMART+ S18 LIFT (Usage Cat. 3/4) (Orana) (Global)</t>
  </si>
  <si>
    <t>Lift, , Rexia/Zexia lift (Usage Cat. 3/4) (Fujitech) (Global)</t>
  </si>
  <si>
    <t>S-P-06414</t>
  </si>
  <si>
    <t>https://api.environdec.com/api/v1/EPDLibrary/Files/1190336b-1453-4d39-a33b-08da713617ee/Data</t>
  </si>
  <si>
    <t>Lift, , Elsia lift (Usage Cat. 5/6) (Fujitech) (Global)</t>
  </si>
  <si>
    <t>S-P-06410</t>
  </si>
  <si>
    <t>https://api.environdec.com/api/v1/EPDLibrary/Files/c3774fc1-6968-4daf-a33c-08da713617ee/Data</t>
  </si>
  <si>
    <t>Waterproofing</t>
  </si>
  <si>
    <t>Waterproofing membrane, Waterproofing -PE, PE Waterproofing membrane LPM4 of 140 μm (Watermann Polyworks GmbH) (Global)</t>
  </si>
  <si>
    <t>S-P-10794</t>
  </si>
  <si>
    <t>https://api.environdec.com/api/v1/EPDLibrary/Files/64d264d1-aa05-4904-132c-08dbca69748b/Data</t>
  </si>
  <si>
    <t>Waterproofing membrane, Waterproofing membrane - PP, PP Waterproofing membrane extruded A1 of 200 μm (Watermann Polyworks GmbH) (Global)</t>
  </si>
  <si>
    <t>S-P-10796</t>
  </si>
  <si>
    <t>https://api.environdec.com/api/v1/EPDLibrary/Files/6773c5b5-df45-49ec-132f-08dbca69748b/Data</t>
  </si>
  <si>
    <t>Waterproofing membrane, Waterproofing membrane - PP, PP Waterproofing membrane A1 of 200 μm (Watermann Polyworks GmbH) (Global)</t>
  </si>
  <si>
    <t>S-P-09487</t>
  </si>
  <si>
    <t>https://api.environdec.com/api/v1/EPDLibrary/Files/2073fc30-3d1c-4ea2-9c25-08db7e35bd3c/Data</t>
  </si>
  <si>
    <t>Waterproofing membrane, Waterproofing -PE, PE Waterproofing membrane LPM5 of 200 μm (Watermann Polyworks GmbH) (Global)</t>
  </si>
  <si>
    <t>S-P-09963</t>
  </si>
  <si>
    <t>https://api.environdec.com/api/v1/EPDLibrary/Files/facfda9e-5dd1-4533-1385-08dbca69748b/Data</t>
  </si>
  <si>
    <t>Waterproofing membrane, Waterproofing -PE, PE Waterproofing membrane LPM2 of 100 μm (Watermann Polyworks GmbH) (Global)</t>
  </si>
  <si>
    <t>S-P-10795</t>
  </si>
  <si>
    <t>https://api.environdec.com/api/v1/EPDLibrary/Files/0cc2bf05-02e8-4565-132a-08dbca69748b/Data</t>
  </si>
  <si>
    <t>Waterproofing membrane, Waterproofing membrane - PCV, Mapeplan M Broof t1-t3 (Polyglass SpA) (Global)</t>
  </si>
  <si>
    <t>S-P-00905</t>
  </si>
  <si>
    <t>https://api.environdec.com/api/v1/EPDLibrary/Files/27dc9497-6129-4f29-823f-08d941d5f1c9/Data</t>
  </si>
  <si>
    <t>Waterproofing membrane, Waterproofing membrane - PCV, Mapeplan B (Polyglass SpA) (Global)</t>
  </si>
  <si>
    <t>Waterproofing membrane, Waterproofing membrane - PCV, FATRAFOL 803S (thickness 1,5 mm) (Fatra, a.s) (Global)</t>
  </si>
  <si>
    <t>S-P-10511</t>
  </si>
  <si>
    <t>https://api.environdec.com/api/v1/EPDLibrary/Files/59447d3b-7f77-4859-1333-08dbca69748b/Data</t>
  </si>
  <si>
    <t>Waterproofing membrane, Waterproofing membrane - PCV, AQUAPLAST 805 (thickness 1,5 mm) (Fatra, a.s) (Global)</t>
  </si>
  <si>
    <t>Waterproofing membrane, Waterproofing membrane - PCV, FATRAFOL 911 (thickness 1,5 mm) (Fatra, a.s) (Global)</t>
  </si>
  <si>
    <t>Waterproofing membrane, Waterproofing membrane - PCV, FATRAFOL 810 (thickness 1,5 mm) (Fatra, a.s) (Global)</t>
  </si>
  <si>
    <t>S-P-10510</t>
  </si>
  <si>
    <t>https://api.environdec.com/api/v1/EPDLibrary/Files/d11a5df1-277a-45e7-1334-08dbca69748b/Data</t>
  </si>
  <si>
    <t>Waterproofing membrane, Waterproofing membrane - PCV, FATRAFOL 810/V (thickness 1,5 mm) (Fatra, a.s) (Global)</t>
  </si>
  <si>
    <t>Waterproofing membrane, Waterproofing membrane - PCV, FATRAFOL 818 (thickness 1,5 mm) (Fatra, a.s) (Global)</t>
  </si>
  <si>
    <t>Waterproofing membrane, Waterproofing membrane - PCV, Mapeplan T M (E) (Polyglass SpA) (Global)</t>
  </si>
  <si>
    <t>S-P-00906</t>
  </si>
  <si>
    <t>https://api.environdec.com/api/v1/EPDLibrary/Files/9ca6bbde-5432-4490-8247-08d941d5f1c9/Data</t>
  </si>
  <si>
    <t>Waterproofing membrane, Waterproofing membrane - PCV,  Mapeplan T M Broof t1 (Polyglass SpA) (Global)</t>
  </si>
  <si>
    <t>Waterproofing membrane, Waterproofing membrane - PCV, FATRAFOL 814 (thickness 2,5 mm) (Fatra, a.s) (Global)</t>
  </si>
  <si>
    <t>S-P-10509</t>
  </si>
  <si>
    <t>https://api.environdec.com/api/v1/EPDLibrary/Files/42b1fe9e-f6ec-43fb-1335-08dbca69748b/Data</t>
  </si>
  <si>
    <t>Waterproofing membrane, Waterproofing membrane - PCV,  Mapeplan T B (Polyglass SpA) (Global)</t>
  </si>
  <si>
    <t>Waterproofing membrane, Waterproofing membrane - PCV, Mapeplan T I (Polyglass SpA) (Global)</t>
  </si>
  <si>
    <t>Waterproofing membrane, Waterproofing membrane - PCV,  Mapeplan T M Broof t2-t3 (Polyglass SpA) (Global)</t>
  </si>
  <si>
    <t>Waterproofing membrane, Waterproofing membrane - PCV,  Mapeplan T Af (Polyglass SpA) (Global)</t>
  </si>
  <si>
    <t>Waterproofing membrane, Waterproofing membrane - PCV,  Mapeplan T Af Broof t1 (Polyglass SpA) (Global)</t>
  </si>
  <si>
    <t>Waterproofing membrane, Waterproofing membrane - PCV,  Mapeplan T Af Broof t2 (Polyglass SpA) (Global)</t>
  </si>
  <si>
    <t>Waterproofing membrane, Waterproofing membrane - bitumen, Mataki UnoTech FR (Nordic Waterproofing AB) (Sweden)</t>
  </si>
  <si>
    <t>S-P-01899</t>
  </si>
  <si>
    <t>https://api.environdec.com/api/v1/EPDLibrary/Files/45acaf18-9ab6-408d-b51f-07736e89b1ed/Data</t>
  </si>
  <si>
    <t>Waterproofing membrane, Waterproofing membrane - bitumen, Mataki Ettlags Sveisebelegg (Nordic Waterproofing AB) (Sweden)</t>
  </si>
  <si>
    <t>Waterproofing membrane, Waterproofing membrane - bitumen, Trebolit Elastolit 001 (Nordic Waterproofing AB) (Sweden)</t>
  </si>
  <si>
    <t>Waterproofing membrane, Waterproofing membrane - bitumen, Mataki UnoTech (Nordic Waterproofing AB) (Sweden)</t>
  </si>
  <si>
    <t>Waterproofing membrane, Waterproofing membrane - bitumen, Trebolit Elastolit R01 (Nordic Waterproofing AB) (Sweden)</t>
  </si>
  <si>
    <t>Waterproofing membrane, Waterproofing membrane - bitumen, Mataki Power FR (Nordic Waterproofing AB) (Sweden)</t>
  </si>
  <si>
    <t>Waterproofing membrane, Waterproofing membrane - bitumen, Trebolit E-LIT M (Nordic Waterproofing AB) (Sweden)</t>
  </si>
  <si>
    <t>Waterproofing membrane, Waterproofing membrane - bitumen, Base + Top (BMI Sverige AB) (Scandinavia)</t>
  </si>
  <si>
    <t>Scandinavia</t>
  </si>
  <si>
    <t>S-P-03761</t>
  </si>
  <si>
    <t>https://api.environdec.com/api/v1/EPDLibrary/Files/3dfc1fa2-759b-465c-1d03-08d91e80c3d9/Data</t>
  </si>
  <si>
    <t>Waterproofing membrane, Waterproofing membrane - bitumen, Base SV + Top SV (BMI Sverige AB) (Scandinavia)</t>
  </si>
  <si>
    <t>Waterproofing membrane, Waterproofing membrane - bitumen, Base SV + Base SV (BMI Sverige AB) (Scandinavia)</t>
  </si>
  <si>
    <t>Waterproofing membrane, Waterproofing membrane - bitumen, Base KL + Top KL (BMI Sverige AB) (Scandinavia)</t>
  </si>
  <si>
    <t>Waterproofing membrane, Waterproofing membrane - bitumen, Base K + Top KL (BMI Sverige AB) (Scandinavia)</t>
  </si>
  <si>
    <t>Waterproofing membrane, Waterproofing membrane - bitumen, Base KL + Base KL (BMI Sverige AB) (Scandinavia)</t>
  </si>
  <si>
    <t>Waterproofing membrane, Waterproofing membrane - bitumen, Base K + Base K (BMI Sverige AB) (Scandinavia)</t>
  </si>
  <si>
    <t>Waterproofing membrane, Waterproofing membrane - bitumen, Reinforced bitumen sheets for roof waterproofing (underlayers) (Nordic Waterproofing AB) (Sweden)</t>
  </si>
  <si>
    <t>S-P-01900</t>
  </si>
  <si>
    <t>https://api.environdec.com/api/v1/EPDLibrary/Files/4d46ee5e-e38a-404a-bbfc-9229d794d249/Data</t>
  </si>
  <si>
    <t>Waterproofing membrane, Waterproofing membrane - bitumen, Mono P (BMI Sverige AB) (Europe)</t>
  </si>
  <si>
    <t>S-P-02105</t>
  </si>
  <si>
    <t>https://api.environdec.com/api/v1/EPDLibrary/Files/d48a2c2d-9f8c-4361-1667-08da0fd87809/Data</t>
  </si>
  <si>
    <t>Waterproofing membrane, Waterproofing membrane - bitumen, Mono PC (BMI Sverige AB) (Europe)</t>
  </si>
  <si>
    <t>Waterproofing membrane, Waterproofing membrane - bitumen, Mono PM (BMI Sverige AB) (Europe)</t>
  </si>
  <si>
    <t>Waterproofing membrane, Waterproofing membrane - bitumen, Mono PR (BMI Sverige AB) (Europe)</t>
  </si>
  <si>
    <t>Waterproofing membrane, Waterproofing membrane - bitumen, Mono Noxite (BMI Sverige AB) (Europe)</t>
  </si>
  <si>
    <t>Waterproofing membrane, Waterproofing membrane - bitumen, Primaflex M (BMI Sverige AB) (Europe)</t>
  </si>
  <si>
    <t>Waterproofing membrane, Waterproofing membrane - bitumen, Primaflex R (BMI Sverige AB) (Europe)</t>
  </si>
  <si>
    <t>, , TVA1 Systems (Danosa SA) (Global)</t>
  </si>
  <si>
    <t>S-P-01493</t>
  </si>
  <si>
    <t>https://api.environdec.com/api/v1/EPDLibrary/Files/0aebff21-7154-4f4a-1811-08db312e2dc4/Data</t>
  </si>
  <si>
    <t>, , NTV5 (Danosa SA) (Global)</t>
  </si>
  <si>
    <t>Window</t>
  </si>
  <si>
    <t>Window, Wood frame</t>
  </si>
  <si>
    <t>Window, Wood frame, Ribo wood top guided window (Velfac) (Global)</t>
  </si>
  <si>
    <t>S-P-05381</t>
  </si>
  <si>
    <t>https://api.environdec.com/api/v1/EPDLibrary/Files/7fe0cdcd-a5b1-4d0b-8868-08dbc3e797a5/Data</t>
  </si>
  <si>
    <t>Window, Aluminium frame</t>
  </si>
  <si>
    <t>Window, Aluminium frame, 126T Punched window PVDF (Overgaard) (USA)</t>
  </si>
  <si>
    <t>USA</t>
  </si>
  <si>
    <t>S-P-06516</t>
  </si>
  <si>
    <t>https://api.environdec.com/api/v1/EPDLibrary/Files/e4092be2-63ee-44a3-ad39-08da599e304a/Data</t>
  </si>
  <si>
    <t>Window, Aluminium frame, Aluminium windows Strugal S140RP infinty anodized (Strugal) (Global)</t>
  </si>
  <si>
    <t>S-P-05211</t>
  </si>
  <si>
    <t>https://api.environdec.com/api/v1/EPDLibrary/Files/1112f09e-60a7-40ec-ab0d-08d9c4927501/Data</t>
  </si>
  <si>
    <t>Window, Aluminium frame, Window 45, recycled material (AEA) (Global)</t>
  </si>
  <si>
    <t>S-P-02163</t>
  </si>
  <si>
    <t>https://api.environdec.com/api/v1/EPDLibrary/Files/11ed9f76-c75b-4817-bd94-483f825dd9fd/Data</t>
  </si>
  <si>
    <t>Window, Aluminium frame, Aluminium windows Strugal S53RP+ anodized (Strugal) (Global)</t>
  </si>
  <si>
    <t>Window, Aluminium frame, Aluminium windows Strugal S88RP infinty anodized (Strugal) (Global)</t>
  </si>
  <si>
    <t>Window, Aluminium frame, Window ATS 105 outward opening top swing aluminium, with wood (Lyssand) (Global)</t>
  </si>
  <si>
    <t>S-P-08016</t>
  </si>
  <si>
    <t>https://api.environdec.com/api/v1/EPDLibrary/Files/0e6a8651-ccc0-4a72-2503-08db259f9365/Data</t>
  </si>
  <si>
    <t>Window, Wood frame, Top-swing window wood 105 (Lyssand) (Global)</t>
  </si>
  <si>
    <t>S-P-07884</t>
  </si>
  <si>
    <t>https://api.environdec.com/api/v1/EPDLibrary/Files/0be673c2-c319-47d6-2512-08db259f9365/Data</t>
  </si>
  <si>
    <t>Window, Wood frame, Outward opening top hung wood window (Elitfonster) (Global)</t>
  </si>
  <si>
    <t>S-P-05383</t>
  </si>
  <si>
    <t>Upfront carbon storage</t>
  </si>
  <si>
    <r>
      <rPr>
        <b/>
        <sz val="10"/>
        <color rgb="FF000000"/>
        <rFont val="Arial"/>
        <family val="2"/>
      </rPr>
      <t>Quantity basis (kgCO</t>
    </r>
    <r>
      <rPr>
        <b/>
        <vertAlign val="subscript"/>
        <sz val="10"/>
        <color rgb="FF000000"/>
        <rFont val="Arial"/>
        <family val="2"/>
      </rPr>
      <t>2</t>
    </r>
    <r>
      <rPr>
        <b/>
        <sz val="10"/>
        <color rgb="FF000000"/>
        <rFont val="Arial"/>
        <family val="2"/>
      </rPr>
      <t>e/declared unit)</t>
    </r>
  </si>
  <si>
    <r>
      <t>Mass basis (kgCO</t>
    </r>
    <r>
      <rPr>
        <b/>
        <vertAlign val="subscript"/>
        <sz val="10"/>
        <color theme="1"/>
        <rFont val="Arial"/>
        <family val="2"/>
      </rPr>
      <t>2</t>
    </r>
    <r>
      <rPr>
        <b/>
        <sz val="10"/>
        <color theme="1"/>
        <rFont val="Arial"/>
        <family val="2"/>
      </rPr>
      <t>e/kg)</t>
    </r>
  </si>
  <si>
    <t>Quantity basis (kgCO2e/declared unit)</t>
  </si>
  <si>
    <t>Row</t>
  </si>
  <si>
    <t>Column</t>
  </si>
  <si>
    <t>Life cycle module cradle-to-gate (A1-A3)</t>
  </si>
  <si>
    <t>Further information</t>
  </si>
  <si>
    <t>Emission Factor material type</t>
  </si>
  <si>
    <t>Emission Factor material category</t>
  </si>
  <si>
    <t>Tab name</t>
  </si>
  <si>
    <t>Data qualitative Rating</t>
  </si>
  <si>
    <t>Average (uncertainty adjusted)</t>
  </si>
  <si>
    <t>Conversion (Based on average EF)</t>
  </si>
  <si>
    <t>Conversion unit</t>
  </si>
  <si>
    <t>Notes</t>
  </si>
  <si>
    <t>Weighted average used (Yes/No)</t>
  </si>
  <si>
    <t>EF material type</t>
  </si>
  <si>
    <t>EF material category</t>
  </si>
  <si>
    <t>EXCLUDE</t>
  </si>
  <si>
    <t>Data source unit</t>
  </si>
  <si>
    <t>Upfront carbon emission - Max (kgCO2e/declared unit)</t>
  </si>
  <si>
    <t>Upfront carbon emission - Min (kgCO2e/declared unit)</t>
  </si>
  <si>
    <t>Upfront carbon emission - Average (kg CO2e/declared unit)</t>
  </si>
  <si>
    <t>Upfront carbon emission - Average (uncertainty adjusted) (kgCO2e/declared unit)</t>
  </si>
  <si>
    <t>Upfront carbon emission - Default (uncertainty adjusted) (kgCO2e/declared unit)</t>
  </si>
  <si>
    <t>Upfront carbon emission - Max (kgCO2e/kg)</t>
  </si>
  <si>
    <t>Upfront carbon emission - Min (kgCO2e/kg)</t>
  </si>
  <si>
    <t>Upfront carbon emission - Average (kg CO2e/kg)</t>
  </si>
  <si>
    <t>Upfront carbon emission - Average (uncertainty adjusted) (kgCO2e/kg)</t>
  </si>
  <si>
    <t>Upfront carbon emission - Default (uncertainty adjusted) (kgCO2e/kg)</t>
  </si>
  <si>
    <t>Upfront carbon storage - Max (kgCO2e/declared unit)</t>
  </si>
  <si>
    <t>Upfront carbon storage- Average (kg CO2e/declared unit)</t>
  </si>
  <si>
    <t>Upfront carbon storage - Average (uncertainty adjusted) (kgCO2e/declared unit)</t>
  </si>
  <si>
    <t>Upfront carbon storage - Default (uncertainty adjusted) (kgCO2e/declared unit)</t>
  </si>
  <si>
    <t>Upfront carbon storage - Max (kgCO2e/kg)</t>
  </si>
  <si>
    <t>Upfront carbon storage - Average (kg CO2e/kg)</t>
  </si>
  <si>
    <t>Upfront carbon storage - Average (uncertainty adjusted) (kgCO2e/kg)</t>
  </si>
  <si>
    <t>Upfront carbon storage - Default (uncertainty adjusted) (kgCO2e/kg)</t>
  </si>
  <si>
    <t>Conversion</t>
  </si>
  <si>
    <t>Weighted averaged used?</t>
  </si>
  <si>
    <t>Concrete in-situ</t>
  </si>
  <si>
    <t>Concrete_10MPa</t>
  </si>
  <si>
    <t>Concrete_20MPa</t>
  </si>
  <si>
    <t>Concrete_25MPa</t>
  </si>
  <si>
    <t>Concrete_32MPa</t>
  </si>
  <si>
    <t>Concrete_40MPa</t>
  </si>
  <si>
    <t>Concrete_50MPa</t>
  </si>
  <si>
    <t>Concrete_65MPa</t>
  </si>
  <si>
    <t>Concrete_80MPa</t>
  </si>
  <si>
    <t>Concrete_80upMPa</t>
  </si>
  <si>
    <t>Concrete pre-cast panel</t>
  </si>
  <si>
    <t>Wall panel - precast concrete</t>
  </si>
  <si>
    <t>Concrete_precast_panel</t>
  </si>
  <si>
    <t>Deck panel - precast concrete</t>
  </si>
  <si>
    <t>Concrete_hollowcore</t>
  </si>
  <si>
    <t>Concrete block</t>
  </si>
  <si>
    <t>Concrete_bricks</t>
  </si>
  <si>
    <t>Concrete brick</t>
  </si>
  <si>
    <t>Concrete block/brick</t>
  </si>
  <si>
    <t>AAC_block</t>
  </si>
  <si>
    <t>Reinforcing steel</t>
  </si>
  <si>
    <t>Bar &amp; mesh reinforcing steel</t>
  </si>
  <si>
    <t>Reinforcing_steel</t>
  </si>
  <si>
    <t>Fibre &amp; strand reinforcing steel</t>
  </si>
  <si>
    <t>Structural steel</t>
  </si>
  <si>
    <t>Structural sections steel (welded beam, columns, angles, plates etc) (hot rolled)</t>
  </si>
  <si>
    <t>Structural_steel_hot</t>
  </si>
  <si>
    <t>Structural formwork and decking steel (cold rolled - light weight)</t>
  </si>
  <si>
    <t>Structural_steel_cold</t>
  </si>
  <si>
    <t>Structural framing steel (cold rolled - lightweight)</t>
  </si>
  <si>
    <t>Steel piles</t>
  </si>
  <si>
    <t>Plate steel (hot rolled)</t>
  </si>
  <si>
    <t>Galvanised Structural sections steel (welded beam, columns, angles, plates etc) (hot rolled)</t>
  </si>
  <si>
    <t>Structural_steel_hot_gal</t>
  </si>
  <si>
    <t>Galvanised Structural formwork and decking steel (cold rolled - light weight)</t>
  </si>
  <si>
    <t>Structural_steel_cold_gal</t>
  </si>
  <si>
    <t>Galvanised Structural framing steel (cold rolled - lightweight)</t>
  </si>
  <si>
    <t>Galvanised Steel piles</t>
  </si>
  <si>
    <t>Galvanised Plate steel (hot rolled)</t>
  </si>
  <si>
    <t>Painted Structural sections steel (welded beam, columns, angles, plates etc) (hot rolled)</t>
  </si>
  <si>
    <t>Structural_steel_hot_painted</t>
  </si>
  <si>
    <t>Painted Structural formwork and decking steel (cold rolled - light weight)</t>
  </si>
  <si>
    <t>Structural_steel_cold_painted</t>
  </si>
  <si>
    <t>Painted Structural framing steel (cold rolled - lightweight)</t>
  </si>
  <si>
    <t>Painted Steel piles</t>
  </si>
  <si>
    <t>Painted Plate steel (hot rolled)</t>
  </si>
  <si>
    <t>Stainless_steel</t>
  </si>
  <si>
    <t>Timber</t>
  </si>
  <si>
    <t>Timber_softwood</t>
  </si>
  <si>
    <t>Timber_hardwood</t>
  </si>
  <si>
    <t>Timber poles - piles</t>
  </si>
  <si>
    <t>Timber (engineered)</t>
  </si>
  <si>
    <t>Eng_Timber_Plywood</t>
  </si>
  <si>
    <t>Eng_Timber_Particleboard</t>
  </si>
  <si>
    <t>Eng_Timber_GLT_CLT_Soft</t>
  </si>
  <si>
    <t>Eng_Timber_GLT_CLT_Hard</t>
  </si>
  <si>
    <t>Eng_Timber_LVL</t>
  </si>
  <si>
    <t>Eng_Timber_OSB</t>
  </si>
  <si>
    <t>Brick</t>
  </si>
  <si>
    <t>Clay_bricks</t>
  </si>
  <si>
    <t>Pavers_Stone</t>
  </si>
  <si>
    <t>Wall ceiling Insulated Panel</t>
  </si>
  <si>
    <t>Panel_SIP_less_equal_100</t>
  </si>
  <si>
    <t>Panel_SIP_more100</t>
  </si>
  <si>
    <t>Fill</t>
  </si>
  <si>
    <t>Engineered_fill</t>
  </si>
  <si>
    <t xml:space="preserve">Aggregate </t>
  </si>
  <si>
    <t>Recovered_aggregate</t>
  </si>
  <si>
    <t>stabilised_sand</t>
  </si>
  <si>
    <t>Steel - cladding/roofing</t>
  </si>
  <si>
    <t>steel_cladding_metallic</t>
  </si>
  <si>
    <t>steel_cladding_painted</t>
  </si>
  <si>
    <t>Aluminium - cladding/roofing</t>
  </si>
  <si>
    <t>Aluminium_cladding</t>
  </si>
  <si>
    <t>Tiles - cladding/roofing</t>
  </si>
  <si>
    <t>Roof tiles (traditional clay)</t>
  </si>
  <si>
    <t>Roof_Tiles_Clay</t>
  </si>
  <si>
    <t>Terracotta roofing</t>
  </si>
  <si>
    <t>Concrete roof tiles</t>
  </si>
  <si>
    <t>Cement - cladding/roofing</t>
  </si>
  <si>
    <t>Fibre_Cement</t>
  </si>
  <si>
    <t xml:space="preserve">Cladding - timber </t>
  </si>
  <si>
    <t>Timber weatherboards</t>
  </si>
  <si>
    <t>Timber_Weatherboard</t>
  </si>
  <si>
    <t>Roller_Door</t>
  </si>
  <si>
    <t>Stick-framed wall /ceiling system</t>
  </si>
  <si>
    <t>Stick wall - Aluminium frame</t>
  </si>
  <si>
    <t>Aluminium_extruded</t>
  </si>
  <si>
    <t>Stick wall - Steel frame</t>
  </si>
  <si>
    <t>Wall louvre system</t>
  </si>
  <si>
    <t xml:space="preserve">Aluminium louvre </t>
  </si>
  <si>
    <t>Aluminium_extru_powdercoat</t>
  </si>
  <si>
    <t>External shading system</t>
  </si>
  <si>
    <t>Aluminium frame shading system</t>
  </si>
  <si>
    <t>Steel frame shading system</t>
  </si>
  <si>
    <t>Interior wall (permanent)</t>
  </si>
  <si>
    <t>Steel (light framing)</t>
  </si>
  <si>
    <t>Steel (light framing) - painted</t>
  </si>
  <si>
    <t>Steel (light framing) - galvanised</t>
  </si>
  <si>
    <t>Timber framing</t>
  </si>
  <si>
    <t>AAC panel (reinforced)</t>
  </si>
  <si>
    <t>Decorative particleboard</t>
  </si>
  <si>
    <t>Eng_Timber_Decorative_Pb</t>
  </si>
  <si>
    <t>Eng_Timber_MDF</t>
  </si>
  <si>
    <t>Fibre cement sheet</t>
  </si>
  <si>
    <t>Windows &amp; doors</t>
  </si>
  <si>
    <t>Extruded aluminium</t>
  </si>
  <si>
    <t>Aluminium extruded powder coated</t>
  </si>
  <si>
    <t>Aluminium extruded anodised</t>
  </si>
  <si>
    <t>Aluminium_extru_anodised</t>
  </si>
  <si>
    <t>Pavers/tiles</t>
  </si>
  <si>
    <t xml:space="preserve">Pavers Concrete </t>
  </si>
  <si>
    <t>Pavers_ceramic</t>
  </si>
  <si>
    <t>Pavers Stone</t>
  </si>
  <si>
    <t>Lifts</t>
  </si>
  <si>
    <t>Lift_Cat5_6</t>
  </si>
  <si>
    <t>Lift_Cat3_4</t>
  </si>
  <si>
    <t>Lift_Cat1_2</t>
  </si>
  <si>
    <t>Kerb</t>
  </si>
  <si>
    <t>Floors</t>
  </si>
  <si>
    <t>Access_floor</t>
  </si>
  <si>
    <t>Carpet_flooring</t>
  </si>
  <si>
    <t>Vinyl_flooring</t>
  </si>
  <si>
    <t>Rubber_flooring</t>
  </si>
  <si>
    <t>Laminate_flooring</t>
  </si>
  <si>
    <t>Hybrid_flooring</t>
  </si>
  <si>
    <t>Window - Aluminium frame  - Generic</t>
  </si>
  <si>
    <t>Window_doors_generic</t>
  </si>
  <si>
    <t>Door - glazed - Timber/Aluminium  - Generic</t>
  </si>
  <si>
    <t>Door - glazed - Steel  - Generic</t>
  </si>
  <si>
    <t>Door - glazed - minimal frame - Generic</t>
  </si>
  <si>
    <t>Door - glazed - Aluminium frame - Generic</t>
  </si>
  <si>
    <t>Window Timber frame - Generic</t>
  </si>
  <si>
    <t>Door timber no glazing - Generic</t>
  </si>
  <si>
    <t>Door steel no glazing - Generic</t>
  </si>
  <si>
    <t>Revolving door Glass_aluminium_steel - Generic</t>
  </si>
  <si>
    <t xml:space="preserve">Curtain wall - Generic - Curtain wall, aluminium unitised, 100% DGU 8T-16-44.2 </t>
  </si>
  <si>
    <t>Curtain_wall</t>
  </si>
  <si>
    <t xml:space="preserve">Curtain wall - Generic - Curtain wall, aluminium unitised, aluminium cladding, 50% DGU 8T-16-44.2 </t>
  </si>
  <si>
    <t xml:space="preserve">Curtain wall - Generic - Curtain wall, aluminium unitised, aluminium cladding with vertical fins, 50% DGU 8T-16-44.2 </t>
  </si>
  <si>
    <t xml:space="preserve">Curtain wall - Generic - Curtain wall, aluminium unitised, aluminium cladding, 50% TGU 8T-16-6-16-44.2 </t>
  </si>
  <si>
    <t xml:space="preserve">Curtain wall - Generic - Curtain wall, aluminium unitised, insulated shadow box, 50% DGU 8T-16-44.2 </t>
  </si>
  <si>
    <t xml:space="preserve">Curtain wall - Generic - Curtain wall, aluminium unitised, GRC cladding, 50% DGU 8T-16-44.2 </t>
  </si>
  <si>
    <t xml:space="preserve">Curtain wall - Generic - Curtain wall, aluminium stick, aluminium cladding, 50% DGU 8T-16-44.2 </t>
  </si>
  <si>
    <t xml:space="preserve">Curtain wall - Generic - Curtain wall, steel stick, aluminium cladding, 50% DGU 8T-16-44.2 </t>
  </si>
  <si>
    <t xml:space="preserve">Curtain wall - Generic - Curtain wall, timber stick, aluminium cladding, 50% DGU 8T-16-44.2 </t>
  </si>
  <si>
    <t xml:space="preserve">Curtain wall - Generic - Curtain wall, double skin, deep cavity aluminium façade, 100% single + DGU 66.2 + 8T-16-44.2 </t>
  </si>
  <si>
    <t xml:space="preserve">Curtain wall - Generic - Curtain wall, double skin, narrow cavity aluminium façade, 100% single + DGU 66.2 + 8T-16-44.2 </t>
  </si>
  <si>
    <t>Curtain wall - Generic - Wall system, precast concrete, 50% DGU 8T-16-44.2</t>
  </si>
  <si>
    <t>Curtain wall - Generic - Wall system, steel frame, aluminium rainscreen, 50% DGU 8T-16-44.2</t>
  </si>
  <si>
    <t>Curtain wall - Generic - Wall system, steel frame, stone cladding, 50% DGU 8T-16-44.2</t>
  </si>
  <si>
    <t>Curtain wall - Generic - Wall system, steel frame, brick cladding, 50% DGU 8T-16-44.2</t>
  </si>
  <si>
    <t>Curtain wall - Generic - Wall system, cross laminated timber backing, brick cladding, 50% DGU 8T-16-44.2</t>
  </si>
  <si>
    <t>Warehouse/Residential</t>
  </si>
  <si>
    <t>Building_services_MEP_warehouse_residential_HVAC</t>
  </si>
  <si>
    <t>Building_services</t>
  </si>
  <si>
    <t>Warehouse (no HVAC)</t>
  </si>
  <si>
    <t>Building_services_MEP_warehouse_none_HVAC</t>
  </si>
  <si>
    <t>Office commercial low rise</t>
  </si>
  <si>
    <t>Building_services_MEP_office_less7500sqm</t>
  </si>
  <si>
    <t>Office commercial high rise</t>
  </si>
  <si>
    <t>Building_services_MEP_office_commercial_greater7500sqm</t>
  </si>
  <si>
    <t>Hospital</t>
  </si>
  <si>
    <t>Building_services_MEP_hospital_special</t>
  </si>
  <si>
    <t>Material category description:</t>
  </si>
  <si>
    <t xml:space="preserve">Any concrete mix with a strength rating of 10 MPa or lower. </t>
  </si>
  <si>
    <t>Qualitative assessment:</t>
  </si>
  <si>
    <t xml:space="preserve">Australian EPDs. From two Aus regions only. NT likely higher than most
Only one supplier. 3 products. 
Average comparison with other databases limited due to low MPa not commonly covered. But compares well to other strength grades 
</t>
  </si>
  <si>
    <t>Geographical rating</t>
  </si>
  <si>
    <t>EF source data rating</t>
  </si>
  <si>
    <t>Market coverage rating</t>
  </si>
  <si>
    <t xml:space="preserve">TOTAL </t>
  </si>
  <si>
    <t>Notes:</t>
  </si>
  <si>
    <t>Data sources and statistics:</t>
  </si>
  <si>
    <t>Emissions</t>
  </si>
  <si>
    <t>Storage</t>
  </si>
  <si>
    <t>Quantity</t>
  </si>
  <si>
    <t>Max</t>
  </si>
  <si>
    <t>Min</t>
  </si>
  <si>
    <t>Average</t>
  </si>
  <si>
    <t>List</t>
  </si>
  <si>
    <t>Any concrete mix with a strength rating of 20 MPa or lower and greater than 10MPa</t>
  </si>
  <si>
    <t>Strong market coverage. Only Australasian EPDs well spread throughout Australia and across multiple suppliers.
Average compares well to other sources of EFs. 
No weighted average possible.</t>
  </si>
  <si>
    <t>The material category is based on the strength of concrete. Concrete mixes from all states and territories and with or without supplementary cementious materials are included in this dataset. This provides a conservative default value for the material category. Promoting the use of specific published EFs based on the concrete product used.</t>
  </si>
  <si>
    <t>&gt;10 MPa to ≤20 Mpa</t>
  </si>
  <si>
    <t>Any concrete mix with a strength rating of 25 MPa or lower and greater than 20 MPa</t>
  </si>
  <si>
    <t xml:space="preserve">The material category is based on the strength of concrete.  Concrete mixes from all states and territories and with or without supplementary cementious materials are included in this dataset.  This provides a conservative default value for the material category. Promoting the use of specific published EFs based on the concrete product used. </t>
  </si>
  <si>
    <t>Any concrete mix with a strength rating of 32 MPa or lower and greater than 25 MPa</t>
  </si>
  <si>
    <t>Any concrete mix with a strength rating of 40 MPa or lower and greater than 32 MPa</t>
  </si>
  <si>
    <t>Any concrete mix with a strength rating of 50 MPa or lower and greater than 40 MPa</t>
  </si>
  <si>
    <t>Strong market coverage. Only Australasian EPDs well spread throughout Australia and across multiple suppliers.
Average compares well to other sources of EFs. 
No weighted average possible. Unknown how much SCM based concretes are sold versus GP concrete.</t>
  </si>
  <si>
    <t>Any concrete mix with a strength rating of 65 MPa or lower and greater than 50 MPa</t>
  </si>
  <si>
    <t>Reasonable market coverage. Only Australasian EPDs well spread throughout Australia and across multiple suppliers. 
Average compares well to other sources of EFs. 
No weighted average possible. Unknown how much SCM based concretes are sold versus GP concrete.</t>
  </si>
  <si>
    <t xml:space="preserve">Maximum of data source falls below the maximum for 50 MPa. Likely due to a limited source of market coverage at this strength rating. The max from 50 MPa has been used. The material category is based on the strength of concrete.  Concrete mixes from all states and territories and with or without supplementary cementious materials are included in this dataset.  This provides a conservative default value for the material category. Promoting the use of specific published EFs based on the concrete product used. </t>
  </si>
  <si>
    <t>Any concrete mix with a strength rating of 80 MPa or lower and greater than 65 MPa</t>
  </si>
  <si>
    <t>Smaller number of products than other lower (more typical) strength grades.
Only Australasian EPDs well spread throughout Australia and across multiple suppliers.
Average compares well to other sources of EFs. 
No weighted average possible. Unknown how much SCM based concretes are sold versus GP concrete.</t>
  </si>
  <si>
    <t>Maximum of data source falls below the maximum for 50 MPa. Likely due to a limited source of market coverage at this strength rating. The max from 50 MPa has been used. Concrete mixes from all states and territories and with or without supplementary cementious materials are included in this dataset.  This provides a conservative default value for the material category. Promoting the use of specific published EFs based on the concrete product used.</t>
  </si>
  <si>
    <t>Any concrete mix with a strength rating above 80 Mpa</t>
  </si>
  <si>
    <t>Only one example. 
Australian EPD.</t>
  </si>
  <si>
    <t>Maximum of data source falls below the maximum for 50 MPa. Likely due to a limited source of market coverage at this strength rating. The max from 50 MPa has been used.</t>
  </si>
  <si>
    <t>Any precaste concrete panel i.e. wall, deck, or balcony panel.</t>
  </si>
  <si>
    <t>Two examples from same supplier. 
International EPD source.  
Calculated Australian average using EPD masses and default average EFs.</t>
  </si>
  <si>
    <t>Includes steel reinforcing.</t>
  </si>
  <si>
    <t>prefabricated concrete</t>
  </si>
  <si>
    <t>Precast hollowcore concrete slabs</t>
  </si>
  <si>
    <t xml:space="preserve">Four Australian products from one supplier EPD. Market coverage poor.
</t>
  </si>
  <si>
    <t>Declared unit is per cubic meters of slab including hollows/voids</t>
  </si>
  <si>
    <t>Any asphalt mix</t>
  </si>
  <si>
    <t xml:space="preserve">Good coverage of products from sites across Australia. 
Product ranges include wide array of mixes 
Numerous big suppliers of asphalt. Though remainder of smaller market players missing.
All Australasian EPDs
</t>
  </si>
  <si>
    <t>Concrete brick or block i.e. cinder block or concrete finishing brick used in masonry. Not including any core fill material or reinforcing.</t>
  </si>
  <si>
    <t xml:space="preserve">Australian market share believed to be majority Australian producers.
Adbri and Austral represented. No others
2 Australasian EPDs and another 6 proxy EPDs from international sources.
Reasonable representation of the market
</t>
  </si>
  <si>
    <t>Not including any core fill material or reinforcing.</t>
  </si>
  <si>
    <t>Autoclaved Aerated Concrete (AAC) blocks/bricks</t>
  </si>
  <si>
    <t xml:space="preserve">No Australian based suppliers. 
2 International EPDs for 4 products. Unsure whether these EPDs represent supply into Australia
Poor representation of the market.
</t>
  </si>
  <si>
    <t xml:space="preserve">All stainless steel </t>
  </si>
  <si>
    <t xml:space="preserve">No Australian based suppliers. Though Australian market is believed to be all imports (no local manufacture)
China biggest manufacturer and exporter globally. Do not have a representative EPD.  
Unsure whether these EPDs, mostly Europe, represent supply into Australia
Poor representation of the market.
</t>
  </si>
  <si>
    <t>stainless steel</t>
  </si>
  <si>
    <t>Additional</t>
  </si>
  <si>
    <t>Steel used to reinforce concrete structures (bar, mesh, cages, fibre, strand etc.)</t>
  </si>
  <si>
    <t>Annual output</t>
  </si>
  <si>
    <t>unit</t>
  </si>
  <si>
    <t>weighting</t>
  </si>
  <si>
    <t>Comment</t>
  </si>
  <si>
    <t>Reference for output value</t>
  </si>
  <si>
    <t>Australian sourced reo</t>
  </si>
  <si>
    <t>Mt</t>
  </si>
  <si>
    <t xml:space="preserve">based on total steel flows </t>
  </si>
  <si>
    <t xml:space="preserve">https://www.worldsteel.org/en/dam/jcr:66fed386-fd0b-485e-aa23-b8a5e7533435/Position_paper_climate_2018.pdf </t>
  </si>
  <si>
    <t>17 EPD products - 8 from Aus - 3 suppliers.
Average EF compares well against other emission factors.
Weighted average possible based on output.
International EPDs represent known suppliers into Australia market i.e. Singapore/India but no South Korea or China EPDs.
Not enough information to break down between strand/fibre and bar/mesh</t>
  </si>
  <si>
    <t>International sourced reo</t>
  </si>
  <si>
    <t>Australian average</t>
  </si>
  <si>
    <t>International example</t>
  </si>
  <si>
    <t>Weighted average</t>
  </si>
  <si>
    <t>Average (Weighted)</t>
  </si>
  <si>
    <t>weighting no intl</t>
  </si>
  <si>
    <t>Steel used for structural purposes (unpainted, not galavanized) that has undergone hot-rolled steel production route. Including beams, columns, angles, flange channels, hollow sections.</t>
  </si>
  <si>
    <t>Whyalla (Liberty)</t>
  </si>
  <si>
    <t>About the Steelworks | GFG Alliance</t>
  </si>
  <si>
    <t>Kembla (Bluescope)</t>
  </si>
  <si>
    <t>https://www.steel.org.au/Membership/media/Australian-Steel-Institute/PDFs/Steel-Industry-Capability-document-050623.pdf</t>
  </si>
  <si>
    <t>3 big suppliers - 2 big smelters - comparison  good - weighted average possible - Australian EPD data for most part.
International sources available only as proxies for market i.e. India used to represent Asia/China.
Good spread of products represented</t>
  </si>
  <si>
    <t xml:space="preserve">International </t>
  </si>
  <si>
    <t>Whyalla average</t>
  </si>
  <si>
    <t>Kembla average</t>
  </si>
  <si>
    <t>International</t>
  </si>
  <si>
    <t>Steel (Painted) used for structural purposes that has undergone hot-rolled steel production route. Including beams, columns, angles, flange channels, hollow sections.</t>
  </si>
  <si>
    <t>Using emission factors determined in structural steel hot rolled then multiplying by a factor for painting as determined using data found in additional data</t>
  </si>
  <si>
    <t>Painted steel</t>
  </si>
  <si>
    <t>kg of GWP/m2</t>
  </si>
  <si>
    <t>https://www.umcuae.ae/downloads/EPD_UMC%20Final%20Certified.pdf</t>
  </si>
  <si>
    <t>Products - determination of GWP contribution from painting</t>
  </si>
  <si>
    <t>density</t>
  </si>
  <si>
    <t>Avg</t>
  </si>
  <si>
    <t>L</t>
  </si>
  <si>
    <t>W</t>
  </si>
  <si>
    <t>thick</t>
  </si>
  <si>
    <t>m2.m</t>
  </si>
  <si>
    <t>SA m2/m</t>
  </si>
  <si>
    <t>m3</t>
  </si>
  <si>
    <t>kg/m</t>
  </si>
  <si>
    <t>kg/m3</t>
  </si>
  <si>
    <t>GWP/kg unpainted</t>
  </si>
  <si>
    <t>GWP steel prod/per m of product</t>
  </si>
  <si>
    <t>GWP painted/per m of product</t>
  </si>
  <si>
    <t>Total GWP/m of product</t>
  </si>
  <si>
    <t xml:space="preserve">GWP % from painting </t>
  </si>
  <si>
    <t>Steel (Galvanized) used for structural purposes that has undergone hot-rolled steel production route. Including beams, columns, angles, flange channels, hollow sections.</t>
  </si>
  <si>
    <t>3 big suppliers - 2 big smelters - comparison  good - weighted average possible - Australian EPD data.
International sources not used. 
Good spread of products</t>
  </si>
  <si>
    <t>Using emission factors determined in structural steel hot rolled then multiplying by a factor for galvanising as determined using data found in additional data</t>
  </si>
  <si>
    <t>additional GWP per kg of steel</t>
  </si>
  <si>
    <t>Whyalla</t>
  </si>
  <si>
    <t>Port Kembla</t>
  </si>
  <si>
    <t>Steel (upainted, not galvanized) used for structural purposes that has undergone cold-rolled steel production route. Including purlins, girts, stick frames, wall framing, merchant bar.</t>
  </si>
  <si>
    <t>3 big suppliers - 2 big smelters - comparison  good - weighted average possible - Australian EPD data.
Domestic sources majorty of market
Good spread of products</t>
  </si>
  <si>
    <t>Steel (Painted) used for structural purposes that has undergone cold-rolled steel production route. Including purlins, girts, stick frames, wall framing, merchant bar.</t>
  </si>
  <si>
    <t>Upfront carbon emissions (kg CO2e/quantity</t>
  </si>
  <si>
    <t>Upfront carbon storage (kg CO2e/quantity</t>
  </si>
  <si>
    <t>Cold rolled products - determination of GWP contribution from painting</t>
  </si>
  <si>
    <t xml:space="preserve">https://www.umcuae.ae/downloads/EPD_UMC%20Final%20Certified.pdf </t>
  </si>
  <si>
    <t>GWP-total (kg CO2e/quanity)</t>
  </si>
  <si>
    <t>GWP-fossil (kg CO2e/quanity)</t>
  </si>
  <si>
    <t>m2</t>
  </si>
  <si>
    <t>Steel (Galvanized) used for structural purposes that has undergone cold-rolled steel production route. Including purlins, girts, stick frames, wall framing, merchant bar.</t>
  </si>
  <si>
    <t xml:space="preserve">Steel cladding with a metallic coating including all base metal thicknesses (BMT) from 0.3 mm to 2.9mm </t>
  </si>
  <si>
    <t>3 big suppliers - Australian EPD data and Indian EPD data.
Good spread of products
Market dominated by bluescope other EPDs used confirmed to be sold in Australia (industry consultation)</t>
  </si>
  <si>
    <t xml:space="preserve">Important to consider in the context of base metal thickness (BMT) and size of sheet not cladding area (shape of sheet i.e. corrugation and overlapping means area of sheet is more than area to be clad). Recommended to use kg CO2e/kg EF when BMT and mass is known. </t>
  </si>
  <si>
    <t xml:space="preserve">Steel cladding that has been painted, including all base metal thicknesses (BMT) from 0.42 mm to 1.0 mm </t>
  </si>
  <si>
    <t>3 big suppliers - Australian EPD data and Indian EPD data.
Good spread of products
Market dominated by bluescope others confirmed to be sold in Australia (industry consultation)</t>
  </si>
  <si>
    <t xml:space="preserve">Aluminium cladding including all base metal thicknesses (BMT) from 0.70 mm to 0.9 mm </t>
  </si>
  <si>
    <t>Single supplier Australasian EPD.  
Two products. 
Unknown market</t>
  </si>
  <si>
    <t>aluminium cladding</t>
  </si>
  <si>
    <t>Various aggregates used as fill including quarry products, road base and ballast of differing size distributions.</t>
  </si>
  <si>
    <t>Covers variety of aggregates and different companies available.
All aggregates from EPD Australasia covered</t>
  </si>
  <si>
    <t>Aggregates generated from a recycled or recovered resource.</t>
  </si>
  <si>
    <t>One product only. Representative product. Australasian EPD.</t>
  </si>
  <si>
    <t>Sand used as fill or for stabilsation purposes, including various rates of stabliser inclusion from 7% to 25%</t>
  </si>
  <si>
    <t xml:space="preserve">Multiple suppliers, multiple products.
Australasian EPDs.
Unknown market.
</t>
  </si>
  <si>
    <t>Structural Insulated Panels (SIP) of thickness less than 100 mm, including wall and roof panels</t>
  </si>
  <si>
    <t xml:space="preserve">Important to consider board thickness. Recommended to use kg CO2e/kg EF when thickness and mass is known. </t>
  </si>
  <si>
    <t>Structural Insulated Panels (SIP) of thickness greater than 100 mm and no thicker than 250 mm including wall and roof panels</t>
  </si>
  <si>
    <t>Masonry bricks made from clay, including fired, perforated, engineering, and facing bricks</t>
  </si>
  <si>
    <t xml:space="preserve">Brickworks Australia Climate active, while EPD (International) have 12 EPDs for clay.
Big companies in clay brick manufacturing are - Brickworks, CSR, BCG.
Small industry - mainly for residential construction - produce face bricks and common bricks - top 4 companies produce 60% of market supply - multiple clay pits across Australia. https://www.ibisworld.com/au/industry/clay-brick-manufacturing/208/#IndustryStatisticsAndTrends
As few local information found, will be using  international EPDs as a large part of market substitute.
</t>
  </si>
  <si>
    <t>clay bricks</t>
  </si>
  <si>
    <t>Board made from fibre cement including compressed sheet, flooring, cladding, lining and roofing boards. Thickness from 4 mm to 22 mm.</t>
  </si>
  <si>
    <t xml:space="preserve">Cement products are largely produced within Australia and not typically imported -  James Hardie is the #1 producer in Australia and globally. https://topcementcompanies.com/top-10-cement-companies-in-australia/
Australasian EPD for JH.
Missing information from other suppliers in Australian market. Some international boards considered all EPDs. 
</t>
  </si>
  <si>
    <t xml:space="preserve">Important to consider in the context of board thickness and size of sheet not cladding area (shape of sheet overlapping (i.e. when cladding) means area of sheet is more than area to be clad). Recommended to use kg CO2e/kg EF when thickness and mass is known. </t>
  </si>
  <si>
    <t>Board made from plaster typically coated in paper. Thickness from 4 mm to 22 mm.</t>
  </si>
  <si>
    <t xml:space="preserve">Market information limited - though believed that most board used is produced locally. Boral holds strong market share. No EPD for plasterboard.
Siniat Australasian EPD used.  
Knauf present in Australian market no Australasian EPD. International EPD used as proxy.
Average EF lower than other databases. </t>
  </si>
  <si>
    <t>Softwood timber most common species raidata pine,and includes treated, untreated, surfaced, and sawn products</t>
  </si>
  <si>
    <t>Australian EPD Data taken from Timberlink and FWPA industry average EPD which covers over 40% of sawn softwood in Australia.
Multiple saw mills across Australia represented.
NZ sawmill included as known to export to Australia. 
No representation from Asian timber products.
Average EF compares well to other published sources.
Weighted average possible.</t>
  </si>
  <si>
    <t>Import</t>
  </si>
  <si>
    <t>Softwood domestic</t>
  </si>
  <si>
    <t>Import average</t>
  </si>
  <si>
    <t>Local</t>
  </si>
  <si>
    <t xml:space="preserve">REF: </t>
  </si>
  <si>
    <t>Australian forest and wood products statistics - DAFF (agriculture.gov.au)</t>
  </si>
  <si>
    <t>sawn softwood</t>
  </si>
  <si>
    <t xml:space="preserve">Density </t>
  </si>
  <si>
    <t>Figure 6</t>
  </si>
  <si>
    <t>Average (weighted)</t>
  </si>
  <si>
    <t>Hardwood timber includes treated, untreated, dressed, and sawn products</t>
  </si>
  <si>
    <t xml:space="preserve">Australian representative as it is a sector EPDs (FWPA) which covers approx. 27% of Aus production of Hardwood (exc cypress).
Australian cypress production EPD covers 64% of total sawn cypress logs harvested in Australia.
Some domestic hardwood not covered.
By volume the majority of Australia's hardwood imports are coming from Brazil, Indonesia, Malaysia, China and the USA.
No need for weighted average &lt;10% of market - assuming most hardwood by weight is in structural rough-sawn beams etc.
Average EF compares well to other EF 
</t>
  </si>
  <si>
    <t>sawn hardwood</t>
  </si>
  <si>
    <t>Based on softwood timber used for weatherboards includes finger jointed, thermally modified timber, treated, untreated, surfaced, and sawn products</t>
  </si>
  <si>
    <t>Australian EPD Data taken from Timberlink and FWPA industry average EPD which covers over 40% of sawn softwood in Australia.
Multiple saw mills across Australia represented.
NZ sawmill included as known to export to Australia. European EPD weatherboard product included.
No representation from Asian timber products.
Average EF compares well to other published sources.
Weighted average possible.</t>
  </si>
  <si>
    <t>surfaced</t>
  </si>
  <si>
    <t xml:space="preserve">Plywood timber for bracing, structural (walling, flooring), formwork purposes. </t>
  </si>
  <si>
    <t xml:space="preserve">Industry EPD covers 100% of the plywood manufacturing market in Australia. International EPDs are resonable proxies for 30% import market. Though none from Asia. </t>
  </si>
  <si>
    <t>Wood based panels</t>
  </si>
  <si>
    <t xml:space="preserve">https://www.agriculture.gov.au/abares/products/insights/snapshot-of-australias-forest-industry#production-and-consumption-of-final-wood-products </t>
  </si>
  <si>
    <t>Australia | Imports and Exports | World | Plywood, veneered panels and similar laminated wood | Value (US$) and Value Growth, YoY (%) | 2011 - 2022 (trendeconomy.com)</t>
  </si>
  <si>
    <t xml:space="preserve">Particleboard including walling and flooring applications </t>
  </si>
  <si>
    <t>Industry EPD covers 50% of the particleboard manufacturing market in Australia. No further EPDs in Australasia entering Aus market.
Norbord Europe EPD used as proxy for international sources.
Average EF compares well with comparison EF (when including decorative Pb as one group).</t>
  </si>
  <si>
    <t xml:space="preserve">Particleboard for decorative purposes i.e. finished wall panel including coating </t>
  </si>
  <si>
    <t>Industry EPD covers 50% of the particleboard manufacturing market in Australia. No further EPDs in Australasia entering Aus market.
Laminex NZ EPD used as proxy for international sources.
Average EF compares well with comparison EF (when including particleboard as one group).</t>
  </si>
  <si>
    <t>Decorative Pb</t>
  </si>
  <si>
    <t xml:space="preserve">Medium density fibreboard (MDF) for decorative purposes i.e. finished wall panel including coating </t>
  </si>
  <si>
    <t>Australian EPD data for MDF products from FWPA Industry average EPD. Which includes three key Australian MDF producers.
One use of Japanese MDF International EPD as proxy for overseas products.
Average EF compares well to  EF from existing database.
Weighted average calculated using engineered wood panel as proxy information on import/export rates.</t>
  </si>
  <si>
    <t>Softwood glue laminated timber (GLT) or cross laminated timber (CLT) including treated and untreated</t>
  </si>
  <si>
    <t>Good representation of market as it is a sector average EPD (FWPA) which covers over 50% of Australian production of the Australian wood industry - no international EPDs available.
Known suppliers - AU, Germany, Italy 
Industry information allows for weighted average. 
Average EF compares well to laminated timber (all) EF from existing database</t>
  </si>
  <si>
    <t>Industry consultation on importers</t>
  </si>
  <si>
    <t>Hardwood glue laminated timber (GLT) or cross laminated timber (CLT) including treated and untreated</t>
  </si>
  <si>
    <t>Good representation. Sector average EPDs (FWPA) which covers over 50% of the expected product range wood industry. 
Known to have international suppliers.
No international EPDs for hardwood - cannot conduct weighted average.
Average EF compares well to laminated timber (all) EF from existing database.</t>
  </si>
  <si>
    <t xml:space="preserve">Laminated veneer timber (LVL) including treated and untreated </t>
  </si>
  <si>
    <t>Understood to be one LVL producer in Australia (no EPD) mostly imported products.
There are 3 NZ EPDs and 12 in EPD (International)
EDP International  from Turkey, Europe (Mainly Finland).
LVL import - China, USA, Russia, Poland, Vietnam, Finland.
From supplier list - AU, NZ, Italy.
Average EF lower than a comparison EF available (comparison EF not exactly LVL but laminated wood for external use).</t>
  </si>
  <si>
    <t xml:space="preserve">Oriented strand board (OSB) </t>
  </si>
  <si>
    <t>There are no EPDs for AU. EPD (International) has 4 EPD.
Imports according to industry representatives large proportion of market. Asia and Northern Europe believed to be biggest exporters.</t>
  </si>
  <si>
    <t>Lift (elevator) classified as category 1 and 2 from ISO 25745. Typically used in low rise (less 4 floors) building. Includes all elements of a lift installation i.e. lift cars, fittings, finishes, drive elements, electronics, guide rails, counterweights, ropes etc.</t>
  </si>
  <si>
    <t>Variety of the big lift suppliers all global.
No Australian specific suppliers.
Market believed to be fulfilled by imported products partly assembled in Australia. 
No comparison EF.</t>
  </si>
  <si>
    <t>Lift (elevator) classified as category 3 and 4 from ISO 25745. Typically used in medium rise (4-10 floor). Includes all elements of a lift installation i.e. lift cars, fittings, finishes, drive elements, electronics, guide rails, counterweights, ropes etc.</t>
  </si>
  <si>
    <t>Lift (elevator) classified as category 5 and 6 from ISO 25745. Typically used in high use environments, shopping centres, high-rise commercial.residential (10+ floors). Includes all elements of a lift installation i.e. lift cars, fittings, finishes, drive elements, electronics, guide rails, counterweights, ropes etc.</t>
  </si>
  <si>
    <t xml:space="preserve">Escalator/travelator. Including all componentry (i.e. truss, stairs, rails and balustrade, drive train etc. </t>
  </si>
  <si>
    <t>Limited number of suppliers (2). All global. 5 different products.
No Australian specific suppliers.
Market believed to be fulfilled by imported products partly assembled in Australia. 
No comparison EF.</t>
  </si>
  <si>
    <t>Clay roof tiles including terracotta</t>
  </si>
  <si>
    <t xml:space="preserve">No Aus EPDs.
Limited international market representation i.e. one Turkish product with EPD believed to be entering Aus market (facades workshop 12/23).
Limited number of product EPDs.
Terracotta tiles are made of Australian clay - CSR Monier. </t>
  </si>
  <si>
    <t>roof tiles - clay</t>
  </si>
  <si>
    <t xml:space="preserve">Glass reinforced concrete (GRC) or glass fibre reinforced concrete including all uses i.e. as cladding or as slab concrete </t>
  </si>
  <si>
    <t xml:space="preserve">Three EPDs none Australian - or known to be present on Australian market.
International EPDs only.
No market information. No weighted average possible or understanding of supplier or product range. GRC also used in place of steel mesh reinforcing - product not represented. </t>
  </si>
  <si>
    <t xml:space="preserve">Ceramic tiles (wall and floor) and pavers including porcelain tiles </t>
  </si>
  <si>
    <t>No Aus EPDs.
Limited international market representation. One from China, some Europe.  
China understood to be majority of imports. Domestic supply unknown.</t>
  </si>
  <si>
    <t>pavers ceramic</t>
  </si>
  <si>
    <t>Stone tiles (wall and floor) and pavers including porcelain tiles, represented by granite and limestone quarry operations and surface preparation with stabilisation as needed.</t>
  </si>
  <si>
    <t>No Aus EPDs.
Limited international market representation. One from China, some Europe.  
China understood to be majority of imports. Domestic supply unknown.
Limited number of sources all together.
Two stone varieties limestone and granite</t>
  </si>
  <si>
    <t>stone</t>
  </si>
  <si>
    <t>Glass used in windows, doors, curtain wall purposes. Including single, double and triple glazing units.</t>
  </si>
  <si>
    <t xml:space="preserve">No EPDs or data for big importer China. Only four firms represented.
None from China, 1 from India using natural gas, 1 from North America.
EPDs gathered are majority using natural gas. Coal dust and heavy fuel oil furnaces known to operate reasonable portion of market.
No EF for Australian manufacturer (noting 1 manufacturer in Australia).
One EPD for heavy fuel oil based furnaces - Pilkington.
</t>
  </si>
  <si>
    <t>glass</t>
  </si>
  <si>
    <t>Access floor (raised floor) including pedestal, base, componentry. Excluding finish top layer.</t>
  </si>
  <si>
    <t xml:space="preserve">28 Australian EPD products. From 2 Suppliers with large global presence.
Unknown how large or diverse products on market are. Reasonable number of products.
</t>
  </si>
  <si>
    <t xml:space="preserve">Recommended to use kg CO2e/kg EF when thickness and mass is known. </t>
  </si>
  <si>
    <t>Carpet for flooring inc. carpet tiles.</t>
  </si>
  <si>
    <t xml:space="preserve">No Australasian EPDs. 
15 International EPDs, from North America and Europe
Unknown how large or diverse products on market are. Reasonable number of products. 
Main supplier believed to be China. High use of regional proxy data.
</t>
  </si>
  <si>
    <t xml:space="preserve">Vinyl flooring </t>
  </si>
  <si>
    <t xml:space="preserve">No Australasian EPDs. 
5 International EPDs 4 from China.
Unknown how large or diverse products on market are. Reasonable number of products. 
Main supplier believed to be China. 
</t>
  </si>
  <si>
    <t xml:space="preserve">No Australasian EPDs. 
2 International EPDs.
</t>
  </si>
  <si>
    <t>Representative product.</t>
  </si>
  <si>
    <t xml:space="preserve">No Australasian EPDs. 
1 International EPD.
Unknown how large or diverse products on market are. Reasonable number of products. 
</t>
  </si>
  <si>
    <t>Roller door (i.e. sectional door or garage door) including all elements steel, electrical drives etc.</t>
  </si>
  <si>
    <t xml:space="preserve">One representative product. 
International EPD. No Australasian EPDs.
</t>
  </si>
  <si>
    <t>Electrical componentry not possible to model in window/door calculator.</t>
  </si>
  <si>
    <t>roller door</t>
  </si>
  <si>
    <t xml:space="preserve">Australian Aluminium production in 2022/23 </t>
  </si>
  <si>
    <t>Excluding scrap and ores</t>
  </si>
  <si>
    <t>https://aluminium.org.au/australian-industry/australian-aluminium/#:~:text=There%20are%20currently%20four%20aluminium,which%201.42%20Mt%20was%20exported.</t>
  </si>
  <si>
    <t xml:space="preserve">Extruded aluminium for use in construction. </t>
  </si>
  <si>
    <t>Exported 2022/23</t>
  </si>
  <si>
    <t>Imported 2022/23</t>
  </si>
  <si>
    <t>Australian production represented by industry study other areas well represented by EPDs.
Competitive international marketplace well represented. China biggest exporter to world market.
Market share of import/domestic information is unclear. 95% of Australian aluminium is exported. Imports of aluminium as extrusions 85 kt. ADvice is facades (in particularly large orders) are typically from offshore suppliers - façade workshop Dec 23) strong representation from big global producers.
Comparison average value is reasonable compared to reported global average.
Wide range of manufacturers (internationally)</t>
  </si>
  <si>
    <t>Domestic use (Australian made) 2022/23</t>
  </si>
  <si>
    <t>https://aluminium.org.au/australian-industry/australian-trade-statistics/</t>
  </si>
  <si>
    <t>Domestic use (Global made) 2022/23</t>
  </si>
  <si>
    <t>Using import export values and data below of China being 50% of global market</t>
  </si>
  <si>
    <t>Domestic use (China made) 2022/23</t>
  </si>
  <si>
    <t>Global average (exc. China, Australia)</t>
  </si>
  <si>
    <t>As below</t>
  </si>
  <si>
    <t xml:space="preserve">Figure 8, LIFE CYCLE INVENTORY DATA AND ENVIRONMENTAL METRICS FOR THE PRIMARY ALUMINIUM INDUSTRY </t>
  </si>
  <si>
    <t>China average</t>
  </si>
  <si>
    <t xml:space="preserve">China responsible for half of aluminium production </t>
  </si>
  <si>
    <t>aluminium extruded uncoated</t>
  </si>
  <si>
    <t>SUMIFS (quantity)</t>
  </si>
  <si>
    <t>SUMIFS (kg)</t>
  </si>
  <si>
    <t>COUNTIFS</t>
  </si>
  <si>
    <t>Extruded aluminium (powder coated) for use in construction</t>
  </si>
  <si>
    <t>Australian production represented by industry study other areas well represented by EPDs.
Competitive international marketplace well represented. China biggest exporter to world market.
Market share of import/domestic information is unclear in terms of numbers though facades (in particularly large orders are typically from offshore suppliers - façade workshop Dec 23) strong representation from big global producers.
Weighted average not possible.
Comparison average value is good.
Wide range of manufacturers (internationally)</t>
  </si>
  <si>
    <t xml:space="preserve">Anodised (Max) </t>
  </si>
  <si>
    <t>Powder coated (max)</t>
  </si>
  <si>
    <t>GWPt</t>
  </si>
  <si>
    <t>Sistem</t>
  </si>
  <si>
    <t>Aluminium (uncoated)</t>
  </si>
  <si>
    <t>Aluminium (anodised)</t>
  </si>
  <si>
    <t>Using EFs determined in aluminium_extruded than multiplying by a factor for powder coating as determined using additional data. Note this material category is to act as a proxy for polyvinylidene fluoride coating (PVDF coating).</t>
  </si>
  <si>
    <t>Aluminium (powder coated)</t>
  </si>
  <si>
    <t>Kurtoglu</t>
  </si>
  <si>
    <t>EPD, Uncoated_EPD (environdec.com)</t>
  </si>
  <si>
    <t>EPD, Anodised_EPD (environdec.com)</t>
  </si>
  <si>
    <t>POWDER COATED_EPD (environdec.com)</t>
  </si>
  <si>
    <t>Muskita</t>
  </si>
  <si>
    <t>calculated from figures</t>
  </si>
  <si>
    <t>Noting from figure 5% of aluminium production with electricity and fuels</t>
  </si>
  <si>
    <t>Noting from figure 4% of aluminium production with electricity and fuels</t>
  </si>
  <si>
    <t>Burak</t>
  </si>
  <si>
    <t>ASAS</t>
  </si>
  <si>
    <t>Tuna Aluminium</t>
  </si>
  <si>
    <t>Spanish Aluminium Association</t>
  </si>
  <si>
    <t>Aluminium (uncoated) - added max variation</t>
  </si>
  <si>
    <t>Aluminium (anodised) - added from max variation</t>
  </si>
  <si>
    <t>Noting from Figure - anodising approx. 14% of impact</t>
  </si>
  <si>
    <t>Aluminium (powder coated) - added from max variation</t>
  </si>
  <si>
    <t>Noting from figure - coating approx. 7% of impact</t>
  </si>
  <si>
    <t>Saray</t>
  </si>
  <si>
    <t>AlTaiseer</t>
  </si>
  <si>
    <t>Extruded aluminium (anodised) for use in construction</t>
  </si>
  <si>
    <t>Using EFs determined in aluminium_extruded than multiplying by a factor for powder coating as determined using additional data.</t>
  </si>
  <si>
    <t>Determination of a generic curtain wall as described in material category column. Includes glass, framing, thermal breaks, spandrel/cladding material and insulation in one sqm rate.</t>
  </si>
  <si>
    <t xml:space="preserve">Curtain wall systems are highly variable. Typically unique to the building.  
EFs available for complete Curtain Wall systems are limited to a handful of European EPDs - which industry suggests are not applicable to Australia as masses of materials and the supply chain of materials will be different, in particular for aluminium and glass. 
This calculator has been developed enabling the quantity of key materials within any customised Curtain Wall to be entered and the selection of the relevant default EF used by NABERS. In the tool default EFs can be replaced by verified EPD studies if that particular product was used in the Curtain Wall system. 
A number of generic Curtain Wall systems can still be selected. In cases when Curtain Wall information is not available. Calculated using referenced material quantities and multiplied by the relevant maximum EF to get the default maximum EF or the Average EF to get the average EF overall. </t>
  </si>
  <si>
    <t xml:space="preserve">Untiered </t>
  </si>
  <si>
    <t>A number of generic Curtain Wall systems are presented for cases when Curtain Wall information is not available. Calculated using referenced material quantities and multiplied by the relevant maximum EF to get the default maximum EF or the Average EF to get the average EF overall. Reference material quantites based on generic designs for a european context. More information see material tab.</t>
  </si>
  <si>
    <t>Enter kg/m2 for curtain wall to model</t>
  </si>
  <si>
    <t>Custom output</t>
  </si>
  <si>
    <t>Façade calculator</t>
  </si>
  <si>
    <t xml:space="preserve">Upfront carbon storage </t>
  </si>
  <si>
    <t>Upfront carbon emissions (kg CO2e/m2 of Curtain wall)</t>
  </si>
  <si>
    <t>Upfront carbon emissions (kg CO2e/m2 of curtain wall)</t>
  </si>
  <si>
    <t>Materials used</t>
  </si>
  <si>
    <t>Mass of material used (kg) per area (m2) of curtain wall/window/door</t>
  </si>
  <si>
    <t>EF applied Max</t>
  </si>
  <si>
    <t>EF applied Avg</t>
  </si>
  <si>
    <t>EF Applied Min</t>
  </si>
  <si>
    <t>kg of CO2.e Max</t>
  </si>
  <si>
    <t>kg of CO2.e Average</t>
  </si>
  <si>
    <t>Glass (+1 additional Layer)</t>
  </si>
  <si>
    <t>Glass (+2 additional Layer)</t>
  </si>
  <si>
    <t>Thermal break/Plastics</t>
  </si>
  <si>
    <t>Insulation</t>
  </si>
  <si>
    <t>Total weight</t>
  </si>
  <si>
    <t>Energy rate (same throughout - assumed) kWh/kg</t>
  </si>
  <si>
    <t>Waste rate (same throughout - assumed)</t>
  </si>
  <si>
    <t>Results for Generic Facades</t>
  </si>
  <si>
    <t>Façade 01</t>
  </si>
  <si>
    <t>Façade 02</t>
  </si>
  <si>
    <t>Façade 03</t>
  </si>
  <si>
    <t>Façade 04</t>
  </si>
  <si>
    <t>Façade 05</t>
  </si>
  <si>
    <t>Façade 06</t>
  </si>
  <si>
    <t>Façade 07</t>
  </si>
  <si>
    <t>Façade 08</t>
  </si>
  <si>
    <t>Façade 09</t>
  </si>
  <si>
    <t>Façade 10</t>
  </si>
  <si>
    <t>Façade 11</t>
  </si>
  <si>
    <t>Façade 12</t>
  </si>
  <si>
    <t>Façade 13</t>
  </si>
  <si>
    <t>Façade 14</t>
  </si>
  <si>
    <t>Façade 15</t>
  </si>
  <si>
    <t>Façade 16</t>
  </si>
  <si>
    <t>mass (kg/m2)</t>
  </si>
  <si>
    <t>Extruded aluminium (uncoated)</t>
  </si>
  <si>
    <t>Not used in generic curtain wall calculations all aluminium assumed to be powder coated</t>
  </si>
  <si>
    <t>Not used in generic curtain wall calculations - all glass summed in 'Glass' row</t>
  </si>
  <si>
    <t>Total weight of product</t>
  </si>
  <si>
    <t>Material used (+ wastage)</t>
  </si>
  <si>
    <t>Total weight of inputs (including waste)</t>
  </si>
  <si>
    <t>Energy (same throughout) kWh/m2</t>
  </si>
  <si>
    <t>Quantity = m2</t>
  </si>
  <si>
    <t>Reference for materials and mass estimates:</t>
  </si>
  <si>
    <t>"Carbon footprint of façades: significance of glass" (2022) by Arup and Saint-Gobain Glass</t>
  </si>
  <si>
    <t xml:space="preserve">Determination of a generic buildings services rate according to the description in material category column. Includes mechanical, electrical and heating, ventilation and air conditioning. </t>
  </si>
  <si>
    <t>During consultation it was found that estimating the upfront carbon emissions for Building Services represented a challenge. 
Quantitative data on materials used in a building is not typically available, products are often not identified in sufficient detail to determine material. Appointing the appropriate EF and verifying quantities and product types is unachievable. EFs are also not always available for key components of Building Services i.e. centralised units. 
Building Services emission factors have instead been amalgamated to square meter rates dependent on the type of building. 
EFs are based on detailed study conducted by Carbon Leadership Forum. 
The study is limited to expert agreed commercial buildings in America's north west. This may mean some items are oversized for the Australian context i.e. ducting due to predominantly cooler climates in the studies buildings.</t>
  </si>
  <si>
    <r>
      <rPr>
        <b/>
        <sz val="10"/>
        <color theme="1"/>
        <rFont val="Arial"/>
        <family val="2"/>
      </rPr>
      <t>Sum of GWP</t>
    </r>
    <r>
      <rPr>
        <sz val="10"/>
        <color theme="1"/>
        <rFont val="Arial"/>
        <family val="2"/>
      </rPr>
      <t xml:space="preserve"> [kg CO2e/m2]</t>
    </r>
  </si>
  <si>
    <r>
      <rPr>
        <b/>
        <sz val="10"/>
        <color theme="1"/>
        <rFont val="Arial"/>
        <family val="2"/>
      </rPr>
      <t>Sum of GWP</t>
    </r>
    <r>
      <rPr>
        <sz val="10"/>
        <color theme="1"/>
        <rFont val="Arial"/>
        <family val="2"/>
      </rPr>
      <t xml:space="preserve"> [kg CO2e/kg]</t>
    </r>
  </si>
  <si>
    <r>
      <t xml:space="preserve">Sum of Midpoint of </t>
    </r>
    <r>
      <rPr>
        <b/>
        <sz val="11"/>
        <color theme="1"/>
        <rFont val="Arial"/>
        <family val="2"/>
        <scheme val="minor"/>
      </rPr>
      <t>material quantity</t>
    </r>
    <r>
      <rPr>
        <sz val="11"/>
        <color theme="1"/>
        <rFont val="Arial"/>
        <family val="2"/>
        <scheme val="minor"/>
      </rPr>
      <t xml:space="preserve"> estimate (calculated) [kg/m2] </t>
    </r>
  </si>
  <si>
    <t>Category</t>
  </si>
  <si>
    <t>Building type</t>
  </si>
  <si>
    <t>Building model</t>
  </si>
  <si>
    <t>Electrical</t>
  </si>
  <si>
    <t>Mechanical</t>
  </si>
  <si>
    <t>Plumbing</t>
  </si>
  <si>
    <t>Grand Total</t>
  </si>
  <si>
    <t>Warehouse non-refrigerated</t>
  </si>
  <si>
    <t xml:space="preserve">Standard Office </t>
  </si>
  <si>
    <t>Standard</t>
  </si>
  <si>
    <t>Large Standard a</t>
  </si>
  <si>
    <t>Large Standard b</t>
  </si>
  <si>
    <t>Building services includes electrical, mechanical and plumbing services in a building. It excludes transportation services i.e. lifts and escalators. 
It does not include use phase of these services i.e. electricity consumption of lighting of the building or leakage of refrigerants. 
Categories were defined during industry consultation. 
EFs are based on detailed study conducted by Carbon Leadership Forum. 
The study is limited to expert agreed commercial buildings in America's north west. This may mean some items are oversized for the Australian context i.e. ducting due to predominantly cooler climates in the studies' buildings.</t>
  </si>
  <si>
    <t>Medium Standard a</t>
  </si>
  <si>
    <t>Medium Standard b</t>
  </si>
  <si>
    <t>Small Standard a</t>
  </si>
  <si>
    <t>Small Standard b</t>
  </si>
  <si>
    <t>XSmall Standard a</t>
  </si>
  <si>
    <t>XSmall Standard b</t>
  </si>
  <si>
    <t>Office tower/commercial/mix_low_rise</t>
  </si>
  <si>
    <t>Warehouse factories, residential_low_rise/agedcare</t>
  </si>
  <si>
    <t>Warehouse, factories (non-refrigerated)</t>
  </si>
  <si>
    <t>Office tower/commercial/mix_high_rise</t>
  </si>
  <si>
    <t>High performance office</t>
  </si>
  <si>
    <t>High performance</t>
  </si>
  <si>
    <t>material category</t>
  </si>
  <si>
    <t>Large HP a</t>
  </si>
  <si>
    <t>Definition</t>
  </si>
  <si>
    <t xml:space="preserve">All offices commercial buildings (≤4 floors) and aged care facilities &lt;7500 sqm GFA </t>
  </si>
  <si>
    <t>All refrigerated climate controlled warehouses/industrial facilities and residential buildings</t>
  </si>
  <si>
    <t>All non-refrigerated/non-climate controlled warehouses/industrial facilities</t>
  </si>
  <si>
    <t>All hospitals</t>
  </si>
  <si>
    <t xml:space="preserve">All offices and commercial buildings (&gt;4 floors) ≥7500 sqm GFA </t>
  </si>
  <si>
    <t>Large HP b</t>
  </si>
  <si>
    <t>Medium HP a</t>
  </si>
  <si>
    <t>Medium HP b</t>
  </si>
  <si>
    <t>Small HP a</t>
  </si>
  <si>
    <t xml:space="preserve">Small HP b
</t>
  </si>
  <si>
    <t>XSmall HP a</t>
  </si>
  <si>
    <t>XSmall HP b</t>
  </si>
  <si>
    <t>Data source</t>
  </si>
  <si>
    <r>
      <t xml:space="preserve">Max value from category </t>
    </r>
    <r>
      <rPr>
        <i/>
        <sz val="10"/>
        <color rgb="FF000000"/>
        <rFont val="Arial"/>
        <family val="2"/>
      </rPr>
      <t>‘Xsmall’</t>
    </r>
  </si>
  <si>
    <r>
      <t xml:space="preserve">Avg value from category </t>
    </r>
    <r>
      <rPr>
        <i/>
        <sz val="10"/>
        <color rgb="FF000000"/>
        <rFont val="Arial"/>
        <family val="2"/>
      </rPr>
      <t>‘small’</t>
    </r>
    <r>
      <rPr>
        <sz val="10"/>
        <color theme="1"/>
        <rFont val="Arial"/>
        <family val="2"/>
      </rPr>
      <t xml:space="preserve"> and xsmall low performance, MIN for avg EF</t>
    </r>
  </si>
  <si>
    <t xml:space="preserve">Remove all mechanical from total as not required/used. Max of 'small and 'xsmall' low performance, </t>
  </si>
  <si>
    <r>
      <t xml:space="preserve">Max value from </t>
    </r>
    <r>
      <rPr>
        <i/>
        <sz val="10"/>
        <color rgb="FF000000"/>
        <rFont val="Arial"/>
        <family val="2"/>
      </rPr>
      <t xml:space="preserve">‘high performance buildings’ </t>
    </r>
  </si>
  <si>
    <r>
      <t xml:space="preserve">Max value from </t>
    </r>
    <r>
      <rPr>
        <i/>
        <sz val="10"/>
        <color rgb="FF000000"/>
        <rFont val="Arial"/>
        <family val="2"/>
      </rPr>
      <t>‘large’</t>
    </r>
  </si>
  <si>
    <t>Reference:</t>
  </si>
  <si>
    <t>External link - LCA of MEP and TI in Buildings - Carbon Leadership Forum</t>
  </si>
  <si>
    <t>Rodriguez, B.X., Lee H.W., Simonen, K., Huang, M. (2018) Life Cycle Assessment
(LCA) for Low Carbon Construction: Mechanical, Electrical, and Plumbing in
Commercial Office Buildings, Final Report.</t>
  </si>
  <si>
    <t>Rodriguez, B.X., Lee H.W., Simonen, K., Huang, M. (2018) Life Cycle Assessment (LCA) for Low Carbon Construction: Mechanical, Electrical, and Plumbing in Commercial Office Buildings, Data: CLF MEP LCA Calculator.xlsx</t>
  </si>
  <si>
    <t>Determination of a generic window and door as described in material category column. Includes glass, framing, thermal breaks, spandrel/cladding material and key componentry in one sqm rate.</t>
  </si>
  <si>
    <t>A number of generic windows and doors can still be selected. Calculated using referenced material quantities and multiplied by the relevant maximum EF to get the default maximum EF or the Average EF to get the average EF overall.</t>
  </si>
  <si>
    <t>kg basis</t>
  </si>
  <si>
    <t>Masses (kg/m2) - note masses will be multiplied by waste rate in next step - Custom only</t>
  </si>
  <si>
    <t>Masses (kg/m2) - note masses multiplied by waste rate to determine ultimate applicable mass</t>
  </si>
  <si>
    <t>Other details</t>
  </si>
  <si>
    <t>Individual materials - Max EF kg CO2.e/kg material</t>
  </si>
  <si>
    <t>Individual materials - Min EF kg CO2.e/kg material</t>
  </si>
  <si>
    <t>Individual materials - Average EF kg CO2.e/kg material</t>
  </si>
  <si>
    <t>Energy kg of CO2.e/kWh</t>
  </si>
  <si>
    <t>Generic material name</t>
  </si>
  <si>
    <t>Thermal break (plastics/insulation)</t>
  </si>
  <si>
    <t>Other metal (inc. stainless steel)</t>
  </si>
  <si>
    <t>Electricity use (kWh/m2)</t>
  </si>
  <si>
    <t>Waste rate</t>
  </si>
  <si>
    <t>Area density as recorded in EPD (kg/m2)</t>
  </si>
  <si>
    <t>Total mass (with waste rate)</t>
  </si>
  <si>
    <r>
      <t xml:space="preserve">Reference EPD </t>
    </r>
    <r>
      <rPr>
        <b/>
        <sz val="10"/>
        <color theme="1"/>
        <rFont val="Arial"/>
        <family val="2"/>
      </rPr>
      <t>used for masses only</t>
    </r>
  </si>
  <si>
    <t>Energy rate (kWh/kg)</t>
  </si>
  <si>
    <t>Electricity</t>
  </si>
  <si>
    <t>Carbon storage</t>
  </si>
  <si>
    <t>Custom</t>
  </si>
  <si>
    <t>Customisable entry</t>
  </si>
  <si>
    <t>m1</t>
  </si>
  <si>
    <t xml:space="preserve">https://epd-australasia.com/wp-content/uploads/2023/06/SP07452-APL-Window-Solutions_vNov23.pdf </t>
  </si>
  <si>
    <t>https://api.environdec.com/api/v1/EPDLibrary/Files/f5551601-408d-4385-0185-08daab6203a1/Data</t>
  </si>
  <si>
    <t>https://api.environdec.com/api/v1/EPDLibrary/Files/f31919c9-5f2b-42ca-0da2-08dc5e07fd56/Data</t>
  </si>
  <si>
    <t>https://www.assaabloyentrance.com/master-blueprint/market-documents/topics/sustainability/new-epd/automatic-doors/rd/assa-abloy-rd700-revolving-door.pdf</t>
  </si>
  <si>
    <t>EFs in use</t>
  </si>
  <si>
    <t xml:space="preserve">Electricity </t>
  </si>
  <si>
    <t>Data qualitative assessment:</t>
  </si>
  <si>
    <t>Not rated - EF used only for Façade calculator</t>
  </si>
  <si>
    <t>Quantity basis</t>
  </si>
  <si>
    <t>thermal break</t>
  </si>
  <si>
    <t xml:space="preserve">End-of-life </t>
  </si>
  <si>
    <t>Building section</t>
  </si>
  <si>
    <t>Material category</t>
  </si>
  <si>
    <t>Construction waste (as site)</t>
  </si>
  <si>
    <t>Special - Prefabrication waste</t>
  </si>
  <si>
    <t>Reference (waste rate)</t>
  </si>
  <si>
    <t>Waste class</t>
  </si>
  <si>
    <t>Reuse</t>
  </si>
  <si>
    <t>Recycling</t>
  </si>
  <si>
    <t>Energy Recovery</t>
  </si>
  <si>
    <t>Landfill/Cleanfill</t>
  </si>
  <si>
    <t>Sum</t>
  </si>
  <si>
    <t>Reference and notes</t>
  </si>
  <si>
    <t>Reference (end-of-life)</t>
  </si>
  <si>
    <t>Additional reference</t>
  </si>
  <si>
    <t xml:space="preserve">Structure </t>
  </si>
  <si>
    <t>NABERS Industry workshop - Concrete</t>
  </si>
  <si>
    <t>Inert Rubble</t>
  </si>
  <si>
    <t xml:space="preserve">DCEWW data 100% use into recycling to cleanfill/or aggregates in C&amp;D stream. Some considered to return to supplier as bad batch for use in pre-form blocks or returned to process (asphalt) which would not be counted in DCEWW data. Therefore allowance made. </t>
  </si>
  <si>
    <t xml:space="preserve">National Waste Database 2022. https://www.dcceew.gov.au/sites/default/files/documents/national-waste-database-2022.xlsx </t>
  </si>
  <si>
    <t>BRANZ database</t>
  </si>
  <si>
    <t>Cutting Waste Minimization of Rebar for Sustainable Structural Work: A Systematic Literature Review, Kwon et al 2021 - with input from NABERS steel workshop</t>
  </si>
  <si>
    <t>Steel (in product)</t>
  </si>
  <si>
    <t>DCEWW data 100% sent to recycling in C&amp;D stream. Some considered to be reused where storage allows - allowance made.</t>
  </si>
  <si>
    <t>NABERS Industry workshop - Steel</t>
  </si>
  <si>
    <t>Strong incentive to recycle. No reuse likely.</t>
  </si>
  <si>
    <t>Study report SR279 Prefabrication Impacts in the New Zealand Construction Industry (d39d3mj7qio96p.cloudfront.net)</t>
  </si>
  <si>
    <t>BRANZ database - timber framing</t>
  </si>
  <si>
    <t>Timber (solid)</t>
  </si>
  <si>
    <t>Some pieces may be used for other functions - assumed 15%. DCEWW data suggests 49% disposal, 43% reuse, 8% as energy reocvery (methane in landfill). Rates used minus 15% assumption</t>
  </si>
  <si>
    <t>BRANZ database - engineered timber</t>
  </si>
  <si>
    <t>Timber (engineered panel)</t>
  </si>
  <si>
    <t>Reuse not likely. DCEWW data suggests 49% disposal, 43% reuse, 8% as energy reocvery (methane in landfill). Rates used minus 5% assumption</t>
  </si>
  <si>
    <t>Timber (engineered wood)</t>
  </si>
  <si>
    <t>NABERS Industry workshop - Façade</t>
  </si>
  <si>
    <t>Inert waste</t>
  </si>
  <si>
    <t>Conservative assumption</t>
  </si>
  <si>
    <t xml:space="preserve">DCEWW data </t>
  </si>
  <si>
    <t>Envelope</t>
  </si>
  <si>
    <t>Some reuse likely if storage and similar jobs allow - assumed 10% allowance. DCEWW data suggests 100% sent to recycle - here we assume this is as cleanfill as per concrete being recycled to aggregate</t>
  </si>
  <si>
    <t xml:space="preserve">BRANZ database </t>
  </si>
  <si>
    <t>BRANZ database - timber cladding</t>
  </si>
  <si>
    <t>As per softwood</t>
  </si>
  <si>
    <t>Components generally recyclable. Process for recovery is complicated. Al considered landfill/cleanfill as biggest mass is glass, considered cleanfill/inertlandfill</t>
  </si>
  <si>
    <t>Strong incentive to recycle. Metal mass greater than half proportion of mass. No reuse likely.</t>
  </si>
  <si>
    <t>As per steel</t>
  </si>
  <si>
    <t>Revolving doors</t>
  </si>
  <si>
    <t>Permanent internal</t>
  </si>
  <si>
    <t>Asssumed as per steel - frame</t>
  </si>
  <si>
    <t>Assumed as per softwood</t>
  </si>
  <si>
    <t>Assumed as per concrete</t>
  </si>
  <si>
    <t>Some reuse likely if storage and similar jobs allow - assumed 15% allowance. DCEWW data otherwise used as per softwood</t>
  </si>
  <si>
    <t>Building class to be cleanfill/inert landfill</t>
  </si>
  <si>
    <t xml:space="preserve"> </t>
  </si>
  <si>
    <t>Asssumed as per aluminium - frame</t>
  </si>
  <si>
    <t>External works</t>
  </si>
  <si>
    <t>Building services</t>
  </si>
  <si>
    <t xml:space="preserve">Rate negligible </t>
  </si>
  <si>
    <t>Rate negligible</t>
  </si>
  <si>
    <t>Other</t>
  </si>
  <si>
    <t>Assumed</t>
  </si>
  <si>
    <t>Conservative estimate</t>
  </si>
  <si>
    <t>Assumed same as preassembled windows/doors</t>
  </si>
  <si>
    <t>Assumed as per curtain wall.</t>
  </si>
  <si>
    <t>Assumed same as carpet</t>
  </si>
  <si>
    <t>Inert Waste</t>
  </si>
  <si>
    <t>Ceiling</t>
  </si>
  <si>
    <t>Prefab/Precast units</t>
  </si>
  <si>
    <t xml:space="preserve">Based on Swedish precast slabs </t>
  </si>
  <si>
    <t>Balcony with connector</t>
  </si>
  <si>
    <t>Conc slab</t>
  </si>
  <si>
    <t>Prefabricated concrete 1</t>
  </si>
  <si>
    <t>Prefabricated concrete 2</t>
  </si>
  <si>
    <t>EFs Max from spreadsheet (kg/kg</t>
  </si>
  <si>
    <t>Cement</t>
  </si>
  <si>
    <t>50 Mpa</t>
  </si>
  <si>
    <t>advice that 50 MPa used for precast (cement workshop) though these are for stormwater and railway applications culverts pipes etc. 50 MPa used as well advice from workshop noting the need for a quick dry strength</t>
  </si>
  <si>
    <t>Steel reo</t>
  </si>
  <si>
    <t>Water</t>
  </si>
  <si>
    <t>Plasticiser</t>
  </si>
  <si>
    <t>EFs Av from spreadsheet (kg/kg</t>
  </si>
  <si>
    <t>Concrete waste</t>
  </si>
  <si>
    <t>Concrete</t>
  </si>
  <si>
    <t>steel (with waste)</t>
  </si>
  <si>
    <t>waste</t>
  </si>
  <si>
    <t>GWP per tonne</t>
  </si>
  <si>
    <t>GWP per m3</t>
  </si>
  <si>
    <t>GWP-Mix 2</t>
  </si>
  <si>
    <t>Hollowcore - calcs of EPD and of Aus average basedon conc and steel numbers</t>
  </si>
  <si>
    <t>GWP- steel</t>
  </si>
  <si>
    <t>concrete</t>
  </si>
  <si>
    <t>volume m3 of block per m</t>
  </si>
  <si>
    <t>thickness</t>
  </si>
  <si>
    <t>length</t>
  </si>
  <si>
    <t>volume of concrete m3/m</t>
  </si>
  <si>
    <t>density max concrete kg/m3</t>
  </si>
  <si>
    <t>kg/panel m</t>
  </si>
  <si>
    <t>steel t/m</t>
  </si>
  <si>
    <t>concrete kg per m</t>
  </si>
  <si>
    <t>steel kg per m</t>
  </si>
  <si>
    <t>width</t>
  </si>
  <si>
    <t>concrete with waste</t>
  </si>
  <si>
    <t>steel with waste</t>
  </si>
  <si>
    <t>GWP per m</t>
  </si>
  <si>
    <t>GWP per m3 of block inc. void</t>
  </si>
  <si>
    <t>GWP per m2</t>
  </si>
  <si>
    <t>HC160</t>
  </si>
  <si>
    <t>HC200</t>
  </si>
  <si>
    <t>HC200W</t>
  </si>
  <si>
    <t>HC250</t>
  </si>
  <si>
    <t>steel</t>
  </si>
  <si>
    <t>Max calculated</t>
  </si>
  <si>
    <t>Ave calculate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</si>
</sst>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5">
    <numFmt numFmtId="164" formatCode="0.0"/>
    <numFmt numFmtId="165" formatCode="0.000"/>
    <numFmt numFmtId="166" formatCode="0.0%"/>
    <numFmt numFmtId="167" formatCode="0.0000"/>
    <numFmt numFmtId="168" formatCode="#,##0.0"/>
  </numFmts>
  <fonts count="86" x14ac:knownFonts="1">
    <font>
      <sz val="10"/>
      <color theme="1"/>
      <name val="Arial"/>
      <family val="2"/>
    </font>
    <font>
      <sz val="11"/>
      <color theme="1"/>
      <name val="Arial"/>
      <family val="2"/>
      <scheme val="minor"/>
    </font>
    <font>
      <sz val="11"/>
      <color theme="1"/>
      <name val="Arial"/>
      <family val="2"/>
      <scheme val="minor"/>
    </font>
    <font>
      <sz val="11"/>
      <color theme="1"/>
      <name val="Arial"/>
      <family val="2"/>
      <scheme val="minor"/>
    </font>
    <font>
      <sz val="8"/>
      <name val="Arial"/>
      <family val="2"/>
      <scheme val="minor"/>
    </font>
    <font>
      <b/>
      <sz val="11"/>
      <color theme="0"/>
      <name val="Arial"/>
      <family val="2"/>
      <scheme val="minor"/>
    </font>
    <font>
      <sz val="11"/>
      <color rgb="FF3F3F76"/>
      <name val="Arial"/>
      <family val="2"/>
      <scheme val="minor"/>
    </font>
    <font>
      <u/>
      <sz val="11"/>
      <color theme="10"/>
      <name val="Arial"/>
      <family val="2"/>
    </font>
    <font>
      <b/>
      <sz val="10"/>
      <color theme="1"/>
      <name val="Arial"/>
      <family val="2"/>
    </font>
    <font>
      <sz val="10"/>
      <name val="Arial"/>
      <family val="2"/>
    </font>
    <font>
      <sz val="11"/>
      <color rgb="FF9C5700"/>
      <name val="Arial"/>
      <family val="2"/>
      <scheme val="minor"/>
    </font>
    <font>
      <sz val="9"/>
      <color indexed="81"/>
      <name val="Tahoma"/>
      <family val="2"/>
    </font>
    <font>
      <b/>
      <sz val="9"/>
      <color indexed="81"/>
      <name val="Tahoma"/>
      <family val="2"/>
    </font>
    <font>
      <sz val="10"/>
      <color theme="2"/>
      <name val="Arial"/>
      <family val="2"/>
    </font>
    <font>
      <b/>
      <sz val="10"/>
      <name val="Arial"/>
      <family val="2"/>
    </font>
    <font>
      <b/>
      <sz val="11"/>
      <color theme="1"/>
      <name val="Arial"/>
      <family val="2"/>
    </font>
    <font>
      <sz val="10"/>
      <color rgb="FF000000"/>
      <name val="Arial"/>
      <family val="2"/>
    </font>
    <font>
      <sz val="10"/>
      <color theme="0"/>
      <name val="Arial"/>
      <family val="2"/>
    </font>
    <font>
      <u/>
      <sz val="10"/>
      <color theme="10"/>
      <name val="Arial"/>
      <family val="2"/>
    </font>
    <font>
      <i/>
      <sz val="10"/>
      <color rgb="FF000000"/>
      <name val="Arial"/>
      <family val="2"/>
    </font>
    <font>
      <b/>
      <i/>
      <sz val="10"/>
      <color theme="1"/>
      <name val="Arial"/>
      <family val="2"/>
    </font>
    <font>
      <i/>
      <sz val="10"/>
      <color theme="1"/>
      <name val="Arial"/>
      <family val="2"/>
    </font>
    <font>
      <sz val="10"/>
      <color rgb="FF3F3F76"/>
      <name val="Arial"/>
      <family val="2"/>
    </font>
    <font>
      <b/>
      <sz val="14"/>
      <color rgb="FF336699"/>
      <name val="Arial"/>
      <family val="2"/>
    </font>
    <font>
      <b/>
      <sz val="12"/>
      <color rgb="FF336699"/>
      <name val="Arial"/>
      <family val="2"/>
    </font>
    <font>
      <b/>
      <sz val="11"/>
      <color rgb="FF336699"/>
      <name val="Arial"/>
      <family val="2"/>
    </font>
    <font>
      <b/>
      <vertAlign val="subscript"/>
      <sz val="10"/>
      <color theme="1"/>
      <name val="Arial"/>
      <family val="2"/>
    </font>
    <font>
      <b/>
      <sz val="10"/>
      <color rgb="FFFFFFFF"/>
      <name val="Arial"/>
      <family val="2"/>
    </font>
    <font>
      <b/>
      <sz val="10"/>
      <color rgb="FF000000"/>
      <name val="Arial"/>
      <family val="2"/>
    </font>
    <font>
      <i/>
      <sz val="11"/>
      <color theme="1"/>
      <name val="Arial"/>
      <family val="2"/>
    </font>
    <font>
      <sz val="11"/>
      <color rgb="FF3F3F76"/>
      <name val="Arial"/>
      <family val="2"/>
    </font>
    <font>
      <sz val="18"/>
      <color theme="3"/>
      <name val="Arial"/>
      <family val="2"/>
      <scheme val="major"/>
    </font>
    <font>
      <sz val="11"/>
      <color rgb="FF006100"/>
      <name val="Arial"/>
      <family val="2"/>
      <scheme val="minor"/>
    </font>
    <font>
      <sz val="11"/>
      <color rgb="FF9C0006"/>
      <name val="Arial"/>
      <family val="2"/>
      <scheme val="minor"/>
    </font>
    <font>
      <b/>
      <sz val="11"/>
      <color rgb="FF3F3F3F"/>
      <name val="Arial"/>
      <family val="2"/>
      <scheme val="minor"/>
    </font>
    <font>
      <b/>
      <sz val="11"/>
      <color rgb="FFFA7D00"/>
      <name val="Arial"/>
      <family val="2"/>
      <scheme val="minor"/>
    </font>
    <font>
      <sz val="11"/>
      <color rgb="FFFA7D00"/>
      <name val="Arial"/>
      <family val="2"/>
      <scheme val="minor"/>
    </font>
    <font>
      <sz val="11"/>
      <color rgb="FFFF0000"/>
      <name val="Arial"/>
      <family val="2"/>
      <scheme val="minor"/>
    </font>
    <font>
      <i/>
      <sz val="11"/>
      <color rgb="FF7F7F7F"/>
      <name val="Arial"/>
      <family val="2"/>
      <scheme val="minor"/>
    </font>
    <font>
      <b/>
      <sz val="11"/>
      <color theme="1"/>
      <name val="Arial"/>
      <family val="2"/>
      <scheme val="minor"/>
    </font>
    <font>
      <sz val="11"/>
      <color theme="0"/>
      <name val="Arial"/>
      <family val="2"/>
      <scheme val="minor"/>
    </font>
    <font>
      <b/>
      <sz val="15"/>
      <color theme="3"/>
      <name val="Arial"/>
      <family val="2"/>
      <scheme val="minor"/>
    </font>
    <font>
      <b/>
      <sz val="13"/>
      <color theme="3"/>
      <name val="Arial"/>
      <family val="2"/>
      <scheme val="minor"/>
    </font>
    <font>
      <b/>
      <sz val="11"/>
      <color theme="3"/>
      <name val="Arial"/>
      <family val="2"/>
      <scheme val="minor"/>
    </font>
    <font>
      <sz val="11"/>
      <color rgb="FF9C6500"/>
      <name val="Arial"/>
      <family val="2"/>
      <scheme val="minor"/>
    </font>
    <font>
      <sz val="10"/>
      <name val="Arial Narrow"/>
      <family val="2"/>
    </font>
    <font>
      <sz val="10"/>
      <color indexed="8"/>
      <name val="Arial"/>
      <family val="2"/>
    </font>
    <font>
      <sz val="11"/>
      <color indexed="8"/>
      <name val="Calibri"/>
      <family val="2"/>
    </font>
    <font>
      <sz val="11"/>
      <color indexed="9"/>
      <name val="Calibri"/>
      <family val="2"/>
    </font>
    <font>
      <b/>
      <sz val="11"/>
      <color indexed="8"/>
      <name val="Calibri"/>
      <family val="2"/>
    </font>
    <font>
      <sz val="11"/>
      <color indexed="14"/>
      <name val="Calibri"/>
      <family val="2"/>
    </font>
    <font>
      <b/>
      <sz val="11"/>
      <color indexed="9"/>
      <name val="Calibri"/>
      <family val="2"/>
    </font>
    <font>
      <i/>
      <sz val="11"/>
      <color indexed="23"/>
      <name val="Calibri"/>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sz val="11"/>
      <color indexed="62"/>
      <name val="Calibri"/>
      <family val="2"/>
    </font>
    <font>
      <sz val="11"/>
      <color indexed="60"/>
      <name val="Calibri"/>
      <family val="2"/>
    </font>
    <font>
      <b/>
      <sz val="11"/>
      <color indexed="63"/>
      <name val="Calibri"/>
      <family val="2"/>
    </font>
    <font>
      <b/>
      <sz val="18"/>
      <color indexed="62"/>
      <name val="Cambria"/>
      <family val="2"/>
    </font>
    <font>
      <sz val="11"/>
      <color indexed="10"/>
      <name val="Calibri"/>
      <family val="2"/>
    </font>
    <font>
      <sz val="11"/>
      <color indexed="13"/>
      <name val="Calibri"/>
      <family val="2"/>
    </font>
    <font>
      <b/>
      <sz val="11"/>
      <color indexed="13"/>
      <name val="Calibri"/>
      <family val="2"/>
    </font>
    <font>
      <sz val="10"/>
      <color theme="1"/>
      <name val="Calibri"/>
      <family val="2"/>
    </font>
    <font>
      <strike/>
      <sz val="10"/>
      <color theme="1"/>
      <name val="Arial"/>
      <family val="2"/>
    </font>
    <font>
      <sz val="9"/>
      <color rgb="FF007299"/>
      <name val="Arial"/>
      <family val="2"/>
    </font>
    <font>
      <sz val="9"/>
      <color rgb="FF0091B3"/>
      <name val="Arial"/>
      <family val="2"/>
    </font>
    <font>
      <b/>
      <sz val="22"/>
      <color rgb="FF0091B3"/>
      <name val="Arial"/>
      <family val="2"/>
    </font>
    <font>
      <b/>
      <sz val="14"/>
      <color rgb="FF0091B3"/>
      <name val="Arial"/>
      <family val="2"/>
    </font>
    <font>
      <b/>
      <sz val="12"/>
      <color rgb="FF0091B3"/>
      <name val="Arial"/>
      <family val="2"/>
    </font>
    <font>
      <b/>
      <sz val="10"/>
      <color theme="0"/>
      <name val="Arial"/>
      <family val="2"/>
    </font>
    <font>
      <sz val="10"/>
      <color rgb="FFFF0000"/>
      <name val="Arial"/>
      <family val="2"/>
    </font>
    <font>
      <b/>
      <sz val="10"/>
      <color rgb="FF0091B3"/>
      <name val="Arial"/>
      <family val="2"/>
    </font>
    <font>
      <sz val="10"/>
      <color theme="2" tint="-0.499984740745262"/>
      <name val="Arial"/>
      <family val="2"/>
    </font>
    <font>
      <b/>
      <vertAlign val="subscript"/>
      <sz val="10"/>
      <color rgb="FF000000"/>
      <name val="Arial"/>
      <family val="2"/>
    </font>
    <font>
      <sz val="10"/>
      <color rgb="FF000000"/>
      <name val="Arial"/>
      <family val="2"/>
      <charset val="1"/>
    </font>
    <font>
      <b/>
      <sz val="11"/>
      <color rgb="FF000000"/>
      <name val="Calibri"/>
      <family val="2"/>
    </font>
    <font>
      <sz val="11"/>
      <color rgb="FF000000"/>
      <name val="Calibri"/>
      <family val="2"/>
    </font>
    <font>
      <sz val="8"/>
      <color theme="2" tint="-0.749992370372631"/>
      <name val="Arial"/>
      <family val="2"/>
    </font>
    <font>
      <b/>
      <sz val="11"/>
      <color rgb="FF0091B3"/>
      <name val="Arial"/>
      <family val="2"/>
    </font>
    <font>
      <sz val="11"/>
      <color rgb="FF0091B3"/>
      <name val="Constantia"/>
      <family val="1"/>
    </font>
    <font>
      <sz val="10"/>
      <color theme="1"/>
      <name val="Arial"/>
      <family val="2"/>
    </font>
    <font>
      <sz val="8"/>
      <color theme="0" tint="-0.34998626667073579"/>
      <name val="Arial"/>
      <family val="2"/>
    </font>
    <font>
      <sz val="10"/>
      <color theme="0" tint="-0.34998626667073579"/>
      <name val="Arial"/>
      <family val="2"/>
    </font>
    <font>
      <sz val="10"/>
      <color theme="1"/>
      <name val="Arial"/>
      <family val="2"/>
    </font>
  </fonts>
  <fills count="62">
    <fill>
      <patternFill patternType="none"/>
    </fill>
    <fill>
      <patternFill patternType="gray125"/>
    </fill>
    <fill>
      <patternFill patternType="solid">
        <fgColor theme="0" tint="-0.14999847407452621"/>
        <bgColor indexed="64"/>
      </patternFill>
    </fill>
    <fill>
      <patternFill patternType="solid">
        <fgColor theme="7" tint="0.79998168889431442"/>
        <bgColor indexed="64"/>
      </patternFill>
    </fill>
    <fill>
      <patternFill patternType="solid">
        <fgColor theme="0"/>
        <bgColor indexed="64"/>
      </patternFill>
    </fill>
    <fill>
      <patternFill patternType="solid">
        <fgColor rgb="FFFFCC99"/>
      </patternFill>
    </fill>
    <fill>
      <patternFill patternType="solid">
        <fgColor rgb="FFFFEB9C"/>
      </patternFill>
    </fill>
    <fill>
      <patternFill patternType="solid">
        <fgColor rgb="FFFFFFCC"/>
      </patternFill>
    </fill>
    <fill>
      <patternFill patternType="solid">
        <fgColor theme="4" tint="0.79998168889431442"/>
        <bgColor theme="4" tint="0.79998168889431442"/>
      </patternFill>
    </fill>
    <fill>
      <patternFill patternType="solid">
        <fgColor theme="3" tint="0.79998168889431442"/>
        <bgColor indexed="64"/>
      </patternFill>
    </fill>
    <fill>
      <patternFill patternType="solid">
        <fgColor theme="4" tint="0.79998168889431442"/>
        <bgColor indexed="64"/>
      </patternFill>
    </fill>
    <fill>
      <patternFill patternType="solid">
        <fgColor theme="4" tint="0.59999389629810485"/>
        <bgColor indexed="64"/>
      </patternFill>
    </fill>
    <fill>
      <patternFill patternType="solid">
        <fgColor rgb="FFC6EFCE"/>
      </patternFill>
    </fill>
    <fill>
      <patternFill patternType="solid">
        <fgColor rgb="FFFFC7CE"/>
      </patternFill>
    </fill>
    <fill>
      <patternFill patternType="solid">
        <fgColor rgb="FFF2F2F2"/>
      </patternFill>
    </fill>
    <fill>
      <patternFill patternType="solid">
        <fgColor rgb="FFA5A5A5"/>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4"/>
      </patternFill>
    </fill>
    <fill>
      <patternFill patternType="solid">
        <fgColor indexed="45"/>
      </patternFill>
    </fill>
    <fill>
      <patternFill patternType="solid">
        <fgColor indexed="29"/>
      </patternFill>
    </fill>
    <fill>
      <patternFill patternType="solid">
        <fgColor indexed="26"/>
      </patternFill>
    </fill>
    <fill>
      <patternFill patternType="solid">
        <fgColor indexed="46"/>
      </patternFill>
    </fill>
    <fill>
      <patternFill patternType="solid">
        <fgColor indexed="22"/>
      </patternFill>
    </fill>
    <fill>
      <patternFill patternType="solid">
        <fgColor indexed="27"/>
      </patternFill>
    </fill>
    <fill>
      <patternFill patternType="solid">
        <fgColor indexed="43"/>
      </patternFill>
    </fill>
    <fill>
      <patternFill patternType="solid">
        <fgColor indexed="51"/>
      </patternFill>
    </fill>
    <fill>
      <patternFill patternType="solid">
        <fgColor indexed="53"/>
      </patternFill>
    </fill>
    <fill>
      <patternFill patternType="solid">
        <fgColor indexed="49"/>
      </patternFill>
    </fill>
    <fill>
      <patternFill patternType="solid">
        <fgColor indexed="56"/>
      </patternFill>
    </fill>
    <fill>
      <patternFill patternType="solid">
        <fgColor indexed="54"/>
      </patternFill>
    </fill>
    <fill>
      <patternFill patternType="solid">
        <fgColor indexed="13"/>
      </patternFill>
    </fill>
    <fill>
      <patternFill patternType="solid">
        <fgColor indexed="9"/>
      </patternFill>
    </fill>
    <fill>
      <patternFill patternType="solid">
        <fgColor indexed="55"/>
      </patternFill>
    </fill>
    <fill>
      <patternFill patternType="solid">
        <fgColor theme="0" tint="-4.9989318521683403E-2"/>
        <bgColor indexed="64"/>
      </patternFill>
    </fill>
    <fill>
      <patternFill patternType="solid">
        <fgColor rgb="FF0091B3"/>
        <bgColor indexed="64"/>
      </patternFill>
    </fill>
    <fill>
      <patternFill patternType="solid">
        <fgColor rgb="FFCFEAEF"/>
        <bgColor indexed="64"/>
      </patternFill>
    </fill>
    <fill>
      <patternFill patternType="solid">
        <fgColor rgb="FFD5E7EE"/>
        <bgColor indexed="64"/>
      </patternFill>
    </fill>
    <fill>
      <patternFill patternType="solid">
        <fgColor theme="2" tint="-9.9978637043366805E-2"/>
        <bgColor indexed="64"/>
      </patternFill>
    </fill>
    <fill>
      <patternFill patternType="solid">
        <fgColor rgb="FF0091B3"/>
        <bgColor rgb="FF000000"/>
      </patternFill>
    </fill>
  </fills>
  <borders count="100">
    <border>
      <left/>
      <right/>
      <top/>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right/>
      <top style="thin">
        <color indexed="64"/>
      </top>
      <bottom/>
      <diagonal/>
    </border>
    <border>
      <left/>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theme="4" tint="0.39997558519241921"/>
      </top>
      <bottom style="thin">
        <color theme="4" tint="0.39997558519241921"/>
      </bottom>
      <diagonal/>
    </border>
    <border>
      <left style="thin">
        <color rgb="FF7F7F7F"/>
      </left>
      <right style="thin">
        <color rgb="FF7F7F7F"/>
      </right>
      <top style="thin">
        <color rgb="FF7F7F7F"/>
      </top>
      <bottom style="thin">
        <color rgb="FF7F7F7F"/>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rgb="FFB2B2B2"/>
      </left>
      <right style="thin">
        <color rgb="FFB2B2B2"/>
      </right>
      <top style="thin">
        <color rgb="FFB2B2B2"/>
      </top>
      <bottom style="thin">
        <color rgb="FFB2B2B2"/>
      </bottom>
      <diagonal/>
    </border>
    <border>
      <left style="medium">
        <color indexed="64"/>
      </left>
      <right style="medium">
        <color indexed="64"/>
      </right>
      <top style="medium">
        <color indexed="64"/>
      </top>
      <bottom style="medium">
        <color indexed="64"/>
      </bottom>
      <diagonal/>
    </border>
    <border>
      <left/>
      <right/>
      <top style="thin">
        <color indexed="64"/>
      </top>
      <bottom style="thin">
        <color theme="4" tint="0.39997558519241921"/>
      </bottom>
      <diagonal/>
    </border>
    <border>
      <left style="medium">
        <color indexed="64"/>
      </left>
      <right style="thin">
        <color indexed="64"/>
      </right>
      <top style="medium">
        <color indexed="64"/>
      </top>
      <bottom style="medium">
        <color indexed="64"/>
      </bottom>
      <diagonal/>
    </border>
    <border>
      <left style="thin">
        <color indexed="64"/>
      </left>
      <right/>
      <top style="thin">
        <color theme="4" tint="0.39997558519241921"/>
      </top>
      <bottom style="thin">
        <color theme="4" tint="0.39997558519241921"/>
      </bottom>
      <diagonal/>
    </border>
    <border>
      <left/>
      <right style="thin">
        <color indexed="64"/>
      </right>
      <top style="thin">
        <color theme="4" tint="0.39997558519241921"/>
      </top>
      <bottom style="thin">
        <color theme="4" tint="0.39997558519241921"/>
      </bottom>
      <diagonal/>
    </border>
    <border>
      <left style="medium">
        <color rgb="FFFFFFFF"/>
      </left>
      <right style="medium">
        <color rgb="FFFFFFFF"/>
      </right>
      <top style="medium">
        <color rgb="FFFFFFFF"/>
      </top>
      <bottom style="thick">
        <color rgb="FFFFFFFF"/>
      </bottom>
      <diagonal/>
    </border>
    <border>
      <left style="medium">
        <color rgb="FFFFFFFF"/>
      </left>
      <right style="medium">
        <color rgb="FFFFFFFF"/>
      </right>
      <top style="thick">
        <color rgb="FFFFFFFF"/>
      </top>
      <bottom style="medium">
        <color rgb="FFFFFFFF"/>
      </bottom>
      <diagonal/>
    </border>
    <border>
      <left style="medium">
        <color rgb="FFFFFFFF"/>
      </left>
      <right style="medium">
        <color rgb="FFFFFFFF"/>
      </right>
      <top style="thick">
        <color rgb="FFFFFFFF"/>
      </top>
      <bottom/>
      <diagonal/>
    </border>
    <border>
      <left style="medium">
        <color rgb="FFFFFFFF"/>
      </left>
      <right style="medium">
        <color rgb="FFFFFFFF"/>
      </right>
      <top/>
      <bottom style="medium">
        <color rgb="FFFFFFFF"/>
      </bottom>
      <diagonal/>
    </border>
    <border>
      <left style="medium">
        <color rgb="FFFFFFFF"/>
      </left>
      <right style="medium">
        <color rgb="FFFFFFFF"/>
      </right>
      <top style="medium">
        <color rgb="FFFFFFFF"/>
      </top>
      <bottom style="medium">
        <color rgb="FFFFFFFF"/>
      </bottom>
      <diagonal/>
    </border>
    <border>
      <left style="medium">
        <color rgb="FFFFFFFF"/>
      </left>
      <right style="medium">
        <color rgb="FFFFFFFF"/>
      </right>
      <top style="medium">
        <color rgb="FFFFFFFF"/>
      </top>
      <bottom/>
      <diagonal/>
    </border>
    <border>
      <left/>
      <right style="thin">
        <color indexed="64"/>
      </right>
      <top style="thin">
        <color indexed="64"/>
      </top>
      <bottom style="thin">
        <color theme="4" tint="0.39997558519241921"/>
      </bottom>
      <diagonal/>
    </border>
    <border>
      <left style="thin">
        <color indexed="64"/>
      </left>
      <right/>
      <top style="thin">
        <color indexed="64"/>
      </top>
      <bottom style="thin">
        <color theme="4" tint="0.39997558519241921"/>
      </bottom>
      <diagonal/>
    </border>
    <border>
      <left style="thin">
        <color rgb="FF7F7F7F"/>
      </left>
      <right style="thin">
        <color indexed="64"/>
      </right>
      <top style="thin">
        <color rgb="FF7F7F7F"/>
      </top>
      <bottom style="thin">
        <color rgb="FF7F7F7F"/>
      </bottom>
      <diagonal/>
    </border>
    <border>
      <left style="thin">
        <color rgb="FF7F7F7F"/>
      </left>
      <right style="thin">
        <color indexed="64"/>
      </right>
      <top style="thin">
        <color rgb="FF7F7F7F"/>
      </top>
      <bottom style="thin">
        <color indexed="64"/>
      </bottom>
      <diagonal/>
    </border>
    <border>
      <left/>
      <right/>
      <top style="medium">
        <color indexed="64"/>
      </top>
      <bottom style="thin">
        <color indexed="64"/>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bottom style="double">
        <color indexed="1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medium">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right style="medium">
        <color indexed="64"/>
      </right>
      <top/>
      <bottom style="thin">
        <color indexed="64"/>
      </bottom>
      <diagonal/>
    </border>
    <border>
      <left style="thin">
        <color rgb="FF000000"/>
      </left>
      <right/>
      <top style="thin">
        <color rgb="FF000000"/>
      </top>
      <bottom style="thin">
        <color indexed="64"/>
      </bottom>
      <diagonal/>
    </border>
    <border>
      <left style="thin">
        <color rgb="FF000000"/>
      </left>
      <right/>
      <top/>
      <bottom style="thin">
        <color indexed="64"/>
      </bottom>
      <diagonal/>
    </border>
    <border>
      <left style="thin">
        <color indexed="64"/>
      </left>
      <right style="thin">
        <color rgb="FF000000"/>
      </right>
      <top/>
      <bottom style="thin">
        <color indexed="64"/>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style="thin">
        <color rgb="FF000000"/>
      </left>
      <right/>
      <top style="thin">
        <color indexed="64"/>
      </top>
      <bottom style="thin">
        <color indexed="64"/>
      </bottom>
      <diagonal/>
    </border>
    <border>
      <left style="thin">
        <color rgb="FF000000"/>
      </left>
      <right style="thin">
        <color indexed="64"/>
      </right>
      <top/>
      <bottom style="thin">
        <color indexed="64"/>
      </bottom>
      <diagonal/>
    </border>
    <border>
      <left style="thin">
        <color indexed="64"/>
      </left>
      <right style="thin">
        <color rgb="FF000000"/>
      </right>
      <top style="thin">
        <color indexed="64"/>
      </top>
      <bottom style="thin">
        <color indexed="64"/>
      </bottom>
      <diagonal/>
    </border>
    <border>
      <left style="thin">
        <color rgb="FF000000"/>
      </left>
      <right style="thin">
        <color indexed="64"/>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right/>
      <top/>
      <bottom style="thin">
        <color rgb="FF000000"/>
      </bottom>
      <diagonal/>
    </border>
    <border>
      <left style="thin">
        <color indexed="64"/>
      </left>
      <right style="thin">
        <color indexed="64"/>
      </right>
      <top/>
      <bottom style="thin">
        <color rgb="FF000000"/>
      </bottom>
      <diagonal/>
    </border>
    <border>
      <left style="thin">
        <color indexed="64"/>
      </left>
      <right/>
      <top/>
      <bottom style="thin">
        <color rgb="FF000000"/>
      </bottom>
      <diagonal/>
    </border>
    <border>
      <left/>
      <right style="thin">
        <color rgb="FF000000"/>
      </right>
      <top/>
      <bottom style="thin">
        <color rgb="FF000000"/>
      </bottom>
      <diagonal/>
    </border>
    <border>
      <left style="thin">
        <color rgb="FF000000"/>
      </left>
      <right style="thin">
        <color rgb="FF000000"/>
      </right>
      <top style="thin">
        <color rgb="FF000000"/>
      </top>
      <bottom/>
      <diagonal/>
    </border>
    <border>
      <left/>
      <right style="thin">
        <color rgb="FF000000"/>
      </right>
      <top style="thin">
        <color rgb="FF000000"/>
      </top>
      <bottom style="thin">
        <color indexed="64"/>
      </bottom>
      <diagonal/>
    </border>
    <border>
      <left style="thin">
        <color rgb="FF000000"/>
      </left>
      <right/>
      <top/>
      <bottom style="thin">
        <color rgb="FF000000"/>
      </bottom>
      <diagonal/>
    </border>
    <border>
      <left style="thin">
        <color rgb="FF000000"/>
      </left>
      <right/>
      <top style="thin">
        <color indexed="64"/>
      </top>
      <bottom/>
      <diagonal/>
    </border>
    <border>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right/>
      <top style="thin">
        <color rgb="FF000000"/>
      </top>
      <bottom style="thin">
        <color indexed="64"/>
      </bottom>
      <diagonal/>
    </border>
    <border>
      <left/>
      <right style="thin">
        <color rgb="FF000000"/>
      </right>
      <top style="thin">
        <color indexed="64"/>
      </top>
      <bottom/>
      <diagonal/>
    </border>
    <border>
      <left style="thin">
        <color indexed="64"/>
      </left>
      <right style="thin">
        <color rgb="FF000000"/>
      </right>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top style="thin">
        <color indexed="64"/>
      </top>
      <bottom style="thin">
        <color rgb="FF000000"/>
      </bottom>
      <diagonal/>
    </border>
    <border>
      <left/>
      <right/>
      <top style="thin">
        <color indexed="64"/>
      </top>
      <bottom style="thin">
        <color rgb="FF000000"/>
      </bottom>
      <diagonal/>
    </border>
    <border>
      <left/>
      <right style="thin">
        <color rgb="FF000000"/>
      </right>
      <top style="thin">
        <color indexed="64"/>
      </top>
      <bottom style="thin">
        <color rgb="FF000000"/>
      </bottom>
      <diagonal/>
    </border>
    <border>
      <left/>
      <right style="thin">
        <color rgb="FF000000"/>
      </right>
      <top style="thin">
        <color indexed="64"/>
      </top>
      <bottom style="thin">
        <color indexed="64"/>
      </bottom>
      <diagonal/>
    </border>
    <border>
      <left style="thin">
        <color rgb="FF000000"/>
      </left>
      <right style="thin">
        <color indexed="64"/>
      </right>
      <top/>
      <bottom/>
      <diagonal/>
    </border>
    <border>
      <left style="thin">
        <color rgb="FF000000"/>
      </left>
      <right style="thin">
        <color indexed="64"/>
      </right>
      <top style="thin">
        <color indexed="64"/>
      </top>
      <bottom/>
      <diagonal/>
    </border>
    <border>
      <left style="thin">
        <color rgb="FF000000"/>
      </left>
      <right style="thin">
        <color indexed="64"/>
      </right>
      <top style="thin">
        <color indexed="64"/>
      </top>
      <bottom style="thin">
        <color rgb="FF000000"/>
      </bottom>
      <diagonal/>
    </border>
    <border>
      <left style="thin">
        <color indexed="64"/>
      </left>
      <right/>
      <top style="thin">
        <color indexed="64"/>
      </top>
      <bottom style="thin">
        <color rgb="FF000000"/>
      </bottom>
      <diagonal/>
    </border>
  </borders>
  <cellStyleXfs count="113">
    <xf numFmtId="0" fontId="0" fillId="0" borderId="0">
      <alignment vertical="center"/>
    </xf>
    <xf numFmtId="9" fontId="3" fillId="0" borderId="0" applyFont="0" applyFill="0" applyBorder="0" applyAlignment="0" applyProtection="0"/>
    <xf numFmtId="0" fontId="18" fillId="0" borderId="0" applyNumberFormat="0" applyFill="0" applyBorder="0" applyAlignment="0" applyProtection="0"/>
    <xf numFmtId="0" fontId="6" fillId="5" borderId="13" applyNumberFormat="0" applyAlignment="0" applyProtection="0"/>
    <xf numFmtId="0" fontId="23" fillId="0" borderId="0" applyNumberFormat="0" applyFill="0" applyBorder="0" applyAlignment="0" applyProtection="0"/>
    <xf numFmtId="0" fontId="24" fillId="0" borderId="0" applyNumberFormat="0" applyFill="0" applyAlignment="0" applyProtection="0"/>
    <xf numFmtId="0" fontId="25" fillId="0" borderId="0" applyNumberFormat="0" applyFill="0" applyAlignment="0" applyProtection="0"/>
    <xf numFmtId="0" fontId="14" fillId="0" borderId="0" applyNumberFormat="0" applyFill="0" applyBorder="0" applyAlignment="0" applyProtection="0"/>
    <xf numFmtId="0" fontId="31" fillId="0" borderId="0" applyNumberFormat="0" applyFill="0" applyBorder="0" applyAlignment="0" applyProtection="0"/>
    <xf numFmtId="0" fontId="32" fillId="12" borderId="0" applyNumberFormat="0" applyBorder="0" applyAlignment="0" applyProtection="0"/>
    <xf numFmtId="0" fontId="33" fillId="13" borderId="0" applyNumberFormat="0" applyBorder="0" applyAlignment="0" applyProtection="0"/>
    <xf numFmtId="0" fontId="34" fillId="14" borderId="43" applyNumberFormat="0" applyAlignment="0" applyProtection="0"/>
    <xf numFmtId="0" fontId="35" fillId="14" borderId="13" applyNumberFormat="0" applyAlignment="0" applyProtection="0"/>
    <xf numFmtId="0" fontId="36" fillId="0" borderId="44" applyNumberFormat="0" applyFill="0" applyAlignment="0" applyProtection="0"/>
    <xf numFmtId="0" fontId="5" fillId="15" borderId="45" applyNumberFormat="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9" fillId="0" borderId="46" applyNumberFormat="0" applyFill="0" applyAlignment="0" applyProtection="0"/>
    <xf numFmtId="0" fontId="40" fillId="16"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40" fillId="20"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40" fillId="24"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40" fillId="28"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40" fillId="32"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40"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0" borderId="0"/>
    <xf numFmtId="0" fontId="41" fillId="0" borderId="47" applyNumberFormat="0" applyFill="0" applyAlignment="0" applyProtection="0"/>
    <xf numFmtId="0" fontId="42" fillId="0" borderId="48" applyNumberFormat="0" applyFill="0" applyAlignment="0" applyProtection="0"/>
    <xf numFmtId="0" fontId="43" fillId="0" borderId="49" applyNumberFormat="0" applyFill="0" applyAlignment="0" applyProtection="0"/>
    <xf numFmtId="0" fontId="43" fillId="0" borderId="0" applyNumberFormat="0" applyFill="0" applyBorder="0" applyAlignment="0" applyProtection="0"/>
    <xf numFmtId="0" fontId="2" fillId="7" borderId="26" applyNumberFormat="0" applyFont="0" applyAlignment="0" applyProtection="0"/>
    <xf numFmtId="0" fontId="44" fillId="6" borderId="0" applyNumberFormat="0" applyBorder="0" applyAlignment="0" applyProtection="0"/>
    <xf numFmtId="0" fontId="40" fillId="19" borderId="0" applyNumberFormat="0" applyBorder="0" applyAlignment="0" applyProtection="0"/>
    <xf numFmtId="0" fontId="40" fillId="23" borderId="0" applyNumberFormat="0" applyBorder="0" applyAlignment="0" applyProtection="0"/>
    <xf numFmtId="0" fontId="40" fillId="27" borderId="0" applyNumberFormat="0" applyBorder="0" applyAlignment="0" applyProtection="0"/>
    <xf numFmtId="0" fontId="40" fillId="31" borderId="0" applyNumberFormat="0" applyBorder="0" applyAlignment="0" applyProtection="0"/>
    <xf numFmtId="0" fontId="40" fillId="35" borderId="0" applyNumberFormat="0" applyBorder="0" applyAlignment="0" applyProtection="0"/>
    <xf numFmtId="0" fontId="40" fillId="39" borderId="0" applyNumberFormat="0" applyBorder="0" applyAlignment="0" applyProtection="0"/>
    <xf numFmtId="0" fontId="10" fillId="6"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44" fillId="6" borderId="0" applyNumberFormat="0" applyBorder="0" applyAlignment="0" applyProtection="0"/>
    <xf numFmtId="0" fontId="40" fillId="19" borderId="0" applyNumberFormat="0" applyBorder="0" applyAlignment="0" applyProtection="0"/>
    <xf numFmtId="0" fontId="40" fillId="23" borderId="0" applyNumberFormat="0" applyBorder="0" applyAlignment="0" applyProtection="0"/>
    <xf numFmtId="0" fontId="40" fillId="27" borderId="0" applyNumberFormat="0" applyBorder="0" applyAlignment="0" applyProtection="0"/>
    <xf numFmtId="0" fontId="40" fillId="31" borderId="0" applyNumberFormat="0" applyBorder="0" applyAlignment="0" applyProtection="0"/>
    <xf numFmtId="0" fontId="40" fillId="35" borderId="0" applyNumberFormat="0" applyBorder="0" applyAlignment="0" applyProtection="0"/>
    <xf numFmtId="0" fontId="40" fillId="39" borderId="0" applyNumberFormat="0" applyBorder="0" applyAlignment="0" applyProtection="0"/>
    <xf numFmtId="0" fontId="16" fillId="0" borderId="0"/>
    <xf numFmtId="0" fontId="16" fillId="0" borderId="0"/>
    <xf numFmtId="0" fontId="47" fillId="40" borderId="0" applyNumberFormat="0" applyBorder="0" applyAlignment="0" applyProtection="0"/>
    <xf numFmtId="0" fontId="47" fillId="42" borderId="0" applyNumberFormat="0" applyBorder="0" applyAlignment="0" applyProtection="0"/>
    <xf numFmtId="0" fontId="47" fillId="43" borderId="0" applyNumberFormat="0" applyBorder="0" applyAlignment="0" applyProtection="0"/>
    <xf numFmtId="0" fontId="47" fillId="45" borderId="0" applyNumberFormat="0" applyBorder="0" applyAlignment="0" applyProtection="0"/>
    <xf numFmtId="0" fontId="47" fillId="46" borderId="0" applyNumberFormat="0" applyBorder="0" applyAlignment="0" applyProtection="0"/>
    <xf numFmtId="0" fontId="47" fillId="43" borderId="0" applyNumberFormat="0" applyBorder="0" applyAlignment="0" applyProtection="0"/>
    <xf numFmtId="0" fontId="47" fillId="46" borderId="0" applyNumberFormat="0" applyBorder="0" applyAlignment="0" applyProtection="0"/>
    <xf numFmtId="0" fontId="47" fillId="42" borderId="0" applyNumberFormat="0" applyBorder="0" applyAlignment="0" applyProtection="0"/>
    <xf numFmtId="0" fontId="47" fillId="47" borderId="0" applyNumberFormat="0" applyBorder="0" applyAlignment="0" applyProtection="0"/>
    <xf numFmtId="0" fontId="47" fillId="41" borderId="0" applyNumberFormat="0" applyBorder="0" applyAlignment="0" applyProtection="0"/>
    <xf numFmtId="0" fontId="47" fillId="46" borderId="0" applyNumberFormat="0" applyBorder="0" applyAlignment="0" applyProtection="0"/>
    <xf numFmtId="0" fontId="47" fillId="43" borderId="0" applyNumberFormat="0" applyBorder="0" applyAlignment="0" applyProtection="0"/>
    <xf numFmtId="0" fontId="48" fillId="46" borderId="0" applyNumberFormat="0" applyBorder="0" applyAlignment="0" applyProtection="0"/>
    <xf numFmtId="0" fontId="48" fillId="49" borderId="0" applyNumberFormat="0" applyBorder="0" applyAlignment="0" applyProtection="0"/>
    <xf numFmtId="0" fontId="48" fillId="48" borderId="0" applyNumberFormat="0" applyBorder="0" applyAlignment="0" applyProtection="0"/>
    <xf numFmtId="0" fontId="48" fillId="41" borderId="0" applyNumberFormat="0" applyBorder="0" applyAlignment="0" applyProtection="0"/>
    <xf numFmtId="0" fontId="48" fillId="46" borderId="0" applyNumberFormat="0" applyBorder="0" applyAlignment="0" applyProtection="0"/>
    <xf numFmtId="0" fontId="48" fillId="42" borderId="0" applyNumberFormat="0" applyBorder="0" applyAlignment="0" applyProtection="0"/>
    <xf numFmtId="0" fontId="48" fillId="51" borderId="0" applyNumberFormat="0" applyBorder="0" applyAlignment="0" applyProtection="0"/>
    <xf numFmtId="0" fontId="48" fillId="49" borderId="0" applyNumberFormat="0" applyBorder="0" applyAlignment="0" applyProtection="0"/>
    <xf numFmtId="0" fontId="48" fillId="48" borderId="0" applyNumberFormat="0" applyBorder="0" applyAlignment="0" applyProtection="0"/>
    <xf numFmtId="0" fontId="48" fillId="52" borderId="0" applyNumberFormat="0" applyBorder="0" applyAlignment="0" applyProtection="0"/>
    <xf numFmtId="0" fontId="48" fillId="50" borderId="0" applyNumberFormat="0" applyBorder="0" applyAlignment="0" applyProtection="0"/>
    <xf numFmtId="0" fontId="48" fillId="53" borderId="0" applyNumberFormat="0" applyBorder="0" applyAlignment="0" applyProtection="0"/>
    <xf numFmtId="0" fontId="50" fillId="44" borderId="0" applyNumberFormat="0" applyBorder="0" applyAlignment="0" applyProtection="0"/>
    <xf numFmtId="0" fontId="63" fillId="54" borderId="50" applyNumberFormat="0" applyAlignment="0" applyProtection="0"/>
    <xf numFmtId="0" fontId="51" fillId="55" borderId="51" applyNumberFormat="0" applyAlignment="0" applyProtection="0"/>
    <xf numFmtId="0" fontId="52" fillId="0" borderId="0" applyNumberFormat="0" applyFill="0" applyBorder="0" applyAlignment="0" applyProtection="0"/>
    <xf numFmtId="0" fontId="53" fillId="46" borderId="0" applyNumberFormat="0" applyBorder="0" applyAlignment="0" applyProtection="0"/>
    <xf numFmtId="0" fontId="54" fillId="0" borderId="52" applyNumberFormat="0" applyFill="0" applyAlignment="0" applyProtection="0"/>
    <xf numFmtId="0" fontId="55" fillId="0" borderId="53" applyNumberFormat="0" applyFill="0" applyAlignment="0" applyProtection="0"/>
    <xf numFmtId="0" fontId="56" fillId="0" borderId="54" applyNumberFormat="0" applyFill="0" applyAlignment="0" applyProtection="0"/>
    <xf numFmtId="0" fontId="56" fillId="0" borderId="0" applyNumberFormat="0" applyFill="0" applyBorder="0" applyAlignment="0" applyProtection="0"/>
    <xf numFmtId="0" fontId="57" fillId="47" borderId="50" applyNumberFormat="0" applyAlignment="0" applyProtection="0"/>
    <xf numFmtId="0" fontId="62" fillId="0" borderId="55" applyNumberFormat="0" applyFill="0" applyAlignment="0" applyProtection="0"/>
    <xf numFmtId="0" fontId="58" fillId="47" borderId="0" applyNumberFormat="0" applyBorder="0" applyAlignment="0" applyProtection="0"/>
    <xf numFmtId="0" fontId="45" fillId="0" borderId="0">
      <alignment vertical="top" wrapText="1"/>
    </xf>
    <xf numFmtId="0" fontId="46" fillId="0" borderId="0"/>
    <xf numFmtId="0" fontId="46" fillId="0" borderId="0"/>
    <xf numFmtId="0" fontId="46" fillId="0" borderId="0"/>
    <xf numFmtId="0" fontId="64" fillId="0" borderId="0"/>
    <xf numFmtId="0" fontId="45" fillId="0" borderId="0">
      <alignment vertical="top" wrapText="1"/>
    </xf>
    <xf numFmtId="0" fontId="46" fillId="43" borderId="56" applyNumberFormat="0" applyFont="0" applyAlignment="0" applyProtection="0"/>
    <xf numFmtId="0" fontId="59" fillId="54" borderId="57" applyNumberFormat="0" applyAlignment="0" applyProtection="0"/>
    <xf numFmtId="0" fontId="60" fillId="0" borderId="0" applyNumberFormat="0" applyFill="0" applyBorder="0" applyAlignment="0" applyProtection="0"/>
    <xf numFmtId="0" fontId="49" fillId="0" borderId="58" applyNumberFormat="0" applyFill="0" applyAlignment="0" applyProtection="0"/>
    <xf numFmtId="0" fontId="61" fillId="0" borderId="0" applyNumberFormat="0" applyFill="0" applyBorder="0" applyAlignment="0" applyProtection="0"/>
    <xf numFmtId="0" fontId="85" fillId="0" borderId="0">
      <alignment vertical="center"/>
    </xf>
  </cellStyleXfs>
  <cellXfs count="521">
    <xf numFmtId="0" fontId="0" fillId="0" borderId="0" xfId="0">
      <alignment vertical="center"/>
    </xf>
    <xf numFmtId="0" fontId="9" fillId="0" borderId="16" xfId="0" applyFont="1" applyBorder="1" applyAlignment="1">
      <alignment vertical="center" wrapText="1"/>
    </xf>
    <xf numFmtId="0" fontId="9" fillId="0" borderId="16" xfId="0" quotePrefix="1" applyFont="1" applyBorder="1" applyAlignment="1">
      <alignment horizontal="left" vertical="center"/>
    </xf>
    <xf numFmtId="0" fontId="9" fillId="0" borderId="16" xfId="0" quotePrefix="1" applyFont="1" applyBorder="1" applyAlignment="1">
      <alignment horizontal="left" vertical="center" wrapText="1"/>
    </xf>
    <xf numFmtId="0" fontId="8" fillId="0" borderId="0" xfId="0" applyFont="1">
      <alignment vertical="center"/>
    </xf>
    <xf numFmtId="0" fontId="13" fillId="0" borderId="5" xfId="0" applyFont="1" applyBorder="1">
      <alignment vertical="center"/>
    </xf>
    <xf numFmtId="0" fontId="13" fillId="0" borderId="4" xfId="0" applyFont="1" applyBorder="1">
      <alignment vertical="center"/>
    </xf>
    <xf numFmtId="0" fontId="9" fillId="0" borderId="16" xfId="0" applyFont="1" applyBorder="1">
      <alignment vertical="center"/>
    </xf>
    <xf numFmtId="0" fontId="13" fillId="0" borderId="0" xfId="0" applyFont="1">
      <alignment vertical="center"/>
    </xf>
    <xf numFmtId="0" fontId="13" fillId="0" borderId="14" xfId="0" applyFont="1" applyBorder="1">
      <alignment vertical="center"/>
    </xf>
    <xf numFmtId="0" fontId="9" fillId="0" borderId="15" xfId="0" applyFont="1" applyBorder="1">
      <alignment vertical="center"/>
    </xf>
    <xf numFmtId="0" fontId="13" fillId="0" borderId="11" xfId="0" applyFont="1" applyBorder="1">
      <alignment vertical="center"/>
    </xf>
    <xf numFmtId="0" fontId="8" fillId="0" borderId="0" xfId="0" applyFont="1" applyAlignment="1">
      <alignment vertical="center" wrapText="1"/>
    </xf>
    <xf numFmtId="9" fontId="0" fillId="0" borderId="0" xfId="1" applyFont="1"/>
    <xf numFmtId="0" fontId="0" fillId="0" borderId="0" xfId="0" applyAlignment="1">
      <alignment wrapText="1"/>
    </xf>
    <xf numFmtId="9" fontId="0" fillId="0" borderId="0" xfId="1" applyFont="1" applyBorder="1"/>
    <xf numFmtId="9" fontId="0" fillId="0" borderId="19" xfId="1" applyFont="1" applyBorder="1"/>
    <xf numFmtId="166" fontId="0" fillId="0" borderId="0" xfId="1" applyNumberFormat="1" applyFont="1" applyBorder="1"/>
    <xf numFmtId="0" fontId="8" fillId="0" borderId="10" xfId="0" applyFont="1" applyBorder="1">
      <alignment vertical="center"/>
    </xf>
    <xf numFmtId="0" fontId="8" fillId="0" borderId="10" xfId="0" applyFont="1" applyBorder="1" applyAlignment="1">
      <alignment wrapText="1"/>
    </xf>
    <xf numFmtId="0" fontId="8" fillId="0" borderId="0" xfId="0" applyFont="1" applyAlignment="1">
      <alignment wrapText="1"/>
    </xf>
    <xf numFmtId="9" fontId="0" fillId="0" borderId="0" xfId="1" applyFont="1" applyAlignment="1">
      <alignment horizontal="left"/>
    </xf>
    <xf numFmtId="0" fontId="8" fillId="4" borderId="0" xfId="0" applyFont="1" applyFill="1">
      <alignment vertical="center"/>
    </xf>
    <xf numFmtId="0" fontId="8" fillId="2" borderId="7" xfId="0" applyFont="1" applyFill="1" applyBorder="1" applyAlignment="1" applyProtection="1">
      <alignment horizontal="center" vertical="center" wrapText="1"/>
      <protection hidden="1"/>
    </xf>
    <xf numFmtId="2" fontId="8" fillId="2" borderId="7" xfId="0" applyNumberFormat="1" applyFont="1" applyFill="1" applyBorder="1" applyAlignment="1" applyProtection="1">
      <alignment horizontal="center" vertical="center" wrapText="1"/>
      <protection hidden="1"/>
    </xf>
    <xf numFmtId="11" fontId="8" fillId="2" borderId="10" xfId="0" applyNumberFormat="1" applyFont="1" applyFill="1" applyBorder="1" applyAlignment="1" applyProtection="1">
      <alignment horizontal="center" vertical="center" wrapText="1"/>
      <protection hidden="1"/>
    </xf>
    <xf numFmtId="0" fontId="8" fillId="0" borderId="0" xfId="0" applyFont="1" applyAlignment="1">
      <alignment horizontal="left"/>
    </xf>
    <xf numFmtId="0" fontId="21" fillId="0" borderId="0" xfId="0" applyFont="1">
      <alignment vertical="center"/>
    </xf>
    <xf numFmtId="0" fontId="22" fillId="11" borderId="7" xfId="3" applyFont="1" applyFill="1" applyBorder="1"/>
    <xf numFmtId="0" fontId="8" fillId="0" borderId="11" xfId="0" applyFont="1" applyBorder="1" applyAlignment="1">
      <alignment wrapText="1"/>
    </xf>
    <xf numFmtId="0" fontId="8" fillId="0" borderId="4" xfId="0" applyFont="1" applyBorder="1">
      <alignment vertical="center"/>
    </xf>
    <xf numFmtId="0" fontId="8" fillId="0" borderId="2" xfId="0" applyFont="1" applyBorder="1" applyAlignment="1">
      <alignment wrapText="1"/>
    </xf>
    <xf numFmtId="0" fontId="8" fillId="0" borderId="2" xfId="0" applyFont="1" applyBorder="1">
      <alignment vertical="center"/>
    </xf>
    <xf numFmtId="0" fontId="20" fillId="0" borderId="0" xfId="0" applyFont="1">
      <alignment vertical="center"/>
    </xf>
    <xf numFmtId="0" fontId="18" fillId="0" borderId="3" xfId="2" applyBorder="1"/>
    <xf numFmtId="0" fontId="8" fillId="9" borderId="0" xfId="0" applyFont="1" applyFill="1">
      <alignment vertical="center"/>
    </xf>
    <xf numFmtId="0" fontId="18" fillId="0" borderId="0" xfId="2"/>
    <xf numFmtId="10" fontId="8" fillId="0" borderId="0" xfId="0" applyNumberFormat="1" applyFont="1">
      <alignment vertical="center"/>
    </xf>
    <xf numFmtId="0" fontId="18" fillId="0" borderId="4" xfId="2" applyBorder="1"/>
    <xf numFmtId="0" fontId="18" fillId="0" borderId="0" xfId="2" applyBorder="1"/>
    <xf numFmtId="0" fontId="8" fillId="0" borderId="11" xfId="0" applyFont="1" applyBorder="1">
      <alignment vertical="center"/>
    </xf>
    <xf numFmtId="10" fontId="8" fillId="0" borderId="6" xfId="0" applyNumberFormat="1" applyFont="1" applyBorder="1">
      <alignment vertical="center"/>
    </xf>
    <xf numFmtId="10" fontId="8" fillId="0" borderId="3" xfId="0" applyNumberFormat="1" applyFont="1" applyBorder="1">
      <alignment vertical="center"/>
    </xf>
    <xf numFmtId="2" fontId="18" fillId="0" borderId="0" xfId="2" applyNumberFormat="1"/>
    <xf numFmtId="2" fontId="8" fillId="2" borderId="10" xfId="0" applyNumberFormat="1" applyFont="1" applyFill="1" applyBorder="1" applyAlignment="1" applyProtection="1">
      <alignment horizontal="center" vertical="center" wrapText="1"/>
      <protection hidden="1"/>
    </xf>
    <xf numFmtId="2" fontId="8" fillId="2" borderId="11" xfId="0" applyNumberFormat="1" applyFont="1" applyFill="1" applyBorder="1" applyAlignment="1" applyProtection="1">
      <alignment horizontal="center" vertical="center" wrapText="1"/>
      <protection hidden="1"/>
    </xf>
    <xf numFmtId="0" fontId="8" fillId="0" borderId="3" xfId="0" applyFont="1" applyBorder="1" applyAlignment="1">
      <alignment wrapText="1"/>
    </xf>
    <xf numFmtId="0" fontId="22" fillId="3" borderId="40" xfId="3" applyFont="1" applyFill="1" applyBorder="1"/>
    <xf numFmtId="0" fontId="22" fillId="3" borderId="41" xfId="3" applyFont="1" applyFill="1" applyBorder="1"/>
    <xf numFmtId="0" fontId="8" fillId="0" borderId="29" xfId="0" applyFont="1" applyBorder="1">
      <alignment vertical="center"/>
    </xf>
    <xf numFmtId="0" fontId="8" fillId="0" borderId="27" xfId="0" applyFont="1" applyBorder="1">
      <alignment vertical="center"/>
    </xf>
    <xf numFmtId="0" fontId="8" fillId="0" borderId="4" xfId="0" applyFont="1" applyBorder="1" applyAlignment="1">
      <alignment wrapText="1"/>
    </xf>
    <xf numFmtId="0" fontId="8" fillId="0" borderId="14" xfId="0" applyFont="1" applyBorder="1">
      <alignment vertical="center"/>
    </xf>
    <xf numFmtId="164" fontId="8" fillId="0" borderId="0" xfId="0" applyNumberFormat="1" applyFont="1">
      <alignment vertical="center"/>
    </xf>
    <xf numFmtId="0" fontId="8" fillId="0" borderId="0" xfId="0" applyFont="1" applyAlignment="1">
      <alignment horizontal="center" vertical="center"/>
    </xf>
    <xf numFmtId="0" fontId="8" fillId="9" borderId="15" xfId="0" applyFont="1" applyFill="1" applyBorder="1" applyAlignment="1">
      <alignment horizontal="right" vertical="center" wrapText="1"/>
    </xf>
    <xf numFmtId="0" fontId="8" fillId="9" borderId="16" xfId="0" applyFont="1" applyFill="1" applyBorder="1" applyAlignment="1">
      <alignment horizontal="right" vertical="center" wrapText="1"/>
    </xf>
    <xf numFmtId="0" fontId="8" fillId="9" borderId="17" xfId="0" applyFont="1" applyFill="1" applyBorder="1" applyAlignment="1">
      <alignment horizontal="right" vertical="center" wrapText="1"/>
    </xf>
    <xf numFmtId="0" fontId="8" fillId="9" borderId="16" xfId="0" applyFont="1" applyFill="1" applyBorder="1">
      <alignment vertical="center"/>
    </xf>
    <xf numFmtId="0" fontId="8" fillId="9" borderId="16" xfId="0" applyFont="1" applyFill="1" applyBorder="1" applyAlignment="1">
      <alignment vertical="center" wrapText="1"/>
    </xf>
    <xf numFmtId="3" fontId="9" fillId="0" borderId="15" xfId="0" applyNumberFormat="1" applyFont="1" applyBorder="1">
      <alignment vertical="center"/>
    </xf>
    <xf numFmtId="3" fontId="9" fillId="0" borderId="16" xfId="0" applyNumberFormat="1" applyFont="1" applyBorder="1">
      <alignment vertical="center"/>
    </xf>
    <xf numFmtId="4" fontId="9" fillId="0" borderId="16" xfId="0" applyNumberFormat="1" applyFont="1" applyBorder="1">
      <alignment vertical="center"/>
    </xf>
    <xf numFmtId="4" fontId="9" fillId="0" borderId="15" xfId="0" applyNumberFormat="1" applyFont="1" applyBorder="1">
      <alignment vertical="center"/>
    </xf>
    <xf numFmtId="0" fontId="13" fillId="0" borderId="6" xfId="0" applyFont="1" applyBorder="1">
      <alignment vertical="center"/>
    </xf>
    <xf numFmtId="0" fontId="13" fillId="0" borderId="8" xfId="0" applyFont="1" applyBorder="1">
      <alignment vertical="center"/>
    </xf>
    <xf numFmtId="0" fontId="0" fillId="0" borderId="16" xfId="0" applyBorder="1">
      <alignment vertical="center"/>
    </xf>
    <xf numFmtId="0" fontId="0" fillId="0" borderId="4" xfId="0" applyBorder="1">
      <alignment vertical="center"/>
    </xf>
    <xf numFmtId="0" fontId="9" fillId="4" borderId="0" xfId="0" applyFont="1" applyFill="1" applyAlignment="1" applyProtection="1">
      <alignment vertical="top" wrapText="1"/>
      <protection hidden="1"/>
    </xf>
    <xf numFmtId="0" fontId="0" fillId="0" borderId="16" xfId="0" applyBorder="1" applyAlignment="1">
      <alignment vertical="center" wrapText="1"/>
    </xf>
    <xf numFmtId="0" fontId="0" fillId="0" borderId="16" xfId="0" applyBorder="1" applyAlignment="1">
      <alignment wrapText="1"/>
    </xf>
    <xf numFmtId="0" fontId="0" fillId="0" borderId="0" xfId="0" applyAlignment="1">
      <alignment vertical="top"/>
    </xf>
    <xf numFmtId="0" fontId="0" fillId="0" borderId="4" xfId="0" applyBorder="1" applyAlignment="1">
      <alignment vertical="top"/>
    </xf>
    <xf numFmtId="0" fontId="9" fillId="4" borderId="0" xfId="0" applyFont="1" applyFill="1" applyAlignment="1" applyProtection="1">
      <alignment vertical="top"/>
      <protection hidden="1"/>
    </xf>
    <xf numFmtId="11" fontId="0" fillId="0" borderId="0" xfId="0" applyNumberFormat="1" applyAlignment="1">
      <alignment vertical="top"/>
    </xf>
    <xf numFmtId="0" fontId="0" fillId="0" borderId="0" xfId="0" applyAlignment="1">
      <alignment vertical="center" wrapText="1"/>
    </xf>
    <xf numFmtId="11" fontId="0" fillId="0" borderId="0" xfId="0" applyNumberFormat="1">
      <alignment vertical="center"/>
    </xf>
    <xf numFmtId="0" fontId="7" fillId="0" borderId="0" xfId="2" applyFont="1"/>
    <xf numFmtId="0" fontId="0" fillId="0" borderId="18" xfId="0" applyBorder="1">
      <alignment vertical="center"/>
    </xf>
    <xf numFmtId="0" fontId="0" fillId="0" borderId="19" xfId="0" applyBorder="1">
      <alignment vertical="center"/>
    </xf>
    <xf numFmtId="0" fontId="0" fillId="0" borderId="20" xfId="0" applyBorder="1">
      <alignment vertical="center"/>
    </xf>
    <xf numFmtId="0" fontId="0" fillId="0" borderId="21" xfId="0" applyBorder="1">
      <alignment vertical="center"/>
    </xf>
    <xf numFmtId="0" fontId="0" fillId="0" borderId="22" xfId="0" applyBorder="1">
      <alignment vertical="center"/>
    </xf>
    <xf numFmtId="2" fontId="0" fillId="0" borderId="22" xfId="0" applyNumberFormat="1" applyBorder="1">
      <alignment vertical="center"/>
    </xf>
    <xf numFmtId="0" fontId="0" fillId="0" borderId="23" xfId="0" applyBorder="1">
      <alignment vertical="center"/>
    </xf>
    <xf numFmtId="2" fontId="0" fillId="0" borderId="25" xfId="0" applyNumberFormat="1" applyBorder="1">
      <alignment vertical="center"/>
    </xf>
    <xf numFmtId="0" fontId="0" fillId="0" borderId="24" xfId="0" applyBorder="1">
      <alignment vertical="center"/>
    </xf>
    <xf numFmtId="0" fontId="0" fillId="0" borderId="25" xfId="0" applyBorder="1">
      <alignment vertical="center"/>
    </xf>
    <xf numFmtId="11" fontId="0" fillId="0" borderId="19" xfId="0" applyNumberFormat="1" applyBorder="1">
      <alignment vertical="center"/>
    </xf>
    <xf numFmtId="0" fontId="7" fillId="0" borderId="18" xfId="2" applyFont="1" applyBorder="1"/>
    <xf numFmtId="11" fontId="0" fillId="0" borderId="22" xfId="0" applyNumberFormat="1" applyBorder="1">
      <alignment vertical="center"/>
    </xf>
    <xf numFmtId="9" fontId="0" fillId="0" borderId="0" xfId="0" applyNumberFormat="1">
      <alignment vertical="center"/>
    </xf>
    <xf numFmtId="167" fontId="0" fillId="0" borderId="24" xfId="0" applyNumberFormat="1" applyBorder="1">
      <alignment vertical="center"/>
    </xf>
    <xf numFmtId="11" fontId="0" fillId="0" borderId="24" xfId="0" applyNumberFormat="1" applyBorder="1">
      <alignment vertical="center"/>
    </xf>
    <xf numFmtId="9" fontId="0" fillId="0" borderId="24" xfId="0" applyNumberFormat="1" applyBorder="1">
      <alignment vertical="center"/>
    </xf>
    <xf numFmtId="11" fontId="0" fillId="0" borderId="25" xfId="0" applyNumberFormat="1" applyBorder="1">
      <alignment vertical="center"/>
    </xf>
    <xf numFmtId="2" fontId="0" fillId="0" borderId="0" xfId="0" applyNumberFormat="1">
      <alignment vertical="center"/>
    </xf>
    <xf numFmtId="0" fontId="15" fillId="0" borderId="0" xfId="0" applyFont="1">
      <alignment vertical="center"/>
    </xf>
    <xf numFmtId="0" fontId="0" fillId="0" borderId="10" xfId="0" applyBorder="1">
      <alignment vertical="center"/>
    </xf>
    <xf numFmtId="3" fontId="0" fillId="0" borderId="0" xfId="0" applyNumberFormat="1">
      <alignment vertical="center"/>
    </xf>
    <xf numFmtId="164" fontId="0" fillId="0" borderId="0" xfId="0" applyNumberFormat="1">
      <alignment vertical="center"/>
    </xf>
    <xf numFmtId="0" fontId="0" fillId="0" borderId="0" xfId="0" applyAlignment="1">
      <alignment horizontal="left"/>
    </xf>
    <xf numFmtId="0" fontId="15" fillId="0" borderId="0" xfId="0" applyFont="1" applyAlignment="1">
      <alignment horizontal="left"/>
    </xf>
    <xf numFmtId="0" fontId="15" fillId="0" borderId="42" xfId="0" applyFont="1" applyBorder="1" applyAlignment="1">
      <alignment horizontal="left"/>
    </xf>
    <xf numFmtId="166" fontId="0" fillId="0" borderId="0" xfId="0" applyNumberFormat="1">
      <alignment vertical="center"/>
    </xf>
    <xf numFmtId="9" fontId="0" fillId="0" borderId="0" xfId="0" applyNumberFormat="1" applyAlignment="1">
      <alignment horizontal="left"/>
    </xf>
    <xf numFmtId="0" fontId="7" fillId="0" borderId="0" xfId="2" applyFont="1" applyAlignment="1">
      <alignment horizontal="left"/>
    </xf>
    <xf numFmtId="10" fontId="0" fillId="0" borderId="0" xfId="0" applyNumberFormat="1" applyAlignment="1">
      <alignment horizontal="left"/>
    </xf>
    <xf numFmtId="1" fontId="0" fillId="0" borderId="0" xfId="0" applyNumberFormat="1">
      <alignment vertical="center"/>
    </xf>
    <xf numFmtId="0" fontId="0" fillId="0" borderId="12" xfId="0" applyBorder="1">
      <alignment vertical="center"/>
    </xf>
    <xf numFmtId="2" fontId="7" fillId="0" borderId="0" xfId="2" applyNumberFormat="1" applyFont="1"/>
    <xf numFmtId="0" fontId="29" fillId="0" borderId="0" xfId="0" applyFont="1">
      <alignment vertical="center"/>
    </xf>
    <xf numFmtId="2" fontId="0" fillId="11" borderId="15" xfId="0" applyNumberFormat="1" applyFill="1" applyBorder="1">
      <alignment vertical="center"/>
    </xf>
    <xf numFmtId="2" fontId="0" fillId="11" borderId="17" xfId="0" applyNumberFormat="1" applyFill="1" applyBorder="1">
      <alignment vertical="center"/>
    </xf>
    <xf numFmtId="2" fontId="0" fillId="11" borderId="16" xfId="0" applyNumberFormat="1" applyFill="1" applyBorder="1">
      <alignment vertical="center"/>
    </xf>
    <xf numFmtId="0" fontId="30" fillId="11" borderId="7" xfId="3" applyFont="1" applyFill="1" applyBorder="1"/>
    <xf numFmtId="0" fontId="15" fillId="0" borderId="11" xfId="0" applyFont="1" applyBorder="1" applyAlignment="1">
      <alignment wrapText="1"/>
    </xf>
    <xf numFmtId="0" fontId="15" fillId="0" borderId="4" xfId="0" applyFont="1" applyBorder="1">
      <alignment vertical="center"/>
    </xf>
    <xf numFmtId="2" fontId="0" fillId="0" borderId="4" xfId="0" applyNumberFormat="1" applyBorder="1">
      <alignment vertical="center"/>
    </xf>
    <xf numFmtId="2" fontId="0" fillId="0" borderId="6" xfId="0" applyNumberFormat="1" applyBorder="1">
      <alignment vertical="center"/>
    </xf>
    <xf numFmtId="0" fontId="15" fillId="0" borderId="2" xfId="0" applyFont="1" applyBorder="1" applyAlignment="1">
      <alignment wrapText="1"/>
    </xf>
    <xf numFmtId="2" fontId="0" fillId="0" borderId="3" xfId="0" applyNumberFormat="1" applyBorder="1">
      <alignment vertical="center"/>
    </xf>
    <xf numFmtId="0" fontId="0" fillId="0" borderId="2" xfId="0" applyBorder="1">
      <alignment vertical="center"/>
    </xf>
    <xf numFmtId="0" fontId="15" fillId="0" borderId="2" xfId="0" applyFont="1" applyBorder="1">
      <alignment vertical="center"/>
    </xf>
    <xf numFmtId="0" fontId="0" fillId="0" borderId="3" xfId="0" applyBorder="1">
      <alignment vertical="center"/>
    </xf>
    <xf numFmtId="0" fontId="0" fillId="0" borderId="14" xfId="0" applyBorder="1">
      <alignment vertical="center"/>
    </xf>
    <xf numFmtId="0" fontId="0" fillId="0" borderId="5" xfId="0" applyBorder="1">
      <alignment vertical="center"/>
    </xf>
    <xf numFmtId="2" fontId="0" fillId="0" borderId="5" xfId="0" applyNumberFormat="1" applyBorder="1">
      <alignment vertical="center"/>
    </xf>
    <xf numFmtId="2" fontId="0" fillId="0" borderId="8" xfId="0" applyNumberFormat="1" applyBorder="1">
      <alignment vertical="center"/>
    </xf>
    <xf numFmtId="0" fontId="0" fillId="0" borderId="11" xfId="0" applyBorder="1">
      <alignment vertical="center"/>
    </xf>
    <xf numFmtId="0" fontId="0" fillId="0" borderId="6" xfId="0" applyBorder="1">
      <alignment vertical="center"/>
    </xf>
    <xf numFmtId="0" fontId="0" fillId="0" borderId="14" xfId="0" applyBorder="1" applyAlignment="1">
      <alignment wrapText="1"/>
    </xf>
    <xf numFmtId="0" fontId="0" fillId="0" borderId="3" xfId="0" applyBorder="1" applyAlignment="1">
      <alignment wrapText="1"/>
    </xf>
    <xf numFmtId="0" fontId="0" fillId="0" borderId="2" xfId="0" applyBorder="1" applyAlignment="1">
      <alignment wrapText="1"/>
    </xf>
    <xf numFmtId="164" fontId="0" fillId="0" borderId="7" xfId="0" applyNumberFormat="1" applyBorder="1">
      <alignment vertical="center"/>
    </xf>
    <xf numFmtId="164" fontId="0" fillId="0" borderId="6" xfId="0" applyNumberFormat="1" applyBorder="1">
      <alignment vertical="center"/>
    </xf>
    <xf numFmtId="164" fontId="0" fillId="0" borderId="4" xfId="0" applyNumberFormat="1" applyBorder="1">
      <alignment vertical="center"/>
    </xf>
    <xf numFmtId="164" fontId="0" fillId="0" borderId="1" xfId="0" applyNumberFormat="1" applyBorder="1">
      <alignment vertical="center"/>
    </xf>
    <xf numFmtId="164" fontId="0" fillId="0" borderId="3" xfId="0" applyNumberFormat="1" applyBorder="1">
      <alignment vertical="center"/>
    </xf>
    <xf numFmtId="164" fontId="0" fillId="0" borderId="9" xfId="0" applyNumberFormat="1" applyBorder="1">
      <alignment vertical="center"/>
    </xf>
    <xf numFmtId="164" fontId="0" fillId="0" borderId="8" xfId="0" applyNumberFormat="1" applyBorder="1">
      <alignment vertical="center"/>
    </xf>
    <xf numFmtId="164" fontId="0" fillId="0" borderId="5" xfId="0" applyNumberFormat="1" applyBorder="1">
      <alignment vertical="center"/>
    </xf>
    <xf numFmtId="0" fontId="0" fillId="0" borderId="8" xfId="0" applyBorder="1">
      <alignment vertical="center"/>
    </xf>
    <xf numFmtId="165" fontId="0" fillId="0" borderId="0" xfId="0" applyNumberFormat="1">
      <alignment vertical="center"/>
    </xf>
    <xf numFmtId="0" fontId="0" fillId="0" borderId="15" xfId="0" applyBorder="1" applyAlignment="1">
      <alignment wrapText="1"/>
    </xf>
    <xf numFmtId="0" fontId="0" fillId="0" borderId="17" xfId="0" applyBorder="1" applyAlignment="1">
      <alignment wrapText="1"/>
    </xf>
    <xf numFmtId="0" fontId="0" fillId="0" borderId="11" xfId="0" applyBorder="1" applyAlignment="1">
      <alignment horizontal="center"/>
    </xf>
    <xf numFmtId="0" fontId="0" fillId="0" borderId="4" xfId="0" applyBorder="1" applyAlignment="1">
      <alignment horizontal="center"/>
    </xf>
    <xf numFmtId="0" fontId="0" fillId="0" borderId="10" xfId="0" applyBorder="1" applyAlignment="1">
      <alignment horizontal="center"/>
    </xf>
    <xf numFmtId="0" fontId="0" fillId="0" borderId="10" xfId="0" applyBorder="1" applyAlignment="1">
      <alignment horizontal="center" wrapText="1"/>
    </xf>
    <xf numFmtId="164" fontId="0" fillId="0" borderId="4" xfId="0" applyNumberFormat="1" applyBorder="1" applyAlignment="1">
      <alignment horizontal="center"/>
    </xf>
    <xf numFmtId="0" fontId="0" fillId="0" borderId="5" xfId="0" applyBorder="1" applyAlignment="1">
      <alignment wrapText="1"/>
    </xf>
    <xf numFmtId="0" fontId="0" fillId="0" borderId="8" xfId="0" applyBorder="1" applyAlignment="1">
      <alignment wrapText="1"/>
    </xf>
    <xf numFmtId="164" fontId="0" fillId="0" borderId="5" xfId="0" applyNumberFormat="1" applyBorder="1" applyAlignment="1">
      <alignment horizontal="center"/>
    </xf>
    <xf numFmtId="0" fontId="0" fillId="3" borderId="10" xfId="0" applyFill="1" applyBorder="1">
      <alignment vertical="center"/>
    </xf>
    <xf numFmtId="164" fontId="0" fillId="0" borderId="10" xfId="0" applyNumberFormat="1" applyBorder="1">
      <alignment vertical="center"/>
    </xf>
    <xf numFmtId="166" fontId="0" fillId="0" borderId="0" xfId="1" applyNumberFormat="1" applyFont="1"/>
    <xf numFmtId="164" fontId="0" fillId="0" borderId="15" xfId="0" applyNumberFormat="1" applyBorder="1">
      <alignment vertical="center"/>
    </xf>
    <xf numFmtId="0" fontId="0" fillId="0" borderId="10" xfId="1" applyNumberFormat="1" applyFont="1" applyBorder="1"/>
    <xf numFmtId="166" fontId="0" fillId="0" borderId="10" xfId="1" applyNumberFormat="1" applyFont="1" applyBorder="1"/>
    <xf numFmtId="0" fontId="0" fillId="0" borderId="10" xfId="0" applyBorder="1" applyAlignment="1">
      <alignment wrapText="1"/>
    </xf>
    <xf numFmtId="0" fontId="0" fillId="0" borderId="1" xfId="0" applyBorder="1">
      <alignment vertical="center"/>
    </xf>
    <xf numFmtId="2" fontId="0" fillId="9" borderId="0" xfId="0" applyNumberFormat="1" applyFill="1">
      <alignment vertical="center"/>
    </xf>
    <xf numFmtId="1" fontId="0" fillId="0" borderId="1" xfId="0" applyNumberFormat="1" applyBorder="1">
      <alignment vertical="center"/>
    </xf>
    <xf numFmtId="9" fontId="0" fillId="0" borderId="6" xfId="0" applyNumberFormat="1" applyBorder="1">
      <alignment vertical="center"/>
    </xf>
    <xf numFmtId="9" fontId="0" fillId="0" borderId="8" xfId="0" applyNumberFormat="1" applyBorder="1">
      <alignment vertical="center"/>
    </xf>
    <xf numFmtId="9" fontId="0" fillId="0" borderId="8" xfId="1" applyFont="1" applyBorder="1"/>
    <xf numFmtId="1" fontId="0" fillId="0" borderId="9" xfId="0" applyNumberFormat="1" applyBorder="1">
      <alignment vertical="center"/>
    </xf>
    <xf numFmtId="2" fontId="0" fillId="9" borderId="3" xfId="0" applyNumberFormat="1" applyFill="1" applyBorder="1">
      <alignment vertical="center"/>
    </xf>
    <xf numFmtId="0" fontId="0" fillId="9" borderId="2" xfId="0" applyFill="1" applyBorder="1">
      <alignment vertical="center"/>
    </xf>
    <xf numFmtId="10" fontId="0" fillId="0" borderId="3" xfId="1" applyNumberFormat="1" applyFont="1" applyBorder="1"/>
    <xf numFmtId="10" fontId="0" fillId="0" borderId="8" xfId="1" applyNumberFormat="1" applyFont="1" applyBorder="1"/>
    <xf numFmtId="166" fontId="0" fillId="0" borderId="4" xfId="1" applyNumberFormat="1" applyFont="1" applyBorder="1"/>
    <xf numFmtId="0" fontId="0" fillId="8" borderId="39" xfId="0" applyFill="1" applyBorder="1">
      <alignment vertical="center"/>
    </xf>
    <xf numFmtId="0" fontId="0" fillId="8" borderId="28" xfId="0" applyFill="1" applyBorder="1">
      <alignment vertical="center"/>
    </xf>
    <xf numFmtId="0" fontId="0" fillId="8" borderId="38" xfId="0" applyFill="1" applyBorder="1">
      <alignment vertical="center"/>
    </xf>
    <xf numFmtId="0" fontId="0" fillId="0" borderId="30" xfId="0" applyBorder="1">
      <alignment vertical="center"/>
    </xf>
    <xf numFmtId="0" fontId="0" fillId="0" borderId="31" xfId="0" applyBorder="1">
      <alignment vertical="center"/>
    </xf>
    <xf numFmtId="0" fontId="0" fillId="4" borderId="0" xfId="0" applyFill="1" applyAlignment="1">
      <alignment vertical="top"/>
    </xf>
    <xf numFmtId="0" fontId="0" fillId="4" borderId="0" xfId="0" applyFill="1" applyAlignment="1">
      <alignment vertical="top" wrapText="1"/>
    </xf>
    <xf numFmtId="0" fontId="24" fillId="4" borderId="0" xfId="5" applyFill="1" applyAlignment="1">
      <alignment vertical="top"/>
    </xf>
    <xf numFmtId="0" fontId="0" fillId="4" borderId="0" xfId="0" applyFill="1">
      <alignment vertical="center"/>
    </xf>
    <xf numFmtId="9" fontId="0" fillId="4" borderId="0" xfId="0" applyNumberFormat="1" applyFill="1" applyAlignment="1">
      <alignment wrapText="1"/>
    </xf>
    <xf numFmtId="9" fontId="0" fillId="0" borderId="0" xfId="0" applyNumberFormat="1" applyAlignment="1">
      <alignment vertical="center" wrapText="1"/>
    </xf>
    <xf numFmtId="3" fontId="0" fillId="0" borderId="16" xfId="0" applyNumberFormat="1" applyBorder="1">
      <alignment vertical="center"/>
    </xf>
    <xf numFmtId="4" fontId="0" fillId="0" borderId="16" xfId="0" applyNumberFormat="1" applyBorder="1">
      <alignment vertical="center"/>
    </xf>
    <xf numFmtId="4" fontId="0" fillId="0" borderId="15" xfId="0" applyNumberFormat="1" applyBorder="1">
      <alignment vertical="center"/>
    </xf>
    <xf numFmtId="0" fontId="0" fillId="0" borderId="15" xfId="0" applyBorder="1">
      <alignment vertical="center"/>
    </xf>
    <xf numFmtId="9" fontId="9" fillId="0" borderId="16" xfId="1" applyFont="1" applyBorder="1" applyAlignment="1">
      <alignment vertical="center"/>
    </xf>
    <xf numFmtId="0" fontId="8" fillId="9" borderId="17" xfId="0" applyFont="1" applyFill="1" applyBorder="1" applyAlignment="1">
      <alignment vertical="center" wrapText="1"/>
    </xf>
    <xf numFmtId="0" fontId="9" fillId="0" borderId="17" xfId="0" applyFont="1" applyBorder="1">
      <alignment vertical="center"/>
    </xf>
    <xf numFmtId="0" fontId="0" fillId="0" borderId="17" xfId="0" applyBorder="1">
      <alignment vertical="center"/>
    </xf>
    <xf numFmtId="0" fontId="9" fillId="0" borderId="5" xfId="0" applyFont="1" applyBorder="1">
      <alignment vertical="center"/>
    </xf>
    <xf numFmtId="0" fontId="9" fillId="0" borderId="5" xfId="0" applyFont="1" applyBorder="1" applyAlignment="1">
      <alignment vertical="center" wrapText="1"/>
    </xf>
    <xf numFmtId="9" fontId="9" fillId="0" borderId="5" xfId="1" applyFont="1" applyBorder="1" applyAlignment="1">
      <alignment vertical="center"/>
    </xf>
    <xf numFmtId="4" fontId="9" fillId="0" borderId="5" xfId="0" applyNumberFormat="1" applyFont="1" applyBorder="1">
      <alignment vertical="center"/>
    </xf>
    <xf numFmtId="4" fontId="9" fillId="0" borderId="14" xfId="0" applyNumberFormat="1" applyFont="1" applyBorder="1">
      <alignment vertical="center"/>
    </xf>
    <xf numFmtId="0" fontId="9" fillId="0" borderId="14" xfId="0" applyFont="1" applyBorder="1">
      <alignment vertical="center"/>
    </xf>
    <xf numFmtId="0" fontId="9" fillId="0" borderId="8" xfId="0" applyFont="1" applyBorder="1">
      <alignment vertical="center"/>
    </xf>
    <xf numFmtId="3" fontId="13" fillId="0" borderId="0" xfId="0" applyNumberFormat="1" applyFont="1" applyAlignment="1">
      <alignment vertical="center" wrapText="1"/>
    </xf>
    <xf numFmtId="0" fontId="0" fillId="0" borderId="4" xfId="0" applyBorder="1" applyAlignment="1">
      <alignment wrapText="1"/>
    </xf>
    <xf numFmtId="0" fontId="0" fillId="0" borderId="7" xfId="0" applyBorder="1">
      <alignment vertical="center"/>
    </xf>
    <xf numFmtId="0" fontId="0" fillId="0" borderId="9" xfId="0" applyBorder="1">
      <alignment vertical="center"/>
    </xf>
    <xf numFmtId="3" fontId="8" fillId="0" borderId="10" xfId="0" applyNumberFormat="1" applyFont="1" applyBorder="1" applyAlignment="1">
      <alignment wrapText="1"/>
    </xf>
    <xf numFmtId="4" fontId="0" fillId="0" borderId="15" xfId="0" applyNumberFormat="1" applyBorder="1" applyAlignment="1">
      <alignment horizontal="right" vertical="center"/>
    </xf>
    <xf numFmtId="4" fontId="0" fillId="0" borderId="16" xfId="0" applyNumberFormat="1" applyBorder="1" applyAlignment="1">
      <alignment horizontal="right" vertical="center"/>
    </xf>
    <xf numFmtId="3" fontId="0" fillId="0" borderId="16" xfId="0" applyNumberFormat="1" applyBorder="1" applyAlignment="1">
      <alignment horizontal="right" vertical="center"/>
    </xf>
    <xf numFmtId="9" fontId="0" fillId="0" borderId="0" xfId="1" applyFont="1" applyAlignment="1">
      <alignment vertical="center"/>
    </xf>
    <xf numFmtId="0" fontId="0" fillId="0" borderId="0" xfId="0" applyAlignment="1"/>
    <xf numFmtId="166" fontId="0" fillId="9" borderId="0" xfId="1" applyNumberFormat="1" applyFont="1" applyFill="1"/>
    <xf numFmtId="0" fontId="0" fillId="9" borderId="0" xfId="0" applyFill="1">
      <alignment vertical="center"/>
    </xf>
    <xf numFmtId="0" fontId="13" fillId="0" borderId="4" xfId="0" applyFont="1" applyBorder="1" applyAlignment="1">
      <alignment vertical="center" wrapText="1"/>
    </xf>
    <xf numFmtId="0" fontId="13" fillId="0" borderId="5" xfId="0" applyFont="1" applyBorder="1" applyAlignment="1">
      <alignment vertical="center" wrapText="1"/>
    </xf>
    <xf numFmtId="4" fontId="9" fillId="0" borderId="14" xfId="0" applyNumberFormat="1" applyFont="1" applyBorder="1" applyAlignment="1">
      <alignment vertical="center" wrapText="1"/>
    </xf>
    <xf numFmtId="4" fontId="9" fillId="0" borderId="9" xfId="0" applyNumberFormat="1" applyFont="1" applyBorder="1" applyAlignment="1">
      <alignment vertical="center" wrapText="1"/>
    </xf>
    <xf numFmtId="0" fontId="8" fillId="9" borderId="15" xfId="0" applyFont="1" applyFill="1" applyBorder="1">
      <alignment vertical="center"/>
    </xf>
    <xf numFmtId="3" fontId="9" fillId="0" borderId="14" xfId="0" applyNumberFormat="1" applyFont="1" applyBorder="1" applyAlignment="1">
      <alignment horizontal="right" vertical="center"/>
    </xf>
    <xf numFmtId="3" fontId="9" fillId="0" borderId="5" xfId="0" applyNumberFormat="1" applyFont="1" applyBorder="1" applyAlignment="1">
      <alignment horizontal="right" vertical="center"/>
    </xf>
    <xf numFmtId="4" fontId="9" fillId="0" borderId="15" xfId="0" applyNumberFormat="1" applyFont="1" applyBorder="1" applyAlignment="1">
      <alignment horizontal="right" vertical="center"/>
    </xf>
    <xf numFmtId="4" fontId="9" fillId="0" borderId="16" xfId="0" applyNumberFormat="1" applyFont="1" applyBorder="1" applyAlignment="1">
      <alignment horizontal="right" vertical="center"/>
    </xf>
    <xf numFmtId="4" fontId="9" fillId="0" borderId="14" xfId="0" applyNumberFormat="1" applyFont="1" applyBorder="1" applyAlignment="1">
      <alignment horizontal="right" vertical="center"/>
    </xf>
    <xf numFmtId="4" fontId="9" fillId="0" borderId="5" xfId="0" applyNumberFormat="1" applyFont="1" applyBorder="1" applyAlignment="1">
      <alignment horizontal="right" vertical="center"/>
    </xf>
    <xf numFmtId="3" fontId="9" fillId="0" borderId="15" xfId="0" applyNumberFormat="1" applyFont="1" applyBorder="1" applyAlignment="1">
      <alignment horizontal="right" vertical="center"/>
    </xf>
    <xf numFmtId="3" fontId="9" fillId="0" borderId="16" xfId="0" applyNumberFormat="1" applyFont="1" applyBorder="1" applyAlignment="1">
      <alignment horizontal="right" vertical="center"/>
    </xf>
    <xf numFmtId="168" fontId="9" fillId="0" borderId="15" xfId="0" applyNumberFormat="1" applyFont="1" applyBorder="1" applyAlignment="1">
      <alignment horizontal="right" vertical="center"/>
    </xf>
    <xf numFmtId="168" fontId="9" fillId="0" borderId="16" xfId="0" applyNumberFormat="1" applyFont="1" applyBorder="1" applyAlignment="1">
      <alignment horizontal="right" vertical="center"/>
    </xf>
    <xf numFmtId="3" fontId="0" fillId="0" borderId="15" xfId="0" applyNumberFormat="1" applyBorder="1" applyAlignment="1">
      <alignment horizontal="right" vertical="center"/>
    </xf>
    <xf numFmtId="168" fontId="0" fillId="0" borderId="15" xfId="0" applyNumberFormat="1" applyBorder="1" applyAlignment="1">
      <alignment horizontal="right" vertical="center"/>
    </xf>
    <xf numFmtId="168" fontId="0" fillId="0" borderId="16" xfId="0" applyNumberFormat="1" applyBorder="1" applyAlignment="1">
      <alignment horizontal="right" vertical="center"/>
    </xf>
    <xf numFmtId="3" fontId="0" fillId="0" borderId="1" xfId="0" applyNumberFormat="1" applyBorder="1" applyAlignment="1">
      <alignment wrapText="1"/>
    </xf>
    <xf numFmtId="3" fontId="0" fillId="0" borderId="3" xfId="0" applyNumberFormat="1" applyBorder="1" applyAlignment="1">
      <alignment wrapText="1"/>
    </xf>
    <xf numFmtId="4" fontId="0" fillId="0" borderId="0" xfId="0" applyNumberFormat="1">
      <alignment vertical="center"/>
    </xf>
    <xf numFmtId="4" fontId="13" fillId="0" borderId="4" xfId="0" applyNumberFormat="1" applyFont="1" applyBorder="1">
      <alignment vertical="center"/>
    </xf>
    <xf numFmtId="4" fontId="13" fillId="0" borderId="5" xfId="0" applyNumberFormat="1" applyFont="1" applyBorder="1">
      <alignment vertical="center"/>
    </xf>
    <xf numFmtId="4" fontId="9" fillId="0" borderId="0" xfId="0" applyNumberFormat="1" applyFont="1">
      <alignment vertical="center"/>
    </xf>
    <xf numFmtId="3" fontId="9" fillId="0" borderId="0" xfId="0" applyNumberFormat="1" applyFont="1">
      <alignment vertical="center"/>
    </xf>
    <xf numFmtId="4" fontId="9" fillId="0" borderId="2" xfId="0" applyNumberFormat="1" applyFont="1" applyBorder="1">
      <alignment vertical="center"/>
    </xf>
    <xf numFmtId="3" fontId="9" fillId="0" borderId="2" xfId="0" applyNumberFormat="1" applyFont="1" applyBorder="1">
      <alignment vertical="center"/>
    </xf>
    <xf numFmtId="168" fontId="9" fillId="0" borderId="0" xfId="0" applyNumberFormat="1" applyFont="1">
      <alignment vertical="center"/>
    </xf>
    <xf numFmtId="168" fontId="0" fillId="0" borderId="0" xfId="0" applyNumberFormat="1">
      <alignment vertical="center"/>
    </xf>
    <xf numFmtId="168" fontId="9" fillId="0" borderId="2" xfId="0" applyNumberFormat="1" applyFont="1" applyBorder="1">
      <alignment vertical="center"/>
    </xf>
    <xf numFmtId="3" fontId="0" fillId="0" borderId="2" xfId="0" applyNumberFormat="1" applyBorder="1">
      <alignment vertical="center"/>
    </xf>
    <xf numFmtId="164" fontId="2" fillId="0" borderId="22" xfId="36" applyNumberFormat="1" applyBorder="1"/>
    <xf numFmtId="0" fontId="0" fillId="0" borderId="60" xfId="0" applyBorder="1" applyAlignment="1">
      <alignment horizontal="center"/>
    </xf>
    <xf numFmtId="0" fontId="2" fillId="0" borderId="0" xfId="36"/>
    <xf numFmtId="0" fontId="65" fillId="4" borderId="0" xfId="0" applyFont="1" applyFill="1" applyAlignment="1">
      <alignment vertical="center" wrapText="1"/>
    </xf>
    <xf numFmtId="164" fontId="0" fillId="0" borderId="2" xfId="0" applyNumberFormat="1" applyBorder="1" applyAlignment="1">
      <alignment horizontal="center"/>
    </xf>
    <xf numFmtId="164" fontId="0" fillId="0" borderId="14" xfId="0" applyNumberFormat="1" applyBorder="1" applyAlignment="1">
      <alignment horizontal="center"/>
    </xf>
    <xf numFmtId="164" fontId="0" fillId="0" borderId="2" xfId="0" applyNumberFormat="1" applyBorder="1">
      <alignment vertical="center"/>
    </xf>
    <xf numFmtId="0" fontId="0" fillId="0" borderId="61" xfId="0" applyBorder="1">
      <alignment vertical="center"/>
    </xf>
    <xf numFmtId="164" fontId="0" fillId="0" borderId="11" xfId="0" applyNumberFormat="1" applyBorder="1" applyAlignment="1">
      <alignment horizontal="center"/>
    </xf>
    <xf numFmtId="164" fontId="2" fillId="0" borderId="0" xfId="36" applyNumberFormat="1"/>
    <xf numFmtId="0" fontId="0" fillId="0" borderId="16" xfId="0" applyBorder="1" applyAlignment="1">
      <alignment horizontal="center" vertical="center"/>
    </xf>
    <xf numFmtId="0" fontId="0" fillId="0" borderId="59" xfId="0" applyBorder="1">
      <alignment vertical="center"/>
    </xf>
    <xf numFmtId="164" fontId="2" fillId="0" borderId="62" xfId="36" applyNumberFormat="1" applyBorder="1"/>
    <xf numFmtId="164" fontId="0" fillId="0" borderId="0" xfId="0" applyNumberFormat="1" applyAlignment="1">
      <alignment horizontal="center"/>
    </xf>
    <xf numFmtId="164" fontId="2" fillId="0" borderId="5" xfId="36" applyNumberFormat="1" applyBorder="1"/>
    <xf numFmtId="0" fontId="2" fillId="0" borderId="14" xfId="36" applyBorder="1"/>
    <xf numFmtId="0" fontId="2" fillId="0" borderId="2" xfId="36" applyBorder="1"/>
    <xf numFmtId="0" fontId="2" fillId="0" borderId="5" xfId="36" applyBorder="1"/>
    <xf numFmtId="0" fontId="8" fillId="9" borderId="10" xfId="0" applyFont="1" applyFill="1" applyBorder="1" applyAlignment="1">
      <alignment horizontal="right" vertical="center" wrapText="1"/>
    </xf>
    <xf numFmtId="3" fontId="8" fillId="9" borderId="6" xfId="0" applyNumberFormat="1" applyFont="1" applyFill="1" applyBorder="1" applyAlignment="1">
      <alignment horizontal="right" vertical="center"/>
    </xf>
    <xf numFmtId="3" fontId="8" fillId="9" borderId="10" xfId="0" applyNumberFormat="1" applyFont="1" applyFill="1" applyBorder="1" applyAlignment="1">
      <alignment horizontal="right" vertical="center"/>
    </xf>
    <xf numFmtId="4" fontId="0" fillId="0" borderId="0" xfId="0" applyNumberFormat="1" applyAlignment="1">
      <alignment vertical="center" wrapText="1"/>
    </xf>
    <xf numFmtId="4" fontId="8" fillId="9" borderId="10" xfId="0" applyNumberFormat="1" applyFont="1" applyFill="1" applyBorder="1" applyAlignment="1">
      <alignment horizontal="right" vertical="center" wrapText="1"/>
    </xf>
    <xf numFmtId="4" fontId="8" fillId="9" borderId="10" xfId="0" applyNumberFormat="1" applyFont="1" applyFill="1" applyBorder="1" applyAlignment="1">
      <alignment horizontal="right" vertical="center"/>
    </xf>
    <xf numFmtId="4" fontId="8" fillId="9" borderId="6" xfId="0" applyNumberFormat="1" applyFont="1" applyFill="1" applyBorder="1" applyAlignment="1">
      <alignment horizontal="right" vertical="center"/>
    </xf>
    <xf numFmtId="0" fontId="9" fillId="0" borderId="0" xfId="0" applyFont="1" applyAlignment="1" applyProtection="1">
      <alignment vertical="top" wrapText="1"/>
      <protection hidden="1"/>
    </xf>
    <xf numFmtId="0" fontId="9" fillId="0" borderId="0" xfId="0" applyFont="1" applyAlignment="1" applyProtection="1">
      <alignment vertical="top"/>
      <protection hidden="1"/>
    </xf>
    <xf numFmtId="164" fontId="9" fillId="0" borderId="0" xfId="0" applyNumberFormat="1" applyFont="1" applyAlignment="1" applyProtection="1">
      <alignment vertical="top"/>
      <protection hidden="1"/>
    </xf>
    <xf numFmtId="0" fontId="0" fillId="4" borderId="0" xfId="0" applyFill="1" applyAlignment="1">
      <alignment horizontal="left" vertical="center"/>
    </xf>
    <xf numFmtId="0" fontId="16" fillId="4" borderId="0" xfId="0" applyFont="1" applyFill="1">
      <alignment vertical="center"/>
    </xf>
    <xf numFmtId="0" fontId="67" fillId="4" borderId="0" xfId="0" applyFont="1" applyFill="1" applyAlignment="1">
      <alignment vertical="center" wrapText="1"/>
    </xf>
    <xf numFmtId="0" fontId="16" fillId="56" borderId="0" xfId="0" applyFont="1" applyFill="1">
      <alignment vertical="center"/>
    </xf>
    <xf numFmtId="0" fontId="16" fillId="4" borderId="0" xfId="0" applyFont="1" applyFill="1" applyAlignment="1">
      <alignment vertical="top" wrapText="1"/>
    </xf>
    <xf numFmtId="0" fontId="16" fillId="4" borderId="0" xfId="0" applyFont="1" applyFill="1" applyAlignment="1">
      <alignment vertical="center" wrapText="1"/>
    </xf>
    <xf numFmtId="0" fontId="9" fillId="0" borderId="64" xfId="0" applyFont="1" applyBorder="1">
      <alignment vertical="center"/>
    </xf>
    <xf numFmtId="4" fontId="9" fillId="0" borderId="65" xfId="0" applyNumberFormat="1" applyFont="1" applyBorder="1" applyAlignment="1">
      <alignment vertical="center" wrapText="1"/>
    </xf>
    <xf numFmtId="0" fontId="0" fillId="4" borderId="0" xfId="0" applyFill="1" applyAlignment="1"/>
    <xf numFmtId="0" fontId="0" fillId="56" borderId="0" xfId="0" applyFill="1" applyAlignment="1"/>
    <xf numFmtId="0" fontId="68" fillId="4" borderId="0" xfId="0" applyFont="1" applyFill="1">
      <alignment vertical="center"/>
    </xf>
    <xf numFmtId="0" fontId="71" fillId="57" borderId="5" xfId="0" applyFont="1" applyFill="1" applyBorder="1" applyAlignment="1"/>
    <xf numFmtId="0" fontId="0" fillId="0" borderId="16" xfId="0" applyBorder="1" applyAlignment="1">
      <alignment vertical="top"/>
    </xf>
    <xf numFmtId="0" fontId="9" fillId="0" borderId="16" xfId="0" applyFont="1" applyBorder="1" applyAlignment="1" applyProtection="1">
      <alignment vertical="top"/>
      <protection hidden="1"/>
    </xf>
    <xf numFmtId="14" fontId="9" fillId="0" borderId="16" xfId="0" applyNumberFormat="1" applyFont="1" applyBorder="1" applyAlignment="1" applyProtection="1">
      <alignment vertical="top"/>
      <protection hidden="1"/>
    </xf>
    <xf numFmtId="0" fontId="17" fillId="0" borderId="16" xfId="0" applyFont="1" applyBorder="1" applyAlignment="1" applyProtection="1">
      <alignment vertical="top"/>
      <protection hidden="1"/>
    </xf>
    <xf numFmtId="0" fontId="0" fillId="0" borderId="16" xfId="0" applyBorder="1" applyAlignment="1" applyProtection="1">
      <alignment vertical="top"/>
      <protection hidden="1"/>
    </xf>
    <xf numFmtId="11" fontId="0" fillId="0" borderId="16" xfId="0" applyNumberFormat="1" applyBorder="1" applyAlignment="1" applyProtection="1">
      <alignment horizontal="right" vertical="top"/>
      <protection hidden="1"/>
    </xf>
    <xf numFmtId="11" fontId="0" fillId="0" borderId="16" xfId="0" applyNumberFormat="1" applyBorder="1" applyAlignment="1">
      <alignment horizontal="right" vertical="top"/>
    </xf>
    <xf numFmtId="11" fontId="8" fillId="0" borderId="16" xfId="0" applyNumberFormat="1" applyFont="1" applyBorder="1" applyAlignment="1">
      <alignment horizontal="right" vertical="top"/>
    </xf>
    <xf numFmtId="15" fontId="0" fillId="0" borderId="16" xfId="0" applyNumberFormat="1" applyBorder="1" applyAlignment="1">
      <alignment vertical="top"/>
    </xf>
    <xf numFmtId="0" fontId="18" fillId="0" borderId="16" xfId="2" applyFill="1" applyBorder="1" applyAlignment="1" applyProtection="1">
      <alignment vertical="top"/>
      <protection hidden="1"/>
    </xf>
    <xf numFmtId="0" fontId="16" fillId="0" borderId="16" xfId="0" applyFont="1" applyBorder="1" applyAlignment="1">
      <alignment vertical="top"/>
    </xf>
    <xf numFmtId="11" fontId="16" fillId="0" borderId="16" xfId="0" applyNumberFormat="1" applyFont="1" applyBorder="1" applyAlignment="1">
      <alignment horizontal="right" vertical="top"/>
    </xf>
    <xf numFmtId="11" fontId="0" fillId="0" borderId="16" xfId="0" applyNumberFormat="1" applyBorder="1" applyAlignment="1">
      <alignment horizontal="left" vertical="top"/>
    </xf>
    <xf numFmtId="0" fontId="71" fillId="57" borderId="64" xfId="0" applyFont="1" applyFill="1" applyBorder="1" applyAlignment="1"/>
    <xf numFmtId="0" fontId="9" fillId="0" borderId="4" xfId="0" applyFont="1" applyBorder="1" applyAlignment="1" applyProtection="1">
      <alignment vertical="top"/>
      <protection hidden="1"/>
    </xf>
    <xf numFmtId="0" fontId="17" fillId="0" borderId="4" xfId="0" applyFont="1" applyBorder="1" applyAlignment="1" applyProtection="1">
      <alignment vertical="top"/>
      <protection hidden="1"/>
    </xf>
    <xf numFmtId="0" fontId="0" fillId="0" borderId="4" xfId="0" applyBorder="1" applyAlignment="1" applyProtection="1">
      <alignment vertical="top"/>
      <protection hidden="1"/>
    </xf>
    <xf numFmtId="11" fontId="0" fillId="0" borderId="4" xfId="0" applyNumberFormat="1" applyBorder="1" applyAlignment="1" applyProtection="1">
      <alignment horizontal="right" vertical="top"/>
      <protection hidden="1"/>
    </xf>
    <xf numFmtId="11" fontId="0" fillId="0" borderId="4" xfId="0" applyNumberFormat="1" applyBorder="1" applyAlignment="1">
      <alignment horizontal="right" vertical="top"/>
    </xf>
    <xf numFmtId="11" fontId="8" fillId="0" borderId="4" xfId="0" applyNumberFormat="1" applyFont="1" applyBorder="1" applyAlignment="1">
      <alignment horizontal="right" vertical="top"/>
    </xf>
    <xf numFmtId="0" fontId="0" fillId="0" borderId="5" xfId="0" applyBorder="1" applyAlignment="1">
      <alignment vertical="top" wrapText="1"/>
    </xf>
    <xf numFmtId="0" fontId="9" fillId="0" borderId="5" xfId="0" applyFont="1" applyBorder="1" applyAlignment="1" applyProtection="1">
      <alignment vertical="top" wrapText="1"/>
      <protection hidden="1"/>
    </xf>
    <xf numFmtId="0" fontId="17" fillId="0" borderId="5" xfId="0" applyFont="1" applyBorder="1" applyAlignment="1" applyProtection="1">
      <alignment vertical="top" wrapText="1"/>
      <protection hidden="1"/>
    </xf>
    <xf numFmtId="0" fontId="0" fillId="0" borderId="5" xfId="0" applyBorder="1" applyAlignment="1" applyProtection="1">
      <alignment vertical="top" wrapText="1"/>
      <protection hidden="1"/>
    </xf>
    <xf numFmtId="11" fontId="0" fillId="0" borderId="5" xfId="0" applyNumberFormat="1" applyBorder="1" applyAlignment="1" applyProtection="1">
      <alignment horizontal="right" vertical="top" wrapText="1"/>
      <protection hidden="1"/>
    </xf>
    <xf numFmtId="11" fontId="0" fillId="0" borderId="5" xfId="0" applyNumberFormat="1" applyBorder="1" applyAlignment="1">
      <alignment horizontal="right" vertical="top" wrapText="1"/>
    </xf>
    <xf numFmtId="11" fontId="8" fillId="0" borderId="5" xfId="0" applyNumberFormat="1" applyFont="1" applyBorder="1" applyAlignment="1">
      <alignment horizontal="right" vertical="top" wrapText="1"/>
    </xf>
    <xf numFmtId="11" fontId="8" fillId="0" borderId="8" xfId="0" applyNumberFormat="1" applyFont="1" applyBorder="1" applyAlignment="1">
      <alignment horizontal="right" vertical="top" wrapText="1"/>
    </xf>
    <xf numFmtId="164" fontId="16" fillId="4" borderId="0" xfId="0" applyNumberFormat="1" applyFont="1" applyFill="1" applyAlignment="1">
      <alignment vertical="top" wrapText="1"/>
    </xf>
    <xf numFmtId="0" fontId="73" fillId="4" borderId="0" xfId="0" applyFont="1" applyFill="1" applyAlignment="1">
      <alignment vertical="top" wrapText="1"/>
    </xf>
    <xf numFmtId="0" fontId="0" fillId="4" borderId="0" xfId="0" applyFill="1" applyAlignment="1">
      <alignment horizontal="left" vertical="top" wrapText="1"/>
    </xf>
    <xf numFmtId="0" fontId="74" fillId="0" borderId="0" xfId="0" applyFont="1" applyAlignment="1">
      <alignment vertical="center" wrapText="1"/>
    </xf>
    <xf numFmtId="0" fontId="0" fillId="0" borderId="0" xfId="0" applyAlignment="1">
      <alignment horizontal="left" vertical="top" wrapText="1"/>
    </xf>
    <xf numFmtId="0" fontId="76" fillId="0" borderId="0" xfId="0" applyFont="1" applyAlignment="1">
      <alignment vertical="center" wrapText="1"/>
    </xf>
    <xf numFmtId="0" fontId="77" fillId="0" borderId="67" xfId="0" applyFont="1" applyBorder="1">
      <alignment vertical="center"/>
    </xf>
    <xf numFmtId="0" fontId="77" fillId="0" borderId="66" xfId="0" applyFont="1" applyBorder="1">
      <alignment vertical="center"/>
    </xf>
    <xf numFmtId="0" fontId="77" fillId="0" borderId="68" xfId="0" applyFont="1" applyBorder="1">
      <alignment vertical="center"/>
    </xf>
    <xf numFmtId="0" fontId="8" fillId="0" borderId="9" xfId="0" applyFont="1" applyBorder="1" applyAlignment="1">
      <alignment wrapText="1"/>
    </xf>
    <xf numFmtId="0" fontId="22" fillId="3" borderId="8" xfId="3" applyFont="1" applyFill="1" applyBorder="1"/>
    <xf numFmtId="0" fontId="16" fillId="0" borderId="9" xfId="0" applyFont="1" applyBorder="1">
      <alignment vertical="center"/>
    </xf>
    <xf numFmtId="0" fontId="78" fillId="0" borderId="9" xfId="0" applyFont="1" applyBorder="1">
      <alignment vertical="center"/>
    </xf>
    <xf numFmtId="0" fontId="78" fillId="0" borderId="8" xfId="0" applyFont="1" applyBorder="1">
      <alignment vertical="center"/>
    </xf>
    <xf numFmtId="0" fontId="66" fillId="4" borderId="0" xfId="0" applyFont="1" applyFill="1" applyAlignment="1">
      <alignment vertical="center" wrapText="1"/>
    </xf>
    <xf numFmtId="0" fontId="69" fillId="4" borderId="0" xfId="0" applyFont="1" applyFill="1" applyAlignment="1">
      <alignment vertical="top"/>
    </xf>
    <xf numFmtId="0" fontId="18" fillId="0" borderId="0" xfId="2" applyAlignment="1">
      <alignment vertical="center"/>
    </xf>
    <xf numFmtId="0" fontId="9" fillId="0" borderId="65" xfId="0" applyFont="1" applyBorder="1" applyAlignment="1">
      <alignment horizontal="right" vertical="center"/>
    </xf>
    <xf numFmtId="0" fontId="9" fillId="0" borderId="71" xfId="0" applyFont="1" applyBorder="1">
      <alignment vertical="center"/>
    </xf>
    <xf numFmtId="0" fontId="9" fillId="0" borderId="72" xfId="0" applyFont="1" applyBorder="1" applyAlignment="1">
      <alignment horizontal="right" vertical="center"/>
    </xf>
    <xf numFmtId="0" fontId="9" fillId="0" borderId="73" xfId="0" applyFont="1" applyBorder="1">
      <alignment vertical="center"/>
    </xf>
    <xf numFmtId="0" fontId="78" fillId="60" borderId="9" xfId="0" applyFont="1" applyFill="1" applyBorder="1">
      <alignment vertical="center"/>
    </xf>
    <xf numFmtId="0" fontId="78" fillId="60" borderId="8" xfId="0" applyFont="1" applyFill="1" applyBorder="1">
      <alignment vertical="center"/>
    </xf>
    <xf numFmtId="0" fontId="0" fillId="60" borderId="10" xfId="0" applyFill="1" applyBorder="1">
      <alignment vertical="center"/>
    </xf>
    <xf numFmtId="0" fontId="78" fillId="60" borderId="10" xfId="0" applyFont="1" applyFill="1" applyBorder="1">
      <alignment vertical="center"/>
    </xf>
    <xf numFmtId="0" fontId="78" fillId="60" borderId="17" xfId="0" applyFont="1" applyFill="1" applyBorder="1">
      <alignment vertical="center"/>
    </xf>
    <xf numFmtId="0" fontId="78" fillId="60" borderId="16" xfId="0" applyFont="1" applyFill="1" applyBorder="1">
      <alignment vertical="center"/>
    </xf>
    <xf numFmtId="0" fontId="0" fillId="60" borderId="74" xfId="0" applyFill="1" applyBorder="1">
      <alignment vertical="center"/>
    </xf>
    <xf numFmtId="0" fontId="28" fillId="0" borderId="0" xfId="0" applyFont="1">
      <alignment vertical="center"/>
    </xf>
    <xf numFmtId="3" fontId="79" fillId="0" borderId="0" xfId="0" applyNumberFormat="1" applyFont="1" applyAlignment="1">
      <alignment vertical="center" wrapText="1"/>
    </xf>
    <xf numFmtId="0" fontId="79" fillId="0" borderId="75" xfId="0" applyFont="1" applyBorder="1" applyAlignment="1">
      <alignment vertical="center" wrapText="1"/>
    </xf>
    <xf numFmtId="3" fontId="8" fillId="9" borderId="9" xfId="0" applyNumberFormat="1" applyFont="1" applyFill="1" applyBorder="1" applyAlignment="1">
      <alignment horizontal="right" vertical="center"/>
    </xf>
    <xf numFmtId="3" fontId="8" fillId="9" borderId="3" xfId="0" applyNumberFormat="1" applyFont="1" applyFill="1" applyBorder="1" applyAlignment="1">
      <alignment horizontal="right" vertical="center"/>
    </xf>
    <xf numFmtId="4" fontId="8" fillId="9" borderId="9" xfId="0" applyNumberFormat="1" applyFont="1" applyFill="1" applyBorder="1" applyAlignment="1">
      <alignment horizontal="right" vertical="center"/>
    </xf>
    <xf numFmtId="4" fontId="8" fillId="9" borderId="3" xfId="0" applyNumberFormat="1" applyFont="1" applyFill="1" applyBorder="1" applyAlignment="1">
      <alignment horizontal="right" vertical="center"/>
    </xf>
    <xf numFmtId="3" fontId="79" fillId="0" borderId="78" xfId="0" applyNumberFormat="1" applyFont="1" applyBorder="1" applyAlignment="1">
      <alignment vertical="center" wrapText="1"/>
    </xf>
    <xf numFmtId="4" fontId="8" fillId="9" borderId="8" xfId="0" applyNumberFormat="1" applyFont="1" applyFill="1" applyBorder="1" applyAlignment="1">
      <alignment horizontal="right" vertical="center"/>
    </xf>
    <xf numFmtId="0" fontId="8" fillId="9" borderId="11" xfId="0" applyFont="1" applyFill="1" applyBorder="1" applyAlignment="1">
      <alignment horizontal="right" vertical="center" wrapText="1"/>
    </xf>
    <xf numFmtId="0" fontId="8" fillId="9" borderId="4" xfId="0" applyFont="1" applyFill="1" applyBorder="1" applyAlignment="1">
      <alignment horizontal="right" vertical="center" wrapText="1"/>
    </xf>
    <xf numFmtId="3" fontId="79" fillId="0" borderId="75" xfId="0" applyNumberFormat="1" applyFont="1" applyBorder="1" applyAlignment="1">
      <alignment vertical="center" wrapText="1"/>
    </xf>
    <xf numFmtId="3" fontId="79" fillId="0" borderId="74" xfId="0" applyNumberFormat="1" applyFont="1" applyBorder="1" applyAlignment="1">
      <alignment vertical="center" wrapText="1"/>
    </xf>
    <xf numFmtId="4" fontId="9" fillId="0" borderId="66" xfId="0" applyNumberFormat="1" applyFont="1" applyBorder="1">
      <alignment vertical="center"/>
    </xf>
    <xf numFmtId="4" fontId="8" fillId="9" borderId="6" xfId="0" applyNumberFormat="1" applyFont="1" applyFill="1" applyBorder="1" applyAlignment="1">
      <alignment horizontal="right" vertical="center" wrapText="1"/>
    </xf>
    <xf numFmtId="4" fontId="8" fillId="9" borderId="74" xfId="0" applyNumberFormat="1" applyFont="1" applyFill="1" applyBorder="1" applyAlignment="1">
      <alignment horizontal="right" vertical="center"/>
    </xf>
    <xf numFmtId="4" fontId="8" fillId="9" borderId="14" xfId="0" applyNumberFormat="1" applyFont="1" applyFill="1" applyBorder="1" applyAlignment="1">
      <alignment horizontal="right" vertical="center"/>
    </xf>
    <xf numFmtId="0" fontId="8" fillId="9" borderId="6" xfId="0" applyFont="1" applyFill="1" applyBorder="1" applyAlignment="1">
      <alignment horizontal="right" vertical="center" wrapText="1"/>
    </xf>
    <xf numFmtId="0" fontId="8" fillId="9" borderId="63" xfId="0" applyFont="1" applyFill="1" applyBorder="1" applyAlignment="1">
      <alignment vertical="center" wrapText="1"/>
    </xf>
    <xf numFmtId="0" fontId="8" fillId="9" borderId="80" xfId="0" applyFont="1" applyFill="1" applyBorder="1" applyAlignment="1">
      <alignment vertical="center" wrapText="1"/>
    </xf>
    <xf numFmtId="0" fontId="9" fillId="0" borderId="81" xfId="0" applyFont="1" applyBorder="1">
      <alignment vertical="center"/>
    </xf>
    <xf numFmtId="0" fontId="9" fillId="0" borderId="78" xfId="0" applyFont="1" applyBorder="1">
      <alignment vertical="center"/>
    </xf>
    <xf numFmtId="4" fontId="9" fillId="0" borderId="5" xfId="0" applyNumberFormat="1" applyFont="1" applyBorder="1" applyAlignment="1">
      <alignment vertical="center" wrapText="1"/>
    </xf>
    <xf numFmtId="0" fontId="0" fillId="0" borderId="66" xfId="0" applyBorder="1">
      <alignment vertical="center"/>
    </xf>
    <xf numFmtId="0" fontId="0" fillId="0" borderId="67" xfId="0" applyBorder="1">
      <alignment vertical="center"/>
    </xf>
    <xf numFmtId="0" fontId="0" fillId="0" borderId="68" xfId="0" applyBorder="1">
      <alignment vertical="center"/>
    </xf>
    <xf numFmtId="0" fontId="8" fillId="9" borderId="6" xfId="0" applyFont="1" applyFill="1" applyBorder="1" applyAlignment="1">
      <alignment vertical="center" wrapText="1"/>
    </xf>
    <xf numFmtId="4" fontId="79" fillId="0" borderId="79" xfId="0" applyNumberFormat="1" applyFont="1" applyBorder="1" applyAlignment="1">
      <alignment vertical="center" wrapText="1"/>
    </xf>
    <xf numFmtId="0" fontId="79" fillId="0" borderId="74" xfId="0" applyFont="1" applyBorder="1" applyAlignment="1">
      <alignment vertical="center" wrapText="1"/>
    </xf>
    <xf numFmtId="0" fontId="79" fillId="0" borderId="81" xfId="0" applyFont="1" applyBorder="1" applyAlignment="1">
      <alignment vertical="center" wrapText="1"/>
    </xf>
    <xf numFmtId="0" fontId="79" fillId="0" borderId="78" xfId="0" applyFont="1" applyBorder="1" applyAlignment="1">
      <alignment vertical="center" wrapText="1"/>
    </xf>
    <xf numFmtId="3" fontId="8" fillId="9" borderId="0" xfId="0" applyNumberFormat="1" applyFont="1" applyFill="1" applyAlignment="1">
      <alignment horizontal="right" vertical="center"/>
    </xf>
    <xf numFmtId="0" fontId="27" fillId="61" borderId="69" xfId="0" applyFont="1" applyFill="1" applyBorder="1" applyAlignment="1">
      <alignment vertical="center" wrapText="1"/>
    </xf>
    <xf numFmtId="0" fontId="27" fillId="61" borderId="83" xfId="0" applyFont="1" applyFill="1" applyBorder="1" applyAlignment="1">
      <alignment vertical="center" wrapText="1"/>
    </xf>
    <xf numFmtId="3" fontId="74" fillId="0" borderId="74" xfId="0" applyNumberFormat="1" applyFont="1" applyBorder="1" applyAlignment="1">
      <alignment vertical="center" wrapText="1"/>
    </xf>
    <xf numFmtId="0" fontId="74" fillId="0" borderId="66" xfId="0" applyFont="1" applyBorder="1" applyAlignment="1">
      <alignment vertical="center" wrapText="1"/>
    </xf>
    <xf numFmtId="0" fontId="74" fillId="0" borderId="67" xfId="0" applyFont="1" applyBorder="1" applyAlignment="1">
      <alignment vertical="center" wrapText="1"/>
    </xf>
    <xf numFmtId="3" fontId="74" fillId="0" borderId="67" xfId="0" applyNumberFormat="1" applyFont="1" applyBorder="1" applyAlignment="1">
      <alignment vertical="center" wrapText="1"/>
    </xf>
    <xf numFmtId="0" fontId="28" fillId="58" borderId="79" xfId="0" applyFont="1" applyFill="1" applyBorder="1" applyAlignment="1">
      <alignment horizontal="right" vertical="center" wrapText="1"/>
    </xf>
    <xf numFmtId="0" fontId="16" fillId="58" borderId="83" xfId="0" applyFont="1" applyFill="1" applyBorder="1" applyAlignment="1">
      <alignment horizontal="right" vertical="center" wrapText="1"/>
    </xf>
    <xf numFmtId="0" fontId="27" fillId="61" borderId="84" xfId="0" applyFont="1" applyFill="1" applyBorder="1" applyAlignment="1">
      <alignment vertical="center" wrapText="1"/>
    </xf>
    <xf numFmtId="0" fontId="27" fillId="61" borderId="74" xfId="0" applyFont="1" applyFill="1" applyBorder="1" applyAlignment="1">
      <alignment horizontal="right" vertical="center" wrapText="1"/>
    </xf>
    <xf numFmtId="0" fontId="27" fillId="61" borderId="74" xfId="0" applyFont="1" applyFill="1" applyBorder="1" applyAlignment="1">
      <alignment vertical="center" wrapText="1"/>
    </xf>
    <xf numFmtId="0" fontId="74" fillId="0" borderId="74" xfId="0" applyFont="1" applyBorder="1" applyAlignment="1">
      <alignment vertical="center" wrapText="1"/>
    </xf>
    <xf numFmtId="3" fontId="79" fillId="0" borderId="76" xfId="0" applyNumberFormat="1" applyFont="1" applyBorder="1" applyAlignment="1">
      <alignment vertical="center" wrapText="1"/>
    </xf>
    <xf numFmtId="4" fontId="79" fillId="0" borderId="77" xfId="0" applyNumberFormat="1" applyFont="1" applyBorder="1" applyAlignment="1">
      <alignment vertical="center" wrapText="1"/>
    </xf>
    <xf numFmtId="3" fontId="79" fillId="0" borderId="77" xfId="0" applyNumberFormat="1" applyFont="1" applyBorder="1" applyAlignment="1">
      <alignment vertical="center" wrapText="1"/>
    </xf>
    <xf numFmtId="3" fontId="79" fillId="0" borderId="69" xfId="0" applyNumberFormat="1" applyFont="1" applyBorder="1" applyAlignment="1">
      <alignment vertical="center" wrapText="1"/>
    </xf>
    <xf numFmtId="4" fontId="9" fillId="0" borderId="78" xfId="0" applyNumberFormat="1" applyFont="1" applyBorder="1">
      <alignment vertical="center"/>
    </xf>
    <xf numFmtId="0" fontId="68" fillId="56" borderId="0" xfId="0" applyFont="1" applyFill="1">
      <alignment vertical="center"/>
    </xf>
    <xf numFmtId="0" fontId="14" fillId="56" borderId="33" xfId="0" applyFont="1" applyFill="1" applyBorder="1" applyAlignment="1">
      <alignment horizontal="left" vertical="center" wrapText="1" readingOrder="1"/>
    </xf>
    <xf numFmtId="0" fontId="9" fillId="56" borderId="33" xfId="0" applyFont="1" applyFill="1" applyBorder="1" applyAlignment="1">
      <alignment horizontal="left" vertical="center" wrapText="1" readingOrder="1"/>
    </xf>
    <xf numFmtId="0" fontId="9" fillId="56" borderId="34" xfId="0" applyFont="1" applyFill="1" applyBorder="1" applyAlignment="1">
      <alignment vertical="center" wrapText="1" readingOrder="1"/>
    </xf>
    <xf numFmtId="0" fontId="14" fillId="56" borderId="36" xfId="0" applyFont="1" applyFill="1" applyBorder="1" applyAlignment="1">
      <alignment horizontal="left" vertical="center" wrapText="1" readingOrder="1"/>
    </xf>
    <xf numFmtId="0" fontId="9" fillId="56" borderId="36" xfId="0" applyFont="1" applyFill="1" applyBorder="1" applyAlignment="1">
      <alignment horizontal="left" vertical="center" wrapText="1" readingOrder="1"/>
    </xf>
    <xf numFmtId="0" fontId="9" fillId="56" borderId="36" xfId="0" applyFont="1" applyFill="1" applyBorder="1" applyAlignment="1">
      <alignment horizontal="right" vertical="center" wrapText="1" readingOrder="1"/>
    </xf>
    <xf numFmtId="0" fontId="66" fillId="4" borderId="0" xfId="0" applyFont="1" applyFill="1" applyAlignment="1">
      <alignment horizontal="right" vertical="center" wrapText="1"/>
    </xf>
    <xf numFmtId="0" fontId="16" fillId="4" borderId="0" xfId="0" applyFont="1" applyFill="1" applyAlignment="1">
      <alignment horizontal="left" vertical="top" wrapText="1"/>
    </xf>
    <xf numFmtId="0" fontId="73" fillId="59" borderId="32" xfId="0" applyFont="1" applyFill="1" applyBorder="1" applyAlignment="1">
      <alignment vertical="center" wrapText="1"/>
    </xf>
    <xf numFmtId="0" fontId="73" fillId="59" borderId="32" xfId="0" applyFont="1" applyFill="1" applyBorder="1" applyAlignment="1">
      <alignment horizontal="left" vertical="center" wrapText="1" readingOrder="1"/>
    </xf>
    <xf numFmtId="0" fontId="78" fillId="0" borderId="0" xfId="0" applyFont="1">
      <alignment vertical="center"/>
    </xf>
    <xf numFmtId="0" fontId="72" fillId="4" borderId="0" xfId="0" applyFont="1" applyFill="1">
      <alignment vertical="center"/>
    </xf>
    <xf numFmtId="0" fontId="16" fillId="4" borderId="0" xfId="0" applyFont="1" applyFill="1" applyAlignment="1">
      <alignment horizontal="right" vertical="center"/>
    </xf>
    <xf numFmtId="0" fontId="68" fillId="4" borderId="0" xfId="0" applyFont="1" applyFill="1" applyAlignment="1">
      <alignment horizontal="right" vertical="center"/>
    </xf>
    <xf numFmtId="0" fontId="71" fillId="57" borderId="64" xfId="0" applyFont="1" applyFill="1" applyBorder="1" applyAlignment="1">
      <alignment horizontal="right"/>
    </xf>
    <xf numFmtId="14" fontId="9" fillId="0" borderId="16" xfId="0" applyNumberFormat="1" applyFont="1" applyBorder="1" applyAlignment="1" applyProtection="1">
      <alignment horizontal="right" vertical="top"/>
      <protection hidden="1"/>
    </xf>
    <xf numFmtId="14" fontId="0" fillId="0" borderId="16" xfId="0" applyNumberFormat="1" applyBorder="1" applyAlignment="1">
      <alignment horizontal="right" vertical="top"/>
    </xf>
    <xf numFmtId="14" fontId="0" fillId="0" borderId="16" xfId="0" applyNumberFormat="1" applyBorder="1" applyAlignment="1" applyProtection="1">
      <alignment horizontal="right" vertical="top"/>
      <protection hidden="1"/>
    </xf>
    <xf numFmtId="14" fontId="9" fillId="0" borderId="4" xfId="0" applyNumberFormat="1" applyFont="1" applyBorder="1" applyAlignment="1" applyProtection="1">
      <alignment horizontal="right" vertical="top"/>
      <protection hidden="1"/>
    </xf>
    <xf numFmtId="14" fontId="9" fillId="0" borderId="5" xfId="0" applyNumberFormat="1" applyFont="1" applyBorder="1" applyAlignment="1" applyProtection="1">
      <alignment horizontal="right" vertical="top" wrapText="1"/>
      <protection hidden="1"/>
    </xf>
    <xf numFmtId="14" fontId="9" fillId="0" borderId="0" xfId="0" applyNumberFormat="1" applyFont="1" applyAlignment="1" applyProtection="1">
      <alignment horizontal="right" vertical="top" wrapText="1"/>
      <protection hidden="1"/>
    </xf>
    <xf numFmtId="3" fontId="0" fillId="0" borderId="0" xfId="0" applyNumberFormat="1" applyAlignment="1">
      <alignment wrapText="1"/>
    </xf>
    <xf numFmtId="0" fontId="0" fillId="3" borderId="2" xfId="0" applyFill="1" applyBorder="1" applyAlignment="1">
      <alignment wrapText="1"/>
    </xf>
    <xf numFmtId="3" fontId="0" fillId="0" borderId="2" xfId="0" applyNumberFormat="1" applyBorder="1" applyAlignment="1">
      <alignment wrapText="1"/>
    </xf>
    <xf numFmtId="3" fontId="0" fillId="0" borderId="2" xfId="0" applyNumberFormat="1" applyBorder="1" applyAlignment="1">
      <alignment horizontal="left" wrapText="1"/>
    </xf>
    <xf numFmtId="3" fontId="0" fillId="0" borderId="85" xfId="0" applyNumberFormat="1" applyBorder="1" applyAlignment="1">
      <alignment horizontal="left" wrapText="1"/>
    </xf>
    <xf numFmtId="0" fontId="0" fillId="3" borderId="4" xfId="0" applyFill="1" applyBorder="1">
      <alignment vertical="center"/>
    </xf>
    <xf numFmtId="0" fontId="0" fillId="0" borderId="63" xfId="0" applyBorder="1" applyAlignment="1">
      <alignment wrapText="1"/>
    </xf>
    <xf numFmtId="0" fontId="0" fillId="0" borderId="87" xfId="0" applyBorder="1" applyAlignment="1">
      <alignment wrapText="1"/>
    </xf>
    <xf numFmtId="0" fontId="0" fillId="0" borderId="80" xfId="0" applyBorder="1" applyAlignment="1">
      <alignment wrapText="1"/>
    </xf>
    <xf numFmtId="2" fontId="0" fillId="0" borderId="82" xfId="0" applyNumberFormat="1" applyBorder="1">
      <alignment vertical="center"/>
    </xf>
    <xf numFmtId="0" fontId="0" fillId="0" borderId="88" xfId="0" applyBorder="1">
      <alignment vertical="center"/>
    </xf>
    <xf numFmtId="2" fontId="0" fillId="0" borderId="85" xfId="0" applyNumberFormat="1" applyBorder="1">
      <alignment vertical="center"/>
    </xf>
    <xf numFmtId="0" fontId="0" fillId="0" borderId="86" xfId="0" applyBorder="1">
      <alignment vertical="center"/>
    </xf>
    <xf numFmtId="2" fontId="0" fillId="0" borderId="81" xfId="0" applyNumberFormat="1" applyBorder="1">
      <alignment vertical="center"/>
    </xf>
    <xf numFmtId="0" fontId="0" fillId="0" borderId="75" xfId="0" applyBorder="1">
      <alignment vertical="center"/>
    </xf>
    <xf numFmtId="2" fontId="0" fillId="0" borderId="75" xfId="0" applyNumberFormat="1" applyBorder="1">
      <alignment vertical="center"/>
    </xf>
    <xf numFmtId="0" fontId="18" fillId="0" borderId="75" xfId="2" applyBorder="1"/>
    <xf numFmtId="0" fontId="0" fillId="0" borderId="78" xfId="0" applyBorder="1">
      <alignment vertical="center"/>
    </xf>
    <xf numFmtId="0" fontId="0" fillId="0" borderId="63" xfId="0" applyBorder="1" applyAlignment="1">
      <alignment horizontal="left"/>
    </xf>
    <xf numFmtId="0" fontId="0" fillId="0" borderId="87" xfId="0" applyBorder="1" applyAlignment="1">
      <alignment horizontal="left"/>
    </xf>
    <xf numFmtId="0" fontId="0" fillId="0" borderId="80" xfId="0" applyBorder="1" applyAlignment="1">
      <alignment horizontal="left"/>
    </xf>
    <xf numFmtId="3" fontId="0" fillId="0" borderId="89" xfId="0" applyNumberFormat="1" applyBorder="1" applyAlignment="1">
      <alignment horizontal="left" wrapText="1"/>
    </xf>
    <xf numFmtId="164" fontId="0" fillId="0" borderId="85" xfId="0" applyNumberFormat="1" applyBorder="1">
      <alignment vertical="center"/>
    </xf>
    <xf numFmtId="164" fontId="0" fillId="0" borderId="86" xfId="0" applyNumberFormat="1" applyBorder="1">
      <alignment vertical="center"/>
    </xf>
    <xf numFmtId="164" fontId="0" fillId="0" borderId="81" xfId="0" applyNumberFormat="1" applyBorder="1">
      <alignment vertical="center"/>
    </xf>
    <xf numFmtId="164" fontId="0" fillId="0" borderId="75" xfId="0" applyNumberFormat="1" applyBorder="1">
      <alignment vertical="center"/>
    </xf>
    <xf numFmtId="164" fontId="0" fillId="0" borderId="78" xfId="0" applyNumberFormat="1" applyBorder="1">
      <alignment vertical="center"/>
    </xf>
    <xf numFmtId="3" fontId="0" fillId="0" borderId="68" xfId="0" applyNumberFormat="1" applyBorder="1" applyAlignment="1">
      <alignment wrapText="1"/>
    </xf>
    <xf numFmtId="3" fontId="0" fillId="4" borderId="4" xfId="0" applyNumberFormat="1" applyFill="1" applyBorder="1">
      <alignment vertical="center"/>
    </xf>
    <xf numFmtId="164" fontId="0" fillId="0" borderId="66" xfId="0" applyNumberFormat="1" applyBorder="1">
      <alignment vertical="center"/>
    </xf>
    <xf numFmtId="164" fontId="0" fillId="0" borderId="68" xfId="0" applyNumberFormat="1" applyBorder="1">
      <alignment vertical="center"/>
    </xf>
    <xf numFmtId="3" fontId="0" fillId="0" borderId="79" xfId="0" applyNumberFormat="1" applyBorder="1" applyAlignment="1">
      <alignment wrapText="1"/>
    </xf>
    <xf numFmtId="164" fontId="0" fillId="0" borderId="74" xfId="0" applyNumberFormat="1" applyBorder="1">
      <alignment vertical="center"/>
    </xf>
    <xf numFmtId="164" fontId="0" fillId="0" borderId="90" xfId="0" applyNumberFormat="1" applyBorder="1">
      <alignment vertical="center"/>
    </xf>
    <xf numFmtId="164" fontId="0" fillId="0" borderId="91" xfId="0" applyNumberFormat="1" applyBorder="1">
      <alignment vertical="center"/>
    </xf>
    <xf numFmtId="3" fontId="0" fillId="0" borderId="69" xfId="0" applyNumberFormat="1" applyBorder="1" applyAlignment="1">
      <alignment wrapText="1"/>
    </xf>
    <xf numFmtId="164" fontId="0" fillId="0" borderId="84" xfId="0" applyNumberFormat="1" applyBorder="1">
      <alignment vertical="center"/>
    </xf>
    <xf numFmtId="4" fontId="0" fillId="3" borderId="67" xfId="0" applyNumberFormat="1" applyFill="1" applyBorder="1" applyAlignment="1">
      <alignment horizontal="left" wrapText="1"/>
    </xf>
    <xf numFmtId="4" fontId="0" fillId="3" borderId="68" xfId="0" applyNumberFormat="1" applyFill="1" applyBorder="1" applyAlignment="1">
      <alignment horizontal="left" wrapText="1"/>
    </xf>
    <xf numFmtId="3" fontId="0" fillId="0" borderId="90" xfId="0" applyNumberFormat="1" applyBorder="1" applyAlignment="1">
      <alignment wrapText="1"/>
    </xf>
    <xf numFmtId="0" fontId="0" fillId="0" borderId="90" xfId="0" applyBorder="1">
      <alignment vertical="center"/>
    </xf>
    <xf numFmtId="0" fontId="0" fillId="0" borderId="91" xfId="0" applyBorder="1">
      <alignment vertical="center"/>
    </xf>
    <xf numFmtId="0" fontId="8" fillId="0" borderId="1" xfId="0" applyFont="1" applyBorder="1" applyAlignment="1">
      <alignment wrapText="1"/>
    </xf>
    <xf numFmtId="3" fontId="8" fillId="59" borderId="74" xfId="0" applyNumberFormat="1" applyFont="1" applyFill="1" applyBorder="1" applyAlignment="1">
      <alignment horizontal="right" vertical="center"/>
    </xf>
    <xf numFmtId="3" fontId="8" fillId="59" borderId="96" xfId="0" applyNumberFormat="1" applyFont="1" applyFill="1" applyBorder="1" applyAlignment="1">
      <alignment horizontal="right" vertical="center"/>
    </xf>
    <xf numFmtId="3" fontId="8" fillId="59" borderId="97" xfId="0" applyNumberFormat="1" applyFont="1" applyFill="1" applyBorder="1" applyAlignment="1">
      <alignment horizontal="right" vertical="center"/>
    </xf>
    <xf numFmtId="3" fontId="8" fillId="58" borderId="96" xfId="0" applyNumberFormat="1" applyFont="1" applyFill="1" applyBorder="1" applyAlignment="1">
      <alignment horizontal="right" vertical="center"/>
    </xf>
    <xf numFmtId="3" fontId="8" fillId="58" borderId="97" xfId="0" applyNumberFormat="1" applyFont="1" applyFill="1" applyBorder="1" applyAlignment="1">
      <alignment horizontal="right" vertical="center"/>
    </xf>
    <xf numFmtId="3" fontId="8" fillId="58" borderId="98" xfId="0" applyNumberFormat="1" applyFont="1" applyFill="1" applyBorder="1" applyAlignment="1">
      <alignment horizontal="right" vertical="center"/>
    </xf>
    <xf numFmtId="4" fontId="0" fillId="0" borderId="99" xfId="0" applyNumberFormat="1" applyBorder="1" applyAlignment="1">
      <alignment horizontal="right" vertical="center"/>
    </xf>
    <xf numFmtId="4" fontId="0" fillId="0" borderId="93" xfId="0" applyNumberFormat="1" applyBorder="1" applyAlignment="1">
      <alignment horizontal="right" vertical="center"/>
    </xf>
    <xf numFmtId="3" fontId="8" fillId="59" borderId="98" xfId="0" applyNumberFormat="1" applyFont="1" applyFill="1" applyBorder="1" applyAlignment="1">
      <alignment horizontal="right" vertical="center"/>
    </xf>
    <xf numFmtId="0" fontId="22" fillId="3" borderId="40" xfId="3" applyFont="1" applyFill="1" applyBorder="1" applyAlignment="1"/>
    <xf numFmtId="0" fontId="16" fillId="56" borderId="0" xfId="0" applyFont="1" applyFill="1" applyAlignment="1">
      <alignment vertical="top" wrapText="1"/>
    </xf>
    <xf numFmtId="0" fontId="70" fillId="56" borderId="0" xfId="0" applyFont="1" applyFill="1" applyAlignment="1">
      <alignment vertical="top"/>
    </xf>
    <xf numFmtId="0" fontId="16" fillId="56" borderId="0" xfId="0" applyFont="1" applyFill="1" applyAlignment="1">
      <alignment vertical="center" wrapText="1"/>
    </xf>
    <xf numFmtId="0" fontId="69" fillId="4" borderId="0" xfId="0" applyFont="1" applyFill="1" applyAlignment="1">
      <alignment vertical="top"/>
    </xf>
    <xf numFmtId="0" fontId="16" fillId="4" borderId="0" xfId="0" applyFont="1" applyFill="1" applyAlignment="1">
      <alignment vertical="top" wrapText="1"/>
    </xf>
    <xf numFmtId="0" fontId="0" fillId="56" borderId="0" xfId="0" applyFill="1" applyAlignment="1">
      <alignment horizontal="left" vertical="top" wrapText="1"/>
    </xf>
    <xf numFmtId="0" fontId="16" fillId="4" borderId="0" xfId="0" applyFont="1" applyFill="1" applyAlignment="1">
      <alignment vertical="center" wrapText="1"/>
    </xf>
    <xf numFmtId="0" fontId="69" fillId="4" borderId="0" xfId="0" applyFont="1" applyFill="1">
      <alignment vertical="center"/>
    </xf>
    <xf numFmtId="0" fontId="66" fillId="4" borderId="0" xfId="0" applyFont="1" applyFill="1" applyAlignment="1">
      <alignment vertical="center" wrapText="1"/>
    </xf>
    <xf numFmtId="0" fontId="68" fillId="56" borderId="0" xfId="0" applyFont="1" applyFill="1" applyAlignment="1">
      <alignment horizontal="left" vertical="center"/>
    </xf>
    <xf numFmtId="0" fontId="16" fillId="4" borderId="0" xfId="0" applyFont="1" applyFill="1" applyAlignment="1">
      <alignment horizontal="left" vertical="top" wrapText="1"/>
    </xf>
    <xf numFmtId="0" fontId="0" fillId="4" borderId="0" xfId="0" applyFill="1" applyAlignment="1">
      <alignment horizontal="left" vertical="top" wrapText="1"/>
    </xf>
    <xf numFmtId="0" fontId="80" fillId="4" borderId="0" xfId="0" applyFont="1" applyFill="1" applyAlignment="1">
      <alignment vertical="top"/>
    </xf>
    <xf numFmtId="0" fontId="9" fillId="56" borderId="37" xfId="0" applyFont="1" applyFill="1" applyBorder="1" applyAlignment="1">
      <alignment horizontal="left" vertical="center" wrapText="1" readingOrder="1"/>
    </xf>
    <xf numFmtId="0" fontId="9" fillId="56" borderId="35" xfId="0" applyFont="1" applyFill="1" applyBorder="1" applyAlignment="1">
      <alignment horizontal="left" vertical="center" wrapText="1" readingOrder="1"/>
    </xf>
    <xf numFmtId="0" fontId="0" fillId="0" borderId="0" xfId="0" applyAlignment="1">
      <alignment horizontal="left" wrapText="1"/>
    </xf>
    <xf numFmtId="0" fontId="81" fillId="56" borderId="0" xfId="0" applyFont="1" applyFill="1" applyAlignment="1">
      <alignment horizontal="center" vertical="center" wrapText="1"/>
    </xf>
    <xf numFmtId="0" fontId="82" fillId="4" borderId="0" xfId="0" applyFont="1" applyFill="1" applyAlignment="1">
      <alignment horizontal="left" vertical="top" wrapText="1"/>
    </xf>
    <xf numFmtId="0" fontId="83" fillId="4" borderId="0" xfId="0" applyFont="1" applyFill="1" applyAlignment="1">
      <alignment horizontal="right" vertical="top" wrapText="1"/>
    </xf>
    <xf numFmtId="0" fontId="84" fillId="4" borderId="0" xfId="0" applyFont="1" applyFill="1" applyAlignment="1">
      <alignment horizontal="right" vertical="top" wrapText="1"/>
    </xf>
    <xf numFmtId="0" fontId="28" fillId="59" borderId="66" xfId="0" applyFont="1" applyFill="1" applyBorder="1" applyAlignment="1">
      <alignment horizontal="center" vertical="center"/>
    </xf>
    <xf numFmtId="0" fontId="28" fillId="59" borderId="67" xfId="0" applyFont="1" applyFill="1" applyBorder="1" applyAlignment="1">
      <alignment horizontal="center" vertical="center"/>
    </xf>
    <xf numFmtId="0" fontId="71" fillId="57" borderId="69" xfId="0" applyFont="1" applyFill="1" applyBorder="1" applyAlignment="1">
      <alignment horizontal="center" vertical="center"/>
    </xf>
    <xf numFmtId="0" fontId="71" fillId="57" borderId="83" xfId="0" applyFont="1" applyFill="1" applyBorder="1" applyAlignment="1">
      <alignment horizontal="center" vertical="center"/>
    </xf>
    <xf numFmtId="0" fontId="71" fillId="57" borderId="84" xfId="0" applyFont="1" applyFill="1" applyBorder="1" applyAlignment="1">
      <alignment horizontal="center" vertical="center"/>
    </xf>
    <xf numFmtId="0" fontId="8" fillId="58" borderId="92" xfId="0" applyFont="1" applyFill="1" applyBorder="1" applyAlignment="1">
      <alignment horizontal="center" vertical="center"/>
    </xf>
    <xf numFmtId="0" fontId="8" fillId="58" borderId="93" xfId="0" applyFont="1" applyFill="1" applyBorder="1" applyAlignment="1">
      <alignment horizontal="center" vertical="center"/>
    </xf>
    <xf numFmtId="0" fontId="71" fillId="57" borderId="70" xfId="0" applyFont="1" applyFill="1" applyBorder="1" applyAlignment="1">
      <alignment horizontal="center" vertical="center"/>
    </xf>
    <xf numFmtId="0" fontId="71" fillId="57" borderId="16" xfId="0" applyFont="1" applyFill="1" applyBorder="1" applyAlignment="1">
      <alignment horizontal="center" vertical="center"/>
    </xf>
    <xf numFmtId="0" fontId="71" fillId="57" borderId="95" xfId="0" applyFont="1" applyFill="1" applyBorder="1" applyAlignment="1">
      <alignment horizontal="center" vertical="center"/>
    </xf>
    <xf numFmtId="0" fontId="8" fillId="59" borderId="92" xfId="0" applyFont="1" applyFill="1" applyBorder="1" applyAlignment="1">
      <alignment horizontal="center" vertical="center"/>
    </xf>
    <xf numFmtId="0" fontId="8" fillId="59" borderId="93" xfId="0" applyFont="1" applyFill="1" applyBorder="1" applyAlignment="1">
      <alignment horizontal="center" vertical="center"/>
    </xf>
    <xf numFmtId="0" fontId="8" fillId="58" borderId="94" xfId="0" applyFont="1" applyFill="1" applyBorder="1" applyAlignment="1">
      <alignment horizontal="center" vertical="center"/>
    </xf>
    <xf numFmtId="0" fontId="8" fillId="10" borderId="15" xfId="0" applyFont="1" applyFill="1" applyBorder="1" applyAlignment="1">
      <alignment horizontal="center" vertical="center"/>
    </xf>
    <xf numFmtId="0" fontId="8" fillId="10" borderId="16" xfId="0" applyFont="1" applyFill="1" applyBorder="1" applyAlignment="1">
      <alignment horizontal="center" vertical="center"/>
    </xf>
    <xf numFmtId="0" fontId="8" fillId="10" borderId="17" xfId="0" applyFont="1" applyFill="1" applyBorder="1" applyAlignment="1">
      <alignment horizontal="center" vertical="center"/>
    </xf>
    <xf numFmtId="0" fontId="8" fillId="9" borderId="15" xfId="0" applyFont="1" applyFill="1" applyBorder="1" applyAlignment="1">
      <alignment horizontal="center" vertical="center"/>
    </xf>
    <xf numFmtId="0" fontId="8" fillId="9" borderId="16" xfId="0" applyFont="1" applyFill="1" applyBorder="1" applyAlignment="1">
      <alignment horizontal="center" vertical="center"/>
    </xf>
    <xf numFmtId="0" fontId="8" fillId="9" borderId="17" xfId="0" applyFont="1" applyFill="1" applyBorder="1" applyAlignment="1">
      <alignment horizontal="center" vertical="center"/>
    </xf>
    <xf numFmtId="0" fontId="28" fillId="9" borderId="15" xfId="0" applyFont="1" applyFill="1" applyBorder="1" applyAlignment="1">
      <alignment horizontal="center" vertical="center"/>
    </xf>
    <xf numFmtId="11" fontId="8" fillId="2" borderId="14" xfId="0" applyNumberFormat="1" applyFont="1" applyFill="1" applyBorder="1" applyAlignment="1" applyProtection="1">
      <alignment horizontal="center" vertical="center" wrapText="1"/>
      <protection hidden="1"/>
    </xf>
    <xf numFmtId="11" fontId="8" fillId="2" borderId="5" xfId="0" applyNumberFormat="1" applyFont="1" applyFill="1" applyBorder="1" applyAlignment="1" applyProtection="1">
      <alignment horizontal="center" vertical="center" wrapText="1"/>
      <protection hidden="1"/>
    </xf>
    <xf numFmtId="11" fontId="8" fillId="2" borderId="15" xfId="0" applyNumberFormat="1" applyFont="1" applyFill="1" applyBorder="1" applyAlignment="1" applyProtection="1">
      <alignment horizontal="center" vertical="center" wrapText="1"/>
      <protection hidden="1"/>
    </xf>
    <xf numFmtId="11" fontId="8" fillId="2" borderId="17" xfId="0" applyNumberFormat="1" applyFont="1" applyFill="1" applyBorder="1" applyAlignment="1" applyProtection="1">
      <alignment horizontal="center" vertical="center" wrapText="1"/>
      <protection hidden="1"/>
    </xf>
    <xf numFmtId="11" fontId="8" fillId="2" borderId="8" xfId="0" applyNumberFormat="1" applyFont="1" applyFill="1" applyBorder="1" applyAlignment="1" applyProtection="1">
      <alignment horizontal="center" vertical="center" wrapText="1"/>
      <protection hidden="1"/>
    </xf>
    <xf numFmtId="11" fontId="8" fillId="2" borderId="16" xfId="0" applyNumberFormat="1" applyFont="1" applyFill="1" applyBorder="1" applyAlignment="1" applyProtection="1">
      <alignment horizontal="center" vertical="center" wrapText="1"/>
      <protection hidden="1"/>
    </xf>
    <xf numFmtId="0" fontId="0" fillId="0" borderId="15" xfId="0" applyBorder="1" applyAlignment="1">
      <alignment horizontal="center" vertical="center"/>
    </xf>
    <xf numFmtId="0" fontId="0" fillId="0" borderId="16" xfId="0" applyBorder="1" applyAlignment="1">
      <alignment horizontal="center" vertical="center"/>
    </xf>
    <xf numFmtId="0" fontId="0" fillId="0" borderId="17" xfId="0" applyBorder="1" applyAlignment="1">
      <alignment horizontal="center" vertical="center"/>
    </xf>
    <xf numFmtId="0" fontId="2" fillId="0" borderId="15" xfId="36" pivotButton="1" applyBorder="1" applyAlignment="1">
      <alignment horizontal="center"/>
    </xf>
    <xf numFmtId="0" fontId="2" fillId="0" borderId="16" xfId="36" pivotButton="1" applyBorder="1" applyAlignment="1">
      <alignment horizontal="center"/>
    </xf>
    <xf numFmtId="0" fontId="2" fillId="0" borderId="17" xfId="36" pivotButton="1" applyBorder="1" applyAlignment="1">
      <alignment horizontal="center"/>
    </xf>
    <xf numFmtId="0" fontId="0" fillId="0" borderId="15" xfId="0" applyBorder="1" applyAlignment="1">
      <alignment horizontal="center"/>
    </xf>
    <xf numFmtId="0" fontId="0" fillId="0" borderId="4" xfId="0" applyBorder="1" applyAlignment="1">
      <alignment horizontal="center"/>
    </xf>
    <xf numFmtId="0" fontId="0" fillId="0" borderId="16" xfId="0" applyBorder="1" applyAlignment="1">
      <alignment horizontal="center"/>
    </xf>
    <xf numFmtId="0" fontId="0" fillId="0" borderId="17" xfId="0" applyBorder="1" applyAlignment="1">
      <alignment horizontal="center"/>
    </xf>
    <xf numFmtId="0" fontId="15" fillId="0" borderId="15" xfId="0" applyFont="1" applyBorder="1" applyAlignment="1">
      <alignment horizontal="left"/>
    </xf>
    <xf numFmtId="0" fontId="15" fillId="0" borderId="16" xfId="0" applyFont="1" applyBorder="1" applyAlignment="1">
      <alignment horizontal="left"/>
    </xf>
    <xf numFmtId="0" fontId="15" fillId="0" borderId="17" xfId="0" applyFont="1" applyBorder="1" applyAlignment="1">
      <alignment horizontal="left"/>
    </xf>
  </cellXfs>
  <cellStyles count="113">
    <cellStyle name="20% - Accent1" xfId="19" builtinId="30" customBuiltin="1"/>
    <cellStyle name="20% - Accent1 2" xfId="65" xr:uid="{F20F9F74-E6E7-4432-9DF7-23E7A5D809F7}"/>
    <cellStyle name="20% - Accent2" xfId="22" builtinId="34" customBuiltin="1"/>
    <cellStyle name="20% - Accent2 2" xfId="66" xr:uid="{6809402F-09DE-4361-9B75-58F16FD1DA77}"/>
    <cellStyle name="20% - Accent3" xfId="25" builtinId="38" customBuiltin="1"/>
    <cellStyle name="20% - Accent3 2" xfId="67" xr:uid="{7164E918-AADF-44D3-AC2F-7605379479DD}"/>
    <cellStyle name="20% - Accent4" xfId="28" builtinId="42" customBuiltin="1"/>
    <cellStyle name="20% - Accent4 2" xfId="68" xr:uid="{91A0773E-985E-4F5C-9BD4-E2E06028BF03}"/>
    <cellStyle name="20% - Accent5" xfId="31" builtinId="46" customBuiltin="1"/>
    <cellStyle name="20% - Accent5 2" xfId="69" xr:uid="{9E263F56-925E-4254-9B7F-E61A18EC9A25}"/>
    <cellStyle name="20% - Accent6" xfId="34" builtinId="50" customBuiltin="1"/>
    <cellStyle name="20% - Accent6 2" xfId="70" xr:uid="{9EE0AD21-544D-4134-B792-C663D3986A0C}"/>
    <cellStyle name="40% - Accent1" xfId="20" builtinId="31" customBuiltin="1"/>
    <cellStyle name="40% - Accent1 2" xfId="71" xr:uid="{53A3CFEE-59B0-4A75-816F-ED755E9762BB}"/>
    <cellStyle name="40% - Accent2" xfId="23" builtinId="35" customBuiltin="1"/>
    <cellStyle name="40% - Accent2 2" xfId="72" xr:uid="{2AC8F65C-CA02-4E69-AC81-26846AD29A7B}"/>
    <cellStyle name="40% - Accent3" xfId="26" builtinId="39" customBuiltin="1"/>
    <cellStyle name="40% - Accent3 2" xfId="73" xr:uid="{37352561-7123-4951-B217-D20C85C63669}"/>
    <cellStyle name="40% - Accent4" xfId="29" builtinId="43" customBuiltin="1"/>
    <cellStyle name="40% - Accent4 2" xfId="74" xr:uid="{08E77A9E-C00C-412F-93F7-12EFEBA72C92}"/>
    <cellStyle name="40% - Accent5" xfId="32" builtinId="47" customBuiltin="1"/>
    <cellStyle name="40% - Accent5 2" xfId="75" xr:uid="{BB89FF68-768C-4879-9E04-20460D82C1F1}"/>
    <cellStyle name="40% - Accent6" xfId="35" builtinId="51" customBuiltin="1"/>
    <cellStyle name="40% - Accent6 2" xfId="76" xr:uid="{1108805D-B2ED-46C6-9E15-8716051C6EE5}"/>
    <cellStyle name="60% - Accent1 2" xfId="57" xr:uid="{69720627-68F1-4D79-B972-7A286C540F41}"/>
    <cellStyle name="60% - Accent1 2 2" xfId="77" xr:uid="{0C3295D8-0384-44C4-A142-C06E73449EA9}"/>
    <cellStyle name="60% - Accent1 3" xfId="50" xr:uid="{28CEF163-B240-4BDA-8FFA-CF5096E33235}"/>
    <cellStyle name="60% - Accent1 4" xfId="43" xr:uid="{26659015-6525-4CCB-B9E1-581571F63BEC}"/>
    <cellStyle name="60% - Accent2 2" xfId="58" xr:uid="{8E234523-B9FD-40CD-A206-B009F786DB3C}"/>
    <cellStyle name="60% - Accent2 2 2" xfId="78" xr:uid="{EAA3DA67-FBA8-40A9-92EF-F64369911891}"/>
    <cellStyle name="60% - Accent2 3" xfId="51" xr:uid="{C954F438-0C16-4EDA-8D79-32C631FF10A4}"/>
    <cellStyle name="60% - Accent2 4" xfId="44" xr:uid="{9B154ACA-903C-4AAA-86CE-F044C825EC00}"/>
    <cellStyle name="60% - Accent3 2" xfId="59" xr:uid="{399B88B4-38F7-44CF-B500-903F5BF58AEA}"/>
    <cellStyle name="60% - Accent3 2 2" xfId="79" xr:uid="{3F6ADD1B-8889-4BD5-8342-6046E268581E}"/>
    <cellStyle name="60% - Accent3 3" xfId="52" xr:uid="{064312CD-A543-45C8-844C-F84092F4292B}"/>
    <cellStyle name="60% - Accent3 4" xfId="45" xr:uid="{711100C7-F2AF-4732-9502-2CC88A1B1C05}"/>
    <cellStyle name="60% - Accent4 2" xfId="60" xr:uid="{9A4FA4F9-D5D3-4590-BE5C-B59E6D1AB499}"/>
    <cellStyle name="60% - Accent4 2 2" xfId="80" xr:uid="{B7241E31-B39B-4860-AD0B-229EB0270B46}"/>
    <cellStyle name="60% - Accent4 3" xfId="53" xr:uid="{E54AD84E-95F0-470C-99B1-6CE45E46665D}"/>
    <cellStyle name="60% - Accent4 4" xfId="46" xr:uid="{069391D4-8501-4A0D-A529-F8DE4DAFA3BA}"/>
    <cellStyle name="60% - Accent5 2" xfId="61" xr:uid="{4DD3DAC8-37B4-44AF-A8EF-9B38B0224695}"/>
    <cellStyle name="60% - Accent5 2 2" xfId="81" xr:uid="{D6ADA6F9-5080-4F84-913E-1DFCFB69A7E4}"/>
    <cellStyle name="60% - Accent5 3" xfId="54" xr:uid="{1B478E60-35C4-4DB0-86F5-55DD13B8B30C}"/>
    <cellStyle name="60% - Accent5 4" xfId="47" xr:uid="{4AD841C9-0DAE-47F6-A7D6-8639DD1B468C}"/>
    <cellStyle name="60% - Accent6 2" xfId="62" xr:uid="{9F9243F5-DA90-441D-BFEE-C96AF0945C74}"/>
    <cellStyle name="60% - Accent6 2 2" xfId="82" xr:uid="{5FE8491C-C276-4A7B-A5B8-075F4F0A6278}"/>
    <cellStyle name="60% - Accent6 3" xfId="55" xr:uid="{C4E713D6-5060-4FAC-81E0-BC6D23B59181}"/>
    <cellStyle name="60% - Accent6 4" xfId="48" xr:uid="{BAD70F73-8ADE-47E4-BE5D-367FCCA62CAF}"/>
    <cellStyle name="Accent1" xfId="18" builtinId="29" customBuiltin="1"/>
    <cellStyle name="Accent1 2" xfId="83" xr:uid="{76B9A253-50D5-4003-A392-BD4C63CBDA68}"/>
    <cellStyle name="Accent2" xfId="21" builtinId="33" customBuiltin="1"/>
    <cellStyle name="Accent2 2" xfId="84" xr:uid="{F9FA1AAC-F1F9-45FC-A25A-A5E8D4DA0877}"/>
    <cellStyle name="Accent3" xfId="24" builtinId="37" customBuiltin="1"/>
    <cellStyle name="Accent3 2" xfId="85" xr:uid="{1385DD5A-F048-4B5E-BE22-457234562E8A}"/>
    <cellStyle name="Accent4" xfId="27" builtinId="41" customBuiltin="1"/>
    <cellStyle name="Accent4 2" xfId="86" xr:uid="{97754FA5-26CC-46D0-92F2-2C8C6004D83E}"/>
    <cellStyle name="Accent5" xfId="30" builtinId="45" customBuiltin="1"/>
    <cellStyle name="Accent5 2" xfId="87" xr:uid="{03AF90D2-8A28-47B5-941D-0C2B75278D52}"/>
    <cellStyle name="Accent6" xfId="33" builtinId="49" customBuiltin="1"/>
    <cellStyle name="Accent6 2" xfId="88" xr:uid="{0291D7BC-2302-40AA-8254-F23BDBB9367A}"/>
    <cellStyle name="Bad" xfId="10" builtinId="27" customBuiltin="1"/>
    <cellStyle name="Bad 2" xfId="89" xr:uid="{3F38AEDE-5363-421C-98AA-2E30400738C2}"/>
    <cellStyle name="Calculation" xfId="12" builtinId="22" customBuiltin="1"/>
    <cellStyle name="Calculation 2" xfId="90" xr:uid="{2616DCAA-C405-4E17-A086-5E1CED30A138}"/>
    <cellStyle name="Check Cell" xfId="14" builtinId="23" customBuiltin="1"/>
    <cellStyle name="Check Cell 2" xfId="91" xr:uid="{2FBD84A5-FE54-4DF2-9711-D11ACC7F1DC6}"/>
    <cellStyle name="Explanatory Text" xfId="16" builtinId="53" customBuiltin="1"/>
    <cellStyle name="Explanatory Text 2" xfId="92" xr:uid="{762473E1-24EE-4072-96FC-D0E1D8461B76}"/>
    <cellStyle name="Good" xfId="9" builtinId="26" customBuiltin="1"/>
    <cellStyle name="Good 2" xfId="93" xr:uid="{98563C09-1CFF-441E-8B1A-EE982888DB42}"/>
    <cellStyle name="Heading 1" xfId="4" builtinId="16" customBuiltin="1"/>
    <cellStyle name="Heading 1 2" xfId="94" xr:uid="{504C916B-D0E6-4F35-B7E1-C924B800AB1A}"/>
    <cellStyle name="Heading 1 3" xfId="37" xr:uid="{3943EB7F-6727-4046-8B06-978E723C939A}"/>
    <cellStyle name="Heading 2" xfId="5" builtinId="17" customBuiltin="1"/>
    <cellStyle name="Heading 2 2" xfId="95" xr:uid="{079EF5B2-676F-45AB-881D-0ACC127550EA}"/>
    <cellStyle name="Heading 2 3" xfId="38" xr:uid="{9D6968B0-DE47-4E22-B322-96B53AE76A0A}"/>
    <cellStyle name="Heading 3" xfId="6" builtinId="18" customBuiltin="1"/>
    <cellStyle name="Heading 3 2" xfId="96" xr:uid="{1F7B3499-4F76-486C-B6B5-985F0B89D446}"/>
    <cellStyle name="Heading 3 3" xfId="39" xr:uid="{1E47FABB-9F1B-4C41-9BB3-53DBD1BC072A}"/>
    <cellStyle name="Heading 4" xfId="7" builtinId="19" customBuiltin="1"/>
    <cellStyle name="Heading 4 2" xfId="97" xr:uid="{CCDCCB2B-04FD-4852-A04B-B27F8F353731}"/>
    <cellStyle name="Heading 4 3" xfId="40" xr:uid="{0C3A6532-B4E6-493B-83AA-3DACBCFB31CA}"/>
    <cellStyle name="Hyperlink" xfId="2" builtinId="8" customBuiltin="1"/>
    <cellStyle name="Input" xfId="3" builtinId="20" customBuiltin="1"/>
    <cellStyle name="Input 2" xfId="98" xr:uid="{3CD2320F-8EB0-4406-B234-DB7A02DE8453}"/>
    <cellStyle name="Linked Cell" xfId="13" builtinId="24" customBuiltin="1"/>
    <cellStyle name="Linked Cell 2" xfId="99" xr:uid="{AEBAD7B8-5C22-4FC6-9479-3F7C7E21D488}"/>
    <cellStyle name="Neutral 2" xfId="56" xr:uid="{23AA3F56-A473-4792-8067-0F1B63755BFE}"/>
    <cellStyle name="Neutral 2 2" xfId="100" xr:uid="{D095D484-8B14-474F-A94F-852BF69B3901}"/>
    <cellStyle name="Neutral 3" xfId="49" xr:uid="{E9A0BF01-2796-4E4C-9FA2-784DBEE78193}"/>
    <cellStyle name="Neutral 4" xfId="42" xr:uid="{30BBEC4C-01AA-4D63-A6AF-68D16372336A}"/>
    <cellStyle name="Normal" xfId="0" builtinId="0" customBuiltin="1"/>
    <cellStyle name="Normal 2" xfId="63" xr:uid="{3C2AB23C-9271-4E2D-8902-0709D5AF189B}"/>
    <cellStyle name="Normal 2 2" xfId="102" xr:uid="{855B5D7D-6913-47D6-9309-583A66A12AB6}"/>
    <cellStyle name="Normal 2 3" xfId="103" xr:uid="{5123C733-27C8-4349-99F5-B14B2C7418B2}"/>
    <cellStyle name="Normal 2 4" xfId="104" xr:uid="{7B31D6A9-52A7-46D3-8D82-1FCD771A8C2A}"/>
    <cellStyle name="Normal 2 5" xfId="101" xr:uid="{65CD76A7-1683-45D1-9F7E-FA3B2CDB0375}"/>
    <cellStyle name="Normal 2 6" xfId="112" xr:uid="{FEEB1FE7-7CF8-47BC-A16C-7B4024E781CF}"/>
    <cellStyle name="Normal 3" xfId="64" xr:uid="{985802F9-541C-4931-A376-C5EAD08A0CE0}"/>
    <cellStyle name="Normal 3 2" xfId="105" xr:uid="{7F8CB03A-2303-4690-82AA-C3859216F35C}"/>
    <cellStyle name="Normal 4" xfId="106" xr:uid="{B987041F-2832-4A48-A179-19745E1AE00B}"/>
    <cellStyle name="Normal 5" xfId="36" xr:uid="{22FD46F8-3CCD-45F6-B8AA-737DC59EE6CF}"/>
    <cellStyle name="Note 2" xfId="107" xr:uid="{29CD4D44-7C71-4AC5-81CD-00F2F388DD60}"/>
    <cellStyle name="Note 3" xfId="41" xr:uid="{4AF32F70-34F9-407B-ACBE-44745A9E9C6A}"/>
    <cellStyle name="Output" xfId="11" builtinId="21" customBuiltin="1"/>
    <cellStyle name="Output 2" xfId="108" xr:uid="{6C1566C6-EDC0-4526-AA5C-3CE1FECE1BD5}"/>
    <cellStyle name="Percent" xfId="1" builtinId="5"/>
    <cellStyle name="Title" xfId="8" builtinId="15" customBuiltin="1"/>
    <cellStyle name="Title 2" xfId="109" xr:uid="{1B4434AF-6A9C-48A8-AA99-C0844DB5E380}"/>
    <cellStyle name="Total" xfId="17" builtinId="25" customBuiltin="1"/>
    <cellStyle name="Total 2" xfId="110" xr:uid="{34A71312-9B39-4E25-8A85-2E2546F63ABE}"/>
    <cellStyle name="Warning Text" xfId="15" builtinId="11" customBuiltin="1"/>
    <cellStyle name="Warning Text 2" xfId="111" xr:uid="{C71F1992-068C-4078-9A8D-D7A94CE884C2}"/>
  </cellStyles>
  <dxfs count="4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strike val="0"/>
        <condense val="0"/>
        <extend val="0"/>
        <outline val="0"/>
        <shadow val="0"/>
        <u val="none"/>
        <vertAlign val="baseline"/>
        <sz val="10"/>
        <color theme="1"/>
        <name val="Arial"/>
        <family val="2"/>
        <scheme val="none"/>
      </font>
      <numFmt numFmtId="15" formatCode="0.00E+00"/>
      <alignment horizontal="right" vertical="top" textRotation="0" wrapText="0" indent="0" justifyLastLine="0" shrinkToFit="0" readingOrder="0"/>
      <border diagonalUp="0" diagonalDown="0">
        <left/>
        <right style="thin">
          <color indexed="64"/>
        </right>
        <top style="thin">
          <color indexed="64"/>
        </top>
        <bottom style="thin">
          <color indexed="64"/>
        </bottom>
        <vertical/>
        <horizontal/>
      </border>
    </dxf>
    <dxf>
      <font>
        <b/>
        <i val="0"/>
        <strike val="0"/>
        <condense val="0"/>
        <extend val="0"/>
        <outline val="0"/>
        <shadow val="0"/>
        <u val="none"/>
        <vertAlign val="baseline"/>
        <sz val="10"/>
        <color theme="1"/>
        <name val="Arial"/>
        <family val="2"/>
        <scheme val="none"/>
      </font>
      <numFmt numFmtId="15" formatCode="0.00E+00"/>
      <alignment horizontal="right" vertical="top" textRotation="0" wrapText="0" indent="0" justifyLastLine="0" shrinkToFit="0" readingOrder="0"/>
      <border diagonalUp="0" diagonalDown="0">
        <left/>
        <right/>
        <top style="thin">
          <color indexed="64"/>
        </top>
        <bottom style="thin">
          <color indexed="64"/>
        </bottom>
        <vertical/>
        <horizontal/>
      </border>
    </dxf>
    <dxf>
      <numFmt numFmtId="15" formatCode="0.00E+00"/>
      <alignment horizontal="right" vertical="top" textRotation="0" wrapText="0" indent="0" justifyLastLine="0" shrinkToFit="0" readingOrder="0"/>
      <border diagonalUp="0" diagonalDown="0">
        <left/>
        <right/>
        <top style="thin">
          <color indexed="64"/>
        </top>
        <bottom style="thin">
          <color indexed="64"/>
        </bottom>
        <vertical/>
        <horizontal/>
      </border>
    </dxf>
    <dxf>
      <numFmt numFmtId="15" formatCode="0.00E+00"/>
      <alignment horizontal="right" vertical="top" textRotation="0" wrapText="0" indent="0" justifyLastLine="0" shrinkToFit="0" readingOrder="0"/>
      <border diagonalUp="0" diagonalDown="0">
        <left/>
        <right/>
        <top style="thin">
          <color indexed="64"/>
        </top>
        <bottom style="thin">
          <color indexed="64"/>
        </bottom>
        <vertical/>
        <horizontal/>
      </border>
    </dxf>
    <dxf>
      <numFmt numFmtId="15" formatCode="0.00E+00"/>
      <alignment horizontal="right" vertical="top" textRotation="0" wrapText="0" indent="0" justifyLastLine="0" shrinkToFit="0" readingOrder="0"/>
      <border diagonalUp="0" diagonalDown="0">
        <left/>
        <right/>
        <top style="thin">
          <color indexed="64"/>
        </top>
        <bottom style="thin">
          <color indexed="64"/>
        </bottom>
        <vertical/>
        <horizontal/>
      </border>
    </dxf>
    <dxf>
      <numFmt numFmtId="15" formatCode="0.00E+00"/>
      <alignment horizontal="right" vertical="top" textRotation="0" wrapText="0" indent="0" justifyLastLine="0" shrinkToFit="0" readingOrder="0"/>
      <border diagonalUp="0" diagonalDown="0">
        <left/>
        <right/>
        <top style="thin">
          <color indexed="64"/>
        </top>
        <bottom style="thin">
          <color indexed="64"/>
        </bottom>
        <vertical/>
        <horizontal/>
      </border>
    </dxf>
    <dxf>
      <numFmt numFmtId="15" formatCode="0.00E+00"/>
      <alignment horizontal="right" vertical="top" textRotation="0" wrapText="0" indent="0" justifyLastLine="0" shrinkToFit="0" readingOrder="0"/>
      <border diagonalUp="0" diagonalDown="0">
        <left/>
        <right/>
        <top style="thin">
          <color indexed="64"/>
        </top>
        <bottom style="thin">
          <color indexed="64"/>
        </bottom>
        <vertical/>
        <horizontal/>
      </border>
    </dxf>
    <dxf>
      <font>
        <b/>
        <i val="0"/>
        <strike val="0"/>
        <condense val="0"/>
        <extend val="0"/>
        <outline val="0"/>
        <shadow val="0"/>
        <u val="none"/>
        <vertAlign val="baseline"/>
        <sz val="10"/>
        <color theme="1"/>
        <name val="Arial"/>
        <family val="2"/>
        <scheme val="none"/>
      </font>
      <numFmt numFmtId="15" formatCode="0.00E+00"/>
      <alignment horizontal="right" vertical="top" textRotation="0" wrapText="0" indent="0" justifyLastLine="0" shrinkToFit="0" readingOrder="0"/>
      <border diagonalUp="0" diagonalDown="0">
        <left/>
        <right/>
        <top style="thin">
          <color indexed="64"/>
        </top>
        <bottom style="thin">
          <color indexed="64"/>
        </bottom>
        <vertical/>
        <horizontal/>
      </border>
    </dxf>
    <dxf>
      <font>
        <b/>
        <i val="0"/>
        <strike val="0"/>
        <condense val="0"/>
        <extend val="0"/>
        <outline val="0"/>
        <shadow val="0"/>
        <u val="none"/>
        <vertAlign val="baseline"/>
        <sz val="10"/>
        <color theme="1"/>
        <name val="Arial"/>
        <family val="2"/>
        <scheme val="none"/>
      </font>
      <numFmt numFmtId="15" formatCode="0.00E+00"/>
      <alignment horizontal="right" vertical="top" textRotation="0" wrapText="0" indent="0" justifyLastLine="0" shrinkToFit="0" readingOrder="0"/>
      <border diagonalUp="0" diagonalDown="0">
        <left/>
        <right/>
        <top style="thin">
          <color indexed="64"/>
        </top>
        <bottom style="thin">
          <color indexed="64"/>
        </bottom>
        <vertical/>
        <horizontal/>
      </border>
    </dxf>
    <dxf>
      <numFmt numFmtId="15" formatCode="0.00E+00"/>
      <alignment horizontal="right" vertical="top" textRotation="0" wrapText="0" indent="0" justifyLastLine="0" shrinkToFit="0" readingOrder="0"/>
      <border diagonalUp="0" diagonalDown="0">
        <left/>
        <right/>
        <top style="thin">
          <color indexed="64"/>
        </top>
        <bottom style="thin">
          <color indexed="64"/>
        </bottom>
        <vertical/>
        <horizontal/>
      </border>
    </dxf>
    <dxf>
      <numFmt numFmtId="15" formatCode="0.00E+00"/>
      <alignment horizontal="right" vertical="top" textRotation="0" wrapText="0" indent="0" justifyLastLine="0" shrinkToFit="0" readingOrder="0"/>
      <border diagonalUp="0" diagonalDown="0">
        <left/>
        <right/>
        <top style="thin">
          <color indexed="64"/>
        </top>
        <bottom style="thin">
          <color indexed="64"/>
        </bottom>
        <vertical/>
        <horizontal/>
      </border>
    </dxf>
    <dxf>
      <numFmt numFmtId="15" formatCode="0.00E+00"/>
      <alignment horizontal="right" vertical="top" textRotation="0" wrapText="0" indent="0" justifyLastLine="0" shrinkToFit="0" readingOrder="0"/>
      <border diagonalUp="0" diagonalDown="0">
        <left/>
        <right/>
        <top style="thin">
          <color indexed="64"/>
        </top>
        <bottom style="thin">
          <color indexed="64"/>
        </bottom>
        <vertical/>
        <horizontal/>
      </border>
    </dxf>
    <dxf>
      <numFmt numFmtId="15" formatCode="0.00E+00"/>
      <alignment horizontal="right" vertical="top" textRotation="0" wrapText="0" indent="0" justifyLastLine="0" shrinkToFit="0" readingOrder="0"/>
      <border diagonalUp="0" diagonalDown="0">
        <left/>
        <right/>
        <top style="thin">
          <color indexed="64"/>
        </top>
        <bottom style="thin">
          <color indexed="64"/>
        </bottom>
        <vertical/>
        <horizontal/>
      </border>
    </dxf>
    <dxf>
      <numFmt numFmtId="15" formatCode="0.00E+00"/>
      <alignment horizontal="right" vertical="top" textRotation="0" wrapText="0" indent="0" justifyLastLine="0" shrinkToFit="0" readingOrder="0"/>
      <border diagonalUp="0" diagonalDown="0">
        <left/>
        <right/>
        <top style="thin">
          <color indexed="64"/>
        </top>
        <bottom style="thin">
          <color indexed="64"/>
        </bottom>
        <vertical/>
        <horizontal/>
      </border>
    </dxf>
    <dxf>
      <numFmt numFmtId="15" formatCode="0.00E+00"/>
      <alignment horizontal="right" vertical="top" textRotation="0" wrapText="0" indent="0" justifyLastLine="0" shrinkToFit="0" readingOrder="0"/>
      <border diagonalUp="0" diagonalDown="0">
        <left/>
        <right/>
        <top style="thin">
          <color indexed="64"/>
        </top>
        <bottom style="thin">
          <color indexed="64"/>
        </bottom>
        <vertical/>
        <horizontal/>
      </border>
      <protection locked="1" hidden="1"/>
    </dxf>
    <dxf>
      <numFmt numFmtId="15" formatCode="0.00E+00"/>
      <alignment horizontal="right" vertical="top" textRotation="0" wrapText="0" indent="0" justifyLastLine="0" shrinkToFit="0" readingOrder="0"/>
      <border diagonalUp="0" diagonalDown="0">
        <left/>
        <right/>
        <top style="thin">
          <color indexed="64"/>
        </top>
        <bottom style="thin">
          <color indexed="64"/>
        </bottom>
        <vertical/>
        <horizontal/>
      </border>
      <protection locked="1" hidden="1"/>
    </dxf>
    <dxf>
      <numFmt numFmtId="15" formatCode="0.00E+00"/>
      <alignment horizontal="right" vertical="top" textRotation="0" wrapText="0" indent="0" justifyLastLine="0" shrinkToFit="0" readingOrder="0"/>
      <border diagonalUp="0" diagonalDown="0">
        <left/>
        <right/>
        <top style="thin">
          <color indexed="64"/>
        </top>
        <bottom style="thin">
          <color indexed="64"/>
        </bottom>
        <vertical/>
        <horizontal/>
      </border>
      <protection locked="1" hidden="1"/>
    </dxf>
    <dxf>
      <numFmt numFmtId="15" formatCode="0.00E+00"/>
      <alignment horizontal="right" vertical="top" textRotation="0" wrapText="0" indent="0" justifyLastLine="0" shrinkToFit="0" readingOrder="0"/>
      <border diagonalUp="0" diagonalDown="0">
        <left/>
        <right/>
        <top style="thin">
          <color indexed="64"/>
        </top>
        <bottom style="thin">
          <color indexed="64"/>
        </bottom>
        <vertical/>
        <horizontal/>
      </border>
      <protection locked="1" hidden="1"/>
    </dxf>
    <dxf>
      <alignment horizontal="general" vertical="top" textRotation="0" wrapText="0" indent="0" justifyLastLine="0" shrinkToFit="0" readingOrder="0"/>
      <border diagonalUp="0" diagonalDown="0">
        <left/>
        <right/>
        <top style="thin">
          <color indexed="64"/>
        </top>
        <bottom style="thin">
          <color indexed="64"/>
        </bottom>
        <vertical/>
        <horizontal/>
      </border>
      <protection locked="1" hidden="1"/>
    </dxf>
    <dxf>
      <font>
        <b val="0"/>
        <i val="0"/>
        <strike val="0"/>
        <condense val="0"/>
        <extend val="0"/>
        <outline val="0"/>
        <shadow val="0"/>
        <u val="none"/>
        <vertAlign val="baseline"/>
        <sz val="10"/>
        <color auto="1"/>
        <name val="Arial"/>
        <family val="2"/>
        <scheme val="none"/>
      </font>
      <alignment horizontal="general" vertical="top" textRotation="0" wrapText="0" indent="0" justifyLastLine="0" shrinkToFit="0" readingOrder="0"/>
      <border diagonalUp="0" diagonalDown="0">
        <left/>
        <right/>
        <top style="thin">
          <color indexed="64"/>
        </top>
        <bottom style="thin">
          <color indexed="64"/>
        </bottom>
        <vertical/>
        <horizontal/>
      </border>
      <protection locked="1" hidden="1"/>
    </dxf>
    <dxf>
      <alignment horizontal="general" vertical="top" textRotation="0" wrapText="0" indent="0" justifyLastLine="0" shrinkToFit="0" readingOrder="0"/>
      <border diagonalUp="0" diagonalDown="0">
        <left/>
        <right/>
        <top style="thin">
          <color indexed="64"/>
        </top>
        <bottom style="thin">
          <color indexed="64"/>
        </bottom>
        <vertical/>
        <horizontal/>
      </border>
    </dxf>
    <dxf>
      <font>
        <b val="0"/>
        <i val="0"/>
        <strike val="0"/>
        <condense val="0"/>
        <extend val="0"/>
        <outline val="0"/>
        <shadow val="0"/>
        <u val="none"/>
        <vertAlign val="baseline"/>
        <sz val="10"/>
        <color theme="0"/>
        <name val="Arial"/>
        <family val="2"/>
        <scheme val="none"/>
      </font>
      <alignment horizontal="general" vertical="top" textRotation="0" wrapText="0" indent="0" justifyLastLine="0" shrinkToFit="0" readingOrder="0"/>
      <border diagonalUp="0" diagonalDown="0">
        <left/>
        <right/>
        <top style="thin">
          <color indexed="64"/>
        </top>
        <bottom style="thin">
          <color indexed="64"/>
        </bottom>
        <vertical/>
        <horizontal/>
      </border>
      <protection locked="1" hidden="1"/>
    </dxf>
    <dxf>
      <alignment horizontal="general" vertical="top" textRotation="0" wrapText="0" indent="0" justifyLastLine="0" shrinkToFit="0" readingOrder="0"/>
      <border diagonalUp="0" diagonalDown="0">
        <left/>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none"/>
      </font>
      <alignment horizontal="general" vertical="top" textRotation="0" wrapText="0" indent="0" justifyLastLine="0" shrinkToFit="0" readingOrder="0"/>
      <border diagonalUp="0" diagonalDown="0">
        <left/>
        <right/>
        <top style="thin">
          <color indexed="64"/>
        </top>
        <bottom style="thin">
          <color indexed="64"/>
        </bottom>
        <vertical/>
        <horizontal/>
      </border>
      <protection locked="1" hidden="1"/>
    </dxf>
    <dxf>
      <font>
        <b val="0"/>
        <i val="0"/>
        <strike val="0"/>
        <condense val="0"/>
        <extend val="0"/>
        <outline val="0"/>
        <shadow val="0"/>
        <u val="none"/>
        <vertAlign val="baseline"/>
        <sz val="10"/>
        <color auto="1"/>
        <name val="Arial"/>
        <family val="2"/>
        <scheme val="none"/>
      </font>
      <numFmt numFmtId="169" formatCode="m/d/yyyy"/>
      <alignment horizontal="right" vertical="top" textRotation="0" wrapText="0" indent="0" justifyLastLine="0" shrinkToFit="0" readingOrder="0"/>
      <border diagonalUp="0" diagonalDown="0">
        <left/>
        <right/>
        <top style="thin">
          <color indexed="64"/>
        </top>
        <bottom style="thin">
          <color indexed="64"/>
        </bottom>
        <vertical/>
        <horizontal/>
      </border>
      <protection locked="1" hidden="1"/>
    </dxf>
    <dxf>
      <font>
        <b val="0"/>
        <i val="0"/>
        <strike val="0"/>
        <condense val="0"/>
        <extend val="0"/>
        <outline val="0"/>
        <shadow val="0"/>
        <u val="none"/>
        <vertAlign val="baseline"/>
        <sz val="10"/>
        <color auto="1"/>
        <name val="Arial"/>
        <family val="2"/>
        <scheme val="none"/>
      </font>
      <numFmt numFmtId="169" formatCode="m/d/yyyy"/>
      <alignment horizontal="right" vertical="top" textRotation="0" wrapText="0" indent="0" justifyLastLine="0" shrinkToFit="0" readingOrder="0"/>
      <border diagonalUp="0" diagonalDown="0">
        <left/>
        <right/>
        <top style="thin">
          <color indexed="64"/>
        </top>
        <bottom style="thin">
          <color indexed="64"/>
        </bottom>
        <vertical/>
        <horizontal/>
      </border>
      <protection locked="1" hidden="1"/>
    </dxf>
    <dxf>
      <font>
        <b val="0"/>
        <i val="0"/>
        <strike val="0"/>
        <condense val="0"/>
        <extend val="0"/>
        <outline val="0"/>
        <shadow val="0"/>
        <u val="none"/>
        <vertAlign val="baseline"/>
        <sz val="10"/>
        <color auto="1"/>
        <name val="Arial"/>
        <family val="2"/>
        <scheme val="none"/>
      </font>
      <alignment horizontal="general" vertical="top" textRotation="0" wrapText="0" indent="0" justifyLastLine="0" shrinkToFit="0" readingOrder="0"/>
      <border diagonalUp="0" diagonalDown="0">
        <left/>
        <right/>
        <top style="thin">
          <color indexed="64"/>
        </top>
        <bottom style="thin">
          <color indexed="64"/>
        </bottom>
        <vertical/>
        <horizontal/>
      </border>
      <protection locked="1" hidden="1"/>
    </dxf>
    <dxf>
      <alignment horizontal="general" vertical="top" textRotation="0" wrapText="0" indent="0" justifyLastLine="0" shrinkToFit="0" readingOrder="0"/>
      <border diagonalUp="0" diagonalDown="0">
        <left/>
        <right/>
        <top style="thin">
          <color indexed="64"/>
        </top>
        <bottom style="thin">
          <color indexed="64"/>
        </bottom>
        <vertical/>
        <horizontal/>
      </border>
    </dxf>
    <dxf>
      <alignment horizontal="general" vertical="top" textRotation="0" wrapText="0" indent="0" justifyLastLine="0" shrinkToFit="0" readingOrder="0"/>
      <border diagonalUp="0" diagonalDown="0">
        <left/>
        <right/>
        <top style="thin">
          <color indexed="64"/>
        </top>
        <bottom style="thin">
          <color indexed="64"/>
        </bottom>
        <vertical/>
        <horizontal/>
      </border>
    </dxf>
    <dxf>
      <alignment horizontal="general" vertical="top" textRotation="0" wrapText="0" indent="0" justifyLastLine="0" shrinkToFit="0" readingOrder="0"/>
      <border diagonalUp="0" diagonalDown="0">
        <left/>
        <right/>
        <top style="thin">
          <color indexed="64"/>
        </top>
        <bottom style="thin">
          <color indexed="64"/>
        </bottom>
        <vertical/>
        <horizontal/>
      </border>
    </dxf>
    <dxf>
      <border outline="0">
        <top style="thin">
          <color indexed="64"/>
        </top>
      </border>
    </dxf>
    <dxf>
      <border>
        <left style="thin">
          <color rgb="FF000000"/>
        </left>
        <right style="thin">
          <color rgb="FF000000"/>
        </right>
        <top style="thin">
          <color rgb="FF000000"/>
        </top>
        <bottom style="thin">
          <color rgb="FF000000"/>
        </bottom>
      </border>
    </dxf>
    <dxf>
      <alignment horizontal="right" vertical="top" textRotation="0" wrapText="0" indent="0" justifyLastLine="0" shrinkToFit="0" readingOrder="0"/>
    </dxf>
    <dxf>
      <border outline="0">
        <bottom style="thin">
          <color indexed="64"/>
        </bottom>
      </border>
    </dxf>
    <dxf>
      <font>
        <b/>
        <i val="0"/>
        <strike val="0"/>
        <condense val="0"/>
        <extend val="0"/>
        <outline val="0"/>
        <shadow val="0"/>
        <u val="none"/>
        <vertAlign val="baseline"/>
        <sz val="10"/>
        <color theme="0"/>
        <name val="Arial"/>
        <family val="2"/>
        <scheme val="none"/>
      </font>
      <fill>
        <patternFill patternType="solid">
          <fgColor indexed="64"/>
          <bgColor rgb="FF0091B3"/>
        </patternFill>
      </fill>
      <alignment horizontal="general" vertical="bottom" textRotation="0" wrapText="0" indent="0" justifyLastLine="0" shrinkToFit="0" readingOrder="0"/>
    </dxf>
  </dxfs>
  <tableStyles count="1" defaultTableStyle="TableStyleMedium2" defaultPivotStyle="PivotStyleLight16">
    <tableStyle name="Invisible" pivot="0" table="0" count="0" xr9:uid="{ED9F430A-8C0B-4336-AF3D-3F53D2D552D2}"/>
  </tableStyles>
  <colors>
    <mruColors>
      <color rgb="FF007299"/>
      <color rgb="FF0091B3"/>
      <color rgb="FFD5E7EE"/>
      <color rgb="FFCFEAEF"/>
      <color rgb="FF007298"/>
      <color rgb="FF005673"/>
      <color rgb="FF00CCFF"/>
      <color rgb="FF336699"/>
      <color rgb="FF0099CC"/>
      <color rgb="FF33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customXml" Target="../customXml/item2.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styles" Target="styles.xml"/><Relationship Id="rId5" Type="http://schemas.openxmlformats.org/officeDocument/2006/relationships/worksheet" Target="worksheets/sheet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sharedStrings" Target="sharedStrings.xml"/><Relationship Id="rId85" Type="http://schemas.openxmlformats.org/officeDocument/2006/relationships/customXml" Target="../customXml/item3.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theme" Target="theme/theme1.xml"/><Relationship Id="rId81" Type="http://schemas.openxmlformats.org/officeDocument/2006/relationships/sheetMetadata" Target="metadata.xml"/><Relationship Id="rId86"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61" Type="http://schemas.openxmlformats.org/officeDocument/2006/relationships/worksheet" Target="worksheets/sheet61.xml"/><Relationship Id="rId8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571500</xdr:colOff>
      <xdr:row>0</xdr:row>
      <xdr:rowOff>47625</xdr:rowOff>
    </xdr:from>
    <xdr:to>
      <xdr:col>4</xdr:col>
      <xdr:colOff>236855</xdr:colOff>
      <xdr:row>4</xdr:row>
      <xdr:rowOff>88265</xdr:rowOff>
    </xdr:to>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571500" y="47625"/>
          <a:ext cx="2105025" cy="695325"/>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57BC666-7B88-4E1C-BC03-AEFEAC2D552C}" name="Table2" displayName="Table2" ref="A7:AD2519" totalsRowShown="0" headerRowDxfId="39" dataDxfId="37" headerRowBorderDxfId="38" tableBorderDxfId="36" totalsRowBorderDxfId="35">
  <autoFilter ref="A7:AD2519" xr:uid="{E4974428-7709-4182-BC9B-BACD84D50233}"/>
  <sortState xmlns:xlrd2="http://schemas.microsoft.com/office/spreadsheetml/2017/richdata2" ref="A8:AD2519">
    <sortCondition ref="A7:A2519"/>
  </sortState>
  <tableColumns count="30">
    <tableColumn id="1" xr3:uid="{83112277-D934-4340-9194-5BA44FB1CDAD}" name="Material Category" dataDxfId="34"/>
    <tableColumn id="2" xr3:uid="{2E8EA59A-E659-4E0A-ACAB-4E5895C41096}" name="Material Classification" dataDxfId="33"/>
    <tableColumn id="3" xr3:uid="{28FD8B9B-D5CF-4499-B25D-A1ECB3E734B7}" name="EF material category match" dataDxfId="32"/>
    <tableColumn id="4" xr3:uid="{F200914D-13EB-44A9-B4B4-89AB621DB7C2}" name="Material long name" dataDxfId="31"/>
    <tableColumn id="5" xr3:uid="{C126F9D2-239F-4DB3-A70C-9C583AB7D953}" name="Data valid (start)" dataDxfId="30"/>
    <tableColumn id="6" xr3:uid="{4D0015CC-5956-4F15-9C7A-AB8640A502FC}" name="Data valid (end)" dataDxfId="29"/>
    <tableColumn id="7" xr3:uid="{93A7D799-69A4-419C-A02C-FE0036DAE99B}" name="Location" dataDxfId="28"/>
    <tableColumn id="8" xr3:uid="{4B16169D-BF4C-4332-B56A-F1BA2E3242B9}" name="Registration number" dataDxfId="27"/>
    <tableColumn id="9" xr3:uid="{56875523-83F0-46F1-899F-6E8D5A297307}" name="Version" dataDxfId="26"/>
    <tableColumn id="10" xr3:uid="{26F54338-3738-4CE5-A6C1-297059695E92}" name="Program" dataDxfId="25"/>
    <tableColumn id="11" xr3:uid="{3953677C-CFC8-4428-8801-22001DDACACB}" name="Reference link - Website" dataDxfId="24"/>
    <tableColumn id="12" xr3:uid="{C5D97F93-2939-4749-9A09-BCC4F2A9DE3F}" name="Declared unit" dataDxfId="23"/>
    <tableColumn id="13" xr3:uid="{E040FFC1-E813-4193-A6F7-5199AA4A72F3}" name="Density (kg/m3)" dataDxfId="22"/>
    <tableColumn id="14" xr3:uid="{35B9B63A-EEB3-4583-BDEF-D0D945387848}" name="Area density (kg/m2)" dataDxfId="21"/>
    <tableColumn id="15" xr3:uid="{F081865A-A8BB-4F44-84A9-BA26EA2CC28D}" name="Mass per m (kg/m)" dataDxfId="20"/>
    <tableColumn id="16" xr3:uid="{E0FCF1B1-36E8-4ACF-9601-845EA4E42F5C}" name="Mass per unit (kg/unit)" dataDxfId="19"/>
    <tableColumn id="17" xr3:uid="{D8868003-F8CB-4CE9-9F77-4DC3BAB2B193}" name="GWP-total (kg CO2e/quantity)" dataDxfId="18"/>
    <tableColumn id="18" xr3:uid="{AC374D57-4494-4E19-B5C6-1131AD247CD7}" name="GWP-fossil (kg CO2e/quantity)" dataDxfId="17"/>
    <tableColumn id="19" xr3:uid="{19D0A5C2-B180-4652-9A79-6F88E1E64502}" name="GWP-biogenic (kg CO2e/quantity)" dataDxfId="16"/>
    <tableColumn id="20" xr3:uid="{F83A241E-3D2E-463D-86ED-EBB6B7417BF3}" name="GWP-luluc (kg CO2e/quantity)" dataDxfId="15"/>
    <tableColumn id="21" xr3:uid="{F5DD70BC-58FD-4DD1-963B-98B0EF560DF7}" name="GWP-stored (kg CO2e/quantity)" dataDxfId="14"/>
    <tableColumn id="22" xr3:uid="{EE19F58A-4C4C-4BD4-AC38-D0DB0B377786}" name="Upfront carbon emissions (kg CO2e/quantity)" dataDxfId="13"/>
    <tableColumn id="23" xr3:uid="{9BD87DB9-1B9C-464F-A5BB-B52658BFA33C}" name="Upfront carbon storage (kg CO2e/quantity)" dataDxfId="12"/>
    <tableColumn id="24" xr3:uid="{CF20010B-6DA8-494D-B94A-A4FCF2220E05}" name="GWP-total (kg CO2e/kg)" dataDxfId="11"/>
    <tableColumn id="25" xr3:uid="{C8A0A7C5-2579-4461-9412-97BD8AAFC2F7}" name="GWP-fossil (kg CO2e/kg)" dataDxfId="10"/>
    <tableColumn id="26" xr3:uid="{4DF9B486-2B63-47F3-B3EE-5CB1BC8A6665}" name="GWP-biogenic (kg CO2e/kg)" dataDxfId="9"/>
    <tableColumn id="27" xr3:uid="{5AB4AFE7-C692-4C3D-B941-37F76F44065B}" name="GWP-luluc (kg CO2e/kg)" dataDxfId="8"/>
    <tableColumn id="28" xr3:uid="{D5F5D6F6-B38B-4284-9C74-CDDE00B32D50}" name="GWP-stored (kg CO2e/kg)" dataDxfId="7"/>
    <tableColumn id="29" xr3:uid="{B221435E-D3A1-43EB-8526-D91408265926}" name="Upfront carbon emissions (kg CO2e/kg)" dataDxfId="6"/>
    <tableColumn id="30" xr3:uid="{CC01D9E3-3D62-469B-8394-B74B5A5D7D03}" name="Upfront carbon storage (kg CO2e/kg)" dataDxfId="5"/>
  </tableColumns>
  <tableStyleInfo name="TableStyleMedium4" showFirstColumn="0" showLastColumn="0" showRowStripes="1"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2.xml.rels><?xml version="1.0" encoding="UTF-8" standalone="yes"?>
<Relationships xmlns="http://schemas.openxmlformats.org/package/2006/relationships"><Relationship Id="rId3" Type="http://schemas.openxmlformats.org/officeDocument/2006/relationships/hyperlink" Target="https://www.worldsteel.org/en/dam/jcr:66fed386-fd0b-485e-aa23-b8a5e7533435/Position_paper_climate_2018.pdf" TargetMode="External"/><Relationship Id="rId2" Type="http://schemas.openxmlformats.org/officeDocument/2006/relationships/hyperlink" Target="https://www.steel.org.au/Membership/media/Australian-Steel-Institute/PDFs/Steel-Industry-Capability-document-050623.pdf" TargetMode="External"/><Relationship Id="rId1" Type="http://schemas.openxmlformats.org/officeDocument/2006/relationships/hyperlink" Target="https://www.steel.org.au/Membership/media/Australian-Steel-Institute/PDFs/Steel-Industry-Capability-document-050623.pdf" TargetMode="External"/><Relationship Id="rId4" Type="http://schemas.openxmlformats.org/officeDocument/2006/relationships/hyperlink" Target="https://www.worldsteel.org/en/dam/jcr:66fed386-fd0b-485e-aa23-b8a5e7533435/Position_paper_climate_2018.pdf" TargetMode="External"/></Relationships>
</file>

<file path=xl/worksheets/_rels/sheet23.xml.rels><?xml version="1.0" encoding="UTF-8" standalone="yes"?>
<Relationships xmlns="http://schemas.openxmlformats.org/package/2006/relationships"><Relationship Id="rId2" Type="http://schemas.openxmlformats.org/officeDocument/2006/relationships/hyperlink" Target="https://www.gfgalliance.com/whyalla-transformation/about-the-steelworks/" TargetMode="External"/><Relationship Id="rId1" Type="http://schemas.openxmlformats.org/officeDocument/2006/relationships/hyperlink" Target="https://www.steel.org.au/Membership/media/Australian-Steel-Institute/PDFs/Steel-Industry-Capability-document-050623.pdf" TargetMode="External"/></Relationships>
</file>

<file path=xl/worksheets/_rels/sheet24.xml.rels><?xml version="1.0" encoding="UTF-8" standalone="yes"?>
<Relationships xmlns="http://schemas.openxmlformats.org/package/2006/relationships"><Relationship Id="rId2" Type="http://schemas.openxmlformats.org/officeDocument/2006/relationships/hyperlink" Target="https://www.gfgalliance.com/whyalla-transformation/about-the-steelworks/" TargetMode="External"/><Relationship Id="rId1" Type="http://schemas.openxmlformats.org/officeDocument/2006/relationships/hyperlink" Target="https://www.steel.org.au/Membership/media/Australian-Steel-Institute/PDFs/Steel-Industry-Capability-document-050623.pdf" TargetMode="External"/></Relationships>
</file>

<file path=xl/worksheets/_rels/sheet25.xml.rels><?xml version="1.0" encoding="UTF-8" standalone="yes"?>
<Relationships xmlns="http://schemas.openxmlformats.org/package/2006/relationships"><Relationship Id="rId2" Type="http://schemas.openxmlformats.org/officeDocument/2006/relationships/hyperlink" Target="https://www.gfgalliance.com/whyalla-transformation/about-the-steelworks/" TargetMode="External"/><Relationship Id="rId1" Type="http://schemas.openxmlformats.org/officeDocument/2006/relationships/hyperlink" Target="https://www.steel.org.au/Membership/media/Australian-Steel-Institute/PDFs/Steel-Industry-Capability-document-050623.pdf" TargetMode="External"/></Relationships>
</file>

<file path=xl/worksheets/_rels/sheet26.xml.rels><?xml version="1.0" encoding="UTF-8" standalone="yes"?>
<Relationships xmlns="http://schemas.openxmlformats.org/package/2006/relationships"><Relationship Id="rId2" Type="http://schemas.openxmlformats.org/officeDocument/2006/relationships/hyperlink" Target="https://www.gfgalliance.com/whyalla-transformation/about-the-steelworks/" TargetMode="External"/><Relationship Id="rId1" Type="http://schemas.openxmlformats.org/officeDocument/2006/relationships/hyperlink" Target="https://www.steel.org.au/Membership/media/Australian-Steel-Institute/PDFs/Steel-Industry-Capability-document-050623.pdf" TargetMode="External"/></Relationships>
</file>

<file path=xl/worksheets/_rels/sheet27.xml.rels><?xml version="1.0" encoding="UTF-8" standalone="yes"?>
<Relationships xmlns="http://schemas.openxmlformats.org/package/2006/relationships"><Relationship Id="rId3" Type="http://schemas.openxmlformats.org/officeDocument/2006/relationships/hyperlink" Target="https://www.umcuae.ae/downloads/EPD_UMC%20Final%20Certified.pdf" TargetMode="External"/><Relationship Id="rId2" Type="http://schemas.openxmlformats.org/officeDocument/2006/relationships/hyperlink" Target="https://www.gfgalliance.com/whyalla-transformation/about-the-steelworks/" TargetMode="External"/><Relationship Id="rId1" Type="http://schemas.openxmlformats.org/officeDocument/2006/relationships/hyperlink" Target="https://www.steel.org.au/Membership/media/Australian-Steel-Institute/PDFs/Steel-Industry-Capability-document-050623.pdf" TargetMode="External"/></Relationships>
</file>

<file path=xl/worksheets/_rels/sheet28.xml.rels><?xml version="1.0" encoding="UTF-8" standalone="yes"?>
<Relationships xmlns="http://schemas.openxmlformats.org/package/2006/relationships"><Relationship Id="rId2" Type="http://schemas.openxmlformats.org/officeDocument/2006/relationships/hyperlink" Target="https://www.gfgalliance.com/whyalla-transformation/about-the-steelworks/" TargetMode="External"/><Relationship Id="rId1" Type="http://schemas.openxmlformats.org/officeDocument/2006/relationships/hyperlink" Target="https://www.steel.org.au/Membership/media/Australian-Steel-Institute/PDFs/Steel-Industry-Capability-document-050623.pdf" TargetMode="External"/></Relationships>
</file>

<file path=xl/worksheets/_rels/sheet3.xml.rels><?xml version="1.0" encoding="UTF-8" standalone="yes"?>
<Relationships xmlns="http://schemas.openxmlformats.org/package/2006/relationships"><Relationship Id="rId3" Type="http://schemas.openxmlformats.org/officeDocument/2006/relationships/hyperlink" Target="https://epd-australasia.com/wp-content/uploads/2023/04/SP05522-Adbri-EPD-Concrete_NT_Mar23.pdf" TargetMode="External"/><Relationship Id="rId2" Type="http://schemas.openxmlformats.org/officeDocument/2006/relationships/hyperlink" Target="https://epd-australasia.com/wp-content/uploads/2023/04/SP05522-Adbri-EPD-Concrete_NT_Mar23.pdf" TargetMode="External"/><Relationship Id="rId1" Type="http://schemas.openxmlformats.org/officeDocument/2006/relationships/hyperlink" Target="https://epd-australasia.com/wp-content/uploads/2022/07/SP-05479_WA-Premix-Ready-Mix-Concrete-EPD-v1.0.pdf" TargetMode="External"/><Relationship Id="rId5" Type="http://schemas.openxmlformats.org/officeDocument/2006/relationships/table" Target="../tables/table1.xml"/><Relationship Id="rId4"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hyperlink" Target="https://www.agriculture.gov.au/abares/research-topics/forests/forest-economics/forest-wood-products-statistics" TargetMode="External"/></Relationships>
</file>

<file path=xl/worksheets/_rels/sheet4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4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hyperlink" Target="https://www.agriculture.gov.au/abares/research-topics/forests/forest-economics/forest-wood-products-statistics" TargetMode="External"/></Relationships>
</file>

<file path=xl/worksheets/_rels/sheet43.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hyperlink" Target="https://www.agriculture.gov.au/abares/research-topics/forests/forest-economics/forest-wood-products-statistics" TargetMode="External"/><Relationship Id="rId1" Type="http://schemas.openxmlformats.org/officeDocument/2006/relationships/hyperlink" Target="https://www.agriculture.gov.au/abares/products/insights/snapshot-of-australias-forest-industry" TargetMode="External"/><Relationship Id="rId4" Type="http://schemas.openxmlformats.org/officeDocument/2006/relationships/comments" Target="../comments4.xml"/></Relationships>
</file>

<file path=xl/worksheets/_rels/sheet44.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hyperlink" Target="https://www.agriculture.gov.au/abares/research-topics/forests/forest-economics/forest-wood-products-statistics" TargetMode="External"/><Relationship Id="rId1" Type="http://schemas.openxmlformats.org/officeDocument/2006/relationships/hyperlink" Target="https://www.agriculture.gov.au/abares/products/insights/snapshot-of-australias-forest-industry" TargetMode="External"/><Relationship Id="rId4" Type="http://schemas.openxmlformats.org/officeDocument/2006/relationships/comments" Target="../comments5.xml"/></Relationships>
</file>

<file path=xl/worksheets/_rels/sheet45.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hyperlink" Target="https://www.agriculture.gov.au/abares/research-topics/forests/forest-economics/forest-wood-products-statistics" TargetMode="External"/><Relationship Id="rId1" Type="http://schemas.openxmlformats.org/officeDocument/2006/relationships/hyperlink" Target="https://www.agriculture.gov.au/abares/products/insights/snapshot-of-australias-forest-industry" TargetMode="External"/><Relationship Id="rId4" Type="http://schemas.openxmlformats.org/officeDocument/2006/relationships/comments" Target="../comments6.xml"/></Relationships>
</file>

<file path=xl/worksheets/_rels/sheet46.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hyperlink" Target="https://www.agriculture.gov.au/abares/research-topics/forests/forest-economics/forest-wood-products-statistics" TargetMode="External"/><Relationship Id="rId1" Type="http://schemas.openxmlformats.org/officeDocument/2006/relationships/hyperlink" Target="https://www.agriculture.gov.au/abares/products/insights/snapshot-of-australias-forest-industry" TargetMode="External"/><Relationship Id="rId4" Type="http://schemas.openxmlformats.org/officeDocument/2006/relationships/comments" Target="../comments7.xml"/></Relationships>
</file>

<file path=xl/worksheets/_rels/sheet47.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8.vml"/></Relationships>
</file>

<file path=xl/worksheets/_rels/sheet48.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9.vml"/></Relationships>
</file>

<file path=xl/worksheets/_rels/sheet49.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0.vml"/></Relationships>
</file>

<file path=xl/worksheets/_rels/sheet50.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1.vml"/></Relationships>
</file>

<file path=xl/worksheets/_rels/sheet71.xml.rels><?xml version="1.0" encoding="UTF-8" standalone="yes"?>
<Relationships xmlns="http://schemas.openxmlformats.org/package/2006/relationships"><Relationship Id="rId1" Type="http://schemas.openxmlformats.org/officeDocument/2006/relationships/hyperlink" Target="https://carbonleadershipforum.org/office-buildings-lca/" TargetMode="External"/></Relationships>
</file>

<file path=xl/worksheets/_rels/sheet72.xml.rels><?xml version="1.0" encoding="UTF-8" standalone="yes"?>
<Relationships xmlns="http://schemas.openxmlformats.org/package/2006/relationships"><Relationship Id="rId8" Type="http://schemas.openxmlformats.org/officeDocument/2006/relationships/hyperlink" Target="https://api.environdec.com/api/v1/EPDLibrary/Files/f31919c9-5f2b-42ca-0da2-08dc5e07fd56/Data" TargetMode="External"/><Relationship Id="rId3" Type="http://schemas.openxmlformats.org/officeDocument/2006/relationships/hyperlink" Target="https://epd-australasia.com/wp-content/uploads/2023/06/SP07452-APL-Window-Solutions_vNov23.pdf" TargetMode="External"/><Relationship Id="rId7" Type="http://schemas.openxmlformats.org/officeDocument/2006/relationships/hyperlink" Target="https://api.environdec.com/api/v1/EPDLibrary/Files/f5551601-408d-4385-0185-08daab6203a1/Data" TargetMode="External"/><Relationship Id="rId2" Type="http://schemas.openxmlformats.org/officeDocument/2006/relationships/hyperlink" Target="https://epd-australasia.com/wp-content/uploads/2023/06/SP07452-APL-Window-Solutions_vNov23.pdf" TargetMode="External"/><Relationship Id="rId1" Type="http://schemas.openxmlformats.org/officeDocument/2006/relationships/hyperlink" Target="https://epd-australasia.com/wp-content/uploads/2023/06/SP07452-APL-Window-Solutions_vNov23.pdf" TargetMode="External"/><Relationship Id="rId6" Type="http://schemas.openxmlformats.org/officeDocument/2006/relationships/hyperlink" Target="https://api.environdec.com/api/v1/EPDLibrary/Files/df481903-a021-4a5b-9548-ec60342d769b/Data" TargetMode="External"/><Relationship Id="rId11" Type="http://schemas.openxmlformats.org/officeDocument/2006/relationships/comments" Target="../comments12.xml"/><Relationship Id="rId5" Type="http://schemas.openxmlformats.org/officeDocument/2006/relationships/hyperlink" Target="https://api.environdec.com/api/v1/EPDLibrary/Files/52635996-871c-4748-8604-52b562e4b2d0/Data" TargetMode="External"/><Relationship Id="rId10" Type="http://schemas.openxmlformats.org/officeDocument/2006/relationships/vmlDrawing" Target="../drawings/vmlDrawing12.vml"/><Relationship Id="rId4" Type="http://schemas.openxmlformats.org/officeDocument/2006/relationships/hyperlink" Target="https://epd-australasia.com/wp-content/uploads/2023/06/SP07452-APL-Window-Solutions_vNov23.pdf" TargetMode="External"/><Relationship Id="rId9" Type="http://schemas.openxmlformats.org/officeDocument/2006/relationships/hyperlink" Target="https://www.assaabloyentrance.com/master-blueprint/market-documents/topics/sustainability/new-epd/automatic-doors/rd/assa-abloy-rd700-revolving-door.pdf" TargetMode="External"/></Relationships>
</file>

<file path=xl/worksheets/_rels/sheet76.xml.rels><?xml version="1.0" encoding="UTF-8" standalone="yes"?>
<Relationships xmlns="http://schemas.openxmlformats.org/package/2006/relationships"><Relationship Id="rId13" Type="http://schemas.openxmlformats.org/officeDocument/2006/relationships/hyperlink" Target="https://www.dcceew.gov.au/sites/default/files/documents/national-waste-database-2022.xlsx" TargetMode="External"/><Relationship Id="rId18" Type="http://schemas.openxmlformats.org/officeDocument/2006/relationships/hyperlink" Target="https://www.dcceew.gov.au/sites/default/files/documents/national-waste-database-2022.xlsx" TargetMode="External"/><Relationship Id="rId26" Type="http://schemas.openxmlformats.org/officeDocument/2006/relationships/hyperlink" Target="https://www.dcceew.gov.au/sites/default/files/documents/national-waste-database-2022.xlsx" TargetMode="External"/><Relationship Id="rId39" Type="http://schemas.openxmlformats.org/officeDocument/2006/relationships/hyperlink" Target="https://www.dcceew.gov.au/sites/default/files/documents/national-waste-database-2022.xlsx" TargetMode="External"/><Relationship Id="rId21" Type="http://schemas.openxmlformats.org/officeDocument/2006/relationships/hyperlink" Target="https://www.dcceew.gov.au/sites/default/files/documents/national-waste-database-2022.xlsx" TargetMode="External"/><Relationship Id="rId34" Type="http://schemas.openxmlformats.org/officeDocument/2006/relationships/hyperlink" Target="https://www.dcceew.gov.au/sites/default/files/documents/national-waste-database-2022.xlsx" TargetMode="External"/><Relationship Id="rId42" Type="http://schemas.openxmlformats.org/officeDocument/2006/relationships/hyperlink" Target="https://www.dcceew.gov.au/sites/default/files/documents/national-waste-database-2022.xlsx" TargetMode="External"/><Relationship Id="rId47" Type="http://schemas.openxmlformats.org/officeDocument/2006/relationships/hyperlink" Target="https://www.dcceew.gov.au/sites/default/files/documents/national-waste-database-2022.xlsx" TargetMode="External"/><Relationship Id="rId50" Type="http://schemas.openxmlformats.org/officeDocument/2006/relationships/hyperlink" Target="https://www.dcceew.gov.au/sites/default/files/documents/national-waste-database-2022.xlsx" TargetMode="External"/><Relationship Id="rId55" Type="http://schemas.openxmlformats.org/officeDocument/2006/relationships/hyperlink" Target="https://d39d3mj7qio96p.cloudfront.net/media/documents/SR279_Prefabrication_impacts_in_the_New_Zealand_construction_industry.pdf" TargetMode="External"/><Relationship Id="rId7" Type="http://schemas.openxmlformats.org/officeDocument/2006/relationships/hyperlink" Target="https://www.dcceew.gov.au/sites/default/files/documents/national-waste-database-2022.xlsx" TargetMode="External"/><Relationship Id="rId2" Type="http://schemas.openxmlformats.org/officeDocument/2006/relationships/hyperlink" Target="https://www.dcceew.gov.au/sites/default/files/documents/national-waste-database-2022.xlsx" TargetMode="External"/><Relationship Id="rId16" Type="http://schemas.openxmlformats.org/officeDocument/2006/relationships/hyperlink" Target="https://www.dcceew.gov.au/sites/default/files/documents/national-waste-database-2022.xlsx" TargetMode="External"/><Relationship Id="rId29" Type="http://schemas.openxmlformats.org/officeDocument/2006/relationships/hyperlink" Target="https://www.dcceew.gov.au/sites/default/files/documents/national-waste-database-2022.xlsx" TargetMode="External"/><Relationship Id="rId11" Type="http://schemas.openxmlformats.org/officeDocument/2006/relationships/hyperlink" Target="https://www.dcceew.gov.au/sites/default/files/documents/national-waste-database-2022.xlsx" TargetMode="External"/><Relationship Id="rId24" Type="http://schemas.openxmlformats.org/officeDocument/2006/relationships/hyperlink" Target="https://www.dcceew.gov.au/sites/default/files/documents/national-waste-database-2022.xlsx" TargetMode="External"/><Relationship Id="rId32" Type="http://schemas.openxmlformats.org/officeDocument/2006/relationships/hyperlink" Target="https://www.dcceew.gov.au/sites/default/files/documents/national-waste-database-2022.xlsx" TargetMode="External"/><Relationship Id="rId37" Type="http://schemas.openxmlformats.org/officeDocument/2006/relationships/hyperlink" Target="https://www.dcceew.gov.au/sites/default/files/documents/national-waste-database-2022.xlsx" TargetMode="External"/><Relationship Id="rId40" Type="http://schemas.openxmlformats.org/officeDocument/2006/relationships/hyperlink" Target="https://www.dcceew.gov.au/sites/default/files/documents/national-waste-database-2022.xlsx" TargetMode="External"/><Relationship Id="rId45" Type="http://schemas.openxmlformats.org/officeDocument/2006/relationships/hyperlink" Target="https://www.dcceew.gov.au/sites/default/files/documents/national-waste-database-2022.xlsx" TargetMode="External"/><Relationship Id="rId53" Type="http://schemas.openxmlformats.org/officeDocument/2006/relationships/hyperlink" Target="https://d39d3mj7qio96p.cloudfront.net/media/documents/SR279_Prefabrication_impacts_in_the_New_Zealand_construction_industry.pdf" TargetMode="External"/><Relationship Id="rId58" Type="http://schemas.openxmlformats.org/officeDocument/2006/relationships/hyperlink" Target="https://d39d3mj7qio96p.cloudfront.net/media/documents/SR279_Prefabrication_impacts_in_the_New_Zealand_construction_industry.pdf" TargetMode="External"/><Relationship Id="rId5" Type="http://schemas.openxmlformats.org/officeDocument/2006/relationships/hyperlink" Target="https://www.dcceew.gov.au/sites/default/files/documents/national-waste-database-2022.xlsx" TargetMode="External"/><Relationship Id="rId19" Type="http://schemas.openxmlformats.org/officeDocument/2006/relationships/hyperlink" Target="https://www.dcceew.gov.au/sites/default/files/documents/national-waste-database-2022.xlsx" TargetMode="External"/><Relationship Id="rId4" Type="http://schemas.openxmlformats.org/officeDocument/2006/relationships/hyperlink" Target="https://www.dcceew.gov.au/sites/default/files/documents/national-waste-database-2022.xlsx" TargetMode="External"/><Relationship Id="rId9" Type="http://schemas.openxmlformats.org/officeDocument/2006/relationships/hyperlink" Target="https://www.dcceew.gov.au/sites/default/files/documents/national-waste-database-2022.xlsx" TargetMode="External"/><Relationship Id="rId14" Type="http://schemas.openxmlformats.org/officeDocument/2006/relationships/hyperlink" Target="https://www.dcceew.gov.au/sites/default/files/documents/national-waste-database-2022.xlsx" TargetMode="External"/><Relationship Id="rId22" Type="http://schemas.openxmlformats.org/officeDocument/2006/relationships/hyperlink" Target="https://www.dcceew.gov.au/sites/default/files/documents/national-waste-database-2022.xlsx" TargetMode="External"/><Relationship Id="rId27" Type="http://schemas.openxmlformats.org/officeDocument/2006/relationships/hyperlink" Target="https://www.dcceew.gov.au/sites/default/files/documents/national-waste-database-2022.xlsx" TargetMode="External"/><Relationship Id="rId30" Type="http://schemas.openxmlformats.org/officeDocument/2006/relationships/hyperlink" Target="https://www.dcceew.gov.au/sites/default/files/documents/national-waste-database-2022.xlsx" TargetMode="External"/><Relationship Id="rId35" Type="http://schemas.openxmlformats.org/officeDocument/2006/relationships/hyperlink" Target="https://www.dcceew.gov.au/sites/default/files/documents/national-waste-database-2022.xlsx" TargetMode="External"/><Relationship Id="rId43" Type="http://schemas.openxmlformats.org/officeDocument/2006/relationships/hyperlink" Target="https://www.dcceew.gov.au/sites/default/files/documents/national-waste-database-2022.xlsx" TargetMode="External"/><Relationship Id="rId48" Type="http://schemas.openxmlformats.org/officeDocument/2006/relationships/hyperlink" Target="https://www.dcceew.gov.au/sites/default/files/documents/national-waste-database-2022.xlsx" TargetMode="External"/><Relationship Id="rId56" Type="http://schemas.openxmlformats.org/officeDocument/2006/relationships/hyperlink" Target="https://d39d3mj7qio96p.cloudfront.net/media/documents/SR279_Prefabrication_impacts_in_the_New_Zealand_construction_industry.pdf" TargetMode="External"/><Relationship Id="rId8" Type="http://schemas.openxmlformats.org/officeDocument/2006/relationships/hyperlink" Target="https://www.dcceew.gov.au/sites/default/files/documents/national-waste-database-2022.xlsx" TargetMode="External"/><Relationship Id="rId51" Type="http://schemas.openxmlformats.org/officeDocument/2006/relationships/hyperlink" Target="https://www.dcceew.gov.au/sites/default/files/documents/national-waste-database-2022.xlsx" TargetMode="External"/><Relationship Id="rId3" Type="http://schemas.openxmlformats.org/officeDocument/2006/relationships/hyperlink" Target="https://www.dcceew.gov.au/sites/default/files/documents/national-waste-database-2022.xlsx" TargetMode="External"/><Relationship Id="rId12" Type="http://schemas.openxmlformats.org/officeDocument/2006/relationships/hyperlink" Target="https://www.dcceew.gov.au/sites/default/files/documents/national-waste-database-2022.xlsx" TargetMode="External"/><Relationship Id="rId17" Type="http://schemas.openxmlformats.org/officeDocument/2006/relationships/hyperlink" Target="https://www.dcceew.gov.au/sites/default/files/documents/national-waste-database-2022.xlsx" TargetMode="External"/><Relationship Id="rId25" Type="http://schemas.openxmlformats.org/officeDocument/2006/relationships/hyperlink" Target="https://www.dcceew.gov.au/sites/default/files/documents/national-waste-database-2022.xlsx" TargetMode="External"/><Relationship Id="rId33" Type="http://schemas.openxmlformats.org/officeDocument/2006/relationships/hyperlink" Target="https://www.dcceew.gov.au/sites/default/files/documents/national-waste-database-2022.xlsx" TargetMode="External"/><Relationship Id="rId38" Type="http://schemas.openxmlformats.org/officeDocument/2006/relationships/hyperlink" Target="https://www.dcceew.gov.au/sites/default/files/documents/national-waste-database-2022.xlsx" TargetMode="External"/><Relationship Id="rId46" Type="http://schemas.openxmlformats.org/officeDocument/2006/relationships/hyperlink" Target="https://www.dcceew.gov.au/sites/default/files/documents/national-waste-database-2022.xlsx" TargetMode="External"/><Relationship Id="rId59" Type="http://schemas.openxmlformats.org/officeDocument/2006/relationships/vmlDrawing" Target="../drawings/vmlDrawing13.vml"/><Relationship Id="rId20" Type="http://schemas.openxmlformats.org/officeDocument/2006/relationships/hyperlink" Target="https://www.dcceew.gov.au/sites/default/files/documents/national-waste-database-2022.xlsx" TargetMode="External"/><Relationship Id="rId41" Type="http://schemas.openxmlformats.org/officeDocument/2006/relationships/hyperlink" Target="https://www.dcceew.gov.au/sites/default/files/documents/national-waste-database-2022.xlsx" TargetMode="External"/><Relationship Id="rId54" Type="http://schemas.openxmlformats.org/officeDocument/2006/relationships/hyperlink" Target="https://d39d3mj7qio96p.cloudfront.net/media/documents/SR279_Prefabrication_impacts_in_the_New_Zealand_construction_industry.pdf" TargetMode="External"/><Relationship Id="rId1" Type="http://schemas.openxmlformats.org/officeDocument/2006/relationships/hyperlink" Target="https://www.dcceew.gov.au/sites/default/files/documents/national-waste-database-2022.xlsx" TargetMode="External"/><Relationship Id="rId6" Type="http://schemas.openxmlformats.org/officeDocument/2006/relationships/hyperlink" Target="https://www.dcceew.gov.au/sites/default/files/documents/national-waste-database-2022.xlsx" TargetMode="External"/><Relationship Id="rId15" Type="http://schemas.openxmlformats.org/officeDocument/2006/relationships/hyperlink" Target="https://www.dcceew.gov.au/sites/default/files/documents/national-waste-database-2022.xlsx" TargetMode="External"/><Relationship Id="rId23" Type="http://schemas.openxmlformats.org/officeDocument/2006/relationships/hyperlink" Target="https://www.dcceew.gov.au/sites/default/files/documents/national-waste-database-2022.xlsx" TargetMode="External"/><Relationship Id="rId28" Type="http://schemas.openxmlformats.org/officeDocument/2006/relationships/hyperlink" Target="https://www.dcceew.gov.au/sites/default/files/documents/national-waste-database-2022.xlsx" TargetMode="External"/><Relationship Id="rId36" Type="http://schemas.openxmlformats.org/officeDocument/2006/relationships/hyperlink" Target="https://www.dcceew.gov.au/sites/default/files/documents/national-waste-database-2022.xlsx" TargetMode="External"/><Relationship Id="rId49" Type="http://schemas.openxmlformats.org/officeDocument/2006/relationships/hyperlink" Target="https://www.dcceew.gov.au/sites/default/files/documents/national-waste-database-2022.xlsx" TargetMode="External"/><Relationship Id="rId57" Type="http://schemas.openxmlformats.org/officeDocument/2006/relationships/hyperlink" Target="https://d39d3mj7qio96p.cloudfront.net/media/documents/SR279_Prefabrication_impacts_in_the_New_Zealand_construction_industry.pdf" TargetMode="External"/><Relationship Id="rId10" Type="http://schemas.openxmlformats.org/officeDocument/2006/relationships/hyperlink" Target="https://www.dcceew.gov.au/sites/default/files/documents/national-waste-database-2022.xlsx" TargetMode="External"/><Relationship Id="rId31" Type="http://schemas.openxmlformats.org/officeDocument/2006/relationships/hyperlink" Target="https://www.dcceew.gov.au/sites/default/files/documents/national-waste-database-2022.xlsx" TargetMode="External"/><Relationship Id="rId44" Type="http://schemas.openxmlformats.org/officeDocument/2006/relationships/hyperlink" Target="https://www.dcceew.gov.au/sites/default/files/documents/national-waste-database-2022.xlsx" TargetMode="External"/><Relationship Id="rId52" Type="http://schemas.openxmlformats.org/officeDocument/2006/relationships/hyperlink" Target="https://www.dcceew.gov.au/sites/default/files/documents/national-waste-database-2022.xlsx" TargetMode="External"/><Relationship Id="rId60" Type="http://schemas.openxmlformats.org/officeDocument/2006/relationships/comments" Target="../comments13.xml"/></Relationships>
</file>

<file path=xl/worksheets/_rels/sheet77.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s://api.environdec.com/api/v1/EPDLibrary/Files/c24082d0-e085-41f7-248b-08db259f9365/Data"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28D222-01CE-40EB-B956-464D98992593}">
  <sheetPr codeName="Sheet49">
    <tabColor theme="0" tint="-4.9989318521683403E-2"/>
  </sheetPr>
  <dimension ref="A1:N66"/>
  <sheetViews>
    <sheetView tabSelected="1" workbookViewId="0"/>
  </sheetViews>
  <sheetFormatPr defaultColWidth="9.109375" defaultRowHeight="13.2" x14ac:dyDescent="0.25"/>
  <cols>
    <col min="1" max="16384" width="9.109375" style="181"/>
  </cols>
  <sheetData>
    <row r="1" spans="1:14" x14ac:dyDescent="0.25">
      <c r="A1" s="271"/>
      <c r="B1" s="271"/>
      <c r="C1" s="271"/>
      <c r="D1" s="271"/>
      <c r="E1" s="271"/>
      <c r="F1" s="271"/>
      <c r="G1" s="271"/>
      <c r="H1" s="271"/>
      <c r="I1" s="271"/>
      <c r="J1" s="271"/>
      <c r="K1" s="470" t="s">
        <v>0</v>
      </c>
      <c r="L1" s="470"/>
      <c r="M1" s="272"/>
    </row>
    <row r="2" spans="1:14" x14ac:dyDescent="0.25">
      <c r="A2" s="271"/>
      <c r="B2"/>
      <c r="C2" s="271"/>
      <c r="D2" s="271"/>
      <c r="E2" s="271"/>
      <c r="F2" s="271"/>
      <c r="G2" s="271"/>
      <c r="H2" s="271"/>
      <c r="I2" s="271"/>
      <c r="J2" s="271"/>
      <c r="K2" s="470"/>
      <c r="L2" s="470"/>
      <c r="M2" s="272"/>
    </row>
    <row r="3" spans="1:14" x14ac:dyDescent="0.25">
      <c r="A3" s="271"/>
      <c r="B3" s="271"/>
      <c r="C3" s="271"/>
      <c r="D3" s="271"/>
      <c r="E3" s="271"/>
      <c r="F3" s="271"/>
      <c r="G3" s="271"/>
      <c r="H3" s="271"/>
      <c r="I3" s="271"/>
      <c r="J3" s="271"/>
      <c r="K3" s="470"/>
      <c r="L3" s="470"/>
      <c r="M3" s="272"/>
    </row>
    <row r="4" spans="1:14" x14ac:dyDescent="0.25">
      <c r="A4" s="271"/>
      <c r="B4" s="271"/>
      <c r="C4" s="271"/>
      <c r="D4" s="271"/>
      <c r="E4" s="271"/>
      <c r="F4" s="271"/>
      <c r="G4" s="271"/>
      <c r="H4" s="271"/>
      <c r="I4" s="271"/>
      <c r="J4" s="271"/>
      <c r="K4" s="470"/>
      <c r="L4" s="470"/>
      <c r="M4" s="272"/>
    </row>
    <row r="5" spans="1:14" x14ac:dyDescent="0.25">
      <c r="A5" s="271"/>
      <c r="B5" s="271"/>
      <c r="C5" s="271"/>
      <c r="D5" s="271"/>
      <c r="E5" s="271"/>
      <c r="F5" s="271"/>
      <c r="G5" s="271"/>
      <c r="H5" s="271"/>
      <c r="I5" s="271"/>
      <c r="J5" s="271"/>
      <c r="K5" s="470"/>
      <c r="L5" s="470"/>
      <c r="M5" s="272"/>
    </row>
    <row r="6" spans="1:14" x14ac:dyDescent="0.25">
      <c r="A6" s="271"/>
      <c r="B6" s="271"/>
      <c r="C6" s="271"/>
      <c r="D6" s="271"/>
      <c r="E6" s="271"/>
      <c r="F6" s="271"/>
      <c r="G6" s="271"/>
      <c r="H6" s="271"/>
      <c r="I6" s="271"/>
      <c r="J6" s="271"/>
      <c r="K6" s="470"/>
      <c r="L6" s="470"/>
      <c r="M6" s="272"/>
    </row>
    <row r="7" spans="1:14" x14ac:dyDescent="0.25">
      <c r="A7" s="273"/>
      <c r="B7" s="273"/>
      <c r="C7" s="273"/>
      <c r="D7" s="273"/>
      <c r="E7" s="273"/>
      <c r="F7" s="273"/>
      <c r="G7" s="273"/>
      <c r="H7" s="273"/>
      <c r="I7" s="273"/>
      <c r="J7" s="273"/>
      <c r="K7" s="273"/>
      <c r="L7" s="273"/>
      <c r="M7" s="273"/>
      <c r="N7" s="273"/>
    </row>
    <row r="8" spans="1:14" ht="28.2" x14ac:dyDescent="0.25">
      <c r="A8" s="273"/>
      <c r="B8" s="471" t="s">
        <v>1</v>
      </c>
      <c r="C8" s="471"/>
      <c r="D8" s="471"/>
      <c r="E8" s="471"/>
      <c r="F8" s="471"/>
      <c r="G8" s="471"/>
      <c r="H8" s="471"/>
      <c r="I8" s="471"/>
      <c r="J8" s="471"/>
      <c r="K8" s="471"/>
      <c r="L8" s="471"/>
      <c r="M8" s="471"/>
      <c r="N8" s="273"/>
    </row>
    <row r="9" spans="1:14" x14ac:dyDescent="0.25">
      <c r="A9" s="273"/>
      <c r="B9" s="273"/>
      <c r="C9" s="273"/>
      <c r="D9" s="273"/>
      <c r="E9" s="273"/>
      <c r="F9" s="273"/>
      <c r="G9" s="273"/>
      <c r="H9" s="273"/>
      <c r="I9" s="273"/>
      <c r="J9" s="273"/>
      <c r="K9" s="273"/>
      <c r="L9" s="273"/>
      <c r="M9" s="273"/>
      <c r="N9" s="273"/>
    </row>
    <row r="10" spans="1:14" x14ac:dyDescent="0.25">
      <c r="A10" s="271"/>
      <c r="B10" s="271"/>
      <c r="C10" s="271"/>
      <c r="D10" s="271"/>
      <c r="E10" s="271"/>
      <c r="F10" s="271"/>
      <c r="G10" s="271"/>
      <c r="H10" s="271"/>
      <c r="I10" s="271"/>
      <c r="J10" s="271"/>
      <c r="K10" s="271"/>
      <c r="L10" s="271"/>
      <c r="M10" s="271"/>
    </row>
    <row r="11" spans="1:14" ht="17.399999999999999" x14ac:dyDescent="0.25">
      <c r="A11" s="271"/>
      <c r="B11" s="465" t="s">
        <v>2</v>
      </c>
      <c r="C11" s="465"/>
      <c r="D11" s="465"/>
      <c r="E11" s="465"/>
      <c r="F11" s="465"/>
      <c r="G11" s="465"/>
      <c r="H11" s="465"/>
      <c r="I11" s="465"/>
      <c r="J11" s="465"/>
      <c r="K11" s="465"/>
      <c r="L11" s="465"/>
      <c r="M11" s="271"/>
    </row>
    <row r="12" spans="1:14" x14ac:dyDescent="0.25">
      <c r="A12" s="271"/>
      <c r="B12" s="274"/>
      <c r="C12" s="274"/>
      <c r="D12" s="274"/>
      <c r="E12" s="274"/>
      <c r="F12" s="274"/>
      <c r="G12" s="274"/>
      <c r="H12" s="274"/>
      <c r="I12" s="274"/>
      <c r="J12" s="274"/>
      <c r="K12" s="274"/>
      <c r="L12" s="274"/>
      <c r="M12" s="271"/>
    </row>
    <row r="13" spans="1:14" x14ac:dyDescent="0.25">
      <c r="A13" s="271"/>
      <c r="B13" s="311" t="s">
        <v>3</v>
      </c>
      <c r="C13" s="310">
        <v>1</v>
      </c>
      <c r="D13" s="274"/>
      <c r="E13" s="274"/>
      <c r="F13" s="274"/>
      <c r="G13" s="274"/>
      <c r="H13" s="274"/>
      <c r="I13" s="274"/>
      <c r="J13" s="274"/>
      <c r="K13" s="274"/>
      <c r="L13" s="274"/>
      <c r="M13" s="275"/>
    </row>
    <row r="14" spans="1:14" x14ac:dyDescent="0.25">
      <c r="A14" s="271"/>
      <c r="B14" s="274"/>
      <c r="C14" s="274"/>
      <c r="D14" s="274"/>
      <c r="E14" s="274"/>
      <c r="F14" s="274"/>
      <c r="G14" s="274"/>
      <c r="H14" s="274"/>
      <c r="I14" s="274"/>
      <c r="J14" s="274"/>
      <c r="K14" s="274"/>
      <c r="L14" s="274"/>
      <c r="M14" s="275"/>
    </row>
    <row r="15" spans="1:14" ht="45.75" customHeight="1" x14ac:dyDescent="0.25">
      <c r="A15" s="271"/>
      <c r="B15" s="466" t="s">
        <v>4</v>
      </c>
      <c r="C15" s="466"/>
      <c r="D15" s="466"/>
      <c r="E15" s="466"/>
      <c r="F15" s="466"/>
      <c r="G15" s="466"/>
      <c r="H15" s="466"/>
      <c r="I15" s="466"/>
      <c r="J15" s="466"/>
      <c r="K15" s="466"/>
      <c r="L15" s="466"/>
      <c r="M15" s="271"/>
    </row>
    <row r="16" spans="1:14" ht="17.399999999999999" x14ac:dyDescent="0.25">
      <c r="A16" s="271"/>
      <c r="B16" s="465" t="s">
        <v>5</v>
      </c>
      <c r="C16" s="465"/>
      <c r="D16" s="465"/>
      <c r="E16" s="465"/>
      <c r="F16" s="465"/>
      <c r="G16" s="465"/>
      <c r="H16" s="465"/>
      <c r="I16" s="465"/>
      <c r="J16" s="465"/>
      <c r="K16" s="465"/>
      <c r="L16" s="465"/>
      <c r="M16" s="271"/>
    </row>
    <row r="17" spans="1:13" ht="31.5" customHeight="1" x14ac:dyDescent="0.25">
      <c r="A17" s="271"/>
      <c r="B17" s="466" t="s">
        <v>6</v>
      </c>
      <c r="C17" s="466"/>
      <c r="D17" s="466"/>
      <c r="E17" s="466"/>
      <c r="F17" s="466"/>
      <c r="G17" s="466"/>
      <c r="H17" s="466"/>
      <c r="I17" s="466"/>
      <c r="J17" s="466"/>
      <c r="K17" s="466"/>
      <c r="L17" s="466"/>
      <c r="M17" s="399"/>
    </row>
    <row r="18" spans="1:13" ht="17.399999999999999" x14ac:dyDescent="0.25">
      <c r="A18" s="271"/>
      <c r="B18" s="465"/>
      <c r="C18" s="465"/>
      <c r="D18" s="465"/>
      <c r="E18" s="465"/>
      <c r="F18" s="465"/>
      <c r="G18" s="465"/>
      <c r="H18" s="465"/>
      <c r="I18" s="465"/>
      <c r="J18" s="465"/>
      <c r="K18" s="465"/>
      <c r="L18" s="465"/>
      <c r="M18" s="271"/>
    </row>
    <row r="19" spans="1:13" ht="17.399999999999999" x14ac:dyDescent="0.25">
      <c r="A19" s="271"/>
      <c r="B19" s="465" t="s">
        <v>7</v>
      </c>
      <c r="C19" s="465"/>
      <c r="D19" s="465"/>
      <c r="E19" s="465"/>
      <c r="F19" s="465"/>
      <c r="G19" s="465"/>
      <c r="H19" s="465"/>
      <c r="I19" s="465"/>
      <c r="J19" s="465"/>
      <c r="K19" s="465"/>
      <c r="L19" s="465"/>
      <c r="M19" s="271"/>
    </row>
    <row r="20" spans="1:13" x14ac:dyDescent="0.25">
      <c r="A20" s="271"/>
      <c r="B20" s="466" t="s">
        <v>8</v>
      </c>
      <c r="C20" s="466"/>
      <c r="D20" s="466"/>
      <c r="E20" s="466"/>
      <c r="F20" s="466"/>
      <c r="G20" s="466"/>
      <c r="H20" s="466"/>
      <c r="I20" s="466"/>
      <c r="J20" s="466"/>
      <c r="K20" s="466"/>
      <c r="L20" s="466"/>
      <c r="M20" s="271"/>
    </row>
    <row r="21" spans="1:13" ht="17.399999999999999" x14ac:dyDescent="0.25">
      <c r="A21" s="271"/>
      <c r="B21" s="465"/>
      <c r="C21" s="465"/>
      <c r="D21" s="465"/>
      <c r="E21" s="465"/>
      <c r="F21" s="465"/>
      <c r="G21" s="465"/>
      <c r="H21" s="465"/>
      <c r="I21" s="465"/>
      <c r="J21" s="465"/>
      <c r="K21" s="465"/>
      <c r="L21" s="465"/>
      <c r="M21" s="271"/>
    </row>
    <row r="22" spans="1:13" ht="15.6" x14ac:dyDescent="0.25">
      <c r="A22" s="271"/>
      <c r="B22" s="463" t="s">
        <v>9</v>
      </c>
      <c r="C22" s="463"/>
      <c r="D22" s="463"/>
      <c r="E22" s="463"/>
      <c r="F22" s="463"/>
      <c r="G22" s="463"/>
      <c r="H22" s="463"/>
      <c r="I22" s="463"/>
      <c r="J22" s="463"/>
      <c r="K22" s="463"/>
      <c r="L22" s="463"/>
      <c r="M22" s="271"/>
    </row>
    <row r="23" spans="1:13" ht="43.5" customHeight="1" x14ac:dyDescent="0.25">
      <c r="A23" s="271"/>
      <c r="B23" s="462" t="s">
        <v>10</v>
      </c>
      <c r="C23" s="462"/>
      <c r="D23" s="462"/>
      <c r="E23" s="462"/>
      <c r="F23" s="462"/>
      <c r="G23" s="462"/>
      <c r="H23" s="462"/>
      <c r="I23" s="462"/>
      <c r="J23" s="462"/>
      <c r="K23" s="462"/>
      <c r="L23" s="462"/>
      <c r="M23" s="271"/>
    </row>
    <row r="24" spans="1:13" x14ac:dyDescent="0.25">
      <c r="A24" s="271"/>
      <c r="B24" s="462"/>
      <c r="C24" s="462"/>
      <c r="D24" s="462"/>
      <c r="E24" s="462"/>
      <c r="F24" s="462"/>
      <c r="G24" s="462"/>
      <c r="H24" s="462"/>
      <c r="I24" s="462"/>
      <c r="J24" s="462"/>
      <c r="K24" s="462"/>
      <c r="L24" s="462"/>
      <c r="M24" s="271"/>
    </row>
    <row r="25" spans="1:13" ht="15.6" x14ac:dyDescent="0.25">
      <c r="A25" s="271"/>
      <c r="B25" s="463" t="s">
        <v>11</v>
      </c>
      <c r="C25" s="463"/>
      <c r="D25" s="463"/>
      <c r="E25" s="463"/>
      <c r="F25" s="463"/>
      <c r="G25" s="463"/>
      <c r="H25" s="463"/>
      <c r="I25" s="463"/>
      <c r="J25" s="463"/>
      <c r="K25" s="463"/>
      <c r="L25" s="463"/>
      <c r="M25" s="271"/>
    </row>
    <row r="26" spans="1:13" ht="37.5" customHeight="1" x14ac:dyDescent="0.25">
      <c r="A26" s="271"/>
      <c r="B26" s="462" t="s">
        <v>12</v>
      </c>
      <c r="C26" s="462"/>
      <c r="D26" s="462"/>
      <c r="E26" s="462"/>
      <c r="F26" s="462"/>
      <c r="G26" s="462"/>
      <c r="H26" s="462"/>
      <c r="I26" s="462"/>
      <c r="J26" s="462"/>
      <c r="K26" s="462"/>
      <c r="L26" s="462"/>
      <c r="M26" s="271"/>
    </row>
    <row r="27" spans="1:13" x14ac:dyDescent="0.25">
      <c r="A27" s="271"/>
      <c r="B27" s="462"/>
      <c r="C27" s="462"/>
      <c r="D27" s="462"/>
      <c r="E27" s="462"/>
      <c r="F27" s="462"/>
      <c r="G27" s="462"/>
      <c r="H27" s="462"/>
      <c r="I27" s="462"/>
      <c r="J27" s="462"/>
      <c r="K27" s="462"/>
      <c r="L27" s="462"/>
      <c r="M27" s="271"/>
    </row>
    <row r="28" spans="1:13" ht="15.6" x14ac:dyDescent="0.25">
      <c r="A28" s="271"/>
      <c r="B28" s="463" t="s">
        <v>13</v>
      </c>
      <c r="C28" s="463"/>
      <c r="D28" s="463"/>
      <c r="E28" s="463"/>
      <c r="F28" s="463"/>
      <c r="G28" s="463"/>
      <c r="H28" s="463"/>
      <c r="I28" s="463"/>
      <c r="J28" s="463"/>
      <c r="K28" s="463"/>
      <c r="L28" s="463"/>
      <c r="M28" s="271"/>
    </row>
    <row r="29" spans="1:13" ht="27" customHeight="1" x14ac:dyDescent="0.25">
      <c r="A29" s="271"/>
      <c r="B29" s="467" t="s">
        <v>14</v>
      </c>
      <c r="C29" s="467"/>
      <c r="D29" s="467"/>
      <c r="E29" s="467"/>
      <c r="F29" s="467"/>
      <c r="G29" s="467"/>
      <c r="H29" s="467"/>
      <c r="I29" s="467"/>
      <c r="J29" s="467"/>
      <c r="K29" s="467"/>
      <c r="L29" s="467"/>
      <c r="M29" s="271"/>
    </row>
    <row r="30" spans="1:13" x14ac:dyDescent="0.25">
      <c r="A30" s="271"/>
      <c r="B30" s="464"/>
      <c r="C30" s="464"/>
      <c r="D30" s="464"/>
      <c r="E30" s="464"/>
      <c r="F30" s="464"/>
      <c r="G30" s="464"/>
      <c r="H30" s="464"/>
      <c r="I30" s="464"/>
      <c r="J30" s="464"/>
      <c r="K30" s="464"/>
      <c r="L30" s="464"/>
      <c r="M30" s="271"/>
    </row>
    <row r="31" spans="1:13" ht="15.6" x14ac:dyDescent="0.25">
      <c r="A31" s="271"/>
      <c r="B31" s="463" t="s">
        <v>15</v>
      </c>
      <c r="C31" s="463"/>
      <c r="D31" s="463"/>
      <c r="E31" s="463"/>
      <c r="F31" s="463"/>
      <c r="G31" s="463"/>
      <c r="H31" s="463"/>
      <c r="I31" s="463"/>
      <c r="J31" s="463"/>
      <c r="K31" s="463"/>
      <c r="L31" s="463"/>
      <c r="M31" s="271"/>
    </row>
    <row r="32" spans="1:13" x14ac:dyDescent="0.25">
      <c r="A32" s="271"/>
      <c r="B32" s="467" t="s">
        <v>16</v>
      </c>
      <c r="C32" s="467"/>
      <c r="D32" s="467"/>
      <c r="E32" s="467"/>
      <c r="F32" s="467"/>
      <c r="G32" s="467"/>
      <c r="H32" s="467"/>
      <c r="I32" s="467"/>
      <c r="J32" s="467"/>
      <c r="K32" s="467"/>
      <c r="L32" s="467"/>
      <c r="M32" s="271"/>
    </row>
    <row r="33" spans="1:13" x14ac:dyDescent="0.25">
      <c r="A33" s="271"/>
      <c r="B33" s="464"/>
      <c r="C33" s="464"/>
      <c r="D33" s="464"/>
      <c r="E33" s="464"/>
      <c r="F33" s="464"/>
      <c r="G33" s="464"/>
      <c r="H33" s="464"/>
      <c r="I33" s="464"/>
      <c r="J33" s="464"/>
      <c r="K33" s="464"/>
      <c r="L33" s="464"/>
      <c r="M33" s="271"/>
    </row>
    <row r="34" spans="1:13" ht="15.6" x14ac:dyDescent="0.25">
      <c r="A34" s="271"/>
      <c r="B34" s="463" t="s">
        <v>17</v>
      </c>
      <c r="C34" s="463"/>
      <c r="D34" s="463"/>
      <c r="E34" s="463"/>
      <c r="F34" s="463"/>
      <c r="G34" s="463"/>
      <c r="H34" s="463"/>
      <c r="I34" s="463"/>
      <c r="J34" s="463"/>
      <c r="K34" s="463"/>
      <c r="L34" s="463"/>
      <c r="M34" s="271"/>
    </row>
    <row r="35" spans="1:13" ht="48" customHeight="1" x14ac:dyDescent="0.25">
      <c r="A35" s="271"/>
      <c r="B35" s="462" t="s">
        <v>18</v>
      </c>
      <c r="C35" s="462"/>
      <c r="D35" s="462"/>
      <c r="E35" s="462"/>
      <c r="F35" s="462"/>
      <c r="G35" s="462"/>
      <c r="H35" s="462"/>
      <c r="I35" s="462"/>
      <c r="J35" s="462"/>
      <c r="K35" s="462"/>
      <c r="L35" s="462"/>
      <c r="M35" s="271"/>
    </row>
    <row r="36" spans="1:13" x14ac:dyDescent="0.25">
      <c r="A36" s="271"/>
      <c r="B36" s="468"/>
      <c r="C36" s="468"/>
      <c r="D36" s="468"/>
      <c r="E36" s="468"/>
      <c r="F36" s="468"/>
      <c r="G36" s="468"/>
      <c r="H36" s="468"/>
      <c r="I36" s="468"/>
      <c r="J36" s="468"/>
      <c r="K36" s="468"/>
      <c r="L36" s="468"/>
      <c r="M36" s="271"/>
    </row>
    <row r="37" spans="1:13" ht="17.399999999999999" x14ac:dyDescent="0.25">
      <c r="A37" s="271"/>
      <c r="B37" s="469"/>
      <c r="C37" s="469"/>
      <c r="D37" s="469"/>
      <c r="E37" s="469"/>
      <c r="F37" s="469"/>
      <c r="G37" s="469"/>
      <c r="H37" s="469"/>
      <c r="I37" s="469"/>
      <c r="J37" s="469"/>
      <c r="K37" s="469"/>
      <c r="L37" s="469"/>
      <c r="M37" s="271"/>
    </row>
    <row r="38" spans="1:13" ht="17.399999999999999" x14ac:dyDescent="0.25">
      <c r="A38" s="271"/>
      <c r="B38" s="465" t="s">
        <v>19</v>
      </c>
      <c r="C38" s="465"/>
      <c r="D38" s="465"/>
      <c r="E38" s="465"/>
      <c r="F38" s="465"/>
      <c r="G38" s="465"/>
      <c r="H38" s="465"/>
      <c r="I38" s="465"/>
      <c r="J38" s="465"/>
      <c r="K38" s="465"/>
      <c r="L38" s="465"/>
      <c r="M38" s="271"/>
    </row>
    <row r="39" spans="1:13" x14ac:dyDescent="0.25">
      <c r="A39" s="271"/>
      <c r="B39" s="466" t="s">
        <v>20</v>
      </c>
      <c r="C39" s="466"/>
      <c r="D39" s="466"/>
      <c r="E39" s="466"/>
      <c r="F39" s="466"/>
      <c r="G39" s="466"/>
      <c r="H39" s="466"/>
      <c r="I39" s="466"/>
      <c r="J39" s="466"/>
      <c r="K39" s="466"/>
      <c r="L39" s="466"/>
      <c r="M39" s="271"/>
    </row>
    <row r="40" spans="1:13" ht="17.399999999999999" x14ac:dyDescent="0.25">
      <c r="A40" s="271"/>
      <c r="B40" s="465"/>
      <c r="C40" s="465"/>
      <c r="D40" s="465"/>
      <c r="E40" s="465"/>
      <c r="F40" s="465"/>
      <c r="G40" s="465"/>
      <c r="H40" s="465"/>
      <c r="I40" s="465"/>
      <c r="J40" s="465"/>
      <c r="K40" s="465"/>
      <c r="L40" s="465"/>
      <c r="M40" s="271"/>
    </row>
    <row r="41" spans="1:13" ht="15.6" customHeight="1" x14ac:dyDescent="0.25">
      <c r="A41" s="271"/>
      <c r="B41" s="463" t="s">
        <v>21</v>
      </c>
      <c r="C41" s="463"/>
      <c r="D41" s="463"/>
      <c r="E41" s="463"/>
      <c r="F41" s="463"/>
      <c r="G41" s="463"/>
      <c r="H41" s="463"/>
      <c r="I41" s="463"/>
      <c r="J41" s="463"/>
      <c r="K41" s="463"/>
      <c r="L41" s="463"/>
      <c r="M41" s="271"/>
    </row>
    <row r="42" spans="1:13" ht="35.25" customHeight="1" x14ac:dyDescent="0.25">
      <c r="A42" s="271"/>
      <c r="B42" s="462" t="s">
        <v>22</v>
      </c>
      <c r="C42" s="462"/>
      <c r="D42" s="462"/>
      <c r="E42" s="462"/>
      <c r="F42" s="462"/>
      <c r="G42" s="462"/>
      <c r="H42" s="462"/>
      <c r="I42" s="462"/>
      <c r="J42" s="462"/>
      <c r="K42" s="462"/>
      <c r="L42" s="462"/>
      <c r="M42" s="271"/>
    </row>
    <row r="43" spans="1:13" ht="12.6" customHeight="1" x14ac:dyDescent="0.25">
      <c r="A43" s="271"/>
      <c r="B43" s="464"/>
      <c r="C43" s="464"/>
      <c r="D43" s="464"/>
      <c r="E43" s="464"/>
      <c r="F43" s="464"/>
      <c r="G43" s="464"/>
      <c r="H43" s="464"/>
      <c r="I43" s="464"/>
      <c r="J43" s="464"/>
      <c r="K43" s="464"/>
      <c r="L43" s="464"/>
      <c r="M43" s="271"/>
    </row>
    <row r="44" spans="1:13" ht="15.6" x14ac:dyDescent="0.25">
      <c r="A44" s="271"/>
      <c r="B44" s="463" t="s">
        <v>23</v>
      </c>
      <c r="C44" s="463"/>
      <c r="D44" s="463"/>
      <c r="E44" s="463"/>
      <c r="F44" s="463"/>
      <c r="G44" s="463"/>
      <c r="H44" s="463"/>
      <c r="I44" s="463"/>
      <c r="J44" s="463"/>
      <c r="K44" s="463"/>
      <c r="L44" s="463"/>
      <c r="M44" s="271"/>
    </row>
    <row r="45" spans="1:13" ht="37.5" customHeight="1" x14ac:dyDescent="0.25">
      <c r="A45" s="271"/>
      <c r="B45" s="462" t="s">
        <v>24</v>
      </c>
      <c r="C45" s="462"/>
      <c r="D45" s="462"/>
      <c r="E45" s="462"/>
      <c r="F45" s="462"/>
      <c r="G45" s="462"/>
      <c r="H45" s="462"/>
      <c r="I45" s="462"/>
      <c r="J45" s="462"/>
      <c r="K45" s="462"/>
      <c r="L45" s="462"/>
      <c r="M45" s="271"/>
    </row>
    <row r="46" spans="1:13" x14ac:dyDescent="0.25">
      <c r="A46" s="271"/>
      <c r="B46" s="462"/>
      <c r="C46" s="462"/>
      <c r="D46" s="462"/>
      <c r="E46" s="462"/>
      <c r="F46" s="462"/>
      <c r="G46" s="462"/>
      <c r="H46" s="462"/>
      <c r="I46" s="462"/>
      <c r="J46" s="462"/>
      <c r="K46" s="462"/>
      <c r="L46" s="462"/>
      <c r="M46" s="271"/>
    </row>
    <row r="47" spans="1:13" ht="15.6" x14ac:dyDescent="0.25">
      <c r="A47" s="271"/>
      <c r="B47" s="463" t="s">
        <v>25</v>
      </c>
      <c r="C47" s="463"/>
      <c r="D47" s="463"/>
      <c r="E47" s="463"/>
      <c r="F47" s="463"/>
      <c r="G47" s="463"/>
      <c r="H47" s="463"/>
      <c r="I47" s="463"/>
      <c r="J47" s="463"/>
      <c r="K47" s="463"/>
      <c r="L47" s="463"/>
      <c r="M47" s="271"/>
    </row>
    <row r="48" spans="1:13" ht="39" customHeight="1" x14ac:dyDescent="0.25">
      <c r="A48" s="271"/>
      <c r="B48" s="462" t="s">
        <v>26</v>
      </c>
      <c r="C48" s="462"/>
      <c r="D48" s="462"/>
      <c r="E48" s="462"/>
      <c r="F48" s="462"/>
      <c r="G48" s="462"/>
      <c r="H48" s="462"/>
      <c r="I48" s="462"/>
      <c r="J48" s="462"/>
      <c r="K48" s="462"/>
      <c r="L48" s="462"/>
      <c r="M48" s="271"/>
    </row>
    <row r="49" spans="1:13" x14ac:dyDescent="0.25">
      <c r="A49" s="271"/>
      <c r="B49" s="462"/>
      <c r="C49" s="462"/>
      <c r="D49" s="462"/>
      <c r="E49" s="462"/>
      <c r="F49" s="462"/>
      <c r="G49" s="462"/>
      <c r="H49" s="462"/>
      <c r="I49" s="462"/>
      <c r="J49" s="462"/>
      <c r="K49" s="462"/>
      <c r="L49" s="462"/>
      <c r="M49" s="271"/>
    </row>
    <row r="50" spans="1:13" ht="15.6" x14ac:dyDescent="0.25">
      <c r="B50" s="463" t="s">
        <v>27</v>
      </c>
      <c r="C50" s="463"/>
      <c r="D50" s="463"/>
      <c r="E50" s="463"/>
      <c r="F50" s="463"/>
      <c r="G50" s="463"/>
      <c r="H50" s="463"/>
      <c r="I50" s="463"/>
      <c r="J50" s="463"/>
      <c r="K50" s="463"/>
      <c r="L50" s="463"/>
    </row>
    <row r="51" spans="1:13" x14ac:dyDescent="0.25">
      <c r="B51" s="462" t="s">
        <v>28</v>
      </c>
      <c r="C51" s="462"/>
      <c r="D51" s="462"/>
      <c r="E51" s="462"/>
      <c r="F51" s="462"/>
      <c r="G51" s="462"/>
      <c r="H51" s="462"/>
      <c r="I51" s="462"/>
      <c r="J51" s="462"/>
      <c r="K51" s="462"/>
      <c r="L51" s="462"/>
    </row>
    <row r="52" spans="1:13" x14ac:dyDescent="0.25">
      <c r="B52" s="464"/>
      <c r="C52" s="464"/>
      <c r="D52" s="464"/>
      <c r="E52" s="464"/>
      <c r="F52" s="464"/>
      <c r="G52" s="464"/>
      <c r="H52" s="464"/>
      <c r="I52" s="464"/>
      <c r="J52" s="464"/>
      <c r="K52" s="464"/>
      <c r="L52" s="464"/>
    </row>
    <row r="53" spans="1:13" ht="15.6" x14ac:dyDescent="0.25">
      <c r="B53" s="463" t="s">
        <v>29</v>
      </c>
      <c r="C53" s="463"/>
      <c r="D53" s="463"/>
      <c r="E53" s="463"/>
      <c r="F53" s="463"/>
      <c r="G53" s="463"/>
      <c r="H53" s="463"/>
      <c r="I53" s="463"/>
      <c r="J53" s="463"/>
      <c r="K53" s="463"/>
      <c r="L53" s="463"/>
    </row>
    <row r="54" spans="1:13" ht="62.25" customHeight="1" x14ac:dyDescent="0.25">
      <c r="B54" s="462" t="s">
        <v>30</v>
      </c>
      <c r="C54" s="462"/>
      <c r="D54" s="462"/>
      <c r="E54" s="462"/>
      <c r="F54" s="462"/>
      <c r="G54" s="462"/>
      <c r="H54" s="462"/>
      <c r="I54" s="462"/>
      <c r="J54" s="462"/>
      <c r="K54" s="462"/>
      <c r="L54" s="462"/>
    </row>
    <row r="55" spans="1:13" x14ac:dyDescent="0.25">
      <c r="B55" s="462"/>
      <c r="C55" s="462"/>
      <c r="D55" s="462"/>
      <c r="E55" s="462"/>
      <c r="F55" s="462"/>
      <c r="G55" s="462"/>
      <c r="H55" s="462"/>
      <c r="I55" s="462"/>
      <c r="J55" s="462"/>
      <c r="K55" s="462"/>
      <c r="L55" s="462"/>
    </row>
    <row r="56" spans="1:13" ht="15.6" x14ac:dyDescent="0.25">
      <c r="B56" s="463" t="s">
        <v>31</v>
      </c>
      <c r="C56" s="463"/>
      <c r="D56" s="463"/>
      <c r="E56" s="463"/>
      <c r="F56" s="463"/>
      <c r="G56" s="463"/>
      <c r="H56" s="463"/>
      <c r="I56" s="463"/>
      <c r="J56" s="463"/>
      <c r="K56" s="463"/>
      <c r="L56" s="463"/>
    </row>
    <row r="57" spans="1:13" ht="101.25" customHeight="1" x14ac:dyDescent="0.25">
      <c r="B57" s="462" t="s">
        <v>32</v>
      </c>
      <c r="C57" s="462"/>
      <c r="D57" s="462"/>
      <c r="E57" s="462"/>
      <c r="F57" s="462"/>
      <c r="G57" s="462"/>
      <c r="H57" s="462"/>
      <c r="I57" s="462"/>
      <c r="J57" s="462"/>
      <c r="K57" s="462"/>
      <c r="L57" s="462"/>
    </row>
    <row r="58" spans="1:13" x14ac:dyDescent="0.25">
      <c r="B58" s="462"/>
      <c r="C58" s="462"/>
      <c r="D58" s="462"/>
      <c r="E58" s="462"/>
      <c r="F58" s="462"/>
      <c r="G58" s="462"/>
      <c r="H58" s="462"/>
      <c r="I58" s="462"/>
      <c r="J58" s="462"/>
      <c r="K58" s="462"/>
      <c r="L58" s="462"/>
    </row>
    <row r="59" spans="1:13" ht="15.6" x14ac:dyDescent="0.25">
      <c r="B59" s="463" t="s">
        <v>33</v>
      </c>
      <c r="C59" s="463"/>
      <c r="D59" s="463"/>
      <c r="E59" s="463"/>
      <c r="F59" s="463"/>
      <c r="G59" s="463"/>
      <c r="H59" s="463"/>
      <c r="I59" s="463"/>
      <c r="J59" s="463"/>
      <c r="K59" s="463"/>
      <c r="L59" s="463"/>
    </row>
    <row r="60" spans="1:13" ht="87" customHeight="1" x14ac:dyDescent="0.25">
      <c r="B60" s="462" t="s">
        <v>34</v>
      </c>
      <c r="C60" s="462"/>
      <c r="D60" s="462"/>
      <c r="E60" s="462"/>
      <c r="F60" s="462"/>
      <c r="G60" s="462"/>
      <c r="H60" s="462"/>
      <c r="I60" s="462"/>
      <c r="J60" s="462"/>
      <c r="K60" s="462"/>
      <c r="L60" s="462"/>
    </row>
    <row r="61" spans="1:13" x14ac:dyDescent="0.25">
      <c r="B61" s="462"/>
      <c r="C61" s="462"/>
      <c r="D61" s="462"/>
      <c r="E61" s="462"/>
      <c r="F61" s="462"/>
      <c r="G61" s="462"/>
      <c r="H61" s="462"/>
      <c r="I61" s="462"/>
      <c r="J61" s="462"/>
      <c r="K61" s="462"/>
      <c r="L61" s="462"/>
    </row>
    <row r="62" spans="1:13" ht="15.6" x14ac:dyDescent="0.25">
      <c r="B62" s="463" t="s">
        <v>35</v>
      </c>
      <c r="C62" s="463"/>
      <c r="D62" s="463"/>
      <c r="E62" s="463"/>
      <c r="F62" s="463"/>
      <c r="G62" s="463"/>
      <c r="H62" s="463"/>
      <c r="I62" s="463"/>
      <c r="J62" s="463"/>
      <c r="K62" s="463"/>
      <c r="L62" s="463"/>
    </row>
    <row r="63" spans="1:13" x14ac:dyDescent="0.25">
      <c r="B63" s="462" t="s">
        <v>36</v>
      </c>
      <c r="C63" s="462"/>
      <c r="D63" s="462"/>
      <c r="E63" s="462"/>
      <c r="F63" s="462"/>
      <c r="G63" s="462"/>
      <c r="H63" s="462"/>
      <c r="I63" s="462"/>
      <c r="J63" s="462"/>
      <c r="K63" s="462"/>
      <c r="L63" s="462"/>
    </row>
    <row r="64" spans="1:13" x14ac:dyDescent="0.25">
      <c r="B64" s="464"/>
      <c r="C64" s="464"/>
      <c r="D64" s="464"/>
      <c r="E64" s="464"/>
      <c r="F64" s="464"/>
      <c r="G64" s="464"/>
      <c r="H64" s="464"/>
      <c r="I64" s="464"/>
      <c r="J64" s="464"/>
      <c r="K64" s="464"/>
      <c r="L64" s="464"/>
    </row>
    <row r="65" spans="2:12" ht="15.6" x14ac:dyDescent="0.25">
      <c r="B65" s="463" t="s">
        <v>37</v>
      </c>
      <c r="C65" s="463"/>
      <c r="D65" s="463"/>
      <c r="E65" s="463"/>
      <c r="F65" s="463"/>
      <c r="G65" s="463"/>
      <c r="H65" s="463"/>
      <c r="I65" s="463"/>
      <c r="J65" s="463"/>
      <c r="K65" s="463"/>
      <c r="L65" s="463"/>
    </row>
    <row r="66" spans="2:12" x14ac:dyDescent="0.25">
      <c r="B66" s="462" t="s">
        <v>38</v>
      </c>
      <c r="C66" s="462"/>
      <c r="D66" s="462"/>
      <c r="E66" s="462"/>
      <c r="F66" s="462"/>
      <c r="G66" s="462"/>
      <c r="H66" s="462"/>
      <c r="I66" s="462"/>
      <c r="J66" s="462"/>
      <c r="K66" s="462"/>
      <c r="L66" s="462"/>
    </row>
  </sheetData>
  <mergeCells count="55">
    <mergeCell ref="B41:L41"/>
    <mergeCell ref="B42:L42"/>
    <mergeCell ref="K1:L6"/>
    <mergeCell ref="B11:L11"/>
    <mergeCell ref="B8:M8"/>
    <mergeCell ref="B28:L28"/>
    <mergeCell ref="B15:L15"/>
    <mergeCell ref="B18:L18"/>
    <mergeCell ref="B19:L19"/>
    <mergeCell ref="B20:L20"/>
    <mergeCell ref="B21:L21"/>
    <mergeCell ref="B22:L22"/>
    <mergeCell ref="B23:L23"/>
    <mergeCell ref="B24:L24"/>
    <mergeCell ref="B25:L25"/>
    <mergeCell ref="B26:L26"/>
    <mergeCell ref="B38:L38"/>
    <mergeCell ref="B39:L39"/>
    <mergeCell ref="B31:L31"/>
    <mergeCell ref="B32:L32"/>
    <mergeCell ref="B33:L33"/>
    <mergeCell ref="B30:L30"/>
    <mergeCell ref="B34:L34"/>
    <mergeCell ref="B35:L35"/>
    <mergeCell ref="B36:L36"/>
    <mergeCell ref="B37:L37"/>
    <mergeCell ref="B27:L27"/>
    <mergeCell ref="B54:L54"/>
    <mergeCell ref="B47:L47"/>
    <mergeCell ref="B49:L49"/>
    <mergeCell ref="B16:L16"/>
    <mergeCell ref="B17:L17"/>
    <mergeCell ref="B50:L50"/>
    <mergeCell ref="B51:L51"/>
    <mergeCell ref="B43:L43"/>
    <mergeCell ref="B44:L44"/>
    <mergeCell ref="B45:L45"/>
    <mergeCell ref="B52:L52"/>
    <mergeCell ref="B53:L53"/>
    <mergeCell ref="B46:L46"/>
    <mergeCell ref="B48:L48"/>
    <mergeCell ref="B40:L40"/>
    <mergeCell ref="B29:L29"/>
    <mergeCell ref="B65:L65"/>
    <mergeCell ref="B66:L66"/>
    <mergeCell ref="B60:L60"/>
    <mergeCell ref="B61:L61"/>
    <mergeCell ref="B62:L62"/>
    <mergeCell ref="B63:L63"/>
    <mergeCell ref="B64:L64"/>
    <mergeCell ref="B55:L55"/>
    <mergeCell ref="B56:L56"/>
    <mergeCell ref="B57:L57"/>
    <mergeCell ref="B58:L58"/>
    <mergeCell ref="B59:L59"/>
  </mergeCell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87358F-9756-4F65-8120-477E9423D1C4}">
  <sheetPr codeName="Sheet7">
    <tabColor rgb="FF00CCFF"/>
  </sheetPr>
  <dimension ref="A1:G236"/>
  <sheetViews>
    <sheetView showGridLines="0" zoomScale="80" zoomScaleNormal="80" workbookViewId="0"/>
  </sheetViews>
  <sheetFormatPr defaultRowHeight="13.2" x14ac:dyDescent="0.25"/>
  <cols>
    <col min="1" max="1" width="26.109375" customWidth="1"/>
    <col min="2" max="2" width="78.88671875" customWidth="1"/>
    <col min="3" max="3" width="21" customWidth="1"/>
    <col min="4" max="6" width="19.88671875" style="96" customWidth="1"/>
    <col min="7" max="7" width="23.5546875" style="96" customWidth="1"/>
  </cols>
  <sheetData>
    <row r="1" spans="1:7" x14ac:dyDescent="0.25">
      <c r="A1" s="4" t="str" cm="1">
        <f t="array" aca="1" ref="A1" ca="1">MID(CELL("filename",A1),FIND("]",CELL("filename",A1))+1,255)</f>
        <v>Concrete_32MPa</v>
      </c>
    </row>
    <row r="2" spans="1:7" x14ac:dyDescent="0.25">
      <c r="A2" s="4"/>
    </row>
    <row r="3" spans="1:7" x14ac:dyDescent="0.25">
      <c r="A3" s="4" t="s">
        <v>4048</v>
      </c>
      <c r="B3" t="s">
        <v>4071</v>
      </c>
    </row>
    <row r="4" spans="1:7" x14ac:dyDescent="0.25">
      <c r="A4" s="4"/>
    </row>
    <row r="5" spans="1:7" ht="69.75" customHeight="1" x14ac:dyDescent="0.25">
      <c r="A5" s="26" t="s">
        <v>4050</v>
      </c>
      <c r="B5" s="14" t="s">
        <v>4066</v>
      </c>
    </row>
    <row r="6" spans="1:7" x14ac:dyDescent="0.25">
      <c r="A6" s="26" t="s">
        <v>4052</v>
      </c>
      <c r="B6" s="27" t="s">
        <v>68</v>
      </c>
    </row>
    <row r="7" spans="1:7" x14ac:dyDescent="0.25">
      <c r="A7" s="26" t="s">
        <v>4053</v>
      </c>
      <c r="B7" s="27" t="s">
        <v>68</v>
      </c>
    </row>
    <row r="8" spans="1:7" x14ac:dyDescent="0.25">
      <c r="A8" s="26" t="s">
        <v>4054</v>
      </c>
      <c r="B8" s="27" t="s">
        <v>68</v>
      </c>
    </row>
    <row r="9" spans="1:7" x14ac:dyDescent="0.25">
      <c r="A9" s="26" t="s">
        <v>4055</v>
      </c>
      <c r="B9" s="4" t="s">
        <v>68</v>
      </c>
    </row>
    <row r="10" spans="1:7" x14ac:dyDescent="0.25">
      <c r="A10" s="26"/>
      <c r="B10" s="4"/>
    </row>
    <row r="11" spans="1:7" x14ac:dyDescent="0.25">
      <c r="A11" s="26" t="s">
        <v>4056</v>
      </c>
      <c r="B11" t="s">
        <v>4070</v>
      </c>
    </row>
    <row r="12" spans="1:7" x14ac:dyDescent="0.25">
      <c r="A12" s="101"/>
    </row>
    <row r="13" spans="1:7" x14ac:dyDescent="0.25">
      <c r="A13" s="101"/>
    </row>
    <row r="14" spans="1:7" x14ac:dyDescent="0.25">
      <c r="A14" s="26" t="s">
        <v>4057</v>
      </c>
    </row>
    <row r="15" spans="1:7" x14ac:dyDescent="0.25">
      <c r="A15" s="26"/>
      <c r="D15" s="112" t="s">
        <v>4058</v>
      </c>
      <c r="E15" s="113"/>
      <c r="F15" s="114" t="s">
        <v>4059</v>
      </c>
      <c r="G15" s="113"/>
    </row>
    <row r="16" spans="1:7" ht="39.6" x14ac:dyDescent="0.25">
      <c r="B16" s="28" t="s">
        <v>612</v>
      </c>
      <c r="C16" s="23" t="s">
        <v>23</v>
      </c>
      <c r="D16" s="24" t="s">
        <v>141</v>
      </c>
      <c r="E16" s="25" t="s">
        <v>148</v>
      </c>
      <c r="F16" s="24" t="s">
        <v>142</v>
      </c>
      <c r="G16" s="24" t="s">
        <v>149</v>
      </c>
    </row>
    <row r="17" spans="2:7" x14ac:dyDescent="0.25">
      <c r="B17" s="29"/>
      <c r="C17" s="30" t="s">
        <v>4060</v>
      </c>
      <c r="D17" s="118" t="str" cm="1">
        <f t="array" ref="D17">IF(AND(_xlfn.ANCHORARRAY(C23)=C23),C23,"Mixed")</f>
        <v>m³</v>
      </c>
      <c r="E17" s="118" t="s">
        <v>219</v>
      </c>
      <c r="F17" s="118" t="str" cm="1">
        <f t="array" ref="F17">IF(AND(_xlfn.ANCHORARRAY(C23)=C23),C23,"Mixed")</f>
        <v>m³</v>
      </c>
      <c r="G17" s="119" t="s">
        <v>219</v>
      </c>
    </row>
    <row r="18" spans="2:7" s="14" customFormat="1" x14ac:dyDescent="0.25">
      <c r="B18" s="31"/>
      <c r="C18" s="4" t="s">
        <v>4061</v>
      </c>
      <c r="D18" s="96">
        <f>MAX(_xlfn.ANCHORARRAY(D23))</f>
        <v>459.166</v>
      </c>
      <c r="E18" s="96">
        <f t="shared" ref="E18:G18" si="0">MAX(_xlfn.ANCHORARRAY(E23))</f>
        <v>0.19131916666666668</v>
      </c>
      <c r="F18" s="96">
        <f t="shared" si="0"/>
        <v>0</v>
      </c>
      <c r="G18" s="121">
        <f t="shared" si="0"/>
        <v>0</v>
      </c>
    </row>
    <row r="19" spans="2:7" x14ac:dyDescent="0.25">
      <c r="B19" s="122"/>
      <c r="C19" s="4" t="s">
        <v>4062</v>
      </c>
      <c r="D19" s="96">
        <f>MIN(_xlfn.ANCHORARRAY(D23))</f>
        <v>167.14</v>
      </c>
      <c r="E19" s="96">
        <f t="shared" ref="E19:G19" si="1">MIN(_xlfn.ANCHORARRAY(E23))</f>
        <v>6.9641666666666657E-2</v>
      </c>
      <c r="F19" s="96">
        <f t="shared" si="1"/>
        <v>0</v>
      </c>
      <c r="G19" s="121">
        <f t="shared" si="1"/>
        <v>0</v>
      </c>
    </row>
    <row r="20" spans="2:7" x14ac:dyDescent="0.25">
      <c r="B20" s="122"/>
      <c r="C20" s="4" t="s">
        <v>4063</v>
      </c>
      <c r="D20" s="96">
        <f>AVERAGE(_xlfn.ANCHORARRAY(D23))</f>
        <v>249.09220948598124</v>
      </c>
      <c r="E20" s="96">
        <f t="shared" ref="E20:G20" si="2">AVERAGE(_xlfn.ANCHORARRAY(E23))</f>
        <v>0.10378842061915888</v>
      </c>
      <c r="F20" s="96">
        <f t="shared" si="2"/>
        <v>0</v>
      </c>
      <c r="G20" s="121">
        <f t="shared" si="2"/>
        <v>0</v>
      </c>
    </row>
    <row r="21" spans="2:7" x14ac:dyDescent="0.25">
      <c r="B21" s="122"/>
      <c r="C21" s="4"/>
      <c r="G21" s="121"/>
    </row>
    <row r="22" spans="2:7" x14ac:dyDescent="0.25">
      <c r="B22" s="32" t="s">
        <v>4064</v>
      </c>
      <c r="D22"/>
      <c r="E22"/>
      <c r="F22"/>
      <c r="G22" s="124"/>
    </row>
    <row r="23" spans="2:7" x14ac:dyDescent="0.25">
      <c r="B23" s="129" t="str" cm="1">
        <f t="array" ref="B23:B236">_xlfn.UNIQUE(_xlfn._xlws.FILTER('EPD List'!D:D,ISNUMBER(SEARCH(B16,'EPD List'!C:C)),0))</f>
        <v>Concrete, 32 MPa, in-situ, no reinforcement, (VE322EF2) (Ecopact) (Holcim) (VIC)</v>
      </c>
      <c r="C23" s="67" t="str" cm="1">
        <f t="array" ref="C23:C236">_xlfn.IFNA(INDEX('EPD List'!$A:$AB,MATCH(_xlfn.ANCHORARRAY(B23),'EPD List'!$D:$D,0),MATCH(C$16,'EPD List'!$7:$7,0)),"")</f>
        <v>m³</v>
      </c>
      <c r="D23" s="118" cm="1">
        <f t="array" ref="D23:D236">_xlfn.IFNA(VALUE((INDEX('EPD List'!$A:$AD,MATCH(_xlfn.ANCHORARRAY($B23),'EPD List'!$D:$D,0),MATCH(D$16,'EPD List'!$7:$7,0)))),"")</f>
        <v>255.44</v>
      </c>
      <c r="E23" s="118" cm="1">
        <f t="array" ref="E23:E236">_xlfn.IFNA(VALUE((INDEX('EPD List'!$A:$AD,MATCH(_xlfn.ANCHORARRAY($B23),'EPD List'!$D:$D,0),MATCH(E$16,'EPD List'!$7:$7,0)))),"")</f>
        <v>0.10643333333333332</v>
      </c>
      <c r="F23" s="118" cm="1">
        <f t="array" ref="F23:F236">_xlfn.IFNA(VALUE((INDEX('EPD List'!$A:$AD,MATCH(_xlfn.ANCHORARRAY($B23),'EPD List'!$D:$D,0),MATCH(F$16,'EPD List'!$7:$7,0)))),"")</f>
        <v>0</v>
      </c>
      <c r="G23" s="119" cm="1">
        <f t="array" ref="G23:G236">_xlfn.IFNA(VALUE((INDEX('EPD List'!$A:$AD,MATCH(_xlfn.ANCHORARRAY($B23),'EPD List'!$D:$D,0),MATCH(G$16,'EPD List'!$7:$7,0)))),"")</f>
        <v>0</v>
      </c>
    </row>
    <row r="24" spans="2:7" x14ac:dyDescent="0.25">
      <c r="B24" s="122" t="str">
        <v>Concrete, 32 MPa, in-situ, no reinforcement, (SE322E) (Ecopact) (Holcim) (SA) (Adelaide)</v>
      </c>
      <c r="C24" t="str">
        <v>m³</v>
      </c>
      <c r="D24" s="96">
        <v>238.33</v>
      </c>
      <c r="E24" s="96">
        <v>9.9304166666666666E-2</v>
      </c>
      <c r="F24" s="96">
        <v>0</v>
      </c>
      <c r="G24" s="121">
        <v>0</v>
      </c>
    </row>
    <row r="25" spans="2:7" x14ac:dyDescent="0.25">
      <c r="B25" s="122" t="str">
        <v>Concrete, 32 MPa, in-situ, no reinforcement, (SE322FE562) (Ecopact) (Holcim) (SA) (Adelaide)</v>
      </c>
      <c r="C25" t="str">
        <v>m³</v>
      </c>
      <c r="D25" s="96">
        <v>246.34</v>
      </c>
      <c r="E25" s="96">
        <v>0.10264166666666666</v>
      </c>
      <c r="F25" s="96">
        <v>0</v>
      </c>
      <c r="G25" s="121">
        <v>0</v>
      </c>
    </row>
    <row r="26" spans="2:7" x14ac:dyDescent="0.25">
      <c r="B26" s="122" t="str">
        <v>Concrete, 32 MPa, in-situ, no reinforcement, (SE322E3) (Ecopact) (Holcim) (SA) (Adelaide)</v>
      </c>
      <c r="C26" t="str">
        <v>m³</v>
      </c>
      <c r="D26" s="96">
        <v>239.33</v>
      </c>
      <c r="E26" s="96">
        <v>9.9720833333333328E-2</v>
      </c>
      <c r="F26" s="96">
        <v>0</v>
      </c>
      <c r="G26" s="121">
        <v>0</v>
      </c>
    </row>
    <row r="27" spans="2:7" x14ac:dyDescent="0.25">
      <c r="B27" s="122" t="str">
        <v>Concrete, 32 MPa, in-situ, no reinforcement, (QE322RFB2)(Ecopact) (Holcim) (QLD) (Sunshine Coast)</v>
      </c>
      <c r="C27" t="str">
        <v>m³</v>
      </c>
      <c r="D27" s="96">
        <v>218.3</v>
      </c>
      <c r="E27" s="96">
        <v>9.0958333333333335E-2</v>
      </c>
      <c r="F27" s="96">
        <v>0</v>
      </c>
      <c r="G27" s="121">
        <v>0</v>
      </c>
    </row>
    <row r="28" spans="2:7" x14ac:dyDescent="0.25">
      <c r="B28" s="122" t="str">
        <v>Concrete, 32 MPa, in-situ, no reinforcement, (VE322P) (Ecopact) (Holcim) (VIC)</v>
      </c>
      <c r="C28" t="str">
        <v>m³</v>
      </c>
      <c r="D28" s="96">
        <v>192.26</v>
      </c>
      <c r="E28" s="96">
        <v>8.0108333333333337E-2</v>
      </c>
      <c r="F28" s="96">
        <v>0</v>
      </c>
      <c r="G28" s="121">
        <v>0</v>
      </c>
    </row>
    <row r="29" spans="2:7" x14ac:dyDescent="0.25">
      <c r="B29" s="122" t="str">
        <v>Concrete, 32 MPa, in-situ, no reinforcement, (VE322E /
BE322E) (Ecopact) (Holcim) (VIC)</v>
      </c>
      <c r="C29" t="str">
        <v>m³</v>
      </c>
      <c r="D29" s="96">
        <v>233.3</v>
      </c>
      <c r="E29" s="96">
        <v>9.7208333333333327E-2</v>
      </c>
      <c r="F29" s="96">
        <v>0</v>
      </c>
      <c r="G29" s="121">
        <v>0</v>
      </c>
    </row>
    <row r="30" spans="2:7" x14ac:dyDescent="0.25">
      <c r="B30" s="122" t="str">
        <v>Concrete, 32 MPa, in-situ, no reinforcement, (QE322ESF1) (Ecopact) (Holcim) (QLD) (Brisbane)</v>
      </c>
      <c r="C30" t="str">
        <v>m³</v>
      </c>
      <c r="D30" s="96">
        <v>222.25</v>
      </c>
      <c r="E30" s="96">
        <v>9.2604166666666668E-2</v>
      </c>
      <c r="F30" s="96">
        <v>0</v>
      </c>
      <c r="G30" s="121">
        <v>0</v>
      </c>
    </row>
    <row r="31" spans="2:7" x14ac:dyDescent="0.25">
      <c r="B31" s="122" t="str">
        <v>Concrete, 32 MPa, in-situ, no reinforcement, (VE322E56) (Ecopact) (Holcim) (VIC)</v>
      </c>
      <c r="C31" t="str">
        <v>m³</v>
      </c>
      <c r="D31" s="96">
        <v>250.28</v>
      </c>
      <c r="E31" s="96">
        <v>0.10428333333333334</v>
      </c>
      <c r="F31" s="96">
        <v>0</v>
      </c>
      <c r="G31" s="121">
        <v>0</v>
      </c>
    </row>
    <row r="32" spans="2:7" x14ac:dyDescent="0.25">
      <c r="B32" s="122" t="str">
        <v>Concrete, 32 MPa, in-situ, no reinforcement, (QE322ESF) (Ecopact) (Holcim) (QLD) (Brisbane)</v>
      </c>
      <c r="C32" t="str">
        <v>m³</v>
      </c>
      <c r="D32" s="96">
        <v>217.24</v>
      </c>
      <c r="E32" s="96">
        <v>9.0516666666666676E-2</v>
      </c>
      <c r="F32" s="96">
        <v>0</v>
      </c>
      <c r="G32" s="121">
        <v>0</v>
      </c>
    </row>
    <row r="33" spans="2:7" x14ac:dyDescent="0.25">
      <c r="B33" s="122" t="str">
        <v>Concrete, 32 MPa, in-situ, no reinforcement, (QE321E)(Ecopact) (Holcim) (QLD) (Sunshine Coast)</v>
      </c>
      <c r="C33" t="str">
        <v>m³</v>
      </c>
      <c r="D33" s="96">
        <v>192.21</v>
      </c>
      <c r="E33" s="96">
        <v>8.0087500000000006E-2</v>
      </c>
      <c r="F33" s="96">
        <v>0</v>
      </c>
      <c r="G33" s="121">
        <v>0</v>
      </c>
    </row>
    <row r="34" spans="2:7" x14ac:dyDescent="0.25">
      <c r="B34" s="122" t="str">
        <v>Concrete, 32 MPa, in-situ, no reinforcement, (QE321EF1)(Ecopact) (Holcim) (QLD) (Sunshine Coast)</v>
      </c>
      <c r="C34" t="str">
        <v>m³</v>
      </c>
      <c r="D34" s="96">
        <v>203.22</v>
      </c>
      <c r="E34" s="96">
        <v>8.4675E-2</v>
      </c>
      <c r="F34" s="96">
        <v>0</v>
      </c>
      <c r="G34" s="121">
        <v>0</v>
      </c>
    </row>
    <row r="35" spans="2:7" x14ac:dyDescent="0.25">
      <c r="B35" s="122" t="str">
        <v>Concrete, 32 MPa, in-situ, no reinforcement, (QE321EF2)(Ecopact) (Holcim) (QLD) (Sunshine Coast)</v>
      </c>
      <c r="C35" t="str">
        <v>m³</v>
      </c>
      <c r="D35" s="96">
        <v>203.22</v>
      </c>
      <c r="E35" s="96">
        <v>8.4675E-2</v>
      </c>
      <c r="F35" s="96">
        <v>0</v>
      </c>
      <c r="G35" s="121">
        <v>0</v>
      </c>
    </row>
    <row r="36" spans="2:7" x14ac:dyDescent="0.25">
      <c r="B36" s="122" t="str">
        <v>Concrete, 32 MPa, in-situ, no reinforcement, (BE324XN) (Ecopact) (Holcim) (VIC)</v>
      </c>
      <c r="C36" t="str">
        <v>m³</v>
      </c>
      <c r="D36" s="96">
        <v>269.29000000000002</v>
      </c>
      <c r="E36" s="96">
        <v>0.11220416666666666</v>
      </c>
      <c r="F36" s="96">
        <v>0</v>
      </c>
      <c r="G36" s="121">
        <v>0</v>
      </c>
    </row>
    <row r="37" spans="2:7" x14ac:dyDescent="0.25">
      <c r="B37" s="122" t="str">
        <v>Concrete, 32 MPa, in-situ, no reinforcement, (QE322EF2)(Ecopact) (Holcim) (QLD) (Sunshine Coast)</v>
      </c>
      <c r="C37" t="str">
        <v>m³</v>
      </c>
      <c r="D37" s="96">
        <v>199.21</v>
      </c>
      <c r="E37" s="96">
        <v>8.3004166666666671E-2</v>
      </c>
      <c r="F37" s="96">
        <v>0</v>
      </c>
      <c r="G37" s="121">
        <v>0</v>
      </c>
    </row>
    <row r="38" spans="2:7" x14ac:dyDescent="0.25">
      <c r="B38" s="122" t="str">
        <v>Concrete, 32 MPa, in-situ, no reinforcement, (QE322TMR2)(Ecopact) (Holcim) (QLD) (Sunshine Coast)</v>
      </c>
      <c r="C38" t="str">
        <v>m³</v>
      </c>
      <c r="D38" s="96">
        <v>210.22</v>
      </c>
      <c r="E38" s="96">
        <v>8.7591666666666665E-2</v>
      </c>
      <c r="F38" s="96">
        <v>0</v>
      </c>
      <c r="G38" s="121">
        <v>0</v>
      </c>
    </row>
    <row r="39" spans="2:7" x14ac:dyDescent="0.25">
      <c r="B39" s="122" t="str">
        <v>Concrete, 32 MPa, in-situ, no reinforcement, (QE322E)(Ecopact) (Holcim) (QLD) (Sunshine Coast)</v>
      </c>
      <c r="C39" t="str">
        <v>m³</v>
      </c>
      <c r="D39" s="96">
        <v>183.19</v>
      </c>
      <c r="E39" s="96">
        <v>7.632916666666667E-2</v>
      </c>
      <c r="F39" s="96">
        <v>0</v>
      </c>
      <c r="G39" s="121">
        <v>0</v>
      </c>
    </row>
    <row r="40" spans="2:7" x14ac:dyDescent="0.25">
      <c r="B40" s="122" t="str">
        <v>Concrete, 32 MPa, in-situ, no reinforcement, (Futurecrete®  N
class GP/GL:Slag
32 MPa) (Adbri) (QLD)</v>
      </c>
      <c r="C40" t="str">
        <v>m³</v>
      </c>
      <c r="D40" s="96">
        <v>225.226</v>
      </c>
      <c r="E40" s="96">
        <v>9.3844166666666673E-2</v>
      </c>
      <c r="F40" s="96">
        <v>0</v>
      </c>
      <c r="G40" s="121">
        <v>0</v>
      </c>
    </row>
    <row r="41" spans="2:7" x14ac:dyDescent="0.25">
      <c r="B41" s="122" t="str">
        <v>Concrete, 32 MPa, in-situ, no reinforcement, (R3220B)(GB) (BCG) (WA), (Perth)</v>
      </c>
      <c r="C41" t="str">
        <v>m³</v>
      </c>
      <c r="D41" s="96">
        <v>282.27999999999997</v>
      </c>
      <c r="E41" s="96">
        <v>0.11761666666666667</v>
      </c>
      <c r="F41" s="96">
        <v>0</v>
      </c>
      <c r="G41" s="121">
        <v>0</v>
      </c>
    </row>
    <row r="42" spans="2:7" x14ac:dyDescent="0.25">
      <c r="B42" s="122" t="str">
        <v>Concrete, 32 MPa, in-situ, no reinforcement, (NE322E1A1)(Ecopact) (Holcim) (NSW), (Sydney)</v>
      </c>
      <c r="C42" t="str">
        <v>m³</v>
      </c>
      <c r="D42" s="96">
        <v>240.22</v>
      </c>
      <c r="E42" s="96">
        <v>0.10009166666666668</v>
      </c>
      <c r="F42" s="96">
        <v>0</v>
      </c>
      <c r="G42" s="121">
        <v>0</v>
      </c>
    </row>
    <row r="43" spans="2:7" x14ac:dyDescent="0.25">
      <c r="B43" s="122" t="str">
        <v>Concrete, 32 MPa, in-situ, no reinforcement, (QE322L)(Ecopact) (Holcim) (QLD) (Sunshine Coast)</v>
      </c>
      <c r="C43" t="str">
        <v>m³</v>
      </c>
      <c r="D43" s="96">
        <v>242.22</v>
      </c>
      <c r="E43" s="96">
        <v>0.100925</v>
      </c>
      <c r="F43" s="96">
        <v>0</v>
      </c>
      <c r="G43" s="121">
        <v>0</v>
      </c>
    </row>
    <row r="44" spans="2:7" x14ac:dyDescent="0.25">
      <c r="B44" s="122" t="str">
        <v>Concrete, 32 MPa, in-situ, no reinforcement, (QE321L100)(Ecopact) (Holcim) (QLD) (Sunshine Coast)</v>
      </c>
      <c r="C44" t="str">
        <v>m³</v>
      </c>
      <c r="D44" s="96">
        <v>256.23</v>
      </c>
      <c r="E44" s="96">
        <v>0.10676250000000001</v>
      </c>
      <c r="F44" s="96">
        <v>0</v>
      </c>
      <c r="G44" s="121">
        <v>0</v>
      </c>
    </row>
    <row r="45" spans="2:7" x14ac:dyDescent="0.25">
      <c r="B45" s="122" t="str">
        <v>Concrete, 32 MPa, in-situ, no reinforcement, (32MPa 10MM BLOCKMIX) (Adbri) (QLD)</v>
      </c>
      <c r="C45" t="str">
        <v>m³</v>
      </c>
      <c r="D45" s="96">
        <v>295.26400000000001</v>
      </c>
      <c r="E45" s="96">
        <v>0.12302666666666666</v>
      </c>
      <c r="F45" s="96">
        <v>0</v>
      </c>
      <c r="G45" s="121">
        <v>0</v>
      </c>
    </row>
    <row r="46" spans="2:7" x14ac:dyDescent="0.25">
      <c r="B46" s="122" t="str">
        <v>Concrete, 32 MPa, in-situ, no reinforcement, (QE322L100)(Ecopact) (Holcim) (QLD) (Sunshine Coast)</v>
      </c>
      <c r="C46" t="str">
        <v>m³</v>
      </c>
      <c r="D46" s="96">
        <v>248.22</v>
      </c>
      <c r="E46" s="96">
        <v>0.103425</v>
      </c>
      <c r="F46" s="96">
        <v>0</v>
      </c>
      <c r="G46" s="121">
        <v>0</v>
      </c>
    </row>
    <row r="47" spans="2:7" x14ac:dyDescent="0.25">
      <c r="B47" s="122" t="str">
        <v>Concrete, 32 MPa, in-situ, no reinforcement, (Futurecrete®  Ultra
N Class GP/GL:Slag
32 MPa) (Adbri) (VIC)</v>
      </c>
      <c r="C47" t="str">
        <v>m³</v>
      </c>
      <c r="D47" s="96">
        <v>181.16</v>
      </c>
      <c r="E47" s="96">
        <v>7.5483333333333347E-2</v>
      </c>
      <c r="F47" s="96">
        <v>0</v>
      </c>
      <c r="G47" s="121">
        <v>0</v>
      </c>
    </row>
    <row r="48" spans="2:7" x14ac:dyDescent="0.25">
      <c r="B48" s="122" t="str">
        <v>Concrete, 32 MPa, in-situ, no reinforcement, (Futurecrete® N Class
GP:GL:Slag 32 MPa
- Winnellie) (Adbri) (NT)</v>
      </c>
      <c r="C48" t="str">
        <v>m³</v>
      </c>
      <c r="D48" s="96">
        <v>248.21</v>
      </c>
      <c r="E48" s="96">
        <v>0.10342083333333334</v>
      </c>
      <c r="F48" s="96">
        <v>0</v>
      </c>
      <c r="G48" s="121">
        <v>0</v>
      </c>
    </row>
    <row r="49" spans="2:7" x14ac:dyDescent="0.25">
      <c r="B49" s="122" t="str">
        <v>Concrete, 32 MPa, in-situ, no reinforcement, (32MPa 20MM SHR LIMIT 600um) (Adbri) (VIC)</v>
      </c>
      <c r="C49" t="str">
        <v>m³</v>
      </c>
      <c r="D49" s="96">
        <v>260.22000000000003</v>
      </c>
      <c r="E49" s="96">
        <v>0.10842500000000001</v>
      </c>
      <c r="F49" s="96">
        <v>0</v>
      </c>
      <c r="G49" s="121">
        <v>0</v>
      </c>
    </row>
    <row r="50" spans="2:7" x14ac:dyDescent="0.25">
      <c r="B50" s="122" t="str">
        <v>Concrete, 32 MPa, in-situ, no reinforcement, (NE322E1)(Ecopact) (Holcim) (NSW), (Sydney)</v>
      </c>
      <c r="C50" t="str">
        <v>m³</v>
      </c>
      <c r="D50" s="96">
        <v>167.14</v>
      </c>
      <c r="E50" s="96">
        <v>6.9641666666666657E-2</v>
      </c>
      <c r="F50" s="96">
        <v>0</v>
      </c>
      <c r="G50" s="121">
        <v>0</v>
      </c>
    </row>
    <row r="51" spans="2:7" x14ac:dyDescent="0.25">
      <c r="B51" s="122" t="str">
        <v>Concrete, 32 MPa, in-situ, no reinforcement, (NE322E5)(Ecopact) (Holcim) (NSW), (Sydney)</v>
      </c>
      <c r="C51" t="str">
        <v>m³</v>
      </c>
      <c r="D51" s="96">
        <v>167.14</v>
      </c>
      <c r="E51" s="96">
        <v>6.9641666666666657E-2</v>
      </c>
      <c r="F51" s="96">
        <v>0</v>
      </c>
      <c r="G51" s="121">
        <v>0</v>
      </c>
    </row>
    <row r="52" spans="2:7" x14ac:dyDescent="0.25">
      <c r="B52" s="122" t="str">
        <v>Concrete, 32 MPa, in-situ, no reinforcement, (Futurecrete®
N class GP/GL:FA
32 MPa) (Adbri) (QLD)</v>
      </c>
      <c r="C52" t="str">
        <v>m³</v>
      </c>
      <c r="D52" s="96">
        <v>271.22500000000002</v>
      </c>
      <c r="E52" s="96">
        <v>0.11301041666666667</v>
      </c>
      <c r="F52" s="96">
        <v>0</v>
      </c>
      <c r="G52" s="121">
        <v>0</v>
      </c>
    </row>
    <row r="53" spans="2:7" x14ac:dyDescent="0.25">
      <c r="B53" s="122" t="str">
        <v>Concrete, 32 MPa, in-situ, no reinforcement, (NE321E1)(Ecopact) (Holcim) (NSW), (Sydney)</v>
      </c>
      <c r="C53" t="str">
        <v>m³</v>
      </c>
      <c r="D53" s="96">
        <v>169.14</v>
      </c>
      <c r="E53" s="96">
        <v>7.0474999999999996E-2</v>
      </c>
      <c r="F53" s="96">
        <v>0</v>
      </c>
      <c r="G53" s="121">
        <v>0</v>
      </c>
    </row>
    <row r="54" spans="2:7" x14ac:dyDescent="0.25">
      <c r="B54" s="122" t="str">
        <v>Concrete, 32 MPa, in-situ, no reinforcement, (NE321E5)(Ecopact) (Holcim) (NSW), (Sydney)</v>
      </c>
      <c r="C54" t="str">
        <v>m³</v>
      </c>
      <c r="D54" s="96">
        <v>169.14</v>
      </c>
      <c r="E54" s="96">
        <v>7.0474999999999996E-2</v>
      </c>
      <c r="F54" s="96">
        <v>0</v>
      </c>
      <c r="G54" s="121">
        <v>0</v>
      </c>
    </row>
    <row r="55" spans="2:7" x14ac:dyDescent="0.25">
      <c r="B55" s="122" t="str">
        <v>Concrete, 32 MPa, in-situ, no reinforcement, (QE323EBMX) (Ecopact) (Holcim) (QLD), Gold Coast</v>
      </c>
      <c r="C55" t="str">
        <v>m³</v>
      </c>
      <c r="D55" s="96">
        <v>248.2</v>
      </c>
      <c r="E55" s="96">
        <v>0.10341666666666667</v>
      </c>
      <c r="F55" s="96">
        <v>0</v>
      </c>
      <c r="G55" s="121">
        <v>0</v>
      </c>
    </row>
    <row r="56" spans="2:7" x14ac:dyDescent="0.25">
      <c r="B56" s="122" t="str">
        <v>Concrete, 32 MPa, in-situ, no reinforcement, (Futurecrete®  N Class
GP/GL:Slag 32 MPa) (Adbri) (VIC)</v>
      </c>
      <c r="C56" t="str">
        <v>m³</v>
      </c>
      <c r="D56" s="96">
        <v>217.17</v>
      </c>
      <c r="E56" s="96">
        <v>9.0487500000000012E-2</v>
      </c>
      <c r="F56" s="96">
        <v>0</v>
      </c>
      <c r="G56" s="121">
        <v>0</v>
      </c>
    </row>
    <row r="57" spans="2:7" x14ac:dyDescent="0.25">
      <c r="B57" s="122" t="str">
        <v>Concrete, 32 MPa, in-situ, no reinforcement, (QE327EBMX) (Ecopact) (Holcim) (QLD), Gold Coast</v>
      </c>
      <c r="C57" t="str">
        <v>m³</v>
      </c>
      <c r="D57" s="96">
        <v>230.18</v>
      </c>
      <c r="E57" s="96">
        <v>9.5908333333333345E-2</v>
      </c>
      <c r="F57" s="96">
        <v>0</v>
      </c>
      <c r="G57" s="121">
        <v>0</v>
      </c>
    </row>
    <row r="58" spans="2:7" x14ac:dyDescent="0.25">
      <c r="B58" s="122" t="str">
        <v>Concrete, 32 MPa, in-situ, no reinforcement, (QE323EBMX) (Ecopact) (Holcim) (QLD) (Brisbane)</v>
      </c>
      <c r="C58" t="str">
        <v>m³</v>
      </c>
      <c r="D58" s="96">
        <v>258.2</v>
      </c>
      <c r="E58" s="96">
        <v>0.10758333333333334</v>
      </c>
      <c r="F58" s="96">
        <v>0</v>
      </c>
      <c r="G58" s="121">
        <v>0</v>
      </c>
    </row>
    <row r="59" spans="2:7" x14ac:dyDescent="0.25">
      <c r="B59" s="122" t="str">
        <v>Concrete, 32 MPa, in-situ, no reinforcement, (QE321EL21) (Ecopact) (Holcim) (QLD), Gold Coast</v>
      </c>
      <c r="C59" t="str">
        <v>m³</v>
      </c>
      <c r="D59" s="96">
        <v>209.16</v>
      </c>
      <c r="E59" s="96">
        <v>8.7150000000000005E-2</v>
      </c>
      <c r="F59" s="96">
        <v>0</v>
      </c>
      <c r="G59" s="121">
        <v>0</v>
      </c>
    </row>
    <row r="60" spans="2:7" x14ac:dyDescent="0.25">
      <c r="B60" s="122" t="str">
        <v>Concrete, 32 MPa, in-situ, no reinforcement, (Adbri concrete
N class GP/GL
32 MPa) (Adbri) (QLD)</v>
      </c>
      <c r="C60" t="str">
        <v>m³</v>
      </c>
      <c r="D60" s="96">
        <v>325.24700000000001</v>
      </c>
      <c r="E60" s="96">
        <v>0.13551958333333333</v>
      </c>
      <c r="F60" s="96">
        <v>0</v>
      </c>
      <c r="G60" s="121">
        <v>0</v>
      </c>
    </row>
    <row r="61" spans="2:7" x14ac:dyDescent="0.25">
      <c r="B61" s="122" t="str">
        <v>Concrete, 32 MPa, in-situ, no reinforcement, (QE321EL21) (Ecopact) (Holcim) (QLD) (Brisbane)</v>
      </c>
      <c r="C61" t="str">
        <v>m³</v>
      </c>
      <c r="D61" s="96">
        <v>198.15</v>
      </c>
      <c r="E61" s="96">
        <v>8.2562499999999997E-2</v>
      </c>
      <c r="F61" s="96">
        <v>0</v>
      </c>
      <c r="G61" s="121">
        <v>0</v>
      </c>
    </row>
    <row r="62" spans="2:7" x14ac:dyDescent="0.25">
      <c r="B62" s="122" t="str">
        <v>Concrete, 32 MPa, in-situ, no reinforcement, (QE322EEZY) (Ecopact) (Holcim) (QLD) (Brisbane)</v>
      </c>
      <c r="C62" t="str">
        <v>m³</v>
      </c>
      <c r="D62" s="96">
        <v>188.14</v>
      </c>
      <c r="E62" s="96">
        <v>7.8391666666666665E-2</v>
      </c>
      <c r="F62" s="96">
        <v>0</v>
      </c>
      <c r="G62" s="121">
        <v>0</v>
      </c>
    </row>
    <row r="63" spans="2:7" x14ac:dyDescent="0.25">
      <c r="B63" s="122" t="str">
        <v>Concrete, 32 MPa, in-situ, no reinforcement, (QE321EEZY) (Ecopact) (Holcim) (QLD), Gold Coast</v>
      </c>
      <c r="C63" t="str">
        <v>m³</v>
      </c>
      <c r="D63" s="96">
        <v>202.15</v>
      </c>
      <c r="E63" s="96">
        <v>8.4229166666666661E-2</v>
      </c>
      <c r="F63" s="96">
        <v>0</v>
      </c>
      <c r="G63" s="121">
        <v>0</v>
      </c>
    </row>
    <row r="64" spans="2:7" x14ac:dyDescent="0.25">
      <c r="B64" s="122" t="str">
        <v>Concrete, 32 MPa, in-situ, no reinforcement, (QE327EBMX) (Ecopact) (Holcim) (QLD) (Brisbane)</v>
      </c>
      <c r="C64" t="str">
        <v>m³</v>
      </c>
      <c r="D64" s="96">
        <v>229.17</v>
      </c>
      <c r="E64" s="96">
        <v>9.5487500000000003E-2</v>
      </c>
      <c r="F64" s="96">
        <v>0</v>
      </c>
      <c r="G64" s="121">
        <v>0</v>
      </c>
    </row>
    <row r="65" spans="2:7" x14ac:dyDescent="0.25">
      <c r="B65" s="122" t="str">
        <v>Concrete, 32 MPa, in-situ, no reinforcement, (QE327ETOP) (Ecopact) (Holcim) (QLD), Gold Coast</v>
      </c>
      <c r="C65" t="str">
        <v>m³</v>
      </c>
      <c r="D65" s="96">
        <v>230.17</v>
      </c>
      <c r="E65" s="96">
        <v>9.5904166666666679E-2</v>
      </c>
      <c r="F65" s="96">
        <v>0</v>
      </c>
      <c r="G65" s="121">
        <v>0</v>
      </c>
    </row>
    <row r="66" spans="2:7" x14ac:dyDescent="0.25">
      <c r="B66" s="122" t="str">
        <v>Concrete, 32 MPa, in-situ, no reinforcement, (QE321E100) (Ecopact) (Holcim) (QLD), Gold Coast</v>
      </c>
      <c r="C66" t="str">
        <v>m³</v>
      </c>
      <c r="D66" s="96">
        <v>203.15</v>
      </c>
      <c r="E66" s="96">
        <v>8.4645833333333323E-2</v>
      </c>
      <c r="F66" s="96">
        <v>0</v>
      </c>
      <c r="G66" s="121">
        <v>0</v>
      </c>
    </row>
    <row r="67" spans="2:7" x14ac:dyDescent="0.25">
      <c r="B67" s="122" t="str">
        <v>Concrete, 32 MPa, in-situ, no reinforcement, (QE322E100) (Ecopact) (Holcim) (QLD), Gold Coast</v>
      </c>
      <c r="C67" t="str">
        <v>m³</v>
      </c>
      <c r="D67" s="96">
        <v>190.14</v>
      </c>
      <c r="E67" s="96">
        <v>7.922499999999999E-2</v>
      </c>
      <c r="F67" s="96">
        <v>0</v>
      </c>
      <c r="G67" s="121">
        <v>0</v>
      </c>
    </row>
    <row r="68" spans="2:7" x14ac:dyDescent="0.25">
      <c r="B68" s="122" t="str">
        <v>Concrete, 32 MPa, in-situ, no reinforcement, (QE322E) (Ecopact) (Holcim) (QLD), Gold Coast</v>
      </c>
      <c r="C68" t="str">
        <v>m³</v>
      </c>
      <c r="D68" s="96">
        <v>191.14</v>
      </c>
      <c r="E68" s="96">
        <v>7.9641666666666666E-2</v>
      </c>
      <c r="F68" s="96">
        <v>0</v>
      </c>
      <c r="G68" s="121">
        <v>0</v>
      </c>
    </row>
    <row r="69" spans="2:7" x14ac:dyDescent="0.25">
      <c r="B69" s="122" t="str">
        <v>Concrete, 32 MPa, in-situ, no reinforcement, (QE321E100) (Ecopact) (Holcim) (QLD) (Brisbane)</v>
      </c>
      <c r="C69" t="str">
        <v>m³</v>
      </c>
      <c r="D69" s="96">
        <v>191.14</v>
      </c>
      <c r="E69" s="96">
        <v>7.9641666666666666E-2</v>
      </c>
      <c r="F69" s="96">
        <v>0</v>
      </c>
      <c r="G69" s="121">
        <v>0</v>
      </c>
    </row>
    <row r="70" spans="2:7" x14ac:dyDescent="0.25">
      <c r="B70" s="122" t="str">
        <v>Concrete, 32 MPa, in-situ, no reinforcement, (QE321EEZY) (Ecopact) (Holcim) (QLD) (Brisbane)</v>
      </c>
      <c r="C70" t="str">
        <v>m³</v>
      </c>
      <c r="D70" s="96">
        <v>193.14</v>
      </c>
      <c r="E70" s="96">
        <v>8.0474999999999991E-2</v>
      </c>
      <c r="F70" s="96">
        <v>0</v>
      </c>
      <c r="G70" s="121">
        <v>0</v>
      </c>
    </row>
    <row r="71" spans="2:7" x14ac:dyDescent="0.25">
      <c r="B71" s="122" t="str">
        <v>Concrete, 32 MPa, in-situ, no reinforcement, (Adbri concrete
N class GP/GL:FA
32 MPa) (Adbri) (QLD)</v>
      </c>
      <c r="C71" t="str">
        <v>m³</v>
      </c>
      <c r="D71" s="96">
        <v>280.20299999999997</v>
      </c>
      <c r="E71" s="96">
        <v>0.11675125</v>
      </c>
      <c r="F71" s="96">
        <v>0</v>
      </c>
      <c r="G71" s="121">
        <v>0</v>
      </c>
    </row>
    <row r="72" spans="2:7" x14ac:dyDescent="0.25">
      <c r="B72" s="122" t="str">
        <v>Concrete, 32 MPa, in-situ, no reinforcement, (QE322E) (Ecopact) (Holcim) (QLD) (Brisbane)</v>
      </c>
      <c r="C72" t="str">
        <v>m³</v>
      </c>
      <c r="D72" s="96">
        <v>181.13</v>
      </c>
      <c r="E72" s="96">
        <v>7.5470833333333334E-2</v>
      </c>
      <c r="F72" s="96">
        <v>0</v>
      </c>
      <c r="G72" s="121">
        <v>0</v>
      </c>
    </row>
    <row r="73" spans="2:7" x14ac:dyDescent="0.25">
      <c r="B73" s="122" t="str">
        <v>Concrete, 32 MPa, in-situ, no reinforcement, (QE322EEZY) (Ecopact) (Holcim) (QLD), Gold Coast</v>
      </c>
      <c r="C73" t="str">
        <v>m³</v>
      </c>
      <c r="D73" s="96">
        <v>197.14</v>
      </c>
      <c r="E73" s="96">
        <v>8.2141666666666655E-2</v>
      </c>
      <c r="F73" s="96">
        <v>0</v>
      </c>
      <c r="G73" s="121">
        <v>0</v>
      </c>
    </row>
    <row r="74" spans="2:7" x14ac:dyDescent="0.25">
      <c r="B74" s="122" t="str">
        <v>Concrete, 32 MPa, in-situ, no reinforcement, (QE322E100) (Ecopact) (Holcim) (QLD) (Brisbane)</v>
      </c>
      <c r="C74" t="str">
        <v>m³</v>
      </c>
      <c r="D74" s="96">
        <v>185.13</v>
      </c>
      <c r="E74" s="96">
        <v>7.7137499999999998E-2</v>
      </c>
      <c r="F74" s="96">
        <v>0</v>
      </c>
      <c r="G74" s="121">
        <v>0</v>
      </c>
    </row>
    <row r="75" spans="2:7" x14ac:dyDescent="0.25">
      <c r="B75" s="122" t="str">
        <v>Concrete, 32 MPa, in-situ, no reinforcement, (WE321E1)(Ecopact) (Holcim) (WA), (Perth Metro)</v>
      </c>
      <c r="C75" t="str">
        <v>m³</v>
      </c>
      <c r="D75" s="96">
        <v>236.16</v>
      </c>
      <c r="E75" s="96">
        <v>9.8400000000000001E-2</v>
      </c>
      <c r="F75" s="96">
        <v>0</v>
      </c>
      <c r="G75" s="121">
        <v>0</v>
      </c>
    </row>
    <row r="76" spans="2:7" x14ac:dyDescent="0.25">
      <c r="B76" s="122" t="str">
        <v>Concrete, 32 MPa, in-situ, no reinforcement, (WE321E2)(Ecopact) (Holcim) (WA), (Perth Metro)</v>
      </c>
      <c r="C76" t="str">
        <v>m³</v>
      </c>
      <c r="D76" s="96">
        <v>237.16</v>
      </c>
      <c r="E76" s="96">
        <v>9.8816666666666678E-2</v>
      </c>
      <c r="F76" s="96">
        <v>0</v>
      </c>
      <c r="G76" s="121">
        <v>0</v>
      </c>
    </row>
    <row r="77" spans="2:7" x14ac:dyDescent="0.25">
      <c r="B77" s="122" t="str">
        <v>Concrete, 32 MPa, in-situ, no reinforcement, (WE321E4)(Ecopact) (Holcim) (WA), (Perth Metro)</v>
      </c>
      <c r="C77" t="str">
        <v>m³</v>
      </c>
      <c r="D77" s="96">
        <v>237.16</v>
      </c>
      <c r="E77" s="96">
        <v>9.8816666666666678E-2</v>
      </c>
      <c r="F77" s="96">
        <v>0</v>
      </c>
      <c r="G77" s="121">
        <v>0</v>
      </c>
    </row>
    <row r="78" spans="2:7" x14ac:dyDescent="0.25">
      <c r="B78" s="122" t="str">
        <v>Concrete, 32 MPa, in-situ, no reinforcement, (QE327ETOP) (Ecopact) (Holcim) (QLD) (Brisbane)</v>
      </c>
      <c r="C78" t="str">
        <v>m³</v>
      </c>
      <c r="D78" s="96">
        <v>255.17</v>
      </c>
      <c r="E78" s="96">
        <v>0.10632083333333334</v>
      </c>
      <c r="F78" s="96">
        <v>0</v>
      </c>
      <c r="G78" s="121">
        <v>0</v>
      </c>
    </row>
    <row r="79" spans="2:7" x14ac:dyDescent="0.25">
      <c r="B79" s="122" t="str">
        <v>Concrete, 32 MPa, in-situ, no reinforcement, (WE322E1)(Ecopact) (Holcim) (WA), (Perth Metro)</v>
      </c>
      <c r="C79" t="str">
        <v>m³</v>
      </c>
      <c r="D79" s="96">
        <v>227.15</v>
      </c>
      <c r="E79" s="96">
        <v>9.4645833333333332E-2</v>
      </c>
      <c r="F79" s="96">
        <v>0</v>
      </c>
      <c r="G79" s="121">
        <v>0</v>
      </c>
    </row>
    <row r="80" spans="2:7" x14ac:dyDescent="0.25">
      <c r="B80" s="122" t="str">
        <v>Concrete, 32 MPa, in-situ, no reinforcement, (WE324E1)(Ecopact) (Holcim) (WA), (Perth Metro)</v>
      </c>
      <c r="C80" t="str">
        <v>m³</v>
      </c>
      <c r="D80" s="96">
        <v>234.15</v>
      </c>
      <c r="E80" s="96">
        <v>9.7562499999999996E-2</v>
      </c>
      <c r="F80" s="96">
        <v>0</v>
      </c>
      <c r="G80" s="121">
        <v>0</v>
      </c>
    </row>
    <row r="81" spans="2:7" x14ac:dyDescent="0.25">
      <c r="B81" s="122" t="str">
        <v>Concrete, 32 MPa, in-situ, no reinforcement, (WE324E2)(Ecopact) (Holcim) (WA), (Perth Metro)</v>
      </c>
      <c r="C81" t="str">
        <v>m³</v>
      </c>
      <c r="D81" s="96">
        <v>235.15</v>
      </c>
      <c r="E81" s="96">
        <v>9.7979166666666659E-2</v>
      </c>
      <c r="F81" s="96">
        <v>0</v>
      </c>
      <c r="G81" s="121">
        <v>0</v>
      </c>
    </row>
    <row r="82" spans="2:7" x14ac:dyDescent="0.25">
      <c r="B82" s="122" t="str">
        <v>Concrete, 32 MPa, in-situ, no reinforcement, (WE324E4)(Ecopact) (Holcim) (WA), (Perth Metro)</v>
      </c>
      <c r="C82" t="str">
        <v>m³</v>
      </c>
      <c r="D82" s="96">
        <v>235.15</v>
      </c>
      <c r="E82" s="96">
        <v>9.7979166666666659E-2</v>
      </c>
      <c r="F82" s="96">
        <v>0</v>
      </c>
      <c r="G82" s="121">
        <v>0</v>
      </c>
    </row>
    <row r="83" spans="2:7" x14ac:dyDescent="0.25">
      <c r="B83" s="122" t="str">
        <v>Concrete, 32 MPa, in-situ, no reinforcement, (Adbri Concrete N Class GP:GL 32 MPa
- Winnellie) (Adbri) (NT)</v>
      </c>
      <c r="C83" t="str">
        <v>m³</v>
      </c>
      <c r="D83" s="96">
        <v>337.21300000000002</v>
      </c>
      <c r="E83" s="96">
        <v>0.14050541666666666</v>
      </c>
      <c r="F83" s="96">
        <v>0</v>
      </c>
      <c r="G83" s="121">
        <v>0</v>
      </c>
    </row>
    <row r="84" spans="2:7" x14ac:dyDescent="0.25">
      <c r="B84" s="122" t="str">
        <v>Concrete, 32 MPa, in-situ, no reinforcement, (QE322EXT1) (Ecopact) (Holcim) (QLD) (Brisbane)</v>
      </c>
      <c r="C84" t="str">
        <v>m³</v>
      </c>
      <c r="D84" s="96">
        <v>240.15</v>
      </c>
      <c r="E84" s="96">
        <v>0.1000625</v>
      </c>
      <c r="F84" s="96">
        <v>0</v>
      </c>
      <c r="G84" s="121">
        <v>0</v>
      </c>
    </row>
    <row r="85" spans="2:7" x14ac:dyDescent="0.25">
      <c r="B85" s="122" t="str">
        <v>Concrete, 32 MPa, in-situ, no reinforcement, (NE321E1L2)(Ecopact) (Holcim) (NSW), (Sydney)</v>
      </c>
      <c r="C85" t="str">
        <v>m³</v>
      </c>
      <c r="D85" s="96">
        <v>178.11</v>
      </c>
      <c r="E85" s="96">
        <v>7.4212500000000001E-2</v>
      </c>
      <c r="F85" s="96">
        <v>0</v>
      </c>
      <c r="G85" s="121">
        <v>0</v>
      </c>
    </row>
    <row r="86" spans="2:7" x14ac:dyDescent="0.25">
      <c r="B86" s="122" t="str">
        <v>Concrete, 32 MPa, in-situ, no reinforcement, (QE322LPN2) (Ecopact) (Holcim) (QLD), Gold Coast</v>
      </c>
      <c r="C86" t="str">
        <v>m³</v>
      </c>
      <c r="D86" s="96">
        <v>259.16000000000003</v>
      </c>
      <c r="E86" s="96">
        <v>0.10798333333333333</v>
      </c>
      <c r="F86" s="96">
        <v>0</v>
      </c>
      <c r="G86" s="121">
        <v>0</v>
      </c>
    </row>
    <row r="87" spans="2:7" x14ac:dyDescent="0.25">
      <c r="B87" s="122" t="str">
        <v>Concrete, 32 MPa, in-situ, no reinforcement, (QE322L652) (Ecopact) (Holcim) (QLD), Gold Coast</v>
      </c>
      <c r="C87" t="str">
        <v>m³</v>
      </c>
      <c r="D87" s="96">
        <v>261.16000000000003</v>
      </c>
      <c r="E87" s="96">
        <v>0.10881666666666667</v>
      </c>
      <c r="F87" s="96">
        <v>0</v>
      </c>
      <c r="G87" s="121">
        <v>0</v>
      </c>
    </row>
    <row r="88" spans="2:7" x14ac:dyDescent="0.25">
      <c r="B88" s="122" t="str">
        <v>Concrete, 32 MPa, in-situ, no reinforcement, (QE321L)(Ecopact) (Holcim) (QLD) (Sunshine Coast)</v>
      </c>
      <c r="C88" t="str">
        <v>m³</v>
      </c>
      <c r="D88" s="96">
        <v>245.15</v>
      </c>
      <c r="E88" s="96">
        <v>0.10214583333333332</v>
      </c>
      <c r="F88" s="96">
        <v>0</v>
      </c>
      <c r="G88" s="121">
        <v>0</v>
      </c>
    </row>
    <row r="89" spans="2:7" x14ac:dyDescent="0.25">
      <c r="B89" s="122" t="str">
        <v>Concrete, 32 MPa, in-situ, no reinforcement, (QE322LOX) (Ecopact) (Holcim) (QLD), Gold Coast</v>
      </c>
      <c r="C89" t="str">
        <v>m³</v>
      </c>
      <c r="D89" s="96">
        <v>248.15</v>
      </c>
      <c r="E89" s="96">
        <v>0.10339583333333333</v>
      </c>
      <c r="F89" s="96">
        <v>0</v>
      </c>
      <c r="G89" s="121">
        <v>0</v>
      </c>
    </row>
    <row r="90" spans="2:7" x14ac:dyDescent="0.25">
      <c r="B90" s="122" t="str">
        <v>Concrete, 32 MPa, in-situ, no reinforcement, (Adbri Concrete N Class GP/GL 32 MPa) (Adbri) (VIC)</v>
      </c>
      <c r="C90" t="str">
        <v>m³</v>
      </c>
      <c r="D90" s="96">
        <v>270.16000000000003</v>
      </c>
      <c r="E90" s="96">
        <v>0.11256666666666668</v>
      </c>
      <c r="F90" s="96">
        <v>0</v>
      </c>
      <c r="G90" s="121">
        <v>0</v>
      </c>
    </row>
    <row r="91" spans="2:7" x14ac:dyDescent="0.25">
      <c r="B91" s="122" t="str">
        <v>Concrete, 32 MPa, in-situ, no reinforcement, (WE321EKC)(Ecopact) (Holcim) (WA), (Perth Metro)</v>
      </c>
      <c r="C91" t="str">
        <v>m³</v>
      </c>
      <c r="D91" s="96">
        <v>266.14</v>
      </c>
      <c r="E91" s="96">
        <v>0.11089166666666667</v>
      </c>
      <c r="F91" s="96">
        <v>0</v>
      </c>
      <c r="G91" s="121">
        <v>0</v>
      </c>
    </row>
    <row r="92" spans="2:7" x14ac:dyDescent="0.25">
      <c r="B92" s="122" t="str">
        <v>Concrete, 32 MPa, in-situ, no reinforcement, (VE321EK6) (Ecopact) (Holcim) (VIC)</v>
      </c>
      <c r="C92" t="str">
        <v>m³</v>
      </c>
      <c r="D92" s="96">
        <v>257.13</v>
      </c>
      <c r="E92" s="96">
        <v>0.1071375</v>
      </c>
      <c r="F92" s="96">
        <v>0</v>
      </c>
      <c r="G92" s="121">
        <v>0</v>
      </c>
    </row>
    <row r="93" spans="2:7" x14ac:dyDescent="0.25">
      <c r="B93" s="122" t="str">
        <v>Concrete, 32 MPa, in-situ, no reinforcement, (VE321EKC) (Ecopact) (Holcim) (VIC)</v>
      </c>
      <c r="C93" t="str">
        <v>m³</v>
      </c>
      <c r="D93" s="96">
        <v>258.13</v>
      </c>
      <c r="E93" s="96">
        <v>0.10755416666666666</v>
      </c>
      <c r="F93" s="96">
        <v>0</v>
      </c>
      <c r="G93" s="121">
        <v>0</v>
      </c>
    </row>
    <row r="94" spans="2:7" x14ac:dyDescent="0.25">
      <c r="B94" s="122" t="str">
        <v>Concrete, 32 MPa, in-situ, no reinforcement, (WE324EP1)(Ecopact) (Holcim) (WA), (Perth Metro)</v>
      </c>
      <c r="C94" t="str">
        <v>m³</v>
      </c>
      <c r="D94" s="96">
        <v>231.11</v>
      </c>
      <c r="E94" s="96">
        <v>9.6295833333333331E-2</v>
      </c>
      <c r="F94" s="96">
        <v>0</v>
      </c>
      <c r="G94" s="121">
        <v>0</v>
      </c>
    </row>
    <row r="95" spans="2:7" x14ac:dyDescent="0.25">
      <c r="B95" s="122" t="str">
        <v>Concrete, 32 MPa, in-situ, no reinforcement, (WE322E31)(Ecopact) (Holcim) (WA), (Perth Metro)</v>
      </c>
      <c r="C95" t="str">
        <v>m³</v>
      </c>
      <c r="D95" s="96">
        <v>222.1</v>
      </c>
      <c r="E95" s="96">
        <v>9.2541666666666661E-2</v>
      </c>
      <c r="F95" s="96">
        <v>0</v>
      </c>
      <c r="G95" s="121">
        <v>0</v>
      </c>
    </row>
    <row r="96" spans="2:7" x14ac:dyDescent="0.25">
      <c r="B96" s="122" t="str">
        <v>Concrete, 32 MPa, in-situ, no reinforcement, (Adbri Concrete N Class GP:GL 32 MPa
- Katherine) (Adbri) (NT)</v>
      </c>
      <c r="C96" t="str">
        <v>m³</v>
      </c>
      <c r="D96" s="96">
        <v>342.12700000000001</v>
      </c>
      <c r="E96" s="96">
        <v>0.14255291666666667</v>
      </c>
      <c r="F96" s="96">
        <v>0</v>
      </c>
      <c r="G96" s="121">
        <v>0</v>
      </c>
    </row>
    <row r="97" spans="2:7" x14ac:dyDescent="0.25">
      <c r="B97" s="122" t="str">
        <v>Concrete, 32 MPa, in-situ, no reinforcement, (Adbri Concrete N Class GP:GL 32 MPa
- Alice Springs) (Adbri) (NT)</v>
      </c>
      <c r="C97" t="str">
        <v>m³</v>
      </c>
      <c r="D97" s="96">
        <v>459.166</v>
      </c>
      <c r="E97" s="96">
        <v>0.19131916666666668</v>
      </c>
      <c r="F97" s="96">
        <v>0</v>
      </c>
      <c r="G97" s="121">
        <v>0</v>
      </c>
    </row>
    <row r="98" spans="2:7" x14ac:dyDescent="0.25">
      <c r="B98" s="122" t="str">
        <v>Concrete, 32 MPa, in-situ, no reinforcement, (EFM32) (Barro Group) (VIC)</v>
      </c>
      <c r="C98" t="str">
        <v>m³</v>
      </c>
      <c r="D98" s="96">
        <v>179.0549</v>
      </c>
      <c r="E98" s="96">
        <v>7.460620833333334E-2</v>
      </c>
      <c r="F98" s="96">
        <v>0</v>
      </c>
      <c r="G98" s="121">
        <v>0</v>
      </c>
    </row>
    <row r="99" spans="2:7" x14ac:dyDescent="0.25">
      <c r="B99" s="122" t="str">
        <v>Concrete, 32 MPa, in-situ, no reinforcement,Pronto (EPG32) (Barro Group) (VIC)</v>
      </c>
      <c r="C99" t="str">
        <v>m³</v>
      </c>
      <c r="D99" s="96">
        <v>195.03659999999999</v>
      </c>
      <c r="E99" s="96">
        <v>8.1265249999999997E-2</v>
      </c>
      <c r="F99" s="96">
        <v>0</v>
      </c>
      <c r="G99" s="121">
        <v>0</v>
      </c>
    </row>
    <row r="100" spans="2:7" x14ac:dyDescent="0.25">
      <c r="B100" s="122" t="str">
        <v>Concrete, 32 MPa, in-situ, no reinforcement, (EN32) (Barro Group) (VIC)</v>
      </c>
      <c r="C100" t="str">
        <v>m³</v>
      </c>
      <c r="D100" s="96">
        <v>198.012</v>
      </c>
      <c r="E100" s="96">
        <v>8.2505000000000009E-2</v>
      </c>
      <c r="F100" s="96">
        <v>0</v>
      </c>
      <c r="G100" s="121">
        <v>0</v>
      </c>
    </row>
    <row r="101" spans="2:7" x14ac:dyDescent="0.25">
      <c r="B101" s="122" t="str">
        <v>Concrete, 32 MPa, in-situ, no reinforcement, (S32MPA  20MM RMS B80 B1
EXPOSURE) (Adbri) (NSW)</v>
      </c>
      <c r="C101" t="str">
        <v>m³</v>
      </c>
      <c r="D101" s="96">
        <v>306</v>
      </c>
      <c r="E101" s="96">
        <v>0.1275</v>
      </c>
      <c r="F101" s="96">
        <v>0</v>
      </c>
      <c r="G101" s="121">
        <v>0</v>
      </c>
    </row>
    <row r="102" spans="2:7" x14ac:dyDescent="0.25">
      <c r="B102" s="122" t="str">
        <v>Concrete, 32 MPa, in-situ, no reinforcement, (S32MPA PT DECK 22MPA AT 7 DAYS 20MM) (Adbri) (NSW)</v>
      </c>
      <c r="C102" t="str">
        <v>m³</v>
      </c>
      <c r="D102" s="96">
        <v>343.19</v>
      </c>
      <c r="E102" s="96">
        <v>0.14299583333333332</v>
      </c>
      <c r="F102" s="96">
        <v>0</v>
      </c>
      <c r="G102" s="121">
        <v>0</v>
      </c>
    </row>
    <row r="103" spans="2:7" x14ac:dyDescent="0.25">
      <c r="B103" s="122" t="str">
        <v>Concrete, 32 MPa, in-situ, no reinforcement, (S32MPA 25MPA AT
7 DAYS 20MM) (Adbri) (NSW)</v>
      </c>
      <c r="C103" t="str">
        <v>m³</v>
      </c>
      <c r="D103" s="96">
        <v>360.48</v>
      </c>
      <c r="E103" s="96">
        <v>0.1502</v>
      </c>
      <c r="F103" s="96">
        <v>0</v>
      </c>
      <c r="G103" s="121">
        <v>0</v>
      </c>
    </row>
    <row r="104" spans="2:7" x14ac:dyDescent="0.25">
      <c r="B104" s="122" t="str">
        <v>Concrete, 32 MPa, in-situ, no reinforcement, (Futurecrete® Ultra S32MPA BLOCKFILL 10MM 230MM SLUMP
) (Adbri) (NSW)</v>
      </c>
      <c r="C104" t="str">
        <v>m³</v>
      </c>
      <c r="D104" s="96">
        <v>247.33190000000002</v>
      </c>
      <c r="E104" s="96">
        <v>0.10305495833333334</v>
      </c>
      <c r="F104" s="96">
        <v>0</v>
      </c>
      <c r="G104" s="121">
        <v>0</v>
      </c>
    </row>
    <row r="105" spans="2:7" x14ac:dyDescent="0.25">
      <c r="B105" s="122" t="str">
        <v>Concrete, 32 MPa, in-situ, no reinforcement, (Futurecrete®  Ultra S32MPA PILE/ TREMIE 10MM SP) (Adbri) (NSW)</v>
      </c>
      <c r="C105" t="str">
        <v>m³</v>
      </c>
      <c r="D105" s="96">
        <v>244.9615</v>
      </c>
      <c r="E105" s="96">
        <v>0.10206729166666667</v>
      </c>
      <c r="F105" s="96">
        <v>0</v>
      </c>
      <c r="G105" s="121">
        <v>0</v>
      </c>
    </row>
    <row r="106" spans="2:7" x14ac:dyDescent="0.25">
      <c r="B106" s="122" t="str">
        <v>Concrete, 32 MPa, in-situ, no reinforcement, (Futurecrete®
Ultra S32MPA
BLOCKFILL 10MM) (Adbri) (NSW)</v>
      </c>
      <c r="C106" t="str">
        <v>m³</v>
      </c>
      <c r="D106" s="96">
        <v>245.0215</v>
      </c>
      <c r="E106" s="96">
        <v>0.10209229166666667</v>
      </c>
      <c r="F106" s="96">
        <v>0</v>
      </c>
      <c r="G106" s="121">
        <v>0</v>
      </c>
    </row>
    <row r="107" spans="2:7" x14ac:dyDescent="0.25">
      <c r="B107" s="122" t="str">
        <v>Concrete, 32 MPa, in-situ, no reinforcement, (Futurecrete®  Ultra N Class GP/ GL:Slag 32 MPa) (Adbri) (NSW)</v>
      </c>
      <c r="C107" t="str">
        <v>m³</v>
      </c>
      <c r="D107" s="96">
        <v>235.5814</v>
      </c>
      <c r="E107" s="96">
        <v>9.8158916666666665E-2</v>
      </c>
      <c r="F107" s="96">
        <v>0</v>
      </c>
      <c r="G107" s="121">
        <v>0</v>
      </c>
    </row>
    <row r="108" spans="2:7" x14ac:dyDescent="0.25">
      <c r="B108" s="122" t="str">
        <v>Concrete, 32 MPa, in-situ, no reinforcement, (Futurecrete®  Ultra S32MPA 10MM RITEK SYSTEM) (Adbri) (NSW)</v>
      </c>
      <c r="C108" t="str">
        <v>m³</v>
      </c>
      <c r="D108" s="96">
        <v>242.58120000000002</v>
      </c>
      <c r="E108" s="96">
        <v>0.1010755</v>
      </c>
      <c r="F108" s="96">
        <v>0</v>
      </c>
      <c r="G108" s="121">
        <v>0</v>
      </c>
    </row>
    <row r="109" spans="2:7" x14ac:dyDescent="0.25">
      <c r="B109" s="122" t="str">
        <v>Concrete, 32 MPa, in-situ, no reinforcement, (Futurecrete®
Ultra S32MPA
10MM AFS WALL SYSTEM) (Adbri) (NSW)</v>
      </c>
      <c r="C109" t="str">
        <v>m³</v>
      </c>
      <c r="D109" s="96">
        <v>240.20079999999999</v>
      </c>
      <c r="E109" s="96">
        <v>0.10008366666666667</v>
      </c>
      <c r="F109" s="96">
        <v>0</v>
      </c>
      <c r="G109" s="121">
        <v>0</v>
      </c>
    </row>
    <row r="110" spans="2:7" x14ac:dyDescent="0.25">
      <c r="B110" s="122" t="str">
        <v>Concrete, 32 MPa, in-situ, no reinforcement, (Futurecrete® S32MPA HY-LINE 2INCH 10MM PUMP) (Adbri) (NSW)</v>
      </c>
      <c r="C110" t="str">
        <v>m³</v>
      </c>
      <c r="D110" s="96">
        <v>277.67079999999999</v>
      </c>
      <c r="E110" s="96">
        <v>0.11569616666666666</v>
      </c>
      <c r="F110" s="96">
        <v>0</v>
      </c>
      <c r="G110" s="121">
        <v>0</v>
      </c>
    </row>
    <row r="111" spans="2:7" x14ac:dyDescent="0.25">
      <c r="B111" s="122" t="str">
        <v>Concrete, 32 MPa, in-situ, no reinforcement, (Futurecrete®  Ultra S32MPA JUMP/ SLIP/COLUMNS 10MM SP) (Adbri) (NSW)</v>
      </c>
      <c r="C111" t="str">
        <v>m³</v>
      </c>
      <c r="D111" s="96">
        <v>256.05009999999999</v>
      </c>
      <c r="E111" s="96">
        <v>0.10668754166666666</v>
      </c>
      <c r="F111" s="96">
        <v>0</v>
      </c>
      <c r="G111" s="121">
        <v>0</v>
      </c>
    </row>
    <row r="112" spans="2:7" x14ac:dyDescent="0.25">
      <c r="B112" s="122" t="str">
        <v>Concrete, 32 MPa, in-situ, no reinforcement, (General) (Holcim) (NSW)(ACT)</v>
      </c>
      <c r="C112" t="str">
        <v>m³</v>
      </c>
      <c r="D112" s="96">
        <v>343</v>
      </c>
      <c r="E112" s="96">
        <v>0.14291666666666666</v>
      </c>
      <c r="F112" s="96">
        <v>0</v>
      </c>
      <c r="G112" s="121">
        <v>0</v>
      </c>
    </row>
    <row r="113" spans="2:7" x14ac:dyDescent="0.25">
      <c r="B113" s="122" t="str">
        <v>Concrete, 32 MPa, in-situ, no reinforcement, (Fly Ash) (Holcim) (NSW)(ACT)</v>
      </c>
      <c r="C113" t="str">
        <v>m³</v>
      </c>
      <c r="D113" s="96">
        <v>273</v>
      </c>
      <c r="E113" s="96">
        <v>0.11375</v>
      </c>
      <c r="F113" s="96">
        <v>0</v>
      </c>
      <c r="G113" s="121">
        <v>0</v>
      </c>
    </row>
    <row r="114" spans="2:7" x14ac:dyDescent="0.25">
      <c r="B114" s="122" t="str">
        <v>Concrete, 32 MPa, in-situ, no reinforcement, (GGBS Slag) (Holcim) (NSW)(ACT)</v>
      </c>
      <c r="C114" t="str">
        <v>m³</v>
      </c>
      <c r="D114" s="96">
        <v>196</v>
      </c>
      <c r="E114" s="96">
        <v>8.1666666666666665E-2</v>
      </c>
      <c r="F114" s="96">
        <v>0</v>
      </c>
      <c r="G114" s="121">
        <v>0</v>
      </c>
    </row>
    <row r="115" spans="2:7" x14ac:dyDescent="0.25">
      <c r="B115" s="122" t="str">
        <v>Concrete, 32 MPa, in-situ, no reinforcement, (Triple Blend) (Holcim) (NSW)(ACT)</v>
      </c>
      <c r="C115" t="str">
        <v>m³</v>
      </c>
      <c r="D115" s="96">
        <v>176</v>
      </c>
      <c r="E115" s="96">
        <v>7.3333333333333334E-2</v>
      </c>
      <c r="F115" s="96">
        <v>0</v>
      </c>
      <c r="G115" s="121">
        <v>0</v>
      </c>
    </row>
    <row r="116" spans="2:7" x14ac:dyDescent="0.25">
      <c r="B116" s="122" t="str">
        <v>Concrete, 32 MPa, in-situ, no reinforcement,(General)  (Holcim)  (QLD)</v>
      </c>
      <c r="C116" t="str">
        <v>m³</v>
      </c>
      <c r="D116" s="96">
        <v>303</v>
      </c>
      <c r="E116" s="96">
        <v>0.12625</v>
      </c>
      <c r="F116" s="96">
        <v>0</v>
      </c>
      <c r="G116" s="121">
        <v>0</v>
      </c>
    </row>
    <row r="117" spans="2:7" x14ac:dyDescent="0.25">
      <c r="B117" s="122" t="str">
        <v>Concrete, 32 MPa, in-situ, no reinforcement,(Fly Ash)  (Holcim)  (QLD)</v>
      </c>
      <c r="C117" t="str">
        <v>m³</v>
      </c>
      <c r="D117" s="96">
        <v>247</v>
      </c>
      <c r="E117" s="96">
        <v>0.10291666666666667</v>
      </c>
      <c r="F117" s="96">
        <v>0</v>
      </c>
      <c r="G117" s="121">
        <v>0</v>
      </c>
    </row>
    <row r="118" spans="2:7" x14ac:dyDescent="0.25">
      <c r="B118" s="122" t="str">
        <v>Concrete, 32 MPa, in-situ, no reinforcement,(Triple Blend)  (Holcim)  (QLD)</v>
      </c>
      <c r="C118" t="str">
        <v>m³</v>
      </c>
      <c r="D118" s="96">
        <v>186</v>
      </c>
      <c r="E118" s="96">
        <v>7.7499999999999999E-2</v>
      </c>
      <c r="F118" s="96">
        <v>0</v>
      </c>
      <c r="G118" s="121">
        <v>0</v>
      </c>
    </row>
    <row r="119" spans="2:7" x14ac:dyDescent="0.25">
      <c r="B119" s="122" t="str">
        <v>Concrete, 32 MPa, in-situ, no reinforcement, (General) (Holcim) (VIC)</v>
      </c>
      <c r="C119" t="str">
        <v>m³</v>
      </c>
      <c r="D119" s="96">
        <v>328</v>
      </c>
      <c r="E119" s="96">
        <v>0.13666666666666666</v>
      </c>
      <c r="F119" s="96">
        <v>0</v>
      </c>
      <c r="G119" s="121">
        <v>0</v>
      </c>
    </row>
    <row r="120" spans="2:7" x14ac:dyDescent="0.25">
      <c r="B120" s="122" t="str">
        <v>Concrete, 32 MPa, in-situ, no reinforcement, (Fly Ash) (Holcim) (VIC)</v>
      </c>
      <c r="C120" t="str">
        <v>m³</v>
      </c>
      <c r="D120" s="96">
        <v>265</v>
      </c>
      <c r="E120" s="96">
        <v>0.11041666666666666</v>
      </c>
      <c r="F120" s="96">
        <v>0</v>
      </c>
      <c r="G120" s="121">
        <v>0</v>
      </c>
    </row>
    <row r="121" spans="2:7" x14ac:dyDescent="0.25">
      <c r="B121" s="122" t="str">
        <v>Concrete, 32 MPa, in-situ, no reinforcement, (Triple Blend) (Holcim) (VIC)</v>
      </c>
      <c r="C121" t="str">
        <v>m³</v>
      </c>
      <c r="D121" s="96">
        <v>252</v>
      </c>
      <c r="E121" s="96">
        <v>0.105</v>
      </c>
      <c r="F121" s="96">
        <v>0</v>
      </c>
      <c r="G121" s="121">
        <v>0</v>
      </c>
    </row>
    <row r="122" spans="2:7" x14ac:dyDescent="0.25">
      <c r="B122" s="122" t="str">
        <v>Concrete, 32 MPa, in-situ, no reinforcement, (General) (Holcim) (SA)</v>
      </c>
      <c r="C122" t="str">
        <v>m³</v>
      </c>
      <c r="D122" s="96">
        <v>351</v>
      </c>
      <c r="E122" s="96">
        <v>0.14624999999999999</v>
      </c>
      <c r="F122" s="96">
        <v>0</v>
      </c>
      <c r="G122" s="121">
        <v>0</v>
      </c>
    </row>
    <row r="123" spans="2:7" x14ac:dyDescent="0.25">
      <c r="B123" s="122" t="str">
        <v>Concrete, 32 MPa, in-situ, no reinforcement, (Fly Ash) (Holcim) (SA)</v>
      </c>
      <c r="C123" t="str">
        <v>m³</v>
      </c>
      <c r="D123" s="96">
        <v>263</v>
      </c>
      <c r="E123" s="96">
        <v>0.10958333333333334</v>
      </c>
      <c r="F123" s="96">
        <v>0</v>
      </c>
      <c r="G123" s="121">
        <v>0</v>
      </c>
    </row>
    <row r="124" spans="2:7" x14ac:dyDescent="0.25">
      <c r="B124" s="122" t="str">
        <v>Concrete, 32 MPa, in-situ, no reinforcement, (GGBS Slag) (Holcim) (SA)</v>
      </c>
      <c r="C124" t="str">
        <v>m³</v>
      </c>
      <c r="D124" s="96">
        <v>238</v>
      </c>
      <c r="E124" s="96">
        <v>9.9166666666666667E-2</v>
      </c>
      <c r="F124" s="96">
        <v>0</v>
      </c>
      <c r="G124" s="121">
        <v>0</v>
      </c>
    </row>
    <row r="125" spans="2:7" x14ac:dyDescent="0.25">
      <c r="B125" s="122" t="str">
        <v>Concrete, 32 MPa, in-situ, no reinforcement, (General) (Holcim) (WA)</v>
      </c>
      <c r="C125" t="str">
        <v>m³</v>
      </c>
      <c r="D125" s="96">
        <v>321</v>
      </c>
      <c r="E125" s="96">
        <v>0.13375000000000001</v>
      </c>
      <c r="F125" s="96">
        <v>0</v>
      </c>
      <c r="G125" s="121">
        <v>0</v>
      </c>
    </row>
    <row r="126" spans="2:7" x14ac:dyDescent="0.25">
      <c r="B126" s="122" t="str">
        <v>Concrete, 32 MPa, in-situ, no reinforcement, (GGBS Slag) (Holcim) (WA)</v>
      </c>
      <c r="C126" t="str">
        <v>m³</v>
      </c>
      <c r="D126" s="96">
        <v>237</v>
      </c>
      <c r="E126" s="96">
        <v>9.8750000000000004E-2</v>
      </c>
      <c r="F126" s="96">
        <v>0</v>
      </c>
      <c r="G126" s="121">
        <v>0</v>
      </c>
    </row>
    <row r="127" spans="2:7" x14ac:dyDescent="0.25">
      <c r="B127" s="122" t="str">
        <v>Concrete, 32 MPa, in-situ, no reinforcement, (NE322E151)(Ecopact) (Holcim) (ACT)</v>
      </c>
      <c r="C127" t="str">
        <v>m³</v>
      </c>
      <c r="D127" s="96">
        <v>217.34</v>
      </c>
      <c r="E127" s="96">
        <v>9.0558333333333338E-2</v>
      </c>
      <c r="F127" s="96">
        <v>0</v>
      </c>
      <c r="G127" s="121">
        <v>0</v>
      </c>
    </row>
    <row r="128" spans="2:7" x14ac:dyDescent="0.25">
      <c r="B128" s="122" t="str">
        <v>Concrete, 32 MPa, in-situ, no reinforcement, (NE322E351)(Ecopact) (Holcim) (ACT)</v>
      </c>
      <c r="C128" t="str">
        <v>m³</v>
      </c>
      <c r="D128" s="96">
        <v>219.35</v>
      </c>
      <c r="E128" s="96">
        <v>9.1395833333333329E-2</v>
      </c>
      <c r="F128" s="96">
        <v>0</v>
      </c>
      <c r="G128" s="121">
        <v>0</v>
      </c>
    </row>
    <row r="129" spans="2:7" x14ac:dyDescent="0.25">
      <c r="B129" s="122" t="str">
        <v>Concrete, 32 MPa, in-situ, no reinforcement, (NE321E151)(Ecopact) (Holcim) (ACT)</v>
      </c>
      <c r="C129" t="str">
        <v>m³</v>
      </c>
      <c r="D129" s="96">
        <v>217.59</v>
      </c>
      <c r="E129" s="96">
        <v>9.0662500000000007E-2</v>
      </c>
      <c r="F129" s="96">
        <v>0</v>
      </c>
      <c r="G129" s="121">
        <v>0</v>
      </c>
    </row>
    <row r="130" spans="2:7" x14ac:dyDescent="0.25">
      <c r="B130" s="122" t="str">
        <v>Concrete, 32 MPa, in-situ, no reinforcement, (NE321E351)(Ecopact) (Holcim) (ACT)</v>
      </c>
      <c r="C130" t="str">
        <v>m³</v>
      </c>
      <c r="D130" s="96">
        <v>219.55</v>
      </c>
      <c r="E130" s="96">
        <v>9.1479166666666667E-2</v>
      </c>
      <c r="F130" s="96">
        <v>0</v>
      </c>
      <c r="G130" s="121">
        <v>0</v>
      </c>
    </row>
    <row r="131" spans="2:7" x14ac:dyDescent="0.25">
      <c r="B131" s="122" t="str">
        <v>Concrete, 32 MPa, in-situ, no reinforcement, (VN322B) (Holcim) (VIC)</v>
      </c>
      <c r="C131" t="str">
        <v>m³</v>
      </c>
      <c r="D131" s="96">
        <v>266.20999999999998</v>
      </c>
      <c r="E131" s="96">
        <v>0.11092083333333333</v>
      </c>
      <c r="F131" s="96">
        <v>0</v>
      </c>
      <c r="G131" s="121">
        <v>0</v>
      </c>
    </row>
    <row r="132" spans="2:7" x14ac:dyDescent="0.25">
      <c r="B132" s="122" t="str">
        <v>Concrete, 32 MPa, in-situ, no reinforcement, (VS321MSPR) (Holcim) (VIC)</v>
      </c>
      <c r="C132" t="str">
        <v>m³</v>
      </c>
      <c r="D132" s="96">
        <v>324.73</v>
      </c>
      <c r="E132" s="96">
        <v>0.13530416666666667</v>
      </c>
      <c r="F132" s="96">
        <v>0</v>
      </c>
      <c r="G132" s="121">
        <v>0</v>
      </c>
    </row>
    <row r="133" spans="2:7" x14ac:dyDescent="0.25">
      <c r="B133" s="122" t="str">
        <v>Concrete, 32 MPa, in-situ, no reinforcement, (VS321BPV) (Holcim) (VIC)</v>
      </c>
      <c r="C133" t="str">
        <v>m³</v>
      </c>
      <c r="D133" s="96">
        <v>275.49</v>
      </c>
      <c r="E133" s="96">
        <v>0.1147875</v>
      </c>
      <c r="F133" s="96">
        <v>0</v>
      </c>
      <c r="G133" s="121">
        <v>0</v>
      </c>
    </row>
    <row r="134" spans="2:7" x14ac:dyDescent="0.25">
      <c r="B134" s="122" t="str">
        <v>Concrete, 32 MPa, in-situ, no reinforcement, (VE322E75) (Holcim) (VIC)</v>
      </c>
      <c r="C134" t="str">
        <v>m³</v>
      </c>
      <c r="D134" s="96">
        <v>249.31</v>
      </c>
      <c r="E134" s="96">
        <v>0.10387916666666666</v>
      </c>
      <c r="F134" s="96">
        <v>0</v>
      </c>
      <c r="G134" s="121">
        <v>0</v>
      </c>
    </row>
    <row r="135" spans="2:7" x14ac:dyDescent="0.25">
      <c r="B135" s="122" t="str">
        <v>Concrete, 32 MPa, in-situ, no reinforcement, (VS322BHS2) (Holcim) (VIC)</v>
      </c>
      <c r="C135" t="str">
        <v>m³</v>
      </c>
      <c r="D135" s="96">
        <v>203.16</v>
      </c>
      <c r="E135" s="96">
        <v>8.4650000000000003E-2</v>
      </c>
      <c r="F135" s="96">
        <v>0</v>
      </c>
      <c r="G135" s="121">
        <v>0</v>
      </c>
    </row>
    <row r="136" spans="2:7" x14ac:dyDescent="0.25">
      <c r="B136" s="122" t="str">
        <v>Concrete, 32 MPa, in-situ, no reinforcement, (QE322E)(Holcim) (QLD), (North QLD)</v>
      </c>
      <c r="C136" t="str">
        <v>m³</v>
      </c>
      <c r="D136" s="96">
        <v>237.22</v>
      </c>
      <c r="E136" s="96">
        <v>9.8841666666666661E-2</v>
      </c>
      <c r="F136" s="96">
        <v>0</v>
      </c>
      <c r="G136" s="121">
        <v>0</v>
      </c>
    </row>
    <row r="137" spans="2:7" x14ac:dyDescent="0.25">
      <c r="B137" s="122" t="str">
        <v>Concrete, 32 MPa, in-situ, no reinforcement, (QE322E1)(Holcim) (QLD), (North QLD)</v>
      </c>
      <c r="C137" t="str">
        <v>m³</v>
      </c>
      <c r="D137" s="96">
        <v>237.71</v>
      </c>
      <c r="E137" s="96">
        <v>9.9045833333333333E-2</v>
      </c>
      <c r="F137" s="96">
        <v>0</v>
      </c>
      <c r="G137" s="121">
        <v>0</v>
      </c>
    </row>
    <row r="138" spans="2:7" x14ac:dyDescent="0.25">
      <c r="B138" s="122" t="str">
        <v>Concrete, 32 MPa, in-situ, no reinforcement, (QE321E)(Holcim) (QLD), (North QLD)</v>
      </c>
      <c r="C138" t="str">
        <v>m³</v>
      </c>
      <c r="D138" s="96">
        <v>245.84</v>
      </c>
      <c r="E138" s="96">
        <v>0.10243333333333333</v>
      </c>
      <c r="F138" s="96">
        <v>0</v>
      </c>
      <c r="G138" s="121">
        <v>0</v>
      </c>
    </row>
    <row r="139" spans="2:7" x14ac:dyDescent="0.25">
      <c r="B139" s="122" t="str">
        <v>Concrete, 32 MPa, in-situ, no reinforcement, (QE321E1)(Holcim) (QLD), (North QLD)</v>
      </c>
      <c r="C139" t="str">
        <v>m³</v>
      </c>
      <c r="D139" s="96">
        <v>246.17</v>
      </c>
      <c r="E139" s="96">
        <v>0.10257083333333333</v>
      </c>
      <c r="F139" s="96">
        <v>0</v>
      </c>
      <c r="G139" s="121">
        <v>0</v>
      </c>
    </row>
    <row r="140" spans="2:7" x14ac:dyDescent="0.25">
      <c r="B140" s="122" t="str">
        <v>Concrete, 32 MPa, in-situ, no reinforcement, (Futurecrete®  S Class
GP/GL:FA 32 MPa) (Adbri) (SA)</v>
      </c>
      <c r="C140" t="str">
        <v>m³</v>
      </c>
      <c r="D140" s="96">
        <v>194.77</v>
      </c>
      <c r="E140" s="96">
        <v>8.1154166666666666E-2</v>
      </c>
      <c r="F140" s="96">
        <v>0</v>
      </c>
      <c r="G140" s="121">
        <v>0</v>
      </c>
    </row>
    <row r="141" spans="2:7" x14ac:dyDescent="0.25">
      <c r="B141" s="122" t="str">
        <v>Concrete, 32 MPa, in-situ, no reinforcement, (Adbri Concrete
N Class GP/GL
32 MPa) (Adbri) (NSW)</v>
      </c>
      <c r="C141" t="str">
        <v>m³</v>
      </c>
      <c r="D141" s="96">
        <v>335.12</v>
      </c>
      <c r="E141" s="96">
        <v>0.13963333333333333</v>
      </c>
      <c r="F141" s="96">
        <v>0</v>
      </c>
      <c r="G141" s="121">
        <v>0</v>
      </c>
    </row>
    <row r="142" spans="2:7" x14ac:dyDescent="0.25">
      <c r="B142" s="122" t="str">
        <v>Concrete, 32 MPa, in-situ, no reinforcement, (Futurecrete®
N Class GP/GL:FA
32 Mpa) (Adbri) (NSW)</v>
      </c>
      <c r="C142" t="str">
        <v>m³</v>
      </c>
      <c r="D142" s="96">
        <v>295.48</v>
      </c>
      <c r="E142" s="96">
        <v>0.12311666666666668</v>
      </c>
      <c r="F142" s="96">
        <v>0</v>
      </c>
      <c r="G142" s="121">
        <v>0</v>
      </c>
    </row>
    <row r="143" spans="2:7" x14ac:dyDescent="0.25">
      <c r="B143" s="122" t="str">
        <v>Concrete, 32 MPa, in-situ, no reinforcement, (S32MPA 22MPA AT
4 DAYS 20MM) (Adbri) (NSW)</v>
      </c>
      <c r="C143" t="str">
        <v>m³</v>
      </c>
      <c r="D143" s="96">
        <v>358.56</v>
      </c>
      <c r="E143" s="96">
        <v>0.14940000000000001</v>
      </c>
      <c r="F143" s="96">
        <v>0</v>
      </c>
      <c r="G143" s="121">
        <v>0</v>
      </c>
    </row>
    <row r="144" spans="2:7" x14ac:dyDescent="0.25">
      <c r="B144" s="122" t="str">
        <v>Concrete, 32 MPa, in-situ, no reinforcement, (S32MPA KERB&amp;GUTTER MACHINE PLACED 10MM) (Adbri) (NSW)</v>
      </c>
      <c r="C144" t="str">
        <v>m³</v>
      </c>
      <c r="D144" s="96">
        <v>307.26</v>
      </c>
      <c r="E144" s="96">
        <v>0.128025</v>
      </c>
      <c r="F144" s="96">
        <v>0</v>
      </c>
      <c r="G144" s="121">
        <v>0</v>
      </c>
    </row>
    <row r="145" spans="2:7" x14ac:dyDescent="0.25">
      <c r="B145" s="122" t="str">
        <v>Concrete, 32 MPa, in-situ, no reinforcement, (S32MPA PT DECK 22MPA AT 5 DAYS 20MM) (Adbri) (NSW)</v>
      </c>
      <c r="C145" t="str">
        <v>m³</v>
      </c>
      <c r="D145" s="96">
        <v>347.94</v>
      </c>
      <c r="E145" s="96">
        <v>0.14497499999999999</v>
      </c>
      <c r="F145" s="96">
        <v>0</v>
      </c>
      <c r="G145" s="121">
        <v>0</v>
      </c>
    </row>
    <row r="146" spans="2:7" x14ac:dyDescent="0.25">
      <c r="B146" s="122" t="str">
        <v>Concrete, 32 MPa, in-situ, no reinforcement, (EVR330) (Barro Group) (VIC)</v>
      </c>
      <c r="C146" t="str">
        <v>m³</v>
      </c>
      <c r="D146" s="96">
        <v>260</v>
      </c>
      <c r="E146" s="96">
        <v>0.10833333333333334</v>
      </c>
      <c r="F146" s="96">
        <v>0</v>
      </c>
      <c r="G146" s="121">
        <v>0</v>
      </c>
    </row>
    <row r="147" spans="2:7" x14ac:dyDescent="0.25">
      <c r="B147" s="122" t="str">
        <v>Concrete, 32 MPa, in-situ, no reinforcement, (E32700) (Barro Group) (VIC)</v>
      </c>
      <c r="C147" t="str">
        <v>m³</v>
      </c>
      <c r="D147" s="96">
        <v>234</v>
      </c>
      <c r="E147" s="96">
        <v>9.7500000000000003E-2</v>
      </c>
      <c r="F147" s="96">
        <v>0</v>
      </c>
      <c r="G147" s="121">
        <v>0</v>
      </c>
    </row>
    <row r="148" spans="2:7" x14ac:dyDescent="0.25">
      <c r="B148" s="122" t="str">
        <v>Concrete, 32 MPa, in-situ, no reinforcement, (E32600) (Barro Group) (VIC)</v>
      </c>
      <c r="C148" t="str">
        <v>m³</v>
      </c>
      <c r="D148" s="96">
        <v>248</v>
      </c>
      <c r="E148" s="96">
        <v>0.10333333333333333</v>
      </c>
      <c r="F148" s="96">
        <v>0</v>
      </c>
      <c r="G148" s="121">
        <v>0</v>
      </c>
    </row>
    <row r="149" spans="2:7" x14ac:dyDescent="0.25">
      <c r="B149" s="122" t="str">
        <v>Concrete, 32 MPa, in-situ, no reinforcement, Pre-mix Concrete Normal Class GP blend (Boral) (ACT), (Canberra) Normal Class GP blend 32MPa</v>
      </c>
      <c r="C149" t="str">
        <v>m³</v>
      </c>
      <c r="D149" s="96">
        <v>314</v>
      </c>
      <c r="E149" s="96">
        <v>0.13083333333333333</v>
      </c>
      <c r="F149" s="96">
        <v>0</v>
      </c>
      <c r="G149" s="121">
        <v>0</v>
      </c>
    </row>
    <row r="150" spans="2:7" x14ac:dyDescent="0.25">
      <c r="B150" s="122" t="str">
        <v>Concrete, 32 MPa, in-situ, no reinforcement, Pre-mix Concrete Normal Class GP/FA blend (Boral) (ACT), (Canberra) Normal Class GP/FA blend 32 MPa</v>
      </c>
      <c r="C150" t="str">
        <v>m³</v>
      </c>
      <c r="D150" s="96">
        <v>262</v>
      </c>
      <c r="E150" s="96">
        <v>0.10916666666666666</v>
      </c>
      <c r="F150" s="96">
        <v>0</v>
      </c>
      <c r="G150" s="121">
        <v>0</v>
      </c>
    </row>
    <row r="151" spans="2:7" x14ac:dyDescent="0.25">
      <c r="B151" s="122" t="str">
        <v>Concrete, 32 MPa, in-situ, no reinforcement, Pre-mix Concrete Normal Class GP/GGBFS blend (Boral) (ACT), (Canberra) Normal Class GP/GGBFS blend 32 MPa</v>
      </c>
      <c r="C151" t="str">
        <v>m³</v>
      </c>
      <c r="D151" s="96">
        <v>224</v>
      </c>
      <c r="E151" s="96">
        <v>9.3333333333333338E-2</v>
      </c>
      <c r="F151" s="96">
        <v>0</v>
      </c>
      <c r="G151" s="121">
        <v>0</v>
      </c>
    </row>
    <row r="152" spans="2:7" x14ac:dyDescent="0.25">
      <c r="B152" s="122" t="str">
        <v>Concrete, 32 MPa, in-situ, no reinforcement, Pre-mix Concrete ENVIROCRETE 30% (Boral) (ACT), (Canberra) ENVIROCRETE 30% 32 MPa</v>
      </c>
      <c r="C152" t="str">
        <v>m³</v>
      </c>
      <c r="D152" s="96">
        <v>262</v>
      </c>
      <c r="E152" s="96">
        <v>0.10916666666666666</v>
      </c>
      <c r="F152" s="96">
        <v>0</v>
      </c>
      <c r="G152" s="121">
        <v>0</v>
      </c>
    </row>
    <row r="153" spans="2:7" x14ac:dyDescent="0.25">
      <c r="B153" s="122" t="str">
        <v>Concrete, 32 MPa, in-situ, no reinforcement, Pre-mix Concrete ENVIROCRETE 40% (Boral) (ACT), (Canberra) ENVIROCRETE 40% 32 MPa</v>
      </c>
      <c r="C153" t="str">
        <v>m³</v>
      </c>
      <c r="D153" s="96">
        <v>240</v>
      </c>
      <c r="E153" s="96">
        <v>0.1</v>
      </c>
      <c r="F153" s="96">
        <v>0</v>
      </c>
      <c r="G153" s="121">
        <v>0</v>
      </c>
    </row>
    <row r="154" spans="2:7" x14ac:dyDescent="0.25">
      <c r="B154" s="122" t="str">
        <v>Concrete, 32 MPa, in-situ, no reinforcement, Pre-mix Concrete ENVIROCRETE PLUS (Boral) (ACT), (Canberra) ENVIROCRETE PLUS 32MPa</v>
      </c>
      <c r="C154" t="str">
        <v>m³</v>
      </c>
      <c r="D154" s="96">
        <v>228</v>
      </c>
      <c r="E154" s="96">
        <v>9.5000000000000001E-2</v>
      </c>
      <c r="F154" s="96">
        <v>0</v>
      </c>
      <c r="G154" s="121">
        <v>0</v>
      </c>
    </row>
    <row r="155" spans="2:7" x14ac:dyDescent="0.25">
      <c r="B155" s="122" t="str">
        <v>Concrete, 32 MPa, in-situ, no reinforcement, Pre-mix Concrete ENVISIA (Boral) (ACT), (Canberra) ENVISIA 32MPa</v>
      </c>
      <c r="C155" t="str">
        <v>m³</v>
      </c>
      <c r="D155" s="96">
        <v>197</v>
      </c>
      <c r="E155" s="96">
        <v>8.2083333333333328E-2</v>
      </c>
      <c r="F155" s="96">
        <v>0</v>
      </c>
      <c r="G155" s="121">
        <v>0</v>
      </c>
    </row>
    <row r="156" spans="2:7" x14ac:dyDescent="0.25">
      <c r="B156" s="122" t="str">
        <v>Concrete, 32 MPa, in-situ, no reinforcement, Pre-mix Concrete KERB MACHINE (Boral) (ACT), (Canberra) KERB MACHINE 32MPa 10MM</v>
      </c>
      <c r="C156" t="str">
        <v>m³</v>
      </c>
      <c r="D156" s="96">
        <v>295</v>
      </c>
      <c r="E156" s="96">
        <v>0.12291666666666666</v>
      </c>
      <c r="F156" s="96">
        <v>0</v>
      </c>
      <c r="G156" s="121">
        <v>0</v>
      </c>
    </row>
    <row r="157" spans="2:7" x14ac:dyDescent="0.25">
      <c r="B157" s="122" t="str">
        <v>Concrete, 32 MPa, in-situ, no reinforcement, Pre-mix Concrete Normal Class GP blend (Boral) (NSW), (Newcastle) Normal Class GP blend 32MPa</v>
      </c>
      <c r="C157" t="str">
        <v>m³</v>
      </c>
      <c r="D157" s="96">
        <v>306</v>
      </c>
      <c r="E157" s="96">
        <v>0.1275</v>
      </c>
      <c r="F157" s="96">
        <v>0</v>
      </c>
      <c r="G157" s="121">
        <v>0</v>
      </c>
    </row>
    <row r="158" spans="2:7" x14ac:dyDescent="0.25">
      <c r="B158" s="122" t="str">
        <v>Concrete, 32 MPa, in-situ, no reinforcement, Pre-mix Concrete Normal Class GP/FA blend (Boral) (NSW), (Newcastle) Normal Class GP/FA blend 32 MPa</v>
      </c>
      <c r="C158" t="str">
        <v>m³</v>
      </c>
      <c r="D158" s="96">
        <v>250</v>
      </c>
      <c r="E158" s="96">
        <v>0.10416666666666667</v>
      </c>
      <c r="F158" s="96">
        <v>0</v>
      </c>
      <c r="G158" s="121">
        <v>0</v>
      </c>
    </row>
    <row r="159" spans="2:7" x14ac:dyDescent="0.25">
      <c r="B159" s="122" t="str">
        <v>Concrete, 32 MPa, in-situ, no reinforcement, Pre-mix Concrete ENVIROCRETE 30% (Boral) (NSW), (Newcastle) ENVIROCRETE 30% 32 MPa</v>
      </c>
      <c r="C159" t="str">
        <v>m³</v>
      </c>
      <c r="D159" s="96">
        <v>250</v>
      </c>
      <c r="E159" s="96">
        <v>0.10416666666666667</v>
      </c>
      <c r="F159" s="96">
        <v>0</v>
      </c>
      <c r="G159" s="121">
        <v>0</v>
      </c>
    </row>
    <row r="160" spans="2:7" x14ac:dyDescent="0.25">
      <c r="B160" s="122" t="str">
        <v>Concrete, 32 MPa, in-situ, no reinforcement, Pre-mix Concrete ENVIROCRETE 40% (Boral) (NSW), (Newcastle) ENVIROCRETE 40% 32 MPa</v>
      </c>
      <c r="C160" t="str">
        <v>m³</v>
      </c>
      <c r="D160" s="96">
        <v>232</v>
      </c>
      <c r="E160" s="96">
        <v>9.6666666666666665E-2</v>
      </c>
      <c r="F160" s="96">
        <v>0</v>
      </c>
      <c r="G160" s="121">
        <v>0</v>
      </c>
    </row>
    <row r="161" spans="2:7" x14ac:dyDescent="0.25">
      <c r="B161" s="122" t="str">
        <v>Concrete, 32 MPa, in-situ, no reinforcement, Pre-mix Concrete ENVIROCRETE PLUS (Boral) (NSW), (Newcastle) ENVIROCRETE PLUS 32MPa</v>
      </c>
      <c r="C161" t="str">
        <v>m³</v>
      </c>
      <c r="D161" s="96">
        <v>220</v>
      </c>
      <c r="E161" s="96">
        <v>9.166666666666666E-2</v>
      </c>
      <c r="F161" s="96">
        <v>0</v>
      </c>
      <c r="G161" s="121">
        <v>0</v>
      </c>
    </row>
    <row r="162" spans="2:7" x14ac:dyDescent="0.25">
      <c r="B162" s="122" t="str">
        <v>Concrete, 32 MPa, in-situ, no reinforcement, Pre-mix Concrete ENVISIA (Boral) (NSW), (Newcastle) ENVISIA 32MPa</v>
      </c>
      <c r="C162" t="str">
        <v>m³</v>
      </c>
      <c r="D162" s="96">
        <v>198</v>
      </c>
      <c r="E162" s="96">
        <v>8.2500000000000004E-2</v>
      </c>
      <c r="F162" s="96">
        <v>0</v>
      </c>
      <c r="G162" s="121">
        <v>0</v>
      </c>
    </row>
    <row r="163" spans="2:7" x14ac:dyDescent="0.25">
      <c r="B163" s="122" t="str">
        <v>Concrete, 32 MPa, in-situ, no reinforcement, Pre-mix Concrete Normal Class GP/GGBFS blend (Boral) (NSW), (Newcastle) Normal Class GP/GGBFS blend 32 MPa</v>
      </c>
      <c r="C163" t="str">
        <v>m³</v>
      </c>
      <c r="D163" s="96">
        <v>218</v>
      </c>
      <c r="E163" s="96">
        <v>9.0833333333333335E-2</v>
      </c>
      <c r="F163" s="96">
        <v>0</v>
      </c>
      <c r="G163" s="121">
        <v>0</v>
      </c>
    </row>
    <row r="164" spans="2:7" x14ac:dyDescent="0.25">
      <c r="B164" s="122" t="str">
        <v>Concrete, 32 MPa, in-situ, no reinforcement, Pre-mix Concrete KERB MACHINE (Boral) (NSW), (Newcastle) KERB MACHINE 32MPa 10MM</v>
      </c>
      <c r="C164" t="str">
        <v>m³</v>
      </c>
      <c r="D164" s="96">
        <v>287</v>
      </c>
      <c r="E164" s="96">
        <v>0.11958333333333333</v>
      </c>
      <c r="F164" s="96">
        <v>0</v>
      </c>
      <c r="G164" s="121">
        <v>0</v>
      </c>
    </row>
    <row r="165" spans="2:7" x14ac:dyDescent="0.25">
      <c r="B165" s="122" t="str">
        <v>Concrete, 32 MPa, in-situ, no reinforcement, Pre-mix Concrete Normal Class GP blend (Boral) (NSW), (Sydney) Normal Class GP blend 32MPa</v>
      </c>
      <c r="C165" t="str">
        <v>m³</v>
      </c>
      <c r="D165" s="96">
        <v>314</v>
      </c>
      <c r="E165" s="96">
        <v>0.13083333333333333</v>
      </c>
      <c r="F165" s="96">
        <v>0</v>
      </c>
      <c r="G165" s="121">
        <v>0</v>
      </c>
    </row>
    <row r="166" spans="2:7" x14ac:dyDescent="0.25">
      <c r="B166" s="122" t="str">
        <v>Concrete, 32 MPa, in-situ, no reinforcement, Pre-mix Concrete Normal Class GP/FA blend (Boral) (NSW), (Sydney) Normal Class GP/FA blend 32 MPa</v>
      </c>
      <c r="C166" t="str">
        <v>m³</v>
      </c>
      <c r="D166" s="96">
        <v>260</v>
      </c>
      <c r="E166" s="96">
        <v>0.10833333333333334</v>
      </c>
      <c r="F166" s="96">
        <v>0</v>
      </c>
      <c r="G166" s="121">
        <v>0</v>
      </c>
    </row>
    <row r="167" spans="2:7" x14ac:dyDescent="0.25">
      <c r="B167" s="122" t="str">
        <v>Concrete, 32 MPa, in-situ, no reinforcement, Pre-mix Concrete Normal Class GP/GGBFS blend (Boral) (NSW), (Sydney) Normal Class GP/GGBFS blend 32 MPa</v>
      </c>
      <c r="C167" t="str">
        <v>m³</v>
      </c>
      <c r="D167" s="96">
        <v>221</v>
      </c>
      <c r="E167" s="96">
        <v>9.2083333333333336E-2</v>
      </c>
      <c r="F167" s="96">
        <v>0</v>
      </c>
      <c r="G167" s="121">
        <v>0</v>
      </c>
    </row>
    <row r="168" spans="2:7" x14ac:dyDescent="0.25">
      <c r="B168" s="122" t="str">
        <v>Concrete, 32 MPa, in-situ, no reinforcement, Pre-mix Concrete Normal Class GP/GGBFS/FA blend (Boral) (NSW), (Sydney) Normal Class GP/GGBFS/FA blend 32 MPa</v>
      </c>
      <c r="C168" t="str">
        <v>m³</v>
      </c>
      <c r="D168" s="96">
        <v>207</v>
      </c>
      <c r="E168" s="96">
        <v>8.6249999999999993E-2</v>
      </c>
      <c r="F168" s="96">
        <v>0</v>
      </c>
      <c r="G168" s="121">
        <v>0</v>
      </c>
    </row>
    <row r="169" spans="2:7" x14ac:dyDescent="0.25">
      <c r="B169" s="122" t="str">
        <v>Concrete, 32 MPa, in-situ, no reinforcement, Pre-mix Concrete ENVIROCRETE 30% (Boral) (NSW), (Sydney) ENVIROCRETE 30% 32 MPa</v>
      </c>
      <c r="C169" t="str">
        <v>m³</v>
      </c>
      <c r="D169" s="96">
        <v>260</v>
      </c>
      <c r="E169" s="96">
        <v>0.10833333333333334</v>
      </c>
      <c r="F169" s="96">
        <v>0</v>
      </c>
      <c r="G169" s="121">
        <v>0</v>
      </c>
    </row>
    <row r="170" spans="2:7" x14ac:dyDescent="0.25">
      <c r="B170" s="122" t="str">
        <v>Concrete, 32 MPa, in-situ, no reinforcement, Pre-mix Concrete ENVIROCRETE 40% (Boral) (NSW), (Sydney) ENVIROCRETE 40% 32 MPa</v>
      </c>
      <c r="C170" t="str">
        <v>m³</v>
      </c>
      <c r="D170" s="96">
        <v>238</v>
      </c>
      <c r="E170" s="96">
        <v>9.9166666666666667E-2</v>
      </c>
      <c r="F170" s="96">
        <v>0</v>
      </c>
      <c r="G170" s="121">
        <v>0</v>
      </c>
    </row>
    <row r="171" spans="2:7" x14ac:dyDescent="0.25">
      <c r="B171" s="122" t="str">
        <v>Concrete, 32 MPa, in-situ, no reinforcement, Pre-mix Concrete ENVIROCRETE PLUS (Boral) (NSW), (Sydney) ENVIROCRETE PLUS 32MPa</v>
      </c>
      <c r="C171" t="str">
        <v>m³</v>
      </c>
      <c r="D171" s="96">
        <v>229</v>
      </c>
      <c r="E171" s="96">
        <v>9.5416666666666664E-2</v>
      </c>
      <c r="F171" s="96">
        <v>0</v>
      </c>
      <c r="G171" s="121">
        <v>0</v>
      </c>
    </row>
    <row r="172" spans="2:7" x14ac:dyDescent="0.25">
      <c r="B172" s="122" t="str">
        <v>Concrete, 32 MPa, in-situ, no reinforcement, Pre-mix Concrete ENVISIA (Boral) (NSW), (Sydney) ENVISIA 32MPa</v>
      </c>
      <c r="C172" t="str">
        <v>m³</v>
      </c>
      <c r="D172" s="96">
        <v>198</v>
      </c>
      <c r="E172" s="96">
        <v>8.2500000000000004E-2</v>
      </c>
      <c r="F172" s="96">
        <v>0</v>
      </c>
      <c r="G172" s="121">
        <v>0</v>
      </c>
    </row>
    <row r="173" spans="2:7" x14ac:dyDescent="0.25">
      <c r="B173" s="122" t="str">
        <v>Concrete, 32 MPa, in-situ, no reinforcement, Pre-mix Concrete KERB MACHINE (Boral) (NSW), (Sydney) KERB MACHINE 32MPa 10MM</v>
      </c>
      <c r="C173" t="str">
        <v>m³</v>
      </c>
      <c r="D173" s="96">
        <v>287</v>
      </c>
      <c r="E173" s="96">
        <v>0.11958333333333333</v>
      </c>
      <c r="F173" s="96">
        <v>0</v>
      </c>
      <c r="G173" s="121">
        <v>0</v>
      </c>
    </row>
    <row r="174" spans="2:7" x14ac:dyDescent="0.25">
      <c r="B174" s="122" t="str">
        <v>Concrete, 32 MPa, in-situ, no reinforcement, Pre-mix Concrete Normal Class GP blend (Boral) (NSW), (Wollongong) Normal Class GP blend 32MPa</v>
      </c>
      <c r="C174" t="str">
        <v>m³</v>
      </c>
      <c r="D174" s="96">
        <v>310</v>
      </c>
      <c r="E174" s="96">
        <v>0.12916666666666668</v>
      </c>
      <c r="F174" s="96">
        <v>0</v>
      </c>
      <c r="G174" s="121">
        <v>0</v>
      </c>
    </row>
    <row r="175" spans="2:7" x14ac:dyDescent="0.25">
      <c r="B175" s="122" t="str">
        <v>Concrete, 32 MPa, in-situ, no reinforcement, Pre-mix Concrete Normal Class GP/FA blend (Boral) (NSW), (Wollongong) Normal Class GP/FA blend 32 MPa</v>
      </c>
      <c r="C175" t="str">
        <v>m³</v>
      </c>
      <c r="D175" s="96">
        <v>257</v>
      </c>
      <c r="E175" s="96">
        <v>0.10708333333333334</v>
      </c>
      <c r="F175" s="96">
        <v>0</v>
      </c>
      <c r="G175" s="121">
        <v>0</v>
      </c>
    </row>
    <row r="176" spans="2:7" x14ac:dyDescent="0.25">
      <c r="B176" s="122" t="str">
        <v>Concrete, 32 MPa, in-situ, no reinforcement, Pre-mix Concrete Normal Class GP/GGBFS blend (Boral) (NSW), (Wollongong) Normal Class GP/GGBFS blend 32 MPa</v>
      </c>
      <c r="C176" t="str">
        <v>m³</v>
      </c>
      <c r="D176" s="96">
        <v>216</v>
      </c>
      <c r="E176" s="96">
        <v>0.09</v>
      </c>
      <c r="F176" s="96">
        <v>0</v>
      </c>
      <c r="G176" s="121">
        <v>0</v>
      </c>
    </row>
    <row r="177" spans="2:7" x14ac:dyDescent="0.25">
      <c r="B177" s="122" t="str">
        <v>Concrete, 32 MPa, in-situ, no reinforcement, Pre-mix Concrete KERB MACHINE (Boral) (NSW), (Wollongong) KERB MACHINE 32MPa 10MM</v>
      </c>
      <c r="C177" t="str">
        <v>m³</v>
      </c>
      <c r="D177" s="96">
        <v>288</v>
      </c>
      <c r="E177" s="96">
        <v>0.12</v>
      </c>
      <c r="F177" s="96">
        <v>0</v>
      </c>
      <c r="G177" s="121">
        <v>0</v>
      </c>
    </row>
    <row r="178" spans="2:7" x14ac:dyDescent="0.25">
      <c r="B178" s="122" t="str">
        <v>Concrete, 32 MPa, in-situ, no reinforcement, Pre-mix Concrete Normal Class GP/GGBFS/FA blend (Boral) (NSW), (Wollongong) Normal Class GP/GGBFS/FA blend 32 MPa</v>
      </c>
      <c r="C178" t="str">
        <v>m³</v>
      </c>
      <c r="D178" s="96">
        <v>185</v>
      </c>
      <c r="E178" s="96">
        <v>7.7083333333333337E-2</v>
      </c>
      <c r="F178" s="96">
        <v>0</v>
      </c>
      <c r="G178" s="121">
        <v>0</v>
      </c>
    </row>
    <row r="179" spans="2:7" x14ac:dyDescent="0.25">
      <c r="B179" s="122" t="str">
        <v>Concrete, 32 MPa, in-situ, no reinforcement, Pre-mix Concrete ENVIROCRETE 30% (Boral) (NSW), (Wollongong) ENVIROCRETE 30% 32 MPa</v>
      </c>
      <c r="C179" t="str">
        <v>m³</v>
      </c>
      <c r="D179" s="96">
        <v>257</v>
      </c>
      <c r="E179" s="96">
        <v>0.10708333333333334</v>
      </c>
      <c r="F179" s="96">
        <v>0</v>
      </c>
      <c r="G179" s="121">
        <v>0</v>
      </c>
    </row>
    <row r="180" spans="2:7" x14ac:dyDescent="0.25">
      <c r="B180" s="122" t="str">
        <v>Concrete, 32 MPa, in-situ, no reinforcement, Pre-mix Concrete ENVIROCRETE 40% (Boral) (NSW), (Wollongong) ENVIROCRETE 40% 32 MPa</v>
      </c>
      <c r="C180" t="str">
        <v>m³</v>
      </c>
      <c r="D180" s="96">
        <v>233</v>
      </c>
      <c r="E180" s="96">
        <v>9.7083333333333327E-2</v>
      </c>
      <c r="F180" s="96">
        <v>0</v>
      </c>
      <c r="G180" s="121">
        <v>0</v>
      </c>
    </row>
    <row r="181" spans="2:7" x14ac:dyDescent="0.25">
      <c r="B181" s="122" t="str">
        <v>Concrete, 32 MPa, in-situ, no reinforcement, Pre-mix Concrete ENVIROCRETE PLUS (Boral) (NSW), (Wollongong) ENVIROCRETE PLUS 32MPa</v>
      </c>
      <c r="C181" t="str">
        <v>m³</v>
      </c>
      <c r="D181" s="96">
        <v>224</v>
      </c>
      <c r="E181" s="96">
        <v>9.3333333333333338E-2</v>
      </c>
      <c r="F181" s="96">
        <v>0</v>
      </c>
      <c r="G181" s="121">
        <v>0</v>
      </c>
    </row>
    <row r="182" spans="2:7" x14ac:dyDescent="0.25">
      <c r="B182" s="122" t="str">
        <v>Concrete, 32 MPa, in-situ, no reinforcement, Pre-mix Concrete ENVISIA (Boral) (NSW), (Wollongong) ENVISIA 32MPa</v>
      </c>
      <c r="C182" t="str">
        <v>m³</v>
      </c>
      <c r="D182" s="96">
        <v>193</v>
      </c>
      <c r="E182" s="96">
        <v>8.0416666666666664E-2</v>
      </c>
      <c r="F182" s="96">
        <v>0</v>
      </c>
      <c r="G182" s="121">
        <v>0</v>
      </c>
    </row>
    <row r="183" spans="2:7" x14ac:dyDescent="0.25">
      <c r="B183" s="122" t="str">
        <v>Concrete, 32 MPa, in-situ, no reinforcement, Pre-mix Concrete Normal Class GP blend (Boral) (TAS), (Hobart) Normal Class GP blend 32MPa</v>
      </c>
      <c r="C183" t="str">
        <v>m³</v>
      </c>
      <c r="D183" s="96">
        <v>308</v>
      </c>
      <c r="E183" s="96">
        <v>0.12833333333333333</v>
      </c>
      <c r="F183" s="96">
        <v>0</v>
      </c>
      <c r="G183" s="121">
        <v>0</v>
      </c>
    </row>
    <row r="184" spans="2:7" x14ac:dyDescent="0.25">
      <c r="B184" s="122" t="str">
        <v>Concrete, 32 MPa, in-situ, no reinforcement, Pre-mix Concrete ENVISIA (Boral) (TAS), (Hobart) ENVISIA 32 MPa</v>
      </c>
      <c r="C184" t="str">
        <v>m³</v>
      </c>
      <c r="D184" s="96">
        <v>276</v>
      </c>
      <c r="E184" s="96">
        <v>0.115</v>
      </c>
      <c r="F184" s="96">
        <v>0</v>
      </c>
      <c r="G184" s="121">
        <v>0</v>
      </c>
    </row>
    <row r="185" spans="2:7" x14ac:dyDescent="0.25">
      <c r="B185" s="122" t="str">
        <v>Concrete, 32 MPa, in-situ, no reinforcement, Pre-mix Concrete Normal Class GP blend (Boral) (TAS), (Launceston) Normal Class GP blend 32MPa</v>
      </c>
      <c r="C185" t="str">
        <v>m³</v>
      </c>
      <c r="D185" s="96">
        <v>306</v>
      </c>
      <c r="E185" s="96">
        <v>0.1275</v>
      </c>
      <c r="F185" s="96">
        <v>0</v>
      </c>
      <c r="G185" s="121">
        <v>0</v>
      </c>
    </row>
    <row r="186" spans="2:7" x14ac:dyDescent="0.25">
      <c r="B186" s="122" t="str">
        <v>Concrete, 32 MPa, in-situ, no reinforcement, Pre-mix Concrete ENVISIA (Boral) (TAS), (Launceston) ENVISIA 32 MPa</v>
      </c>
      <c r="C186" t="str">
        <v>m³</v>
      </c>
      <c r="D186" s="96">
        <v>268</v>
      </c>
      <c r="E186" s="96">
        <v>0.11166666666666666</v>
      </c>
      <c r="F186" s="96">
        <v>0</v>
      </c>
      <c r="G186" s="121">
        <v>0</v>
      </c>
    </row>
    <row r="187" spans="2:7" x14ac:dyDescent="0.25">
      <c r="B187" s="122" t="str">
        <v>Concrete, 32 MPa, in-situ, no reinforcement, GP, Normal Class (WA Premix) (WA), (Perth)</v>
      </c>
      <c r="C187" t="str">
        <v>m³</v>
      </c>
      <c r="D187" s="96">
        <v>363</v>
      </c>
      <c r="E187" s="96">
        <v>0.15125</v>
      </c>
      <c r="F187" s="96">
        <v>0</v>
      </c>
      <c r="G187" s="121">
        <v>0</v>
      </c>
    </row>
    <row r="188" spans="2:7" x14ac:dyDescent="0.25">
      <c r="B188" s="122" t="str">
        <v>Concrete, 32 MPa, in-situ, no reinforcement, Blend, Normal Class (WA Premix) (WA), (Perth)</v>
      </c>
      <c r="C188" t="str">
        <v>m³</v>
      </c>
      <c r="D188" s="96">
        <v>349</v>
      </c>
      <c r="E188" s="96">
        <v>0.14541666666666667</v>
      </c>
      <c r="F188" s="96">
        <v>0</v>
      </c>
      <c r="G188" s="121">
        <v>0</v>
      </c>
    </row>
    <row r="189" spans="2:7" x14ac:dyDescent="0.25">
      <c r="B189" s="122" t="str">
        <v>Concrete, 32 MPa, in-situ, no reinforcement, AQ1339, Special Class (WA Premix) (WA), (Perth)</v>
      </c>
      <c r="C189" t="str">
        <v>m³</v>
      </c>
      <c r="D189" s="96">
        <v>399</v>
      </c>
      <c r="E189" s="96">
        <v>0.16625000000000001</v>
      </c>
      <c r="F189" s="96">
        <v>0</v>
      </c>
      <c r="G189" s="121">
        <v>0</v>
      </c>
    </row>
    <row r="190" spans="2:7" x14ac:dyDescent="0.25">
      <c r="B190" s="122" t="str">
        <v>Concrete, 32 MPa, in-situ, no reinforcement, AQ1340, Special Class (WA Premix) (WA), (Perth)</v>
      </c>
      <c r="C190" t="str">
        <v>m³</v>
      </c>
      <c r="D190" s="96">
        <v>399</v>
      </c>
      <c r="E190" s="96">
        <v>0.16625000000000001</v>
      </c>
      <c r="F190" s="96">
        <v>0</v>
      </c>
      <c r="G190" s="121">
        <v>0</v>
      </c>
    </row>
    <row r="191" spans="2:7" x14ac:dyDescent="0.25">
      <c r="B191" s="122" t="str">
        <v>Concrete, 32 MPa, in-situ, no reinforcement, AQ2339, Special Class (WA Premix) (WA), (Perth)</v>
      </c>
      <c r="C191" t="str">
        <v>m³</v>
      </c>
      <c r="D191" s="96">
        <v>317</v>
      </c>
      <c r="E191" s="96">
        <v>0.13208333333333333</v>
      </c>
      <c r="F191" s="96">
        <v>0</v>
      </c>
      <c r="G191" s="121">
        <v>0</v>
      </c>
    </row>
    <row r="192" spans="2:7" x14ac:dyDescent="0.25">
      <c r="B192" s="122" t="str">
        <v>Concrete, 32 MPa, in-situ, no reinforcement, AQ2340, Special Class (WA Premix) (WA), (Perth)</v>
      </c>
      <c r="C192" t="str">
        <v>m³</v>
      </c>
      <c r="D192" s="96">
        <v>318</v>
      </c>
      <c r="E192" s="96">
        <v>0.13250000000000001</v>
      </c>
      <c r="F192" s="96">
        <v>0</v>
      </c>
      <c r="G192" s="121">
        <v>0</v>
      </c>
    </row>
    <row r="193" spans="2:7" x14ac:dyDescent="0.25">
      <c r="B193" s="122" t="str">
        <v>Concrete, 32 MPa, in-situ, no reinforcement, Ready-Mix Concrete (LC)50 (Concrite) (NSW) (Sydney Region, NSW)</v>
      </c>
      <c r="C193" t="str">
        <v>m³</v>
      </c>
      <c r="D193" s="96">
        <v>187</v>
      </c>
      <c r="E193" s="96">
        <v>7.7916666666666662E-2</v>
      </c>
      <c r="F193" s="96">
        <v>0</v>
      </c>
      <c r="G193" s="121">
        <v>0</v>
      </c>
    </row>
    <row r="194" spans="2:7" x14ac:dyDescent="0.25">
      <c r="B194" s="122" t="str">
        <v>Concrete, 32 MPa, in-situ, no reinforcement, Ready-Mix Concrete (LC)40 (Concrite) (NSW) (Sydney Region, NSW)</v>
      </c>
      <c r="C194" t="str">
        <v>m³</v>
      </c>
      <c r="D194" s="96">
        <v>215</v>
      </c>
      <c r="E194" s="96">
        <v>8.9583333333333334E-2</v>
      </c>
      <c r="F194" s="96">
        <v>0</v>
      </c>
      <c r="G194" s="121">
        <v>0</v>
      </c>
    </row>
    <row r="195" spans="2:7" x14ac:dyDescent="0.25">
      <c r="B195" s="122" t="str">
        <v>Concrete, 32 MPa, in-situ, no reinforcement, Ready-Mix Concrete (LC)30 (Concrite) (NSW) (Sydney Region, NSW)</v>
      </c>
      <c r="C195" t="str">
        <v>m³</v>
      </c>
      <c r="D195" s="96">
        <v>274</v>
      </c>
      <c r="E195" s="96">
        <v>0.11416666666666667</v>
      </c>
      <c r="F195" s="96">
        <v>0</v>
      </c>
      <c r="G195" s="121">
        <v>0</v>
      </c>
    </row>
    <row r="196" spans="2:7" x14ac:dyDescent="0.25">
      <c r="B196" s="122" t="str">
        <v>Concrete, 32 MPa, in-situ, no reinforcement, Ready-Mix Concrete (LCHP) (Concrite) (NSW) (Sydney Region, NSW)</v>
      </c>
      <c r="C196" t="str">
        <v>m³</v>
      </c>
      <c r="D196" s="96">
        <v>224</v>
      </c>
      <c r="E196" s="96">
        <v>9.3333333333333338E-2</v>
      </c>
      <c r="F196" s="96">
        <v>0</v>
      </c>
      <c r="G196" s="121">
        <v>0</v>
      </c>
    </row>
    <row r="197" spans="2:7" x14ac:dyDescent="0.25">
      <c r="B197" s="122" t="str">
        <v>Concrete, 32 MPa, in-situ, no reinforcement, Ready-Mix Concrete (LCP) (Concrite) (NSW) (Sydney Region, NSW)</v>
      </c>
      <c r="C197" t="str">
        <v>m³</v>
      </c>
      <c r="D197" s="96">
        <v>239</v>
      </c>
      <c r="E197" s="96">
        <v>9.9583333333333329E-2</v>
      </c>
      <c r="F197" s="96">
        <v>0</v>
      </c>
      <c r="G197" s="121">
        <v>0</v>
      </c>
    </row>
    <row r="198" spans="2:7" x14ac:dyDescent="0.25">
      <c r="B198" s="122" t="str">
        <v>Concrete, 32 MPa, in-situ, no reinforcement, Ready-Mix Concrete Normal class GP blend (Concrite) (NSW) (Sydney Region, NSW)</v>
      </c>
      <c r="C198" t="str">
        <v>m³</v>
      </c>
      <c r="D198" s="96">
        <v>297</v>
      </c>
      <c r="E198" s="96">
        <v>0.12375</v>
      </c>
      <c r="F198" s="96">
        <v>0</v>
      </c>
      <c r="G198" s="121">
        <v>0</v>
      </c>
    </row>
    <row r="199" spans="2:7" x14ac:dyDescent="0.25">
      <c r="B199" s="122" t="str">
        <v>Concrete, 32 MPa, in-situ, no reinforcement, Ready-Mix Concrete KERB MACHINE (Concrite) (NSW) (Sydney Region, NSW)</v>
      </c>
      <c r="C199" t="str">
        <v>m³</v>
      </c>
      <c r="D199" s="96">
        <v>180</v>
      </c>
      <c r="E199" s="96">
        <v>7.4999999999999997E-2</v>
      </c>
      <c r="F199" s="96">
        <v>0</v>
      </c>
      <c r="G199" s="121">
        <v>0</v>
      </c>
    </row>
    <row r="200" spans="2:7" x14ac:dyDescent="0.25">
      <c r="B200" s="122" t="str">
        <v>Concrete, 32 MPa, in-situ, no reinforcement, Ready-Mix Concrete SLAG AGG CONCRETE MIX, (LC)50 (Concrite) (NSW) (Sydney Region, NSW)</v>
      </c>
      <c r="C200" t="str">
        <v>m³</v>
      </c>
      <c r="D200" s="96">
        <v>204</v>
      </c>
      <c r="E200" s="96">
        <v>8.5000000000000006E-2</v>
      </c>
      <c r="F200" s="96">
        <v>0</v>
      </c>
      <c r="G200" s="121">
        <v>0</v>
      </c>
    </row>
    <row r="201" spans="2:7" x14ac:dyDescent="0.25">
      <c r="B201" s="122" t="str">
        <v>Concrete, 32 MPa, in-situ, no reinforcement, Ready-Mix Concrete SLAG AGG CONCRETE MIX, (LC)40 (Concrite) (NSW) (Sydney Region, NSW)</v>
      </c>
      <c r="C201" t="str">
        <v>m³</v>
      </c>
      <c r="D201" s="96">
        <v>223</v>
      </c>
      <c r="E201" s="96">
        <v>9.2916666666666661E-2</v>
      </c>
      <c r="F201" s="96">
        <v>0</v>
      </c>
      <c r="G201" s="121">
        <v>0</v>
      </c>
    </row>
    <row r="202" spans="2:7" x14ac:dyDescent="0.25">
      <c r="B202" s="122" t="str">
        <v>Concrete, 32 MPa, in-situ, no reinforcement, Ready-Mix Concrete SLAG AGG CONCRETE MIX, (LC)30 (Concrite) (NSW) (Sydney Region, NSW)</v>
      </c>
      <c r="C202" t="str">
        <v>m³</v>
      </c>
      <c r="D202" s="96">
        <v>266</v>
      </c>
      <c r="E202" s="96">
        <v>0.11083333333333334</v>
      </c>
      <c r="F202" s="96">
        <v>0</v>
      </c>
      <c r="G202" s="121">
        <v>0</v>
      </c>
    </row>
    <row r="203" spans="2:7" x14ac:dyDescent="0.25">
      <c r="B203" s="122" t="str">
        <v>Concrete, 32 MPa, in-situ, no reinforcement, Ready-Mix Concrete (LC)30 32MPa (Concrite) (NSW) (Southern Highlands, NSW)</v>
      </c>
      <c r="C203" t="str">
        <v>m³</v>
      </c>
      <c r="D203" s="96">
        <v>270</v>
      </c>
      <c r="E203" s="96">
        <v>0.1125</v>
      </c>
      <c r="F203" s="96">
        <v>0</v>
      </c>
      <c r="G203" s="121">
        <v>0</v>
      </c>
    </row>
    <row r="204" spans="2:7" x14ac:dyDescent="0.25">
      <c r="B204" s="122" t="str">
        <v>Concrete, 32 MPa, in-situ, no reinforcement, Ready-Mix Concrete NORMAL CLASS GP BLEND (Concrite) (NSW) (Southern Highlands, NSW)</v>
      </c>
      <c r="C204" t="str">
        <v>m³</v>
      </c>
      <c r="D204" s="96">
        <v>302</v>
      </c>
      <c r="E204" s="96">
        <v>0.12583333333333332</v>
      </c>
      <c r="F204" s="96">
        <v>0</v>
      </c>
      <c r="G204" s="121">
        <v>0</v>
      </c>
    </row>
    <row r="205" spans="2:7" x14ac:dyDescent="0.25">
      <c r="B205" s="122" t="str">
        <v>Concrete, 32 MPa, in-situ, no reinforcement, Ready-Mix Concrete KERB MACHINE 10MM (Concrite) (NSW) (Southern Highlands, NSW)</v>
      </c>
      <c r="C205" t="str">
        <v>m³</v>
      </c>
      <c r="D205" s="96">
        <v>281</v>
      </c>
      <c r="E205" s="96">
        <v>0.11708333333333333</v>
      </c>
      <c r="F205" s="96">
        <v>0</v>
      </c>
      <c r="G205" s="121">
        <v>0</v>
      </c>
    </row>
    <row r="206" spans="2:7" x14ac:dyDescent="0.25">
      <c r="B206" s="122" t="str">
        <v>Concrete, 32 MPa, in-situ, no reinforcement, Ready-Mix Concrete LC30 32MPa (Concrite) (ACT) (Canberra, ACT)</v>
      </c>
      <c r="C206" t="str">
        <v>m³</v>
      </c>
      <c r="D206" s="96">
        <v>268</v>
      </c>
      <c r="E206" s="96">
        <v>0.11166666666666666</v>
      </c>
      <c r="F206" s="96">
        <v>0</v>
      </c>
      <c r="G206" s="121">
        <v>0</v>
      </c>
    </row>
    <row r="207" spans="2:7" x14ac:dyDescent="0.25">
      <c r="B207" s="122" t="str">
        <v>Concrete, 32 MPa, in-situ, no reinforcement, Ready-Mix Concrete NORMAL CLASS GP BLEND (Concrite) (ACT) (Canberra, ACT)</v>
      </c>
      <c r="C207" t="str">
        <v>m³</v>
      </c>
      <c r="D207" s="96">
        <v>323</v>
      </c>
      <c r="E207" s="96">
        <v>0.13458333333333333</v>
      </c>
      <c r="F207" s="96">
        <v>0</v>
      </c>
      <c r="G207" s="121">
        <v>0</v>
      </c>
    </row>
    <row r="208" spans="2:7" x14ac:dyDescent="0.25">
      <c r="B208" s="122" t="str">
        <v>Concrete, 32 MPa, in-situ, no reinforcement, Ready-Mix Concrete KERB MACHINE 10MM (Concrite) (ACT) (Canberra, ACT)</v>
      </c>
      <c r="C208" t="str">
        <v>m³</v>
      </c>
      <c r="D208" s="96">
        <v>271</v>
      </c>
      <c r="E208" s="96">
        <v>0.11291666666666667</v>
      </c>
      <c r="F208" s="96">
        <v>0</v>
      </c>
      <c r="G208" s="121">
        <v>0</v>
      </c>
    </row>
    <row r="209" spans="2:7" x14ac:dyDescent="0.25">
      <c r="B209" s="122" t="str">
        <v>Concrete, 32 MPa, in-situ, no reinforcement, (Adbri Concrete
N Class GP/GL:FA
32 MPa) (Adbri) (NSW)</v>
      </c>
      <c r="C209" t="str">
        <v>m³</v>
      </c>
      <c r="D209" s="96">
        <v>302.66543000000001</v>
      </c>
      <c r="E209" s="96">
        <v>0.12611059583333334</v>
      </c>
      <c r="F209" s="96">
        <v>0</v>
      </c>
      <c r="G209" s="121">
        <v>0</v>
      </c>
    </row>
    <row r="210" spans="2:7" x14ac:dyDescent="0.25">
      <c r="B210" s="122" t="str">
        <v>Concrete, 32 MPa, in-situ, no reinforcement, (Futurecrete®  Ultra
N Class Ternary
32 MPa) (Adbri) (NSW)</v>
      </c>
      <c r="C210" t="str">
        <v>m³</v>
      </c>
      <c r="D210" s="96">
        <v>243.58269999999999</v>
      </c>
      <c r="E210" s="96">
        <v>0.10149279166666667</v>
      </c>
      <c r="F210" s="96">
        <v>0</v>
      </c>
      <c r="G210" s="121">
        <v>0</v>
      </c>
    </row>
    <row r="211" spans="2:7" x14ac:dyDescent="0.25">
      <c r="B211" s="122" t="str">
        <v>Concrete, 32 MPa, in-situ, no reinforcement, (Futurecrete®  S Class
GP/GL 32 MPa) (Adbri) (SA)</v>
      </c>
      <c r="C211" t="str">
        <v>m³</v>
      </c>
      <c r="D211" s="96">
        <v>252.01</v>
      </c>
      <c r="E211" s="96">
        <v>0.10500416666666666</v>
      </c>
      <c r="F211" s="96">
        <v>0</v>
      </c>
      <c r="G211" s="121">
        <v>0</v>
      </c>
    </row>
    <row r="212" spans="2:7" x14ac:dyDescent="0.25">
      <c r="B212" s="122" t="str">
        <v>Concrete, 32 MPa, in-situ, no reinforcement, (Adbri N Class
GP/GL 32 MPa) (Adbri) (SA)</v>
      </c>
      <c r="C212" t="str">
        <v>m³</v>
      </c>
      <c r="D212" s="96">
        <v>240.19</v>
      </c>
      <c r="E212" s="96">
        <v>0.10007916666666666</v>
      </c>
      <c r="F212" s="96">
        <v>0</v>
      </c>
      <c r="G212" s="121">
        <v>0</v>
      </c>
    </row>
    <row r="213" spans="2:7" x14ac:dyDescent="0.25">
      <c r="B213" s="122" t="str">
        <v>Concrete, 32 MPa, in-situ, no reinforcement, (Futurecrete®  N Class
GP/GL:FA 32 MPa) (Adbri) (SA)</v>
      </c>
      <c r="C213" t="str">
        <v>m³</v>
      </c>
      <c r="D213" s="96">
        <v>194.06</v>
      </c>
      <c r="E213" s="96">
        <v>8.0858333333333338E-2</v>
      </c>
      <c r="F213" s="96">
        <v>0</v>
      </c>
      <c r="G213" s="121">
        <v>0</v>
      </c>
    </row>
    <row r="214" spans="2:7" x14ac:dyDescent="0.25">
      <c r="B214" s="122" t="str">
        <v>Concrete, 32 MPa, in-situ, no reinforcement, (Futurecrete®  N
Class GP/GL:Slag
32 MPa) (Adbri) (SA)</v>
      </c>
      <c r="C214" t="str">
        <v>m³</v>
      </c>
      <c r="D214" s="96">
        <v>188.38</v>
      </c>
      <c r="E214" s="96">
        <v>7.8491666666666668E-2</v>
      </c>
      <c r="F214" s="96">
        <v>0</v>
      </c>
      <c r="G214" s="121">
        <v>0</v>
      </c>
    </row>
    <row r="215" spans="2:7" x14ac:dyDescent="0.25">
      <c r="B215" s="122" t="str">
        <v>Concrete, 32 MPa, in-situ, no reinforcement, (Futurecrete®  S Class
GP/GL:Slag 32 MPa) (Adbri) (SA)</v>
      </c>
      <c r="C215" t="str">
        <v>m³</v>
      </c>
      <c r="D215" s="96">
        <v>188.16</v>
      </c>
      <c r="E215" s="96">
        <v>7.8399999999999997E-2</v>
      </c>
      <c r="F215" s="96">
        <v>0</v>
      </c>
      <c r="G215" s="121">
        <v>0</v>
      </c>
    </row>
    <row r="216" spans="2:7" x14ac:dyDescent="0.25">
      <c r="B216" s="122" t="str">
        <v>Concrete, 32 MPa, in-situ, no reinforcement, (CS3220BGS)(B) (BCG) (WA), (Perth)</v>
      </c>
      <c r="C216" t="str">
        <v>m³</v>
      </c>
      <c r="D216" s="96">
        <v>252.83</v>
      </c>
      <c r="E216" s="96">
        <v>0.10534583333333333</v>
      </c>
      <c r="F216" s="96">
        <v>0</v>
      </c>
      <c r="G216" s="121">
        <v>0</v>
      </c>
    </row>
    <row r="217" spans="2:7" x14ac:dyDescent="0.25">
      <c r="B217" s="122" t="str">
        <v>Concrete, 32 MPa, in-situ, no reinforcement, (CS3220ASC)(GP) (BCG) (WA), (Perth)</v>
      </c>
      <c r="C217" t="str">
        <v>m³</v>
      </c>
      <c r="D217" s="96">
        <v>373.69</v>
      </c>
      <c r="E217" s="96">
        <v>0.15570416666666667</v>
      </c>
      <c r="F217" s="96">
        <v>0</v>
      </c>
      <c r="G217" s="121">
        <v>0</v>
      </c>
    </row>
    <row r="218" spans="2:7" x14ac:dyDescent="0.25">
      <c r="B218" s="122" t="str">
        <v>Concrete, 32 MPa, in-situ, no reinforcement, (R3220A)(GP) (BCG) (WA), (Perth)</v>
      </c>
      <c r="C218" t="str">
        <v>m³</v>
      </c>
      <c r="D218" s="96">
        <v>368.61</v>
      </c>
      <c r="E218" s="96">
        <v>0.15358750000000002</v>
      </c>
      <c r="F218" s="96">
        <v>0</v>
      </c>
      <c r="G218" s="121">
        <v>0</v>
      </c>
    </row>
    <row r="219" spans="2:7" x14ac:dyDescent="0.25">
      <c r="B219" s="122" t="str">
        <v>Concrete, 32 MPa, in-situ, no reinforcement, (QE327LSPR) (Ecopact) (Holcim) (QLD) (Brisbane)</v>
      </c>
      <c r="C219" t="str">
        <v>m³</v>
      </c>
      <c r="D219" s="96">
        <v>273.64999999999998</v>
      </c>
      <c r="E219" s="96">
        <v>0.11402083333333334</v>
      </c>
      <c r="F219" s="96">
        <v>0</v>
      </c>
      <c r="G219" s="121">
        <v>0</v>
      </c>
    </row>
    <row r="220" spans="2:7" x14ac:dyDescent="0.25">
      <c r="B220" s="122" t="str">
        <v>Concrete, 32 MPa, in-situ, no reinforcement, (QE327LSPR) (Ecopact) (Holcim) (QLD), Gold Coast</v>
      </c>
      <c r="C220" t="str">
        <v>m³</v>
      </c>
      <c r="D220" s="96">
        <v>258.64</v>
      </c>
      <c r="E220" s="96">
        <v>0.10776666666666666</v>
      </c>
      <c r="F220" s="96">
        <v>0</v>
      </c>
      <c r="G220" s="121">
        <v>0</v>
      </c>
    </row>
    <row r="221" spans="2:7" x14ac:dyDescent="0.25">
      <c r="B221" s="122" t="str">
        <v>Concrete, 32 MPa, in-situ, no reinforcement, (LH3220E)(LH) (BCG) (WA), (Perth)</v>
      </c>
      <c r="C221" t="str">
        <v>m³</v>
      </c>
      <c r="D221" s="96">
        <v>180.72</v>
      </c>
      <c r="E221" s="96">
        <v>7.5300000000000006E-2</v>
      </c>
      <c r="F221" s="96">
        <v>0</v>
      </c>
      <c r="G221" s="121">
        <v>0</v>
      </c>
    </row>
    <row r="222" spans="2:7" x14ac:dyDescent="0.25">
      <c r="B222" s="122" t="str">
        <v>Concrete, 32 MPa, in-situ, no reinforcement, (VE322EF26) (Ecopact) (Holcim) (VIC)</v>
      </c>
      <c r="C222" t="str">
        <v>m³</v>
      </c>
      <c r="D222" s="96">
        <v>264.45</v>
      </c>
      <c r="E222" s="96">
        <v>0.11018749999999999</v>
      </c>
      <c r="F222" s="96">
        <v>0</v>
      </c>
      <c r="G222" s="121">
        <v>0</v>
      </c>
    </row>
    <row r="223" spans="2:7" x14ac:dyDescent="0.25">
      <c r="B223" s="122" t="str">
        <v>Concrete, 32 MPa, in-situ, no reinforcement, (32MPa 7MM BLOCKMIX) (Adbri) (QLD)</v>
      </c>
      <c r="C223" t="str">
        <v>m³</v>
      </c>
      <c r="D223" s="96">
        <v>270.27699999999999</v>
      </c>
      <c r="E223" s="96">
        <v>0.11261541666666668</v>
      </c>
      <c r="F223" s="96">
        <v>0</v>
      </c>
      <c r="G223" s="121">
        <v>0</v>
      </c>
    </row>
    <row r="224" spans="2:7" x14ac:dyDescent="0.25">
      <c r="B224" s="122" t="str">
        <v>Concrete, 32 MPa, in-situ, no reinforcement, (SE322FE56) (Ecopact) (Holcim) (SA) (Adelaide)</v>
      </c>
      <c r="C224" t="str">
        <v>m³</v>
      </c>
      <c r="D224" s="96">
        <v>244.34</v>
      </c>
      <c r="E224" s="96">
        <v>0.10180833333333333</v>
      </c>
      <c r="F224" s="96">
        <v>0</v>
      </c>
      <c r="G224" s="121">
        <v>0</v>
      </c>
    </row>
    <row r="225" spans="2:7" x14ac:dyDescent="0.25">
      <c r="B225" s="122" t="str">
        <v>Concrete, 32 MPa, in-situ, no reinforcement, (SE322E2) (Ecopact) (Holcim) (SA) (Adelaide)</v>
      </c>
      <c r="C225" t="str">
        <v>m³</v>
      </c>
      <c r="D225" s="96">
        <v>238.33</v>
      </c>
      <c r="E225" s="96">
        <v>9.9304166666666666E-2</v>
      </c>
      <c r="F225" s="96">
        <v>0</v>
      </c>
      <c r="G225" s="121">
        <v>0</v>
      </c>
    </row>
    <row r="226" spans="2:7" x14ac:dyDescent="0.25">
      <c r="B226" s="122" t="str">
        <v>Concrete, 32 MPa, in-situ, no reinforcement, (QE322LPN2) (Ecopact) (Holcim) (QLD) (Brisbane)</v>
      </c>
      <c r="C226" t="str">
        <v>m³</v>
      </c>
      <c r="D226" s="96">
        <v>261.16000000000003</v>
      </c>
      <c r="E226" s="96">
        <v>0.10881666666666667</v>
      </c>
      <c r="F226" s="96">
        <v>0</v>
      </c>
      <c r="G226" s="121">
        <v>0</v>
      </c>
    </row>
    <row r="227" spans="2:7" x14ac:dyDescent="0.25">
      <c r="B227" s="122" t="str">
        <v>Concrete, 32 MPa, in-situ, no reinforcement, (VZ322E5) (Ecopact) (Holcim) (VIC)</v>
      </c>
      <c r="C227" t="str">
        <v>m³</v>
      </c>
      <c r="D227" s="96">
        <v>221.27</v>
      </c>
      <c r="E227" s="96">
        <v>9.2195833333333338E-2</v>
      </c>
      <c r="F227" s="96">
        <v>0</v>
      </c>
      <c r="G227" s="121">
        <v>0</v>
      </c>
    </row>
    <row r="228" spans="2:7" x14ac:dyDescent="0.25">
      <c r="B228" s="122" t="str">
        <v>Concrete, 32 MPa, in-situ, no reinforcement, (WE324EKC)(Ecopact) (Holcim) (WA), (Perth Metro)</v>
      </c>
      <c r="C228" t="str">
        <v>m³</v>
      </c>
      <c r="D228" s="96">
        <v>253.13</v>
      </c>
      <c r="E228" s="96">
        <v>0.10547083333333333</v>
      </c>
      <c r="F228" s="96">
        <v>0</v>
      </c>
      <c r="G228" s="121">
        <v>0</v>
      </c>
    </row>
    <row r="229" spans="2:7" x14ac:dyDescent="0.25">
      <c r="B229" s="122" t="str">
        <v>Concrete, 32 MPa, in-situ, no reinforcement, (QE322L652) (Ecopact) (Holcim) (QLD) (Brisbane)</v>
      </c>
      <c r="C229" t="str">
        <v>m³</v>
      </c>
      <c r="D229" s="96">
        <v>235.15</v>
      </c>
      <c r="E229" s="96">
        <v>9.7979166666666659E-2</v>
      </c>
      <c r="F229" s="96">
        <v>0</v>
      </c>
      <c r="G229" s="121">
        <v>0</v>
      </c>
    </row>
    <row r="230" spans="2:7" x14ac:dyDescent="0.25">
      <c r="B230" s="122" t="str">
        <v>Concrete, 32 MPa, in-situ, no reinforcement, (WE321EBMX)(Ecopact) (Holcim) (WA), (Perth Metro)</v>
      </c>
      <c r="C230" t="str">
        <v>m³</v>
      </c>
      <c r="D230" s="96">
        <v>242.11</v>
      </c>
      <c r="E230" s="96">
        <v>0.10087916666666666</v>
      </c>
      <c r="F230" s="96">
        <v>0</v>
      </c>
      <c r="G230" s="121">
        <v>0</v>
      </c>
    </row>
    <row r="231" spans="2:7" x14ac:dyDescent="0.25">
      <c r="B231" s="122" t="str">
        <v>Concrete, 32 MPa, in-situ, no reinforcement, (Futurecrete®
Ultra N class GP/ GL:Slag 32 MPa) (Adbri) (QLD)</v>
      </c>
      <c r="C231" t="str">
        <v>m³</v>
      </c>
      <c r="D231" s="96">
        <v>225.16399999999999</v>
      </c>
      <c r="E231" s="96">
        <v>9.3818333333333337E-2</v>
      </c>
      <c r="F231" s="96">
        <v>0</v>
      </c>
      <c r="G231" s="121">
        <v>0</v>
      </c>
    </row>
    <row r="232" spans="2:7" x14ac:dyDescent="0.25">
      <c r="B232" s="122" t="str">
        <v>Concrete, 32 MPa, in-situ, no reinforcement, (WE322E2)(Ecopact) (Holcim) (WA), (Perth Metro)</v>
      </c>
      <c r="C232" t="str">
        <v>m³</v>
      </c>
      <c r="D232" s="96">
        <v>228.15</v>
      </c>
      <c r="E232" s="96">
        <v>9.5062499999999994E-2</v>
      </c>
      <c r="F232" s="96">
        <v>0</v>
      </c>
      <c r="G232" s="121">
        <v>0</v>
      </c>
    </row>
    <row r="233" spans="2:7" x14ac:dyDescent="0.25">
      <c r="B233" s="122" t="str">
        <v>Concrete, 32 MPa, in-situ, no reinforcement, (WE322E4)(Ecopact) (Holcim) (WA), (Perth Metro)</v>
      </c>
      <c r="C233" t="str">
        <v>m³</v>
      </c>
      <c r="D233" s="96">
        <v>228.15</v>
      </c>
      <c r="E233" s="96">
        <v>9.5062499999999994E-2</v>
      </c>
      <c r="F233" s="96">
        <v>0</v>
      </c>
      <c r="G233" s="121">
        <v>0</v>
      </c>
    </row>
    <row r="234" spans="2:7" x14ac:dyDescent="0.25">
      <c r="B234" s="122" t="str">
        <v>Concrete, 32 MPa, in-situ, no reinforcement, (QE321E100)(Ecopact) (Holcim) (QLD) (Sunshine Coast)</v>
      </c>
      <c r="C234" t="str">
        <v>m³</v>
      </c>
      <c r="D234" s="96">
        <v>196.22</v>
      </c>
      <c r="E234" s="96">
        <v>8.1758333333333336E-2</v>
      </c>
      <c r="F234" s="96">
        <v>0</v>
      </c>
      <c r="G234" s="121">
        <v>0</v>
      </c>
    </row>
    <row r="235" spans="2:7" x14ac:dyDescent="0.25">
      <c r="B235" s="122" t="str">
        <v>Concrete, 32 MPa, in-situ, no reinforcement, (QE322E100)(Ecopact) (Holcim) (QLD) (Sunshine Coast)</v>
      </c>
      <c r="C235" t="str">
        <v>m³</v>
      </c>
      <c r="D235" s="96">
        <v>187.2</v>
      </c>
      <c r="E235" s="96">
        <v>7.8E-2</v>
      </c>
      <c r="F235" s="96">
        <v>0</v>
      </c>
      <c r="G235" s="121">
        <v>0</v>
      </c>
    </row>
    <row r="236" spans="2:7" x14ac:dyDescent="0.25">
      <c r="B236" s="122" t="str">
        <v>Concrete, 32 MPa, in-situ, no reinforcement, (QE321E) (Ecopact) (Holcim) (QLD), Gold Coast</v>
      </c>
      <c r="C236" t="str">
        <v>m³</v>
      </c>
      <c r="D236" s="96">
        <v>198.15</v>
      </c>
      <c r="E236" s="96">
        <v>8.2562499999999997E-2</v>
      </c>
      <c r="F236" s="96">
        <v>0</v>
      </c>
      <c r="G236" s="121">
        <v>0</v>
      </c>
    </row>
  </sheetData>
  <dataValidations count="1">
    <dataValidation type="list" allowBlank="1" showInputMessage="1" showErrorMessage="1" sqref="B6:B8" xr:uid="{C6181614-2B41-47F7-B062-CF4C2C2A966B}">
      <formula1>"Tier 1,Tier 2,Tier 3,Tier 4"</formula1>
    </dataValidation>
  </dataValidation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3C60B4-BAB8-4B03-958D-C78AE9A9EF76}">
  <sheetPr codeName="Sheet8">
    <tabColor rgb="FF00CCFF"/>
  </sheetPr>
  <dimension ref="A1:G340"/>
  <sheetViews>
    <sheetView showGridLines="0" zoomScale="80" zoomScaleNormal="80" workbookViewId="0"/>
  </sheetViews>
  <sheetFormatPr defaultRowHeight="13.2" x14ac:dyDescent="0.25"/>
  <cols>
    <col min="1" max="1" width="26.109375" customWidth="1"/>
    <col min="2" max="2" width="78.88671875" customWidth="1"/>
    <col min="3" max="3" width="21" customWidth="1"/>
    <col min="4" max="6" width="19.88671875" style="96" customWidth="1"/>
    <col min="7" max="7" width="23.5546875" style="96" customWidth="1"/>
  </cols>
  <sheetData>
    <row r="1" spans="1:7" x14ac:dyDescent="0.25">
      <c r="A1" s="4" t="str" cm="1">
        <f t="array" aca="1" ref="A1" ca="1">MID(CELL("filename",A1),FIND("]",CELL("filename",A1))+1,255)</f>
        <v>Concrete_40MPa</v>
      </c>
    </row>
    <row r="2" spans="1:7" x14ac:dyDescent="0.25">
      <c r="A2" s="4"/>
    </row>
    <row r="3" spans="1:7" x14ac:dyDescent="0.25">
      <c r="A3" s="4" t="s">
        <v>4048</v>
      </c>
      <c r="B3" t="s">
        <v>4072</v>
      </c>
    </row>
    <row r="4" spans="1:7" x14ac:dyDescent="0.25">
      <c r="A4" s="4"/>
    </row>
    <row r="5" spans="1:7" ht="69.75" customHeight="1" x14ac:dyDescent="0.25">
      <c r="A5" s="26" t="s">
        <v>4050</v>
      </c>
      <c r="B5" s="14" t="s">
        <v>4066</v>
      </c>
    </row>
    <row r="6" spans="1:7" x14ac:dyDescent="0.25">
      <c r="A6" s="26" t="s">
        <v>4052</v>
      </c>
      <c r="B6" s="27" t="s">
        <v>68</v>
      </c>
    </row>
    <row r="7" spans="1:7" x14ac:dyDescent="0.25">
      <c r="A7" s="26" t="s">
        <v>4053</v>
      </c>
      <c r="B7" s="27" t="s">
        <v>68</v>
      </c>
    </row>
    <row r="8" spans="1:7" x14ac:dyDescent="0.25">
      <c r="A8" s="26" t="s">
        <v>4054</v>
      </c>
      <c r="B8" s="27" t="s">
        <v>68</v>
      </c>
    </row>
    <row r="9" spans="1:7" x14ac:dyDescent="0.25">
      <c r="A9" s="26" t="s">
        <v>4055</v>
      </c>
      <c r="B9" s="4" t="s">
        <v>68</v>
      </c>
    </row>
    <row r="10" spans="1:7" x14ac:dyDescent="0.25">
      <c r="A10" s="26"/>
      <c r="B10" s="4"/>
    </row>
    <row r="11" spans="1:7" x14ac:dyDescent="0.25">
      <c r="A11" s="26" t="s">
        <v>4056</v>
      </c>
      <c r="B11" t="s">
        <v>4070</v>
      </c>
    </row>
    <row r="12" spans="1:7" x14ac:dyDescent="0.25">
      <c r="A12" s="101"/>
    </row>
    <row r="13" spans="1:7" x14ac:dyDescent="0.25">
      <c r="A13" s="101"/>
    </row>
    <row r="14" spans="1:7" x14ac:dyDescent="0.25">
      <c r="A14" s="26" t="s">
        <v>4057</v>
      </c>
    </row>
    <row r="15" spans="1:7" x14ac:dyDescent="0.25">
      <c r="A15" s="26"/>
      <c r="D15" s="112" t="s">
        <v>4058</v>
      </c>
      <c r="E15" s="113"/>
      <c r="F15" s="114" t="s">
        <v>4059</v>
      </c>
      <c r="G15" s="113"/>
    </row>
    <row r="16" spans="1:7" ht="39.6" x14ac:dyDescent="0.25">
      <c r="B16" s="28" t="s">
        <v>586</v>
      </c>
      <c r="C16" s="23" t="s">
        <v>23</v>
      </c>
      <c r="D16" s="24" t="s">
        <v>141</v>
      </c>
      <c r="E16" s="25" t="s">
        <v>148</v>
      </c>
      <c r="F16" s="24" t="s">
        <v>142</v>
      </c>
      <c r="G16" s="24" t="s">
        <v>149</v>
      </c>
    </row>
    <row r="17" spans="2:7" x14ac:dyDescent="0.25">
      <c r="B17" s="29"/>
      <c r="C17" s="30" t="s">
        <v>4060</v>
      </c>
      <c r="D17" s="118" t="str" cm="1">
        <f t="array" ref="D17">IF(AND(_xlfn.ANCHORARRAY(C23)=C23),C23,"Mixed")</f>
        <v>m³</v>
      </c>
      <c r="E17" s="118" t="s">
        <v>219</v>
      </c>
      <c r="F17" s="118" t="str" cm="1">
        <f t="array" ref="F17">IF(AND(_xlfn.ANCHORARRAY(C23)=C23),C23,"Mixed")</f>
        <v>m³</v>
      </c>
      <c r="G17" s="119" t="s">
        <v>219</v>
      </c>
    </row>
    <row r="18" spans="2:7" s="14" customFormat="1" x14ac:dyDescent="0.25">
      <c r="B18" s="31"/>
      <c r="C18" s="4" t="s">
        <v>4061</v>
      </c>
      <c r="D18" s="96">
        <f>MAX(_xlfn.ANCHORARRAY(D23))</f>
        <v>545.20299999999997</v>
      </c>
      <c r="E18" s="96">
        <f t="shared" ref="E18:G18" si="0">MAX(_xlfn.ANCHORARRAY(E23))</f>
        <v>0.22716791666666666</v>
      </c>
      <c r="F18" s="96">
        <f t="shared" si="0"/>
        <v>0</v>
      </c>
      <c r="G18" s="121">
        <f t="shared" si="0"/>
        <v>0</v>
      </c>
    </row>
    <row r="19" spans="2:7" x14ac:dyDescent="0.25">
      <c r="B19" s="122"/>
      <c r="C19" s="4" t="s">
        <v>4062</v>
      </c>
      <c r="D19" s="96">
        <f>MIN(_xlfn.ANCHORARRAY(D23))</f>
        <v>185.14599999999999</v>
      </c>
      <c r="E19" s="96">
        <f t="shared" ref="E19:G19" si="1">MIN(_xlfn.ANCHORARRAY(E23))</f>
        <v>7.7144166666666666E-2</v>
      </c>
      <c r="F19" s="96">
        <f t="shared" si="1"/>
        <v>0</v>
      </c>
      <c r="G19" s="121">
        <f t="shared" si="1"/>
        <v>0</v>
      </c>
    </row>
    <row r="20" spans="2:7" x14ac:dyDescent="0.25">
      <c r="B20" s="122"/>
      <c r="C20" s="4" t="s">
        <v>4063</v>
      </c>
      <c r="D20" s="96">
        <f>AVERAGE(_xlfn.ANCHORARRAY(D23))</f>
        <v>299.95764584905663</v>
      </c>
      <c r="E20" s="96">
        <f t="shared" ref="E20:G20" si="2">AVERAGE(_xlfn.ANCHORARRAY(E23))</f>
        <v>0.12498235243710686</v>
      </c>
      <c r="F20" s="96">
        <f t="shared" si="2"/>
        <v>0</v>
      </c>
      <c r="G20" s="121">
        <f t="shared" si="2"/>
        <v>0</v>
      </c>
    </row>
    <row r="21" spans="2:7" x14ac:dyDescent="0.25">
      <c r="B21" s="122"/>
      <c r="C21" s="4"/>
      <c r="G21" s="121"/>
    </row>
    <row r="22" spans="2:7" x14ac:dyDescent="0.25">
      <c r="B22" s="32" t="s">
        <v>4064</v>
      </c>
      <c r="D22"/>
      <c r="E22"/>
      <c r="F22"/>
      <c r="G22" s="124"/>
    </row>
    <row r="23" spans="2:7" x14ac:dyDescent="0.25">
      <c r="B23" s="129" t="str" cm="1">
        <f t="array" ref="B23:B340">_xlfn.UNIQUE(_xlfn._xlws.FILTER('EPD List'!D:D,ISNUMBER(SEARCH(B16,'EPD List'!C:C)),0))</f>
        <v>Concrete, 40 MPa, in-situ, no reinforcement, (QE407LSPR) (Ecopact) (Holcim) (QLD) (Brisbane)</v>
      </c>
      <c r="C23" s="67" t="str" cm="1">
        <f t="array" ref="C23:C340">_xlfn.IFNA(INDEX('EPD List'!$A:$AB,MATCH(_xlfn.ANCHORARRAY(B23),'EPD List'!$D:$D,0),MATCH(C$16,'EPD List'!$7:$7,0)),"")</f>
        <v>m³</v>
      </c>
      <c r="D23" s="118" cm="1">
        <f t="array" ref="D23:D340">_xlfn.IFNA(VALUE((INDEX('EPD List'!$A:$AD,MATCH(_xlfn.ANCHORARRAY($B23),'EPD List'!$D:$D,0),MATCH(D$16,'EPD List'!$7:$7,0)))),"")</f>
        <v>322.69</v>
      </c>
      <c r="E23" s="118" cm="1">
        <f t="array" ref="E23:E340">_xlfn.IFNA(VALUE((INDEX('EPD List'!$A:$AD,MATCH(_xlfn.ANCHORARRAY($B23),'EPD List'!$D:$D,0),MATCH(E$16,'EPD List'!$7:$7,0)))),"")</f>
        <v>0.13445416666666665</v>
      </c>
      <c r="F23" s="118" cm="1">
        <f t="array" ref="F23:F340">_xlfn.IFNA(VALUE((INDEX('EPD List'!$A:$AD,MATCH(_xlfn.ANCHORARRAY($B23),'EPD List'!$D:$D,0),MATCH(F$16,'EPD List'!$7:$7,0)))),"")</f>
        <v>0</v>
      </c>
      <c r="G23" s="119" cm="1">
        <f t="array" ref="G23:G340">_xlfn.IFNA(VALUE((INDEX('EPD List'!$A:$AD,MATCH(_xlfn.ANCHORARRAY($B23),'EPD List'!$D:$D,0),MATCH(G$16,'EPD List'!$7:$7,0)))),"")</f>
        <v>0</v>
      </c>
    </row>
    <row r="24" spans="2:7" x14ac:dyDescent="0.25">
      <c r="B24" s="122" t="str">
        <v>Concrete, 40 MPa, in-situ, no reinforcement, (VE401EAPF) (Ecopact) (Holcim) (VIC)</v>
      </c>
      <c r="C24" t="str">
        <v>m³</v>
      </c>
      <c r="D24" s="96">
        <v>315.62</v>
      </c>
      <c r="E24" s="96">
        <v>0.13150833333333334</v>
      </c>
      <c r="F24" s="96">
        <v>0</v>
      </c>
      <c r="G24" s="121">
        <v>0</v>
      </c>
    </row>
    <row r="25" spans="2:7" x14ac:dyDescent="0.25">
      <c r="B25" s="122" t="str">
        <v>Concrete, 40 MPa, in-situ, no reinforcement, (VE401EVMW) (Ecopact) (Holcim) (VIC)</v>
      </c>
      <c r="C25" t="str">
        <v>m³</v>
      </c>
      <c r="D25" s="96">
        <v>237.37</v>
      </c>
      <c r="E25" s="96">
        <v>9.8904166666666668E-2</v>
      </c>
      <c r="F25" s="96">
        <v>0</v>
      </c>
      <c r="G25" s="121">
        <v>0</v>
      </c>
    </row>
    <row r="26" spans="2:7" x14ac:dyDescent="0.25">
      <c r="B26" s="122" t="str">
        <v>Concrete, 40 MPa, in-situ, no reinforcement, (SE401EWC) (Ecopact) (Holcim) (SA) (Adelaide)</v>
      </c>
      <c r="C26" t="str">
        <v>m³</v>
      </c>
      <c r="D26" s="96">
        <v>268.37</v>
      </c>
      <c r="E26" s="96">
        <v>0.11182083333333333</v>
      </c>
      <c r="F26" s="96">
        <v>0</v>
      </c>
      <c r="G26" s="121">
        <v>0</v>
      </c>
    </row>
    <row r="27" spans="2:7" x14ac:dyDescent="0.25">
      <c r="B27" s="122" t="str">
        <v>Concrete, 40 MPa, in-situ, no reinforcement, (SE402E56) (Ecopact) (Holcim) (SA) (Adelaide)</v>
      </c>
      <c r="C27" t="str">
        <v>m³</v>
      </c>
      <c r="D27" s="96">
        <v>274.35000000000002</v>
      </c>
      <c r="E27" s="96">
        <v>0.1143125</v>
      </c>
      <c r="F27" s="96">
        <v>0</v>
      </c>
      <c r="G27" s="121">
        <v>0</v>
      </c>
    </row>
    <row r="28" spans="2:7" x14ac:dyDescent="0.25">
      <c r="B28" s="122" t="str">
        <v>Concrete, 40 MPa, in-situ, no reinforcement, (SE401EAV) (Ecopact) (Holcim) (SA) (Adelaide)</v>
      </c>
      <c r="C28" t="str">
        <v>m³</v>
      </c>
      <c r="D28" s="96">
        <v>291.37</v>
      </c>
      <c r="E28" s="96">
        <v>0.12140416666666666</v>
      </c>
      <c r="F28" s="96">
        <v>0</v>
      </c>
      <c r="G28" s="121">
        <v>0</v>
      </c>
    </row>
    <row r="29" spans="2:7" x14ac:dyDescent="0.25">
      <c r="B29" s="122" t="str">
        <v>Concrete, 40 MPa, in-situ, no reinforcement, (SE402E562) (Ecopact) (Holcim) (SA) (Adelaide)</v>
      </c>
      <c r="C29" t="str">
        <v>m³</v>
      </c>
      <c r="D29" s="96">
        <v>276.35000000000002</v>
      </c>
      <c r="E29" s="96">
        <v>0.11514583333333334</v>
      </c>
      <c r="F29" s="96">
        <v>0</v>
      </c>
      <c r="G29" s="121">
        <v>0</v>
      </c>
    </row>
    <row r="30" spans="2:7" x14ac:dyDescent="0.25">
      <c r="B30" s="122" t="str">
        <v>Concrete, 40 MPa, in-situ, no reinforcement, (VE401E56) (Ecopact) (Holcim) (VIC)</v>
      </c>
      <c r="C30" t="str">
        <v>m³</v>
      </c>
      <c r="D30" s="96">
        <v>279.33</v>
      </c>
      <c r="E30" s="96">
        <v>0.1163875</v>
      </c>
      <c r="F30" s="96">
        <v>0</v>
      </c>
      <c r="G30" s="121">
        <v>0</v>
      </c>
    </row>
    <row r="31" spans="2:7" x14ac:dyDescent="0.25">
      <c r="B31" s="122" t="str">
        <v>Concrete, 40 MPa, in-situ, no reinforcement, (SE402E) (Ecopact) (Holcim) (SA) (Adelaide)</v>
      </c>
      <c r="C31" t="str">
        <v>m³</v>
      </c>
      <c r="D31" s="96">
        <v>263.31</v>
      </c>
      <c r="E31" s="96">
        <v>0.1097125</v>
      </c>
      <c r="F31" s="96">
        <v>0</v>
      </c>
      <c r="G31" s="121">
        <v>0</v>
      </c>
    </row>
    <row r="32" spans="2:7" x14ac:dyDescent="0.25">
      <c r="B32" s="122" t="str">
        <v>Concrete, 40 MPa, in-situ, no reinforcement, (SE402E2) (Ecopact) (Holcim) (SA) (Adelaide)</v>
      </c>
      <c r="C32" t="str">
        <v>m³</v>
      </c>
      <c r="D32" s="96">
        <v>264.31</v>
      </c>
      <c r="E32" s="96">
        <v>0.11012916666666667</v>
      </c>
      <c r="F32" s="96">
        <v>0</v>
      </c>
      <c r="G32" s="121">
        <v>0</v>
      </c>
    </row>
    <row r="33" spans="2:7" x14ac:dyDescent="0.25">
      <c r="B33" s="122" t="str">
        <v>Concrete, 40 MPa, in-situ, no reinforcement, (VE402E5) (Ecopact) (Holcim) (VIC)</v>
      </c>
      <c r="C33" t="str">
        <v>m³</v>
      </c>
      <c r="D33" s="96">
        <v>245.28</v>
      </c>
      <c r="E33" s="96">
        <v>0.1022</v>
      </c>
      <c r="F33" s="96">
        <v>0</v>
      </c>
      <c r="G33" s="121">
        <v>0</v>
      </c>
    </row>
    <row r="34" spans="2:7" x14ac:dyDescent="0.25">
      <c r="B34" s="122" t="str">
        <v>Concrete, 40 MPa, in-situ, no reinforcement, (SE401E5) (Ecopact) (Holcim) (SA) (Adelaide)</v>
      </c>
      <c r="C34" t="str">
        <v>m³</v>
      </c>
      <c r="D34" s="96">
        <v>272.31</v>
      </c>
      <c r="E34" s="96">
        <v>0.11346249999999999</v>
      </c>
      <c r="F34" s="96">
        <v>0</v>
      </c>
      <c r="G34" s="121">
        <v>0</v>
      </c>
    </row>
    <row r="35" spans="2:7" x14ac:dyDescent="0.25">
      <c r="B35" s="122" t="str">
        <v>Concrete, 40 MPa, in-situ, no reinforcement, (QE401E)(Ecopact) (Holcim) (QLD) (Sunshine Coast)</v>
      </c>
      <c r="C35" t="str">
        <v>m³</v>
      </c>
      <c r="D35" s="96">
        <v>221.25</v>
      </c>
      <c r="E35" s="96">
        <v>9.2187500000000006E-2</v>
      </c>
      <c r="F35" s="96">
        <v>0</v>
      </c>
      <c r="G35" s="121">
        <v>0</v>
      </c>
    </row>
    <row r="36" spans="2:7" x14ac:dyDescent="0.25">
      <c r="B36" s="122" t="str">
        <v>Concrete, 40 MPa, in-situ, no reinforcement, (VE402E /
BE402E) (Ecopact) (Holcim) (VIC)</v>
      </c>
      <c r="C36" t="str">
        <v>m³</v>
      </c>
      <c r="D36" s="96">
        <v>262.29000000000002</v>
      </c>
      <c r="E36" s="96">
        <v>0.1092875</v>
      </c>
      <c r="F36" s="96">
        <v>0</v>
      </c>
      <c r="G36" s="121">
        <v>0</v>
      </c>
    </row>
    <row r="37" spans="2:7" x14ac:dyDescent="0.25">
      <c r="B37" s="122" t="str">
        <v>Concrete, 40 MPa, in-situ, no reinforcement, (QE402E100)(Ecopact) (Holcim) (QLD) (Sunshine Coast)</v>
      </c>
      <c r="C37" t="str">
        <v>m³</v>
      </c>
      <c r="D37" s="96">
        <v>221.24</v>
      </c>
      <c r="E37" s="96">
        <v>9.2183333333333339E-2</v>
      </c>
      <c r="F37" s="96">
        <v>0</v>
      </c>
      <c r="G37" s="121">
        <v>0</v>
      </c>
    </row>
    <row r="38" spans="2:7" x14ac:dyDescent="0.25">
      <c r="B38" s="122" t="str">
        <v>Concrete, 40 MPa, in-situ, no reinforcement, (VE402E56) (Ecopact) (Holcim) (VIC)</v>
      </c>
      <c r="C38" t="str">
        <v>m³</v>
      </c>
      <c r="D38" s="96">
        <v>283.3</v>
      </c>
      <c r="E38" s="96">
        <v>0.11804166666666667</v>
      </c>
      <c r="F38" s="96">
        <v>0</v>
      </c>
      <c r="G38" s="121">
        <v>0</v>
      </c>
    </row>
    <row r="39" spans="2:7" x14ac:dyDescent="0.25">
      <c r="B39" s="122" t="str">
        <v>Concrete, 40 MPa, in-situ, no reinforcement, (40MPa 10MM BLOCKMIX) (Adbri) (QLD)</v>
      </c>
      <c r="C39" t="str">
        <v>m³</v>
      </c>
      <c r="D39" s="96">
        <v>282.298</v>
      </c>
      <c r="E39" s="96">
        <v>0.11762416666666665</v>
      </c>
      <c r="F39" s="96">
        <v>0</v>
      </c>
      <c r="G39" s="121">
        <v>0</v>
      </c>
    </row>
    <row r="40" spans="2:7" x14ac:dyDescent="0.25">
      <c r="B40" s="122" t="str">
        <v>Concrete, 40 MPa, in-situ, no reinforcement, (Futurecrete®
Ultra N class GP/ GL:Slag 40 MPa) (Adbri) (QLD)</v>
      </c>
      <c r="C40" t="str">
        <v>m³</v>
      </c>
      <c r="D40" s="96">
        <v>276.29000000000002</v>
      </c>
      <c r="E40" s="96">
        <v>0.11512083333333334</v>
      </c>
      <c r="F40" s="96">
        <v>0</v>
      </c>
      <c r="G40" s="121">
        <v>0</v>
      </c>
    </row>
    <row r="41" spans="2:7" x14ac:dyDescent="0.25">
      <c r="B41" s="122" t="str">
        <v>Concrete, 40 MPa, in-situ, no reinforcement, (VE401EAV) (Ecopact) (Holcim) (VIC)</v>
      </c>
      <c r="C41" t="str">
        <v>m³</v>
      </c>
      <c r="D41" s="96">
        <v>279.29000000000002</v>
      </c>
      <c r="E41" s="96">
        <v>0.11637083333333334</v>
      </c>
      <c r="F41" s="96">
        <v>0</v>
      </c>
      <c r="G41" s="121">
        <v>0</v>
      </c>
    </row>
    <row r="42" spans="2:7" x14ac:dyDescent="0.25">
      <c r="B42" s="122" t="str">
        <v>Concrete, 40 MPa, in-situ, no reinforcement, (QE402EBF2) (Ecopact) (Holcim) (QLD) (Brisbane)</v>
      </c>
      <c r="C42" t="str">
        <v>m³</v>
      </c>
      <c r="D42" s="96">
        <v>341.35</v>
      </c>
      <c r="E42" s="96">
        <v>0.14222916666666668</v>
      </c>
      <c r="F42" s="96">
        <v>0</v>
      </c>
      <c r="G42" s="121">
        <v>0</v>
      </c>
    </row>
    <row r="43" spans="2:7" x14ac:dyDescent="0.25">
      <c r="B43" s="122" t="str">
        <v>Concrete, 40 MPa, in-situ, no reinforcement, (VE402EAP) (Ecopact) (Holcim) (VIC)</v>
      </c>
      <c r="C43" t="str">
        <v>m³</v>
      </c>
      <c r="D43" s="96">
        <v>310.31</v>
      </c>
      <c r="E43" s="96">
        <v>0.12929583333333336</v>
      </c>
      <c r="F43" s="96">
        <v>0</v>
      </c>
      <c r="G43" s="121">
        <v>0</v>
      </c>
    </row>
    <row r="44" spans="2:7" x14ac:dyDescent="0.25">
      <c r="B44" s="122" t="str">
        <v>Concrete, 40 MPa, in-situ, no reinforcement, (QE401L100)(Ecopact) (Holcim) (QLD) (Sunshine Coast)</v>
      </c>
      <c r="C44" t="str">
        <v>m³</v>
      </c>
      <c r="D44" s="96">
        <v>305.27999999999997</v>
      </c>
      <c r="E44" s="96">
        <v>0.12719999999999998</v>
      </c>
      <c r="F44" s="96">
        <v>0</v>
      </c>
      <c r="G44" s="121">
        <v>0</v>
      </c>
    </row>
    <row r="45" spans="2:7" x14ac:dyDescent="0.25">
      <c r="B45" s="122" t="str">
        <v>Concrete, 40 MPa, in-situ, no reinforcement, (Futurecrete®  N
class GP/GL:Slag
40 MPa) (Adbri) (QLD)</v>
      </c>
      <c r="C45" t="str">
        <v>m³</v>
      </c>
      <c r="D45" s="96">
        <v>268.24599999999998</v>
      </c>
      <c r="E45" s="96">
        <v>0.11176916666666667</v>
      </c>
      <c r="F45" s="96">
        <v>0</v>
      </c>
      <c r="G45" s="121">
        <v>0</v>
      </c>
    </row>
    <row r="46" spans="2:7" x14ac:dyDescent="0.25">
      <c r="B46" s="122" t="str">
        <v>Concrete, 40 MPa, in-situ, no reinforcement, (QE402L100)(Ecopact) (Holcim) (QLD) (Sunshine Coast)</v>
      </c>
      <c r="C46" t="str">
        <v>m³</v>
      </c>
      <c r="D46" s="96">
        <v>295.27</v>
      </c>
      <c r="E46" s="96">
        <v>0.12302916666666666</v>
      </c>
      <c r="F46" s="96">
        <v>0</v>
      </c>
      <c r="G46" s="121">
        <v>0</v>
      </c>
    </row>
    <row r="47" spans="2:7" x14ac:dyDescent="0.25">
      <c r="B47" s="122" t="str">
        <v>Concrete, 40 MPa, in-situ, no reinforcement, (QE401L)(Ecopact) (Holcim) (QLD) (Sunshine Coast)</v>
      </c>
      <c r="C47" t="str">
        <v>m³</v>
      </c>
      <c r="D47" s="96">
        <v>297.27</v>
      </c>
      <c r="E47" s="96">
        <v>0.1238625</v>
      </c>
      <c r="F47" s="96">
        <v>0</v>
      </c>
      <c r="G47" s="121">
        <v>0</v>
      </c>
    </row>
    <row r="48" spans="2:7" x14ac:dyDescent="0.25">
      <c r="B48" s="122" t="str">
        <v>Concrete, 40 MPa, in-situ, no reinforcement, (NE402E1A1)(Ecopact) (Holcim) (NSW), (Sydney)</v>
      </c>
      <c r="C48" t="str">
        <v>m³</v>
      </c>
      <c r="D48" s="96">
        <v>298.27</v>
      </c>
      <c r="E48" s="96">
        <v>0.12427916666666666</v>
      </c>
      <c r="F48" s="96">
        <v>0</v>
      </c>
      <c r="G48" s="121">
        <v>0</v>
      </c>
    </row>
    <row r="49" spans="2:7" x14ac:dyDescent="0.25">
      <c r="B49" s="122" t="str">
        <v>Concrete, 40 MPa, in-situ, no reinforcement, (QE402L)(Ecopact) (Holcim) (QLD) (Sunshine Coast)</v>
      </c>
      <c r="C49" t="str">
        <v>m³</v>
      </c>
      <c r="D49" s="96">
        <v>287.26</v>
      </c>
      <c r="E49" s="96">
        <v>0.11969166666666667</v>
      </c>
      <c r="F49" s="96">
        <v>0</v>
      </c>
      <c r="G49" s="121">
        <v>0</v>
      </c>
    </row>
    <row r="50" spans="2:7" x14ac:dyDescent="0.25">
      <c r="B50" s="122" t="str">
        <v>Concrete, 40 MPa, in-situ, no reinforcement, (40MPa 20MM 3 GST POINTS CONCRETE) (Adbri) (VIC)</v>
      </c>
      <c r="C50" t="str">
        <v>m³</v>
      </c>
      <c r="D50" s="96">
        <v>257.22000000000003</v>
      </c>
      <c r="E50" s="96">
        <v>0.10717500000000001</v>
      </c>
      <c r="F50" s="96">
        <v>0</v>
      </c>
      <c r="G50" s="121">
        <v>0</v>
      </c>
    </row>
    <row r="51" spans="2:7" x14ac:dyDescent="0.25">
      <c r="B51" s="122" t="str">
        <v>Concrete, 40 MPa, in-situ, no reinforcement, (NE401E1)(Ecopact) (Holcim) (NSW), (Sydney)</v>
      </c>
      <c r="C51" t="str">
        <v>m³</v>
      </c>
      <c r="D51" s="96">
        <v>202.17</v>
      </c>
      <c r="E51" s="96">
        <v>8.4237500000000007E-2</v>
      </c>
      <c r="F51" s="96">
        <v>0</v>
      </c>
      <c r="G51" s="121">
        <v>0</v>
      </c>
    </row>
    <row r="52" spans="2:7" x14ac:dyDescent="0.25">
      <c r="B52" s="122" t="str">
        <v>Concrete, 40 MPa, in-situ, no reinforcement, (40MPa 14MM 150MM SLUMP CONCRETE) (Adbri) (VIC)</v>
      </c>
      <c r="C52" t="str">
        <v>m³</v>
      </c>
      <c r="D52" s="96">
        <v>253.21</v>
      </c>
      <c r="E52" s="96">
        <v>0.10550416666666668</v>
      </c>
      <c r="F52" s="96">
        <v>0</v>
      </c>
      <c r="G52" s="121">
        <v>0</v>
      </c>
    </row>
    <row r="53" spans="2:7" x14ac:dyDescent="0.25">
      <c r="B53" s="122" t="str">
        <v>Concrete, 40 MPa, in-situ, no reinforcement, (Futurecrete® N Class
GP:GL:Slag 40 MPa
- Winnellie) (Adbri) (NT)</v>
      </c>
      <c r="C53" t="str">
        <v>m³</v>
      </c>
      <c r="D53" s="96">
        <v>298.24599999999998</v>
      </c>
      <c r="E53" s="96">
        <v>0.12426916666666667</v>
      </c>
      <c r="F53" s="96">
        <v>0</v>
      </c>
      <c r="G53" s="121">
        <v>0</v>
      </c>
    </row>
    <row r="54" spans="2:7" x14ac:dyDescent="0.25">
      <c r="B54" s="122" t="str">
        <v>Concrete, 40 MPa, in-situ, no reinforcement, (NE402PTS2)(Ecopact) (Holcim) (NSW), (Sydney)</v>
      </c>
      <c r="C54" t="str">
        <v>m³</v>
      </c>
      <c r="D54" s="96">
        <v>293.24</v>
      </c>
      <c r="E54" s="96">
        <v>0.12218333333333334</v>
      </c>
      <c r="F54" s="96">
        <v>0</v>
      </c>
      <c r="G54" s="121">
        <v>0</v>
      </c>
    </row>
    <row r="55" spans="2:7" x14ac:dyDescent="0.25">
      <c r="B55" s="122" t="str">
        <v>Concrete, 40 MPa, in-situ, no reinforcement, (QE401E) (Ecopact) (Holcim) (QLD), Gold Coast</v>
      </c>
      <c r="C55" t="str">
        <v>m³</v>
      </c>
      <c r="D55" s="96">
        <v>220.18</v>
      </c>
      <c r="E55" s="96">
        <v>9.1741666666666666E-2</v>
      </c>
      <c r="F55" s="96">
        <v>0</v>
      </c>
      <c r="G55" s="121">
        <v>0</v>
      </c>
    </row>
    <row r="56" spans="2:7" x14ac:dyDescent="0.25">
      <c r="B56" s="122" t="str">
        <v>Concrete, 40 MPa, in-situ, no reinforcement, (NE402E1)(Ecopact) (Holcim) (NSW), (Sydney)</v>
      </c>
      <c r="C56" t="str">
        <v>m³</v>
      </c>
      <c r="D56" s="96">
        <v>199.16</v>
      </c>
      <c r="E56" s="96">
        <v>8.2983333333333339E-2</v>
      </c>
      <c r="F56" s="96">
        <v>0</v>
      </c>
      <c r="G56" s="121">
        <v>0</v>
      </c>
    </row>
    <row r="57" spans="2:7" x14ac:dyDescent="0.25">
      <c r="B57" s="122" t="str">
        <v>Concrete, 40 MPa, in-situ, no reinforcement, (NE402E5)(Ecopact) (Holcim) (NSW), (Sydney)</v>
      </c>
      <c r="C57" t="str">
        <v>m³</v>
      </c>
      <c r="D57" s="96">
        <v>200.16</v>
      </c>
      <c r="E57" s="96">
        <v>8.3400000000000002E-2</v>
      </c>
      <c r="F57" s="96">
        <v>0</v>
      </c>
      <c r="G57" s="121">
        <v>0</v>
      </c>
    </row>
    <row r="58" spans="2:7" x14ac:dyDescent="0.25">
      <c r="B58" s="122" t="str">
        <v>Concrete, 40 MPa, in-situ, no reinforcement, (NE402PT2)(Ecopact) (Holcim) (NSW), (Sydney)</v>
      </c>
      <c r="C58" t="str">
        <v>m³</v>
      </c>
      <c r="D58" s="96">
        <v>288.23</v>
      </c>
      <c r="E58" s="96">
        <v>0.12009583333333333</v>
      </c>
      <c r="F58" s="96">
        <v>0</v>
      </c>
      <c r="G58" s="121">
        <v>0</v>
      </c>
    </row>
    <row r="59" spans="2:7" x14ac:dyDescent="0.25">
      <c r="B59" s="122" t="str">
        <v>Concrete, 40 MPa, in-situ, no reinforcement, (40MPa 20MM FIBRE CONCRETE) (Adbri) (VIC)</v>
      </c>
      <c r="C59" t="str">
        <v>m³</v>
      </c>
      <c r="D59" s="96">
        <v>290.23</v>
      </c>
      <c r="E59" s="96">
        <v>0.12092916666666667</v>
      </c>
      <c r="F59" s="96">
        <v>0</v>
      </c>
      <c r="G59" s="121">
        <v>0</v>
      </c>
    </row>
    <row r="60" spans="2:7" x14ac:dyDescent="0.25">
      <c r="B60" s="122" t="str">
        <v>Concrete, 40 MPa, in-situ, no reinforcement, (Futurecrete®
N class GP/GL:FA
40 MPa) (Adbri) (QLD)</v>
      </c>
      <c r="C60" t="str">
        <v>m³</v>
      </c>
      <c r="D60" s="96">
        <v>324.25599999999997</v>
      </c>
      <c r="E60" s="96">
        <v>0.13510666666666668</v>
      </c>
      <c r="F60" s="96">
        <v>0</v>
      </c>
      <c r="G60" s="121">
        <v>0</v>
      </c>
    </row>
    <row r="61" spans="2:7" x14ac:dyDescent="0.25">
      <c r="B61" s="122" t="str">
        <v>Concrete, 40 MPa, in-situ, no reinforcement, (Adbri concrete
N class GP/GL
40 MPa) (Adbri) (QLD)</v>
      </c>
      <c r="C61" t="str">
        <v>m³</v>
      </c>
      <c r="D61" s="96">
        <v>390.30799999999999</v>
      </c>
      <c r="E61" s="96">
        <v>0.16262833333333335</v>
      </c>
      <c r="F61" s="96">
        <v>0</v>
      </c>
      <c r="G61" s="121">
        <v>0</v>
      </c>
    </row>
    <row r="62" spans="2:7" x14ac:dyDescent="0.25">
      <c r="B62" s="122" t="str">
        <v>Concrete, 40 MPa, in-situ, no reinforcement,Pronto (EPT4065) (Barro Group) (VIC)</v>
      </c>
      <c r="C62" t="str">
        <v>m³</v>
      </c>
      <c r="D62" s="96">
        <v>185.14599999999999</v>
      </c>
      <c r="E62" s="96">
        <v>7.7144166666666666E-2</v>
      </c>
      <c r="F62" s="96">
        <v>0</v>
      </c>
      <c r="G62" s="121">
        <v>0</v>
      </c>
    </row>
    <row r="63" spans="2:7" x14ac:dyDescent="0.25">
      <c r="B63" s="122" t="str">
        <v>Concrete, 40 MPa, in-situ, no reinforcement, (40MPa 14MM TREMIE 160 SLUMP) (Adbri) (VIC)</v>
      </c>
      <c r="C63" t="str">
        <v>m³</v>
      </c>
      <c r="D63" s="96">
        <v>317.25</v>
      </c>
      <c r="E63" s="96">
        <v>0.13218749999999999</v>
      </c>
      <c r="F63" s="96">
        <v>0</v>
      </c>
      <c r="G63" s="121">
        <v>0</v>
      </c>
    </row>
    <row r="64" spans="2:7" x14ac:dyDescent="0.25">
      <c r="B64" s="122" t="str">
        <v>Concrete, 40 MPa, in-situ, no reinforcement, (QE401EEZY) (Ecopact) (Holcim) (QLD), Gold Coast</v>
      </c>
      <c r="C64" t="str">
        <v>m³</v>
      </c>
      <c r="D64" s="96">
        <v>241.19</v>
      </c>
      <c r="E64" s="96">
        <v>0.10049583333333334</v>
      </c>
      <c r="F64" s="96">
        <v>0</v>
      </c>
      <c r="G64" s="121">
        <v>0</v>
      </c>
    </row>
    <row r="65" spans="2:7" x14ac:dyDescent="0.25">
      <c r="B65" s="122" t="str">
        <v>Concrete, 40 MPa, in-situ, no reinforcement, (NE401E2)(Ecopact) (Holcim) (NSW), (Sydney)</v>
      </c>
      <c r="C65" t="str">
        <v>m³</v>
      </c>
      <c r="D65" s="96">
        <v>216.17</v>
      </c>
      <c r="E65" s="96">
        <v>9.0070833333333336E-2</v>
      </c>
      <c r="F65" s="96">
        <v>0</v>
      </c>
      <c r="G65" s="121">
        <v>0</v>
      </c>
    </row>
    <row r="66" spans="2:7" x14ac:dyDescent="0.25">
      <c r="B66" s="122" t="str">
        <v>Concrete, 40 MPa, in-situ, no reinforcement, (QE407EBMX) (Ecopact) (Holcim) (QLD), Gold Coast</v>
      </c>
      <c r="C66" t="str">
        <v>m³</v>
      </c>
      <c r="D66" s="96">
        <v>258.2</v>
      </c>
      <c r="E66" s="96">
        <v>0.10758333333333334</v>
      </c>
      <c r="F66" s="96">
        <v>0</v>
      </c>
      <c r="G66" s="121">
        <v>0</v>
      </c>
    </row>
    <row r="67" spans="2:7" x14ac:dyDescent="0.25">
      <c r="B67" s="122" t="str">
        <v>Concrete, 40 MPa, in-situ, no reinforcement, (QE401E200) (Ecopact) (Holcim) (QLD) (Brisbane)</v>
      </c>
      <c r="C67" t="str">
        <v>m³</v>
      </c>
      <c r="D67" s="96">
        <v>233.18</v>
      </c>
      <c r="E67" s="96">
        <v>9.7158333333333333E-2</v>
      </c>
      <c r="F67" s="96">
        <v>0</v>
      </c>
      <c r="G67" s="121">
        <v>0</v>
      </c>
    </row>
    <row r="68" spans="2:7" x14ac:dyDescent="0.25">
      <c r="B68" s="122" t="str">
        <v>Concrete, 40 MPa, in-situ, no reinforcement, (QE401EDUF) (Ecopact) (Holcim) (QLD), Gold Coast</v>
      </c>
      <c r="C68" t="str">
        <v>m³</v>
      </c>
      <c r="D68" s="96">
        <v>259.2</v>
      </c>
      <c r="E68" s="96">
        <v>0.108</v>
      </c>
      <c r="F68" s="96">
        <v>0</v>
      </c>
      <c r="G68" s="121">
        <v>0</v>
      </c>
    </row>
    <row r="69" spans="2:7" x14ac:dyDescent="0.25">
      <c r="B69" s="122" t="str">
        <v>Concrete, 40 MPa, in-situ, no reinforcement, (40MPa 20MM
PANEL CONCRETE
30% BL 120 SL) (Adbri) (VIC)</v>
      </c>
      <c r="C69" t="str">
        <v>m³</v>
      </c>
      <c r="D69" s="96">
        <v>259.2</v>
      </c>
      <c r="E69" s="96">
        <v>0.108</v>
      </c>
      <c r="F69" s="96">
        <v>0</v>
      </c>
      <c r="G69" s="121">
        <v>0</v>
      </c>
    </row>
    <row r="70" spans="2:7" x14ac:dyDescent="0.25">
      <c r="B70" s="122" t="str">
        <v>Concrete, 40 MPa, in-situ, no reinforcement, (QE402E100) (Ecopact) (Holcim) (QLD), Gold Coast</v>
      </c>
      <c r="C70" t="str">
        <v>m³</v>
      </c>
      <c r="D70" s="96">
        <v>234.18</v>
      </c>
      <c r="E70" s="96">
        <v>9.7575000000000009E-2</v>
      </c>
      <c r="F70" s="96">
        <v>0</v>
      </c>
      <c r="G70" s="121">
        <v>0</v>
      </c>
    </row>
    <row r="71" spans="2:7" x14ac:dyDescent="0.25">
      <c r="B71" s="122" t="str">
        <v>Concrete, 40 MPa, in-situ, no reinforcement, (QE401EEZY) (Ecopact) (Holcim) (QLD) (Brisbane)</v>
      </c>
      <c r="C71" t="str">
        <v>m³</v>
      </c>
      <c r="D71" s="96">
        <v>234.18</v>
      </c>
      <c r="E71" s="96">
        <v>9.7575000000000009E-2</v>
      </c>
      <c r="F71" s="96">
        <v>0</v>
      </c>
      <c r="G71" s="121">
        <v>0</v>
      </c>
    </row>
    <row r="72" spans="2:7" x14ac:dyDescent="0.25">
      <c r="B72" s="122" t="str">
        <v>Concrete, 40 MPa, in-situ, no reinforcement, (QE402EEZY) (Ecopact) (Holcim) (QLD), Gold Coast</v>
      </c>
      <c r="C72" t="str">
        <v>m³</v>
      </c>
      <c r="D72" s="96">
        <v>235.18</v>
      </c>
      <c r="E72" s="96">
        <v>9.7991666666666671E-2</v>
      </c>
      <c r="F72" s="96">
        <v>0</v>
      </c>
      <c r="G72" s="121">
        <v>0</v>
      </c>
    </row>
    <row r="73" spans="2:7" x14ac:dyDescent="0.25">
      <c r="B73" s="122" t="str">
        <v>Concrete, 40 MPa, in-situ, no reinforcement, (QE401EL21) (Ecopact) (Holcim) (QLD), Gold Coast</v>
      </c>
      <c r="C73" t="str">
        <v>m³</v>
      </c>
      <c r="D73" s="96">
        <v>250.19</v>
      </c>
      <c r="E73" s="96">
        <v>0.10424583333333334</v>
      </c>
      <c r="F73" s="96">
        <v>0</v>
      </c>
      <c r="G73" s="121">
        <v>0</v>
      </c>
    </row>
    <row r="74" spans="2:7" x14ac:dyDescent="0.25">
      <c r="B74" s="122" t="str">
        <v>Concrete, 40 MPa, in-situ, no reinforcement, (QE402E100) (Ecopact) (Holcim) (QLD) (Brisbane)</v>
      </c>
      <c r="C74" t="str">
        <v>m³</v>
      </c>
      <c r="D74" s="96">
        <v>224.17</v>
      </c>
      <c r="E74" s="96">
        <v>9.3404166666666677E-2</v>
      </c>
      <c r="F74" s="96">
        <v>0</v>
      </c>
      <c r="G74" s="121">
        <v>0</v>
      </c>
    </row>
    <row r="75" spans="2:7" x14ac:dyDescent="0.25">
      <c r="B75" s="122" t="str">
        <v>Concrete, 40 MPa, in-situ, no reinforcement, (QE402PT2) (Ecopact) (Holcim) (QLD), Gold Coast</v>
      </c>
      <c r="C75" t="str">
        <v>m³</v>
      </c>
      <c r="D75" s="96">
        <v>305.23</v>
      </c>
      <c r="E75" s="96">
        <v>0.12717916666666665</v>
      </c>
      <c r="F75" s="96">
        <v>0</v>
      </c>
      <c r="G75" s="121">
        <v>0</v>
      </c>
    </row>
    <row r="76" spans="2:7" x14ac:dyDescent="0.25">
      <c r="B76" s="122" t="str">
        <v>Concrete, 40 MPa, in-situ, no reinforcement, (QE401EL21) (Ecopact) (Holcim) (QLD) (Brisbane)</v>
      </c>
      <c r="C76" t="str">
        <v>m³</v>
      </c>
      <c r="D76" s="96">
        <v>239.18</v>
      </c>
      <c r="E76" s="96">
        <v>9.9658333333333335E-2</v>
      </c>
      <c r="F76" s="96">
        <v>0</v>
      </c>
      <c r="G76" s="121">
        <v>0</v>
      </c>
    </row>
    <row r="77" spans="2:7" x14ac:dyDescent="0.25">
      <c r="B77" s="122" t="str">
        <v>Concrete, 40 MPa, in-situ, no reinforcement, (QE401EDUF) (Ecopact) (Holcim) (QLD) (Brisbane)</v>
      </c>
      <c r="C77" t="str">
        <v>m³</v>
      </c>
      <c r="D77" s="96">
        <v>253.19</v>
      </c>
      <c r="E77" s="96">
        <v>0.10549583333333334</v>
      </c>
      <c r="F77" s="96">
        <v>0</v>
      </c>
      <c r="G77" s="121">
        <v>0</v>
      </c>
    </row>
    <row r="78" spans="2:7" x14ac:dyDescent="0.25">
      <c r="B78" s="122" t="str">
        <v>Concrete, 40 MPa, in-situ, no reinforcement, (QE401E100) (Ecopact) (Holcim) (QLD), Gold Coast</v>
      </c>
      <c r="C78" t="str">
        <v>m³</v>
      </c>
      <c r="D78" s="96">
        <v>240.18</v>
      </c>
      <c r="E78" s="96">
        <v>0.10007500000000001</v>
      </c>
      <c r="F78" s="96">
        <v>0</v>
      </c>
      <c r="G78" s="121">
        <v>0</v>
      </c>
    </row>
    <row r="79" spans="2:7" x14ac:dyDescent="0.25">
      <c r="B79" s="122" t="str">
        <v>Concrete, 40 MPa, in-situ, no reinforcement, (Adbri concrete
N class GP/GL:FA
40 MPa) (Adbri) (QLD)</v>
      </c>
      <c r="C79" t="str">
        <v>m³</v>
      </c>
      <c r="D79" s="96">
        <v>327.245</v>
      </c>
      <c r="E79" s="96">
        <v>0.13635208333333335</v>
      </c>
      <c r="F79" s="96">
        <v>0</v>
      </c>
      <c r="G79" s="121">
        <v>0</v>
      </c>
    </row>
    <row r="80" spans="2:7" x14ac:dyDescent="0.25">
      <c r="B80" s="122" t="str">
        <v>Concrete, 40 MPa, in-situ, no reinforcement, (QE402EEZY) (Ecopact) (Holcim) (QLD) (Brisbane)</v>
      </c>
      <c r="C80" t="str">
        <v>m³</v>
      </c>
      <c r="D80" s="96">
        <v>227.17</v>
      </c>
      <c r="E80" s="96">
        <v>9.4654166666666678E-2</v>
      </c>
      <c r="F80" s="96">
        <v>0</v>
      </c>
      <c r="G80" s="121">
        <v>0</v>
      </c>
    </row>
    <row r="81" spans="2:7" x14ac:dyDescent="0.25">
      <c r="B81" s="122" t="str">
        <v>Concrete, 40 MPa, in-situ, no reinforcement, (QE402E) (Ecopact) (Holcim) (QLD), Gold Coast</v>
      </c>
      <c r="C81" t="str">
        <v>m³</v>
      </c>
      <c r="D81" s="96">
        <v>228.17</v>
      </c>
      <c r="E81" s="96">
        <v>9.5070833333333341E-2</v>
      </c>
      <c r="F81" s="96">
        <v>0</v>
      </c>
      <c r="G81" s="121">
        <v>0</v>
      </c>
    </row>
    <row r="82" spans="2:7" x14ac:dyDescent="0.25">
      <c r="B82" s="122" t="str">
        <v>Concrete, 40 MPa, in-situ, no reinforcement, (QE401E200) (Ecopact) (Holcim) (QLD), Gold Coast</v>
      </c>
      <c r="C82" t="str">
        <v>m³</v>
      </c>
      <c r="D82" s="96">
        <v>242.18</v>
      </c>
      <c r="E82" s="96">
        <v>0.10090833333333334</v>
      </c>
      <c r="F82" s="96">
        <v>0</v>
      </c>
      <c r="G82" s="121">
        <v>0</v>
      </c>
    </row>
    <row r="83" spans="2:7" x14ac:dyDescent="0.25">
      <c r="B83" s="122" t="str">
        <v>Concrete, 40 MPa, in-situ, no reinforcement, (40MPa PT 14MM
22 IN 3 DAYS) (Adbri) (VIC)</v>
      </c>
      <c r="C83" t="str">
        <v>m³</v>
      </c>
      <c r="D83" s="96">
        <v>310.23</v>
      </c>
      <c r="E83" s="96">
        <v>0.1292625</v>
      </c>
      <c r="F83" s="96">
        <v>0</v>
      </c>
      <c r="G83" s="121">
        <v>0</v>
      </c>
    </row>
    <row r="84" spans="2:7" x14ac:dyDescent="0.25">
      <c r="B84" s="122" t="str">
        <v>Concrete, 40 MPa, in-situ, no reinforcement, (QE407EBMX) (Ecopact) (Holcim) (QLD) (Brisbane)</v>
      </c>
      <c r="C84" t="str">
        <v>m³</v>
      </c>
      <c r="D84" s="96">
        <v>258.19</v>
      </c>
      <c r="E84" s="96">
        <v>0.10757916666666667</v>
      </c>
      <c r="F84" s="96">
        <v>0</v>
      </c>
      <c r="G84" s="121">
        <v>0</v>
      </c>
    </row>
    <row r="85" spans="2:7" x14ac:dyDescent="0.25">
      <c r="B85" s="122" t="str">
        <v>Concrete, 40 MPa, in-situ, no reinforcement, (QE401E100) (Ecopact) (Holcim) (QLD) (Brisbane)</v>
      </c>
      <c r="C85" t="str">
        <v>m³</v>
      </c>
      <c r="D85" s="96">
        <v>231.17</v>
      </c>
      <c r="E85" s="96">
        <v>9.6320833333333342E-2</v>
      </c>
      <c r="F85" s="96">
        <v>0</v>
      </c>
      <c r="G85" s="121">
        <v>0</v>
      </c>
    </row>
    <row r="86" spans="2:7" x14ac:dyDescent="0.25">
      <c r="B86" s="122" t="str">
        <v>Concrete, 40 MPa, in-situ, no reinforcement, (QE402E) (Ecopact) (Holcim) (QLD) (Brisbane)</v>
      </c>
      <c r="C86" t="str">
        <v>m³</v>
      </c>
      <c r="D86" s="96">
        <v>219.16</v>
      </c>
      <c r="E86" s="96">
        <v>9.1316666666666671E-2</v>
      </c>
      <c r="F86" s="96">
        <v>0</v>
      </c>
      <c r="G86" s="121">
        <v>0</v>
      </c>
    </row>
    <row r="87" spans="2:7" x14ac:dyDescent="0.25">
      <c r="B87" s="122" t="str">
        <v>Concrete, 40 MPa, in-situ, no reinforcement, (CS4020E5)(LH) (BCG) (WA), (Perth)</v>
      </c>
      <c r="C87" t="str">
        <v>m³</v>
      </c>
      <c r="D87" s="96">
        <v>219.16</v>
      </c>
      <c r="E87" s="96">
        <v>9.1316666666666671E-2</v>
      </c>
      <c r="F87" s="96">
        <v>0</v>
      </c>
      <c r="G87" s="121">
        <v>0</v>
      </c>
    </row>
    <row r="88" spans="2:7" x14ac:dyDescent="0.25">
      <c r="B88" s="122" t="str">
        <v>Concrete, 40 MPa, in-situ, no reinforcement, (40MPa 14MM
20MPa IN 2 DAYS) (Adbri) (VIC)</v>
      </c>
      <c r="C88" t="str">
        <v>m³</v>
      </c>
      <c r="D88" s="96">
        <v>351.25</v>
      </c>
      <c r="E88" s="96">
        <v>0.14635416666666665</v>
      </c>
      <c r="F88" s="96">
        <v>0</v>
      </c>
      <c r="G88" s="121">
        <v>0</v>
      </c>
    </row>
    <row r="89" spans="2:7" x14ac:dyDescent="0.25">
      <c r="B89" s="122" t="str">
        <v>Concrete, 40 MPa, in-situ, no reinforcement, (QE402PT1) (Ecopact) (Holcim) (QLD), Gold Coast</v>
      </c>
      <c r="C89" t="str">
        <v>m³</v>
      </c>
      <c r="D89" s="96">
        <v>312.22000000000003</v>
      </c>
      <c r="E89" s="96">
        <v>0.13009166666666666</v>
      </c>
      <c r="F89" s="96">
        <v>0</v>
      </c>
      <c r="G89" s="121">
        <v>0</v>
      </c>
    </row>
    <row r="90" spans="2:7" x14ac:dyDescent="0.25">
      <c r="B90" s="122" t="str">
        <v>Concrete, 40 MPa, in-situ, no reinforcement, (40MPa 7MM
SPRAY CONCRETE (30kg/SF)) (Adbri) (VIC)</v>
      </c>
      <c r="C90" t="str">
        <v>m³</v>
      </c>
      <c r="D90" s="96">
        <v>281.19</v>
      </c>
      <c r="E90" s="96">
        <v>0.1171625</v>
      </c>
      <c r="F90" s="96">
        <v>0</v>
      </c>
      <c r="G90" s="121">
        <v>0</v>
      </c>
    </row>
    <row r="91" spans="2:7" x14ac:dyDescent="0.25">
      <c r="B91" s="122" t="str">
        <v>Concrete, 40 MPa, in-situ, no reinforcement, (WE404E1)(Ecopact) (Holcim) (WA), (Perth Metro)</v>
      </c>
      <c r="C91" t="str">
        <v>m³</v>
      </c>
      <c r="D91" s="96">
        <v>270.18</v>
      </c>
      <c r="E91" s="96">
        <v>0.11257500000000001</v>
      </c>
      <c r="F91" s="96">
        <v>0</v>
      </c>
      <c r="G91" s="121">
        <v>0</v>
      </c>
    </row>
    <row r="92" spans="2:7" x14ac:dyDescent="0.25">
      <c r="B92" s="122" t="str">
        <v>Concrete, 40 MPa, in-situ, no reinforcement, (WE401E1)(Ecopact) (Holcim) (WA), (Perth Metro)</v>
      </c>
      <c r="C92" t="str">
        <v>m³</v>
      </c>
      <c r="D92" s="96">
        <v>270.18</v>
      </c>
      <c r="E92" s="96">
        <v>0.11257500000000001</v>
      </c>
      <c r="F92" s="96">
        <v>0</v>
      </c>
      <c r="G92" s="121">
        <v>0</v>
      </c>
    </row>
    <row r="93" spans="2:7" x14ac:dyDescent="0.25">
      <c r="B93" s="122" t="str">
        <v>Concrete, 40 MPa, in-situ, no reinforcement, (WE404E2)(Ecopact) (Holcim) (WA), (Perth Metro)</v>
      </c>
      <c r="C93" t="str">
        <v>m³</v>
      </c>
      <c r="D93" s="96">
        <v>271.18</v>
      </c>
      <c r="E93" s="96">
        <v>0.11299166666666667</v>
      </c>
      <c r="F93" s="96">
        <v>0</v>
      </c>
      <c r="G93" s="121">
        <v>0</v>
      </c>
    </row>
    <row r="94" spans="2:7" x14ac:dyDescent="0.25">
      <c r="B94" s="122" t="str">
        <v>Concrete, 40 MPa, in-situ, no reinforcement, (WE401E2)(Ecopact) (Holcim) (WA), (Perth Metro)</v>
      </c>
      <c r="C94" t="str">
        <v>m³</v>
      </c>
      <c r="D94" s="96">
        <v>271.18</v>
      </c>
      <c r="E94" s="96">
        <v>0.11299166666666667</v>
      </c>
      <c r="F94" s="96">
        <v>0</v>
      </c>
      <c r="G94" s="121">
        <v>0</v>
      </c>
    </row>
    <row r="95" spans="2:7" x14ac:dyDescent="0.25">
      <c r="B95" s="122" t="str">
        <v>Concrete, 40 MPa, in-situ, no reinforcement, (WE404E4)(Ecopact) (Holcim) (WA), (Perth Metro)</v>
      </c>
      <c r="C95" t="str">
        <v>m³</v>
      </c>
      <c r="D95" s="96">
        <v>271.18</v>
      </c>
      <c r="E95" s="96">
        <v>0.11299166666666667</v>
      </c>
      <c r="F95" s="96">
        <v>0</v>
      </c>
      <c r="G95" s="121">
        <v>0</v>
      </c>
    </row>
    <row r="96" spans="2:7" x14ac:dyDescent="0.25">
      <c r="B96" s="122" t="str">
        <v>Concrete, 40 MPa, in-situ, no reinforcement, (WE401E4)(Ecopact) (Holcim) (WA), (Perth Metro)</v>
      </c>
      <c r="C96" t="str">
        <v>m³</v>
      </c>
      <c r="D96" s="96">
        <v>271.18</v>
      </c>
      <c r="E96" s="96">
        <v>0.11299166666666667</v>
      </c>
      <c r="F96" s="96">
        <v>0</v>
      </c>
      <c r="G96" s="121">
        <v>0</v>
      </c>
    </row>
    <row r="97" spans="2:7" x14ac:dyDescent="0.25">
      <c r="B97" s="122" t="str">
        <v>Concrete, 40 MPa, in-situ, no reinforcement, (QE402PT1) (Ecopact) (Holcim) (QLD) (Brisbane)</v>
      </c>
      <c r="C97" t="str">
        <v>m³</v>
      </c>
      <c r="D97" s="96">
        <v>293.19</v>
      </c>
      <c r="E97" s="96">
        <v>0.12216250000000001</v>
      </c>
      <c r="F97" s="96">
        <v>0</v>
      </c>
      <c r="G97" s="121">
        <v>0</v>
      </c>
    </row>
    <row r="98" spans="2:7" x14ac:dyDescent="0.25">
      <c r="B98" s="122" t="str">
        <v>Concrete, 40 MPa, in-situ, no reinforcement, (QE402PT2) (Ecopact) (Holcim) (QLD) (Brisbane)</v>
      </c>
      <c r="C98" t="str">
        <v>m³</v>
      </c>
      <c r="D98" s="96">
        <v>293.19</v>
      </c>
      <c r="E98" s="96">
        <v>0.12216250000000001</v>
      </c>
      <c r="F98" s="96">
        <v>0</v>
      </c>
      <c r="G98" s="121">
        <v>0</v>
      </c>
    </row>
    <row r="99" spans="2:7" x14ac:dyDescent="0.25">
      <c r="B99" s="122" t="str">
        <v>Concrete, 40 MPa, in-situ, no reinforcement, (WE402E1)(Ecopact) (Holcim) (WA), (Perth Metro)</v>
      </c>
      <c r="C99" t="str">
        <v>m³</v>
      </c>
      <c r="D99" s="96">
        <v>263.17</v>
      </c>
      <c r="E99" s="96">
        <v>0.10965416666666668</v>
      </c>
      <c r="F99" s="96">
        <v>0</v>
      </c>
      <c r="G99" s="121">
        <v>0</v>
      </c>
    </row>
    <row r="100" spans="2:7" x14ac:dyDescent="0.25">
      <c r="B100" s="122" t="str">
        <v>Concrete, 40 MPa, in-situ, no reinforcement, (QE402PT3) (Ecopact) (Holcim) (QLD) (Brisbane)</v>
      </c>
      <c r="C100" t="str">
        <v>m³</v>
      </c>
      <c r="D100" s="96">
        <v>294.19</v>
      </c>
      <c r="E100" s="96">
        <v>0.12257916666666667</v>
      </c>
      <c r="F100" s="96">
        <v>0</v>
      </c>
      <c r="G100" s="121">
        <v>0</v>
      </c>
    </row>
    <row r="101" spans="2:7" x14ac:dyDescent="0.25">
      <c r="B101" s="122" t="str">
        <v>Concrete, 40 MPa, in-situ, no reinforcement, (QE401LMO1) (Ecopact) (Holcim) (QLD) (Brisbane)</v>
      </c>
      <c r="C101" t="str">
        <v>m³</v>
      </c>
      <c r="D101" s="96">
        <v>310.2</v>
      </c>
      <c r="E101" s="96">
        <v>0.12925</v>
      </c>
      <c r="F101" s="96">
        <v>0</v>
      </c>
      <c r="G101" s="121">
        <v>0</v>
      </c>
    </row>
    <row r="102" spans="2:7" x14ac:dyDescent="0.25">
      <c r="B102" s="122" t="str">
        <v>Concrete, 40 MPa, in-situ, no reinforcement, (WE402E2)(Ecopact) (Holcim) (WA), (Perth Metro)</v>
      </c>
      <c r="C102" t="str">
        <v>m³</v>
      </c>
      <c r="D102" s="96">
        <v>264.17</v>
      </c>
      <c r="E102" s="96">
        <v>0.11007083333333334</v>
      </c>
      <c r="F102" s="96">
        <v>0</v>
      </c>
      <c r="G102" s="121">
        <v>0</v>
      </c>
    </row>
    <row r="103" spans="2:7" x14ac:dyDescent="0.25">
      <c r="B103" s="122" t="str">
        <v>Concrete, 40 MPa, in-situ, no reinforcement, (WE402E4)(Ecopact) (Holcim) (WA), (Perth Metro)</v>
      </c>
      <c r="C103" t="str">
        <v>m³</v>
      </c>
      <c r="D103" s="96">
        <v>264.17</v>
      </c>
      <c r="E103" s="96">
        <v>0.11007083333333334</v>
      </c>
      <c r="F103" s="96">
        <v>0</v>
      </c>
      <c r="G103" s="121">
        <v>0</v>
      </c>
    </row>
    <row r="104" spans="2:7" x14ac:dyDescent="0.25">
      <c r="B104" s="122" t="str">
        <v>Concrete, 40 MPa, in-situ, no reinforcement, (QE4022A31) (Ecopact) (Holcim) (QLD), Gold Coast</v>
      </c>
      <c r="C104" t="str">
        <v>m³</v>
      </c>
      <c r="D104" s="96">
        <v>311.2</v>
      </c>
      <c r="E104" s="96">
        <v>0.12966666666666665</v>
      </c>
      <c r="F104" s="96">
        <v>0</v>
      </c>
      <c r="G104" s="121">
        <v>0</v>
      </c>
    </row>
    <row r="105" spans="2:7" x14ac:dyDescent="0.25">
      <c r="B105" s="122" t="str">
        <v>Concrete, 40 MPa, in-situ, no reinforcement, (QE4022A41) (Ecopact) (Holcim) (QLD), Gold Coast</v>
      </c>
      <c r="C105" t="str">
        <v>m³</v>
      </c>
      <c r="D105" s="96">
        <v>311.2</v>
      </c>
      <c r="E105" s="96">
        <v>0.12966666666666665</v>
      </c>
      <c r="F105" s="96">
        <v>0</v>
      </c>
      <c r="G105" s="121">
        <v>0</v>
      </c>
    </row>
    <row r="106" spans="2:7" x14ac:dyDescent="0.25">
      <c r="B106" s="122" t="str">
        <v>Concrete, 40 MPa, in-situ, no reinforcement, (QE4022A51) (Ecopact) (Holcim) (QLD), Gold Coast</v>
      </c>
      <c r="C106" t="str">
        <v>m³</v>
      </c>
      <c r="D106" s="96">
        <v>311.2</v>
      </c>
      <c r="E106" s="96">
        <v>0.12966666666666665</v>
      </c>
      <c r="F106" s="96">
        <v>0</v>
      </c>
      <c r="G106" s="121">
        <v>0</v>
      </c>
    </row>
    <row r="107" spans="2:7" x14ac:dyDescent="0.25">
      <c r="B107" s="122" t="str">
        <v>Concrete, 40 MPa, in-situ, no reinforcement, (QE401LMO1) (Ecopact) (Holcim) (QLD), Gold Coast</v>
      </c>
      <c r="C107" t="str">
        <v>m³</v>
      </c>
      <c r="D107" s="96">
        <v>311.2</v>
      </c>
      <c r="E107" s="96">
        <v>0.12966666666666665</v>
      </c>
      <c r="F107" s="96">
        <v>0</v>
      </c>
      <c r="G107" s="121">
        <v>0</v>
      </c>
    </row>
    <row r="108" spans="2:7" x14ac:dyDescent="0.25">
      <c r="B108" s="122" t="str">
        <v>Concrete, 40 MPa, in-situ, no reinforcement, (QE402PT3) (Ecopact) (Holcim) (QLD), Gold Coast</v>
      </c>
      <c r="C108" t="str">
        <v>m³</v>
      </c>
      <c r="D108" s="96">
        <v>312.2</v>
      </c>
      <c r="E108" s="96">
        <v>0.13008333333333333</v>
      </c>
      <c r="F108" s="96">
        <v>0</v>
      </c>
      <c r="G108" s="121">
        <v>0</v>
      </c>
    </row>
    <row r="109" spans="2:7" x14ac:dyDescent="0.25">
      <c r="B109" s="122" t="str">
        <v>Concrete, 40 MPa, in-situ, no reinforcement, (QE4022A32) (Ecopact) (Holcim) (QLD), Gold Coast</v>
      </c>
      <c r="C109" t="str">
        <v>m³</v>
      </c>
      <c r="D109" s="96">
        <v>312.2</v>
      </c>
      <c r="E109" s="96">
        <v>0.13008333333333333</v>
      </c>
      <c r="F109" s="96">
        <v>0</v>
      </c>
      <c r="G109" s="121">
        <v>0</v>
      </c>
    </row>
    <row r="110" spans="2:7" x14ac:dyDescent="0.25">
      <c r="B110" s="122" t="str">
        <v>Concrete, 40 MPa, in-situ, no reinforcement, (QE4022A42) (Ecopact) (Holcim) (QLD), Gold Coast</v>
      </c>
      <c r="C110" t="str">
        <v>m³</v>
      </c>
      <c r="D110" s="96">
        <v>312.2</v>
      </c>
      <c r="E110" s="96">
        <v>0.13008333333333333</v>
      </c>
      <c r="F110" s="96">
        <v>0</v>
      </c>
      <c r="G110" s="121">
        <v>0</v>
      </c>
    </row>
    <row r="111" spans="2:7" x14ac:dyDescent="0.25">
      <c r="B111" s="122" t="str">
        <v>Concrete, 40 MPa, in-situ, no reinforcement, (QE4022A52) (Ecopact) (Holcim) (QLD), Gold Coast</v>
      </c>
      <c r="C111" t="str">
        <v>m³</v>
      </c>
      <c r="D111" s="96">
        <v>312.2</v>
      </c>
      <c r="E111" s="96">
        <v>0.13008333333333333</v>
      </c>
      <c r="F111" s="96">
        <v>0</v>
      </c>
      <c r="G111" s="121">
        <v>0</v>
      </c>
    </row>
    <row r="112" spans="2:7" x14ac:dyDescent="0.25">
      <c r="B112" s="122" t="str">
        <v>Concrete, 40 MPa, in-situ, no reinforcement, (QE4022A53) (Ecopact) (Holcim) (QLD), Gold Coast</v>
      </c>
      <c r="C112" t="str">
        <v>m³</v>
      </c>
      <c r="D112" s="96">
        <v>312.2</v>
      </c>
      <c r="E112" s="96">
        <v>0.13008333333333333</v>
      </c>
      <c r="F112" s="96">
        <v>0</v>
      </c>
      <c r="G112" s="121">
        <v>0</v>
      </c>
    </row>
    <row r="113" spans="2:7" x14ac:dyDescent="0.25">
      <c r="B113" s="122" t="str">
        <v>Concrete, 40 MPa, in-situ, no reinforcement, (QE402L652) (Ecopact) (Holcim) (QLD), Gold Coast</v>
      </c>
      <c r="C113" t="str">
        <v>m³</v>
      </c>
      <c r="D113" s="96">
        <v>312.2</v>
      </c>
      <c r="E113" s="96">
        <v>0.13008333333333333</v>
      </c>
      <c r="F113" s="96">
        <v>0</v>
      </c>
      <c r="G113" s="121">
        <v>0</v>
      </c>
    </row>
    <row r="114" spans="2:7" x14ac:dyDescent="0.25">
      <c r="B114" s="122" t="str">
        <v>Concrete, 40 MPa, in-situ, no reinforcement, (QE402LMO1) (Ecopact) (Holcim) (QLD) (Brisbane)</v>
      </c>
      <c r="C114" t="str">
        <v>m³</v>
      </c>
      <c r="D114" s="96">
        <v>301.19</v>
      </c>
      <c r="E114" s="96">
        <v>0.12549583333333333</v>
      </c>
      <c r="F114" s="96">
        <v>0</v>
      </c>
      <c r="G114" s="121">
        <v>0</v>
      </c>
    </row>
    <row r="115" spans="2:7" x14ac:dyDescent="0.25">
      <c r="B115" s="122" t="str">
        <v>Concrete, 40 MPa, in-situ, no reinforcement, (NE401E1L2)(Ecopact) (Holcim) (NSW), (Sydney)</v>
      </c>
      <c r="C115" t="str">
        <v>m³</v>
      </c>
      <c r="D115" s="96">
        <v>206.13</v>
      </c>
      <c r="E115" s="96">
        <v>8.5887499999999992E-2</v>
      </c>
      <c r="F115" s="96">
        <v>0</v>
      </c>
      <c r="G115" s="121">
        <v>0</v>
      </c>
    </row>
    <row r="116" spans="2:7" x14ac:dyDescent="0.25">
      <c r="B116" s="122" t="str">
        <v>Concrete, 40 MPa, in-situ, no reinforcement, (QE402L652) (Ecopact) (Holcim) (QLD) (Brisbane)</v>
      </c>
      <c r="C116" t="str">
        <v>m³</v>
      </c>
      <c r="D116" s="96">
        <v>287.18</v>
      </c>
      <c r="E116" s="96">
        <v>0.11965833333333334</v>
      </c>
      <c r="F116" s="96">
        <v>0</v>
      </c>
      <c r="G116" s="121">
        <v>0</v>
      </c>
    </row>
    <row r="117" spans="2:7" x14ac:dyDescent="0.25">
      <c r="B117" s="122" t="str">
        <v>Concrete, 40 MPa, in-situ, no reinforcement, (Futurecrete®  N
class Ternary
40 MPa) (Adbri) (QLD)</v>
      </c>
      <c r="C117" t="str">
        <v>m³</v>
      </c>
      <c r="D117" s="96">
        <v>336.209</v>
      </c>
      <c r="E117" s="96">
        <v>0.14008708333333333</v>
      </c>
      <c r="F117" s="96">
        <v>0</v>
      </c>
      <c r="G117" s="121">
        <v>0</v>
      </c>
    </row>
    <row r="118" spans="2:7" x14ac:dyDescent="0.25">
      <c r="B118" s="122" t="str">
        <v>Concrete, 40 MPa, in-situ, no reinforcement, (Futurecrete®  Special
Class GP 40 MPa
22 hours) (Adbri) (NT)</v>
      </c>
      <c r="C118" t="str">
        <v>m³</v>
      </c>
      <c r="D118" s="96">
        <v>448.27800000000002</v>
      </c>
      <c r="E118" s="96">
        <v>0.18678250000000002</v>
      </c>
      <c r="F118" s="96">
        <v>0</v>
      </c>
      <c r="G118" s="121">
        <v>0</v>
      </c>
    </row>
    <row r="119" spans="2:7" x14ac:dyDescent="0.25">
      <c r="B119" s="122" t="str">
        <v>Concrete, 40 MPa, in-situ, no reinforcement, (QE402LPN2) (Ecopact) (Holcim) (QLD), Gold Coast</v>
      </c>
      <c r="C119" t="str">
        <v>m³</v>
      </c>
      <c r="D119" s="96">
        <v>308.19</v>
      </c>
      <c r="E119" s="96">
        <v>0.12841249999999998</v>
      </c>
      <c r="F119" s="96">
        <v>0</v>
      </c>
      <c r="G119" s="121">
        <v>0</v>
      </c>
    </row>
    <row r="120" spans="2:7" x14ac:dyDescent="0.25">
      <c r="B120" s="122" t="str">
        <v>Concrete, 40 MPa, in-situ, no reinforcement, (Adbri Concrete N Class GP/GL 40 MPa) (Adbri) (VIC)</v>
      </c>
      <c r="C120" t="str">
        <v>m³</v>
      </c>
      <c r="D120" s="96">
        <v>318.19</v>
      </c>
      <c r="E120" s="96">
        <v>0.13257916666666666</v>
      </c>
      <c r="F120" s="96">
        <v>0</v>
      </c>
      <c r="G120" s="121">
        <v>0</v>
      </c>
    </row>
    <row r="121" spans="2:7" x14ac:dyDescent="0.25">
      <c r="B121" s="122" t="str">
        <v>Concrete, 40 MPa, in-situ, no reinforcement, (QE401ELCF) (Ecopact) (Holcim) (QLD) (Brisbane)</v>
      </c>
      <c r="C121" t="str">
        <v>m³</v>
      </c>
      <c r="D121" s="96">
        <v>289.17</v>
      </c>
      <c r="E121" s="96">
        <v>0.12048750000000001</v>
      </c>
      <c r="F121" s="96">
        <v>0</v>
      </c>
      <c r="G121" s="121">
        <v>0</v>
      </c>
    </row>
    <row r="122" spans="2:7" x14ac:dyDescent="0.25">
      <c r="B122" s="122" t="str">
        <v>Concrete, 40 MPa, in-situ, no reinforcement, (QE401ECFA) (Ecopact) (Holcim) (QLD) (Brisbane)</v>
      </c>
      <c r="C122" t="str">
        <v>m³</v>
      </c>
      <c r="D122" s="96">
        <v>289.16000000000003</v>
      </c>
      <c r="E122" s="96">
        <v>0.12048333333333335</v>
      </c>
      <c r="F122" s="96">
        <v>0</v>
      </c>
      <c r="G122" s="121">
        <v>0</v>
      </c>
    </row>
    <row r="123" spans="2:7" x14ac:dyDescent="0.25">
      <c r="B123" s="122" t="str">
        <v>Concrete, 40 MPa, in-situ, no reinforcement, (VE404EWC) (Ecopact) (Holcim) (VIC)</v>
      </c>
      <c r="C123" t="str">
        <v>m³</v>
      </c>
      <c r="D123" s="96">
        <v>241.13</v>
      </c>
      <c r="E123" s="96">
        <v>0.10047083333333333</v>
      </c>
      <c r="F123" s="96">
        <v>0</v>
      </c>
      <c r="G123" s="121">
        <v>0</v>
      </c>
    </row>
    <row r="124" spans="2:7" x14ac:dyDescent="0.25">
      <c r="B124" s="122" t="str">
        <v>Concrete, 40 MPa, in-situ, no reinforcement, (VE402ESW) (Ecopact) (Holcim) (VIC)</v>
      </c>
      <c r="C124" t="str">
        <v>m³</v>
      </c>
      <c r="D124" s="96">
        <v>241.13</v>
      </c>
      <c r="E124" s="96">
        <v>0.10047083333333333</v>
      </c>
      <c r="F124" s="96">
        <v>0</v>
      </c>
      <c r="G124" s="121">
        <v>0</v>
      </c>
    </row>
    <row r="125" spans="2:7" x14ac:dyDescent="0.25">
      <c r="B125" s="122" t="str">
        <v>Concrete, 40 MPa, in-situ, no reinforcement,Pronto (EPT4735) (Barro Group) (VIC)</v>
      </c>
      <c r="C125" t="str">
        <v>m³</v>
      </c>
      <c r="D125" s="96">
        <v>265.13799999999998</v>
      </c>
      <c r="E125" s="96">
        <v>0.11047416666666666</v>
      </c>
      <c r="F125" s="96">
        <v>0</v>
      </c>
      <c r="G125" s="121">
        <v>0</v>
      </c>
    </row>
    <row r="126" spans="2:7" x14ac:dyDescent="0.25">
      <c r="B126" s="122" t="str">
        <v>Concrete, 40 MPa, in-situ, no reinforcement,Pronto (EPG40F) (Barro Group) (VIC)</v>
      </c>
      <c r="C126" t="str">
        <v>m³</v>
      </c>
      <c r="D126" s="96">
        <v>211.08349999999999</v>
      </c>
      <c r="E126" s="96">
        <v>8.7951458333333343E-2</v>
      </c>
      <c r="F126" s="96">
        <v>0</v>
      </c>
      <c r="G126" s="121">
        <v>0</v>
      </c>
    </row>
    <row r="127" spans="2:7" x14ac:dyDescent="0.25">
      <c r="B127" s="122" t="str">
        <v>Concrete, 40 MPa, in-situ, no reinforcement, (Adbri Concrete N Class GP:GL 40 MPa
- Katherine) (Adbri) (NT)</v>
      </c>
      <c r="C127" t="str">
        <v>m³</v>
      </c>
      <c r="D127" s="96">
        <v>406.15899999999999</v>
      </c>
      <c r="E127" s="96">
        <v>0.16923291666666665</v>
      </c>
      <c r="F127" s="96">
        <v>0</v>
      </c>
      <c r="G127" s="121">
        <v>0</v>
      </c>
    </row>
    <row r="128" spans="2:7" x14ac:dyDescent="0.25">
      <c r="B128" s="122" t="str">
        <v>Concrete, 40 MPa, in-situ, no reinforcement, (Adbri Concrete N Class GP:GL 40 MPa
- Alice Springs) (Adbri) (NT)</v>
      </c>
      <c r="C128" t="str">
        <v>m³</v>
      </c>
      <c r="D128" s="96">
        <v>545.20299999999997</v>
      </c>
      <c r="E128" s="96">
        <v>0.22716791666666666</v>
      </c>
      <c r="F128" s="96">
        <v>0</v>
      </c>
      <c r="G128" s="121">
        <v>0</v>
      </c>
    </row>
    <row r="129" spans="2:7" x14ac:dyDescent="0.25">
      <c r="B129" s="122" t="str">
        <v>Concrete, 40 MPa, in-situ, no reinforcement, (EGRA47) (Barro Group) (VIC)</v>
      </c>
      <c r="C129" t="str">
        <v>m³</v>
      </c>
      <c r="D129" s="96">
        <v>257.07029999999997</v>
      </c>
      <c r="E129" s="96">
        <v>0.107112625</v>
      </c>
      <c r="F129" s="96">
        <v>0</v>
      </c>
      <c r="G129" s="121">
        <v>0</v>
      </c>
    </row>
    <row r="130" spans="2:7" x14ac:dyDescent="0.25">
      <c r="B130" s="122" t="str">
        <v>Concrete, 40 MPa, in-situ, no reinforcement,Pronto (EPG40) (Barro Group) (VIC)</v>
      </c>
      <c r="C130" t="str">
        <v>m³</v>
      </c>
      <c r="D130" s="96">
        <v>233.0624</v>
      </c>
      <c r="E130" s="96">
        <v>9.7109333333333325E-2</v>
      </c>
      <c r="F130" s="96">
        <v>0</v>
      </c>
      <c r="G130" s="121">
        <v>0</v>
      </c>
    </row>
    <row r="131" spans="2:7" x14ac:dyDescent="0.25">
      <c r="B131" s="122" t="str">
        <v>Concrete, 40 MPa, in-situ, no reinforcement, (EN40) (Barro Group) (VIC)</v>
      </c>
      <c r="C131" t="str">
        <v>m³</v>
      </c>
      <c r="D131" s="96">
        <v>226.02690000000001</v>
      </c>
      <c r="E131" s="96">
        <v>9.4177874999999994E-2</v>
      </c>
      <c r="F131" s="96">
        <v>0</v>
      </c>
      <c r="G131" s="121">
        <v>0</v>
      </c>
    </row>
    <row r="132" spans="2:7" x14ac:dyDescent="0.25">
      <c r="B132" s="122" t="str">
        <v>Concrete, Kerb 320kg MPa, in-situ, no reinforcement, (EKB320) (Barro Group) (VIC)</v>
      </c>
      <c r="C132" t="str">
        <v>m³</v>
      </c>
      <c r="D132" s="96">
        <v>208.0224</v>
      </c>
      <c r="E132" s="96">
        <v>8.6676000000000003E-2</v>
      </c>
      <c r="F132" s="96">
        <v>0</v>
      </c>
      <c r="G132" s="121">
        <v>0</v>
      </c>
    </row>
    <row r="133" spans="2:7" x14ac:dyDescent="0.25">
      <c r="B133" s="122" t="str">
        <v>Concrete, 35 MPa, in-situ, no reinforcement, (S35MPA S CLASS 20MM R83 MACHINE PLACED) (Adbri) (NSW)</v>
      </c>
      <c r="C133" t="str">
        <v>m³</v>
      </c>
      <c r="D133" s="96">
        <v>356.61</v>
      </c>
      <c r="E133" s="96">
        <v>0.14858750000000001</v>
      </c>
      <c r="F133" s="96">
        <v>0</v>
      </c>
      <c r="G133" s="121">
        <v>0</v>
      </c>
    </row>
    <row r="134" spans="2:7" x14ac:dyDescent="0.25">
      <c r="B134" s="122" t="str">
        <v>Concrete, 40 MPa, in-situ, no reinforcement, (E40SP) (Barro Group) (VIC)</v>
      </c>
      <c r="C134" t="str">
        <v>m³</v>
      </c>
      <c r="D134" s="96">
        <v>247.01849999999999</v>
      </c>
      <c r="E134" s="96">
        <v>0.102924375</v>
      </c>
      <c r="F134" s="96">
        <v>0</v>
      </c>
      <c r="G134" s="121">
        <v>0</v>
      </c>
    </row>
    <row r="135" spans="2:7" x14ac:dyDescent="0.25">
      <c r="B135" s="122" t="str">
        <v>Concrete, 35 MPa, in-situ, no reinforcement, (S35MPA S CLASS 20MM R83 SLIPFORM) (Adbri) (NSW)</v>
      </c>
      <c r="C135" t="str">
        <v>m³</v>
      </c>
      <c r="D135" s="96">
        <v>355.03</v>
      </c>
      <c r="E135" s="96">
        <v>0.14792916666666667</v>
      </c>
      <c r="F135" s="96">
        <v>0</v>
      </c>
      <c r="G135" s="121">
        <v>0</v>
      </c>
    </row>
    <row r="136" spans="2:7" x14ac:dyDescent="0.25">
      <c r="B136" s="122" t="str">
        <v>Concrete, Kerb 280kg MPa, in-situ, no reinforcement, (EKB280) (Barro Group) (VIC)</v>
      </c>
      <c r="C136" t="str">
        <v>m³</v>
      </c>
      <c r="D136" s="96">
        <v>186.0102</v>
      </c>
      <c r="E136" s="96">
        <v>7.7504249999999997E-2</v>
      </c>
      <c r="F136" s="96">
        <v>0</v>
      </c>
      <c r="G136" s="121">
        <v>0</v>
      </c>
    </row>
    <row r="137" spans="2:7" x14ac:dyDescent="0.25">
      <c r="B137" s="122" t="str">
        <v>Concrete, 40 MPa, in-situ, no reinforcement, (Futurecrete®  S Class
GP/GL:FA 40 MPa) (Adbri) (SA)</v>
      </c>
      <c r="C137" t="str">
        <v>m³</v>
      </c>
      <c r="D137" s="96">
        <v>234.82</v>
      </c>
      <c r="E137" s="96">
        <v>9.784166666666666E-2</v>
      </c>
      <c r="F137" s="96">
        <v>0</v>
      </c>
      <c r="G137" s="121">
        <v>0</v>
      </c>
    </row>
    <row r="138" spans="2:7" x14ac:dyDescent="0.25">
      <c r="B138" s="122" t="str">
        <v>Concrete, 40 MPa, in-situ, no reinforcement, (S40MPA 22MPA AT 7 DAYS 20MM) (Adbri) (NSW)</v>
      </c>
      <c r="C138" t="str">
        <v>m³</v>
      </c>
      <c r="D138" s="96">
        <v>398.24</v>
      </c>
      <c r="E138" s="96">
        <v>0.16593333333333335</v>
      </c>
      <c r="F138" s="96">
        <v>0</v>
      </c>
      <c r="G138" s="121">
        <v>0</v>
      </c>
    </row>
    <row r="139" spans="2:7" x14ac:dyDescent="0.25">
      <c r="B139" s="122" t="str">
        <v>Concrete, 40 MPa, in-situ, no reinforcement, (S40MPA 22MPA AT 5 DAYS 20MM) (Adbri) (NSW)</v>
      </c>
      <c r="C139" t="str">
        <v>m³</v>
      </c>
      <c r="D139" s="96">
        <v>401.06</v>
      </c>
      <c r="E139" s="96">
        <v>0.16710833333333333</v>
      </c>
      <c r="F139" s="96">
        <v>0</v>
      </c>
      <c r="G139" s="121">
        <v>0</v>
      </c>
    </row>
    <row r="140" spans="2:7" x14ac:dyDescent="0.25">
      <c r="B140" s="122" t="str">
        <v>Concrete, 40 MPa, in-situ, no reinforcement, (S40MPA 25MPA AT 7 DAYS 20MM) (Adbri) (NSW)</v>
      </c>
      <c r="C140" t="str">
        <v>m³</v>
      </c>
      <c r="D140" s="96">
        <v>401.06</v>
      </c>
      <c r="E140" s="96">
        <v>0.16710833333333333</v>
      </c>
      <c r="F140" s="96">
        <v>0</v>
      </c>
      <c r="G140" s="121">
        <v>0</v>
      </c>
    </row>
    <row r="141" spans="2:7" x14ac:dyDescent="0.25">
      <c r="B141" s="122" t="str">
        <v>Concrete, 40 MPa, in-situ, no reinforcement, (S40MPA 22MPA AT 4 DAYS 20MM) (Adbri) (NSW)</v>
      </c>
      <c r="C141" t="str">
        <v>m³</v>
      </c>
      <c r="D141" s="96">
        <v>405.74</v>
      </c>
      <c r="E141" s="96">
        <v>0.16905833333333334</v>
      </c>
      <c r="F141" s="96">
        <v>0</v>
      </c>
      <c r="G141" s="121">
        <v>0</v>
      </c>
    </row>
    <row r="142" spans="2:7" x14ac:dyDescent="0.25">
      <c r="B142" s="122" t="str">
        <v>Concrete, 40 MPa, in-situ, no reinforcement, (S40MPA 25MPA AT 5 DAYS 20MM) (Adbri) (NSW)</v>
      </c>
      <c r="C142" t="str">
        <v>m³</v>
      </c>
      <c r="D142" s="96">
        <v>410.45</v>
      </c>
      <c r="E142" s="96">
        <v>0.17102083333333332</v>
      </c>
      <c r="F142" s="96">
        <v>0</v>
      </c>
      <c r="G142" s="121">
        <v>0</v>
      </c>
    </row>
    <row r="143" spans="2:7" x14ac:dyDescent="0.25">
      <c r="B143" s="122" t="str">
        <v>Concrete, 40 MPa, in-situ, no reinforcement, (S40MPA 22MPA AT 4 DAYS 20MM 120MM SLUMP) (Adbri) (NSW)</v>
      </c>
      <c r="C143" t="str">
        <v>m³</v>
      </c>
      <c r="D143" s="96">
        <v>424.55</v>
      </c>
      <c r="E143" s="96">
        <v>0.17689583333333334</v>
      </c>
      <c r="F143" s="96">
        <v>0</v>
      </c>
      <c r="G143" s="121">
        <v>0</v>
      </c>
    </row>
    <row r="144" spans="2:7" x14ac:dyDescent="0.25">
      <c r="B144" s="122" t="str">
        <v>Concrete, 40 MPa, in-situ, no reinforcement, (S40MPA PT DECK
25MPA AT 3 DAYS
20MM) (Adbri) (NSW)</v>
      </c>
      <c r="C144" t="str">
        <v>m³</v>
      </c>
      <c r="D144" s="96">
        <v>424.55</v>
      </c>
      <c r="E144" s="96">
        <v>0.17689583333333334</v>
      </c>
      <c r="F144" s="96">
        <v>0</v>
      </c>
      <c r="G144" s="121">
        <v>0</v>
      </c>
    </row>
    <row r="145" spans="2:7" x14ac:dyDescent="0.25">
      <c r="B145" s="122" t="str">
        <v>Concrete, 40 MPa, in-situ, no reinforcement, (EVR400) (Barro Group) (VIC)</v>
      </c>
      <c r="C145" t="str">
        <v>m³</v>
      </c>
      <c r="D145" s="96">
        <v>299.00691999999998</v>
      </c>
      <c r="E145" s="96">
        <v>0.12458621666666667</v>
      </c>
      <c r="F145" s="96">
        <v>0</v>
      </c>
      <c r="G145" s="121">
        <v>0</v>
      </c>
    </row>
    <row r="146" spans="2:7" x14ac:dyDescent="0.25">
      <c r="B146" s="122" t="str">
        <v>Concrete, 40 MPa, in-situ, no reinforcement, (Futurecrete®  Ultra N Class GP/ GL:Slag 40 MPa) (Adbri) (NSW)</v>
      </c>
      <c r="C146" t="str">
        <v>m³</v>
      </c>
      <c r="D146" s="96">
        <v>287.0163</v>
      </c>
      <c r="E146" s="96">
        <v>0.11959012500000002</v>
      </c>
      <c r="F146" s="96">
        <v>0</v>
      </c>
      <c r="G146" s="121">
        <v>0</v>
      </c>
    </row>
    <row r="147" spans="2:7" x14ac:dyDescent="0.25">
      <c r="B147" s="122" t="str">
        <v>Concrete, 40 MPa, in-situ, no reinforcement, (S40MPA RTA
SP40HC 20MM SP [HIGH EARLY]) (Adbri) (NSW)</v>
      </c>
      <c r="C147" t="str">
        <v>m³</v>
      </c>
      <c r="D147" s="96">
        <v>502.89</v>
      </c>
      <c r="E147" s="96">
        <v>0.20953749999999999</v>
      </c>
      <c r="F147" s="96">
        <v>0</v>
      </c>
      <c r="G147" s="121">
        <v>0</v>
      </c>
    </row>
    <row r="148" spans="2:7" x14ac:dyDescent="0.25">
      <c r="B148" s="122" t="str">
        <v>Concrete, 40 MPa, in-situ, no reinforcement, (S40MPA 20MM RTA 3201 SP40H) (Adbri) (NSW)</v>
      </c>
      <c r="C148" t="str">
        <v>m³</v>
      </c>
      <c r="D148" s="96">
        <v>513.4</v>
      </c>
      <c r="E148" s="96">
        <v>0.21391666666666664</v>
      </c>
      <c r="F148" s="96">
        <v>0</v>
      </c>
      <c r="G148" s="121">
        <v>0</v>
      </c>
    </row>
    <row r="149" spans="2:7" x14ac:dyDescent="0.25">
      <c r="B149" s="122" t="str">
        <v>Concrete, 40 MPa, in-situ, no reinforcement, (Futurecrete®  Ultra S40MPA 20MM RMS B80 B2
EXPOSURE AP) (Adbri) (NSW)</v>
      </c>
      <c r="C149" t="str">
        <v>m³</v>
      </c>
      <c r="D149" s="96">
        <v>283.18529999999998</v>
      </c>
      <c r="E149" s="96">
        <v>0.117993875</v>
      </c>
      <c r="F149" s="96">
        <v>0</v>
      </c>
      <c r="G149" s="121">
        <v>0</v>
      </c>
    </row>
    <row r="150" spans="2:7" x14ac:dyDescent="0.25">
      <c r="B150" s="122" t="str">
        <v>Concrete, 40 MPa, in-situ, no reinforcement, (Futurecrete® S40MPA HY-LINE 2INCH 10MM PUMP
) (Adbri) (NSW)</v>
      </c>
      <c r="C150" t="str">
        <v>m³</v>
      </c>
      <c r="D150" s="96">
        <v>338.58319999999998</v>
      </c>
      <c r="E150" s="96">
        <v>0.14107633333333333</v>
      </c>
      <c r="F150" s="96">
        <v>0</v>
      </c>
      <c r="G150" s="121">
        <v>0</v>
      </c>
    </row>
    <row r="151" spans="2:7" x14ac:dyDescent="0.25">
      <c r="B151" s="122" t="str">
        <v>Concrete, 40 MPa, in-situ, no reinforcement, (Adbri Concrete
N Class GP/GL:FA
40 MPa) (Adbri) (NSW)</v>
      </c>
      <c r="C151" t="str">
        <v>m³</v>
      </c>
      <c r="D151" s="96">
        <v>366.72216000000003</v>
      </c>
      <c r="E151" s="96">
        <v>0.15280090000000002</v>
      </c>
      <c r="F151" s="96">
        <v>0</v>
      </c>
      <c r="G151" s="121">
        <v>0</v>
      </c>
    </row>
    <row r="152" spans="2:7" x14ac:dyDescent="0.25">
      <c r="B152" s="122" t="str">
        <v>Concrete, 40 MPa, in-situ, no reinforcement, (E40SPLS) (Barro Group) (VIC)</v>
      </c>
      <c r="C152" t="str">
        <v>m³</v>
      </c>
      <c r="D152" s="96">
        <v>303.00170000000003</v>
      </c>
      <c r="E152" s="96">
        <v>0.12625070833333332</v>
      </c>
      <c r="F152" s="96">
        <v>0</v>
      </c>
      <c r="G152" s="121">
        <v>0</v>
      </c>
    </row>
    <row r="153" spans="2:7" x14ac:dyDescent="0.25">
      <c r="B153" s="122" t="str">
        <v>Concrete, 40 MPa, in-situ, no reinforcement, (General) (Holcim) (NSW)(ACT)</v>
      </c>
      <c r="C153" t="str">
        <v>m³</v>
      </c>
      <c r="D153" s="96">
        <v>405</v>
      </c>
      <c r="E153" s="96">
        <v>0.16875000000000001</v>
      </c>
      <c r="F153" s="96">
        <v>0</v>
      </c>
      <c r="G153" s="121">
        <v>0</v>
      </c>
    </row>
    <row r="154" spans="2:7" x14ac:dyDescent="0.25">
      <c r="B154" s="122" t="str">
        <v>Concrete, 40 MPa, in-situ, no reinforcement, (Fly Ash) (Holcim) (NSW)(ACT)</v>
      </c>
      <c r="C154" t="str">
        <v>m³</v>
      </c>
      <c r="D154" s="96">
        <v>328</v>
      </c>
      <c r="E154" s="96">
        <v>0.13666666666666666</v>
      </c>
      <c r="F154" s="96">
        <v>0</v>
      </c>
      <c r="G154" s="121">
        <v>0</v>
      </c>
    </row>
    <row r="155" spans="2:7" x14ac:dyDescent="0.25">
      <c r="B155" s="122" t="str">
        <v>Concrete, 40 MPa, in-situ, no reinforcement, (GGBS Slag) (Holcim) (NSW)(ACT)</v>
      </c>
      <c r="C155" t="str">
        <v>m³</v>
      </c>
      <c r="D155" s="96">
        <v>243</v>
      </c>
      <c r="E155" s="96">
        <v>0.10125000000000001</v>
      </c>
      <c r="F155" s="96">
        <v>0</v>
      </c>
      <c r="G155" s="121">
        <v>0</v>
      </c>
    </row>
    <row r="156" spans="2:7" x14ac:dyDescent="0.25">
      <c r="B156" s="122" t="str">
        <v>Concrete, 40 MPa, in-situ, no reinforcement, (Triple Blend) (Holcim) (NSW)(ACT)</v>
      </c>
      <c r="C156" t="str">
        <v>m³</v>
      </c>
      <c r="D156" s="96">
        <v>219</v>
      </c>
      <c r="E156" s="96">
        <v>9.1249999999999998E-2</v>
      </c>
      <c r="F156" s="96">
        <v>0</v>
      </c>
      <c r="G156" s="121">
        <v>0</v>
      </c>
    </row>
    <row r="157" spans="2:7" x14ac:dyDescent="0.25">
      <c r="B157" s="122" t="str">
        <v>Concrete, 40 MPa, in-situ, no reinforcement,(General)  (Holcim)  (QLD)</v>
      </c>
      <c r="C157" t="str">
        <v>m³</v>
      </c>
      <c r="D157" s="96">
        <v>355</v>
      </c>
      <c r="E157" s="96">
        <v>0.14791666666666667</v>
      </c>
      <c r="F157" s="96">
        <v>0</v>
      </c>
      <c r="G157" s="121">
        <v>0</v>
      </c>
    </row>
    <row r="158" spans="2:7" x14ac:dyDescent="0.25">
      <c r="B158" s="122" t="str">
        <v>Concrete, 40 MPa, in-situ, no reinforcement,(Fly Ash)  (Holcim)  (QLD)</v>
      </c>
      <c r="C158" t="str">
        <v>m³</v>
      </c>
      <c r="D158" s="96">
        <v>297</v>
      </c>
      <c r="E158" s="96">
        <v>0.12375</v>
      </c>
      <c r="F158" s="96">
        <v>0</v>
      </c>
      <c r="G158" s="121">
        <v>0</v>
      </c>
    </row>
    <row r="159" spans="2:7" x14ac:dyDescent="0.25">
      <c r="B159" s="122" t="str">
        <v>Concrete, 40 MPa, in-situ, no reinforcement,(Triple Blend)  (Holcim)  (QLD)</v>
      </c>
      <c r="C159" t="str">
        <v>m³</v>
      </c>
      <c r="D159" s="96">
        <v>218</v>
      </c>
      <c r="E159" s="96">
        <v>9.0833333333333335E-2</v>
      </c>
      <c r="F159" s="96">
        <v>0</v>
      </c>
      <c r="G159" s="121">
        <v>0</v>
      </c>
    </row>
    <row r="160" spans="2:7" x14ac:dyDescent="0.25">
      <c r="B160" s="122" t="str">
        <v>Concrete, 40 MPa, in-situ, no reinforcement, (General) (Holcim) (VIC)</v>
      </c>
      <c r="C160" t="str">
        <v>m³</v>
      </c>
      <c r="D160" s="96">
        <v>386</v>
      </c>
      <c r="E160" s="96">
        <v>0.16083333333333333</v>
      </c>
      <c r="F160" s="96">
        <v>0</v>
      </c>
      <c r="G160" s="121">
        <v>0</v>
      </c>
    </row>
    <row r="161" spans="2:7" x14ac:dyDescent="0.25">
      <c r="B161" s="122" t="str">
        <v>Concrete, 40 MPa, in-situ, no reinforcement, (Fly Ash) (Holcim) (VIC)</v>
      </c>
      <c r="C161" t="str">
        <v>m³</v>
      </c>
      <c r="D161" s="96">
        <v>302</v>
      </c>
      <c r="E161" s="96">
        <v>0.12583333333333332</v>
      </c>
      <c r="F161" s="96">
        <v>0</v>
      </c>
      <c r="G161" s="121">
        <v>0</v>
      </c>
    </row>
    <row r="162" spans="2:7" x14ac:dyDescent="0.25">
      <c r="B162" s="122" t="str">
        <v>Concrete, 40 MPa, in-situ, no reinforcement, (Triple Blend) (Holcim) (VIC)</v>
      </c>
      <c r="C162" t="str">
        <v>m³</v>
      </c>
      <c r="D162" s="96">
        <v>272</v>
      </c>
      <c r="E162" s="96">
        <v>0.11333333333333333</v>
      </c>
      <c r="F162" s="96">
        <v>0</v>
      </c>
      <c r="G162" s="121">
        <v>0</v>
      </c>
    </row>
    <row r="163" spans="2:7" x14ac:dyDescent="0.25">
      <c r="B163" s="122" t="str">
        <v>Concrete, 40 MPa, in-situ, no reinforcement, (General) (Holcim) (SA)</v>
      </c>
      <c r="C163" t="str">
        <v>m³</v>
      </c>
      <c r="D163" s="96">
        <v>413</v>
      </c>
      <c r="E163" s="96">
        <v>0.17208333333333334</v>
      </c>
      <c r="F163" s="96">
        <v>0</v>
      </c>
      <c r="G163" s="121">
        <v>0</v>
      </c>
    </row>
    <row r="164" spans="2:7" x14ac:dyDescent="0.25">
      <c r="B164" s="122" t="str">
        <v>Concrete, 40 MPa, in-situ, no reinforcement, (Fly Ash) (Holcim) (SA)</v>
      </c>
      <c r="C164" t="str">
        <v>m³</v>
      </c>
      <c r="D164" s="96">
        <v>308</v>
      </c>
      <c r="E164" s="96">
        <v>0.12833333333333333</v>
      </c>
      <c r="F164" s="96">
        <v>0</v>
      </c>
      <c r="G164" s="121">
        <v>0</v>
      </c>
    </row>
    <row r="165" spans="2:7" x14ac:dyDescent="0.25">
      <c r="B165" s="122" t="str">
        <v>Concrete, 40 MPa, in-situ, no reinforcement, (GGBS Slag) (Holcim) (SA)</v>
      </c>
      <c r="C165" t="str">
        <v>m³</v>
      </c>
      <c r="D165" s="96">
        <v>262</v>
      </c>
      <c r="E165" s="96">
        <v>0.10916666666666666</v>
      </c>
      <c r="F165" s="96">
        <v>0</v>
      </c>
      <c r="G165" s="121">
        <v>0</v>
      </c>
    </row>
    <row r="166" spans="2:7" x14ac:dyDescent="0.25">
      <c r="B166" s="122" t="str">
        <v>Concrete, 40 MPa, in-situ, no reinforcement, (General) (Holcim) (WA)</v>
      </c>
      <c r="C166" t="str">
        <v>m³</v>
      </c>
      <c r="D166" s="96">
        <v>370</v>
      </c>
      <c r="E166" s="96">
        <v>0.15416666666666667</v>
      </c>
      <c r="F166" s="96">
        <v>0</v>
      </c>
      <c r="G166" s="121">
        <v>0</v>
      </c>
    </row>
    <row r="167" spans="2:7" x14ac:dyDescent="0.25">
      <c r="B167" s="122" t="str">
        <v>Concrete, 40 MPa, in-situ, no reinforcement, (GGBS Slag) (Holcim) (WA)</v>
      </c>
      <c r="C167" t="str">
        <v>m³</v>
      </c>
      <c r="D167" s="96">
        <v>267</v>
      </c>
      <c r="E167" s="96">
        <v>0.11125</v>
      </c>
      <c r="F167" s="96">
        <v>0</v>
      </c>
      <c r="G167" s="121">
        <v>0</v>
      </c>
    </row>
    <row r="168" spans="2:7" x14ac:dyDescent="0.25">
      <c r="B168" s="122" t="str">
        <v>Concrete, 40 MPa, in-situ, no reinforcement, (NE402E151)(Ecopact) (Holcim) (ACT)</v>
      </c>
      <c r="C168" t="str">
        <v>m³</v>
      </c>
      <c r="D168" s="96">
        <v>260.60000000000002</v>
      </c>
      <c r="E168" s="96">
        <v>0.10858333333333334</v>
      </c>
      <c r="F168" s="96">
        <v>0</v>
      </c>
      <c r="G168" s="121">
        <v>0</v>
      </c>
    </row>
    <row r="169" spans="2:7" x14ac:dyDescent="0.25">
      <c r="B169" s="122" t="str">
        <v>Concrete, 40 MPa, in-situ, no reinforcement, (NE402E351)(Ecopact) (Holcim) (ACT)</v>
      </c>
      <c r="C169" t="str">
        <v>m³</v>
      </c>
      <c r="D169" s="96">
        <v>263.05</v>
      </c>
      <c r="E169" s="96">
        <v>0.10960416666666667</v>
      </c>
      <c r="F169" s="96">
        <v>0</v>
      </c>
      <c r="G169" s="121">
        <v>0</v>
      </c>
    </row>
    <row r="170" spans="2:7" x14ac:dyDescent="0.25">
      <c r="B170" s="122" t="str">
        <v>Concrete, 40 MPa, in-situ, no reinforcement, (NE401E151)(Ecopact) (Holcim) (ACT)</v>
      </c>
      <c r="C170" t="str">
        <v>m³</v>
      </c>
      <c r="D170" s="96">
        <v>260.86</v>
      </c>
      <c r="E170" s="96">
        <v>0.10869166666666667</v>
      </c>
      <c r="F170" s="96">
        <v>0</v>
      </c>
      <c r="G170" s="121">
        <v>0</v>
      </c>
    </row>
    <row r="171" spans="2:7" x14ac:dyDescent="0.25">
      <c r="B171" s="122" t="str">
        <v>Concrete, 40 MPa, in-situ, no reinforcement, (NE401E351)(Ecopact) (Holcim) (ACT)</v>
      </c>
      <c r="C171" t="str">
        <v>m³</v>
      </c>
      <c r="D171" s="96">
        <v>263.24</v>
      </c>
      <c r="E171" s="96">
        <v>0.10968333333333334</v>
      </c>
      <c r="F171" s="96">
        <v>0</v>
      </c>
      <c r="G171" s="121">
        <v>0</v>
      </c>
    </row>
    <row r="172" spans="2:7" x14ac:dyDescent="0.25">
      <c r="B172" s="122" t="str">
        <v>Concrete, 40 MPa, in-situ, no reinforcement, (VS401O100) (Holcim) (VIC)</v>
      </c>
      <c r="C172" t="str">
        <v>m³</v>
      </c>
      <c r="D172" s="96">
        <v>451.63</v>
      </c>
      <c r="E172" s="96">
        <v>0.18817916666666668</v>
      </c>
      <c r="F172" s="96">
        <v>0</v>
      </c>
      <c r="G172" s="121">
        <v>0</v>
      </c>
    </row>
    <row r="173" spans="2:7" x14ac:dyDescent="0.25">
      <c r="B173" s="122" t="str">
        <v>Concrete, 40 MPa, in-situ, no reinforcement, (VS404FSWC) (Holcim) (VIC)</v>
      </c>
      <c r="C173" t="str">
        <v>m³</v>
      </c>
      <c r="D173" s="96">
        <v>302.33</v>
      </c>
      <c r="E173" s="96">
        <v>0.12597083333333334</v>
      </c>
      <c r="F173" s="96">
        <v>0</v>
      </c>
      <c r="G173" s="121">
        <v>0</v>
      </c>
    </row>
    <row r="174" spans="2:7" x14ac:dyDescent="0.25">
      <c r="B174" s="122" t="str">
        <v>Concrete, 40 MPa, in-situ, no reinforcement, (VE402ENV) (Holcim) (VIC)</v>
      </c>
      <c r="C174" t="str">
        <v>m³</v>
      </c>
      <c r="D174" s="96">
        <v>278.68</v>
      </c>
      <c r="E174" s="96">
        <v>0.11611666666666667</v>
      </c>
      <c r="F174" s="96">
        <v>0</v>
      </c>
      <c r="G174" s="121">
        <v>0</v>
      </c>
    </row>
    <row r="175" spans="2:7" x14ac:dyDescent="0.25">
      <c r="B175" s="122" t="str">
        <v>Concrete, 40 MPa, in-situ, no reinforcement, (VS402FVRT) (Holcim) (VIC)</v>
      </c>
      <c r="C175" t="str">
        <v>m³</v>
      </c>
      <c r="D175" s="96">
        <v>254.7</v>
      </c>
      <c r="E175" s="96">
        <v>0.106125</v>
      </c>
      <c r="F175" s="96">
        <v>0</v>
      </c>
      <c r="G175" s="121">
        <v>0</v>
      </c>
    </row>
    <row r="176" spans="2:7" x14ac:dyDescent="0.25">
      <c r="B176" s="122" t="str">
        <v>Concrete, 40 MPa, in-situ, no reinforcement, (VS401VMWT) (Holcim) (VIC)</v>
      </c>
      <c r="C176" t="str">
        <v>m³</v>
      </c>
      <c r="D176" s="96">
        <v>252.32</v>
      </c>
      <c r="E176" s="96">
        <v>0.10513333333333333</v>
      </c>
      <c r="F176" s="96">
        <v>0</v>
      </c>
      <c r="G176" s="121">
        <v>0</v>
      </c>
    </row>
    <row r="177" spans="2:7" x14ac:dyDescent="0.25">
      <c r="B177" s="122" t="str">
        <v>Concrete, 40 MPa, in-situ, no reinforcement, (QS402PR02) (Holcim) (QLD), South East Queensland</v>
      </c>
      <c r="C177" t="str">
        <v>m³</v>
      </c>
      <c r="D177" s="96">
        <v>424.99</v>
      </c>
      <c r="E177" s="96">
        <v>0.17707916666666668</v>
      </c>
      <c r="F177" s="96">
        <v>0</v>
      </c>
      <c r="G177" s="121">
        <v>0</v>
      </c>
    </row>
    <row r="178" spans="2:7" x14ac:dyDescent="0.25">
      <c r="B178" s="122" t="str">
        <v>Concrete, 40 MPa, in-situ, no reinforcement, (QS402PR37) (Holcim) (QLD), South East Queensland</v>
      </c>
      <c r="C178" t="str">
        <v>m³</v>
      </c>
      <c r="D178" s="96">
        <v>426.26</v>
      </c>
      <c r="E178" s="96">
        <v>0.17760833333333334</v>
      </c>
      <c r="F178" s="96">
        <v>0</v>
      </c>
      <c r="G178" s="121">
        <v>0</v>
      </c>
    </row>
    <row r="179" spans="2:7" x14ac:dyDescent="0.25">
      <c r="B179" s="122" t="str">
        <v>Concrete, 40 MPa, in-situ, no reinforcement, (QS402PR35) (Holcim) (QLD), South East Queensland</v>
      </c>
      <c r="C179" t="str">
        <v>m³</v>
      </c>
      <c r="D179" s="96">
        <v>407.83</v>
      </c>
      <c r="E179" s="96">
        <v>0.16992916666666666</v>
      </c>
      <c r="F179" s="96">
        <v>0</v>
      </c>
      <c r="G179" s="121">
        <v>0</v>
      </c>
    </row>
    <row r="180" spans="2:7" x14ac:dyDescent="0.25">
      <c r="B180" s="122" t="str">
        <v>Concrete, 40 MPa, in-situ, no reinforcement, (QS402MRF4) (Holcim) (QLD), South East Queensland</v>
      </c>
      <c r="C180" t="str">
        <v>m³</v>
      </c>
      <c r="D180" s="96">
        <v>379.5</v>
      </c>
      <c r="E180" s="96">
        <v>0.15812499999999999</v>
      </c>
      <c r="F180" s="96">
        <v>0</v>
      </c>
      <c r="G180" s="121">
        <v>0</v>
      </c>
    </row>
    <row r="181" spans="2:7" x14ac:dyDescent="0.25">
      <c r="B181" s="122" t="str">
        <v>Concrete, 40 MPa, in-situ, no reinforcement, (QE402E)(Holcim) (QLD), (North QLD)</v>
      </c>
      <c r="C181" t="str">
        <v>m³</v>
      </c>
      <c r="D181" s="96">
        <v>286.14</v>
      </c>
      <c r="E181" s="96">
        <v>0.119225</v>
      </c>
      <c r="F181" s="96">
        <v>0</v>
      </c>
      <c r="G181" s="121">
        <v>0</v>
      </c>
    </row>
    <row r="182" spans="2:7" x14ac:dyDescent="0.25">
      <c r="B182" s="122" t="str">
        <v>Concrete, 40 MPa, in-situ, no reinforcement, (QE402E1)(Holcim) (QLD), (North QLD)</v>
      </c>
      <c r="C182" t="str">
        <v>m³</v>
      </c>
      <c r="D182" s="96">
        <v>286.95</v>
      </c>
      <c r="E182" s="96">
        <v>0.1195625</v>
      </c>
      <c r="F182" s="96">
        <v>0</v>
      </c>
      <c r="G182" s="121">
        <v>0</v>
      </c>
    </row>
    <row r="183" spans="2:7" x14ac:dyDescent="0.25">
      <c r="B183" s="122" t="str">
        <v>Concrete, 40 MPa, in-situ, no reinforcement, (QE401E)(Holcim) (QLD), (North QLD)</v>
      </c>
      <c r="C183" t="str">
        <v>m³</v>
      </c>
      <c r="D183" s="96">
        <v>292.06</v>
      </c>
      <c r="E183" s="96">
        <v>0.12169166666666667</v>
      </c>
      <c r="F183" s="96">
        <v>0</v>
      </c>
      <c r="G183" s="121">
        <v>0</v>
      </c>
    </row>
    <row r="184" spans="2:7" x14ac:dyDescent="0.25">
      <c r="B184" s="122" t="str">
        <v>Concrete, 40 MPa, in-situ, no reinforcement, (QE401E1)(Holcim) (QLD), (North QLD)</v>
      </c>
      <c r="C184" t="str">
        <v>m³</v>
      </c>
      <c r="D184" s="96">
        <v>292.68</v>
      </c>
      <c r="E184" s="96">
        <v>0.12195</v>
      </c>
      <c r="F184" s="96">
        <v>0</v>
      </c>
      <c r="G184" s="121">
        <v>0</v>
      </c>
    </row>
    <row r="185" spans="2:7" x14ac:dyDescent="0.25">
      <c r="B185" s="122" t="str">
        <v>Concrete, 40 MPa, in-situ, no reinforcement, (Futurecrete®  N
Class GP/GL:Slag
40 MPa) (Adbri) (SA)</v>
      </c>
      <c r="C185" t="str">
        <v>m³</v>
      </c>
      <c r="D185" s="96">
        <v>227.06</v>
      </c>
      <c r="E185" s="96">
        <v>9.4608333333333336E-2</v>
      </c>
      <c r="F185" s="96">
        <v>0</v>
      </c>
      <c r="G185" s="121">
        <v>0</v>
      </c>
    </row>
    <row r="186" spans="2:7" x14ac:dyDescent="0.25">
      <c r="B186" s="122" t="str">
        <v>Concrete, 40 MPa, in-situ, no reinforcement, (Futurecrete®  N Class
GP/GL:FA 40 MPa) (Adbri) (SA)</v>
      </c>
      <c r="C186" t="str">
        <v>m³</v>
      </c>
      <c r="D186" s="96">
        <v>233.63</v>
      </c>
      <c r="E186" s="96">
        <v>9.7345833333333326E-2</v>
      </c>
      <c r="F186" s="96">
        <v>0</v>
      </c>
      <c r="G186" s="121">
        <v>0</v>
      </c>
    </row>
    <row r="187" spans="2:7" x14ac:dyDescent="0.25">
      <c r="B187" s="122" t="str">
        <v>Concrete, 40 MPa, in-situ, no reinforcement, (Futurecrete®  S Class
GP/GL:Slag 40 MPa) (Adbri) (SA)</v>
      </c>
      <c r="C187" t="str">
        <v>m³</v>
      </c>
      <c r="D187" s="96">
        <v>225.98</v>
      </c>
      <c r="E187" s="96">
        <v>9.415833333333333E-2</v>
      </c>
      <c r="F187" s="96">
        <v>0</v>
      </c>
      <c r="G187" s="121">
        <v>0</v>
      </c>
    </row>
    <row r="188" spans="2:7" x14ac:dyDescent="0.25">
      <c r="B188" s="122" t="str">
        <v>Concrete, 35 MPa, in-situ, no reinforcement, (S35MPA S CLASS 20MM R83 FIBRE) (Adbri) (NSW)</v>
      </c>
      <c r="C188" t="str">
        <v>m³</v>
      </c>
      <c r="D188" s="96">
        <v>338.84</v>
      </c>
      <c r="E188" s="96">
        <v>0.14118333333333333</v>
      </c>
      <c r="F188" s="96">
        <v>0</v>
      </c>
      <c r="G188" s="121">
        <v>0</v>
      </c>
    </row>
    <row r="189" spans="2:7" x14ac:dyDescent="0.25">
      <c r="B189" s="122" t="str">
        <v>Concrete, 40 MPa, in-situ, no reinforcement, (S40MPA 20MM RMS B80 B1 EXPOSURE AP) (Adbri) (NSW)</v>
      </c>
      <c r="C189" t="str">
        <v>m³</v>
      </c>
      <c r="D189" s="96">
        <v>360.88</v>
      </c>
      <c r="E189" s="96">
        <v>0.15036666666666668</v>
      </c>
      <c r="F189" s="96">
        <v>0</v>
      </c>
      <c r="G189" s="121">
        <v>0</v>
      </c>
    </row>
    <row r="190" spans="2:7" x14ac:dyDescent="0.25">
      <c r="B190" s="122" t="str">
        <v>Concrete, 40 MPa, in-situ, no reinforcement, (S40MPA 22MPA AT 3 DAYS 20MM) (Adbri) (NSW)</v>
      </c>
      <c r="C190" t="str">
        <v>m³</v>
      </c>
      <c r="D190" s="96">
        <v>415.12</v>
      </c>
      <c r="E190" s="96">
        <v>0.17296666666666666</v>
      </c>
      <c r="F190" s="96">
        <v>0</v>
      </c>
      <c r="G190" s="121">
        <v>0</v>
      </c>
    </row>
    <row r="191" spans="2:7" x14ac:dyDescent="0.25">
      <c r="B191" s="122" t="str">
        <v>Concrete, 40 MPa, in-situ, no reinforcement, (S40MPA PT DECK
25MPA AT 4 DAYS
20MM) (Adbri) (NSW)</v>
      </c>
      <c r="C191" t="str">
        <v>m³</v>
      </c>
      <c r="D191" s="96">
        <v>415.12</v>
      </c>
      <c r="E191" s="96">
        <v>0.17296666666666666</v>
      </c>
      <c r="F191" s="96">
        <v>0</v>
      </c>
      <c r="G191" s="121">
        <v>0</v>
      </c>
    </row>
    <row r="192" spans="2:7" x14ac:dyDescent="0.25">
      <c r="B192" s="122" t="str">
        <v>Concrete, 40 MPa, in-situ, no reinforcement, (E40PT22N3M) (Barro Group) (VIC)</v>
      </c>
      <c r="C192" t="str">
        <v>m³</v>
      </c>
      <c r="D192" s="96">
        <v>291</v>
      </c>
      <c r="E192" s="96">
        <v>0.12125</v>
      </c>
      <c r="F192" s="96">
        <v>0</v>
      </c>
      <c r="G192" s="121">
        <v>0</v>
      </c>
    </row>
    <row r="193" spans="2:7" x14ac:dyDescent="0.25">
      <c r="B193" s="122" t="str">
        <v>Concrete, 40 MPa, in-situ, no reinforcement, (E40PT22N3) (Barro Group) (VIC)</v>
      </c>
      <c r="C193" t="str">
        <v>m³</v>
      </c>
      <c r="D193" s="96">
        <v>277</v>
      </c>
      <c r="E193" s="96">
        <v>0.11541666666666667</v>
      </c>
      <c r="F193" s="96">
        <v>0</v>
      </c>
      <c r="G193" s="121">
        <v>0</v>
      </c>
    </row>
    <row r="194" spans="2:7" x14ac:dyDescent="0.25">
      <c r="B194" s="122" t="str">
        <v>Concrete, 40 MPa, in-situ, no reinforcement, (E40700) (Barro Group) (VIC)</v>
      </c>
      <c r="C194" t="str">
        <v>m³</v>
      </c>
      <c r="D194" s="96">
        <v>258</v>
      </c>
      <c r="E194" s="96">
        <v>0.1075</v>
      </c>
      <c r="F194" s="96">
        <v>0</v>
      </c>
      <c r="G194" s="121">
        <v>0</v>
      </c>
    </row>
    <row r="195" spans="2:7" x14ac:dyDescent="0.25">
      <c r="B195" s="122" t="str">
        <v>Concrete, 40 MPa, in-situ, no reinforcement, Pre-mix Concrete Normal Class GP blend (Boral) (ACT), (Canberra) Normal Class GP blend 40MPa</v>
      </c>
      <c r="C195" t="str">
        <v>m³</v>
      </c>
      <c r="D195" s="96">
        <v>358</v>
      </c>
      <c r="E195" s="96">
        <v>0.14916666666666667</v>
      </c>
      <c r="F195" s="96">
        <v>0</v>
      </c>
      <c r="G195" s="121">
        <v>0</v>
      </c>
    </row>
    <row r="196" spans="2:7" x14ac:dyDescent="0.25">
      <c r="B196" s="122" t="str">
        <v>Concrete, 40 MPa, in-situ, no reinforcement, Pre-mix Concrete Normal Class GP/FA blend (Boral) (ACT), (Canberra) Normal Class GP/FA blend 40 MPa</v>
      </c>
      <c r="C196" t="str">
        <v>m³</v>
      </c>
      <c r="D196" s="96">
        <v>336</v>
      </c>
      <c r="E196" s="96">
        <v>0.14000000000000001</v>
      </c>
      <c r="F196" s="96">
        <v>0</v>
      </c>
      <c r="G196" s="121">
        <v>0</v>
      </c>
    </row>
    <row r="197" spans="2:7" x14ac:dyDescent="0.25">
      <c r="B197" s="122" t="str">
        <v>Concrete, 40 MPa, in-situ, no reinforcement, Pre-mix Concrete Normal Class GP/GGBFS blend (Boral) (ACT), (Canberra) Normal Class GP/GGBFS blend 40 MPa</v>
      </c>
      <c r="C197" t="str">
        <v>m³</v>
      </c>
      <c r="D197" s="96">
        <v>254</v>
      </c>
      <c r="E197" s="96">
        <v>0.10583333333333333</v>
      </c>
      <c r="F197" s="96">
        <v>0</v>
      </c>
      <c r="G197" s="121">
        <v>0</v>
      </c>
    </row>
    <row r="198" spans="2:7" x14ac:dyDescent="0.25">
      <c r="B198" s="122" t="str">
        <v>Concrete, 40 MPa, in-situ, no reinforcement, Pre-mix Concrete ENVIROCRETE 30% (Boral) (ACT), (Canberra) ENVIROCRETE 30% 40 MPa</v>
      </c>
      <c r="C198" t="str">
        <v>m³</v>
      </c>
      <c r="D198" s="96">
        <v>316</v>
      </c>
      <c r="E198" s="96">
        <v>0.13166666666666665</v>
      </c>
      <c r="F198" s="96">
        <v>0</v>
      </c>
      <c r="G198" s="121">
        <v>0</v>
      </c>
    </row>
    <row r="199" spans="2:7" x14ac:dyDescent="0.25">
      <c r="B199" s="122" t="str">
        <v>Concrete, 40 MPa, in-situ, no reinforcement, Pre-mix Concrete POST TENSIONED (Boral) (ACT), (Canberra) POST TENSIONED 40MPa 22@3</v>
      </c>
      <c r="C199" t="str">
        <v>m³</v>
      </c>
      <c r="D199" s="96">
        <v>373</v>
      </c>
      <c r="E199" s="96">
        <v>0.15541666666666668</v>
      </c>
      <c r="F199" s="96">
        <v>0</v>
      </c>
      <c r="G199" s="121">
        <v>0</v>
      </c>
    </row>
    <row r="200" spans="2:7" x14ac:dyDescent="0.25">
      <c r="B200" s="122" t="str">
        <v>Concrete, 40 MPa, in-situ, no reinforcement, Pre-mix Concrete ENVIROCRETE 40% (Boral) (ACT), (Canberra) ENVIROCRETE 40% 40 MPa</v>
      </c>
      <c r="C200" t="str">
        <v>m³</v>
      </c>
      <c r="D200" s="96">
        <v>286</v>
      </c>
      <c r="E200" s="96">
        <v>0.11916666666666667</v>
      </c>
      <c r="F200" s="96">
        <v>0</v>
      </c>
      <c r="G200" s="121">
        <v>0</v>
      </c>
    </row>
    <row r="201" spans="2:7" x14ac:dyDescent="0.25">
      <c r="B201" s="122" t="str">
        <v>Concrete, 40 MPa, in-situ, no reinforcement, Pre-mix Concrete ENVIROCRETE PLUS (Boral) (ACT), (Canberra) ENVIROCRETE PLUS 40MPa</v>
      </c>
      <c r="C201" t="str">
        <v>m³</v>
      </c>
      <c r="D201" s="96">
        <v>271</v>
      </c>
      <c r="E201" s="96">
        <v>0.11291666666666667</v>
      </c>
      <c r="F201" s="96">
        <v>0</v>
      </c>
      <c r="G201" s="121">
        <v>0</v>
      </c>
    </row>
    <row r="202" spans="2:7" x14ac:dyDescent="0.25">
      <c r="B202" s="122" t="str">
        <v>Concrete, 40 MPa, in-situ, no reinforcement, Pre-mix Concrete POST TENSIONED (Boral) (ACT), (Canberra) POST TENSIONED 40MPa 22@4</v>
      </c>
      <c r="C202" t="str">
        <v>m³</v>
      </c>
      <c r="D202" s="96">
        <v>371</v>
      </c>
      <c r="E202" s="96">
        <v>0.15458333333333332</v>
      </c>
      <c r="F202" s="96">
        <v>0</v>
      </c>
      <c r="G202" s="121">
        <v>0</v>
      </c>
    </row>
    <row r="203" spans="2:7" x14ac:dyDescent="0.25">
      <c r="B203" s="122" t="str">
        <v>Concrete, 40 MPa, in-situ, no reinforcement, Pre-mix Concrete POST TENSIONED (Boral) (ACT), (Canberra) POST TENSIONED 40MPa 22@5</v>
      </c>
      <c r="C203" t="str">
        <v>m³</v>
      </c>
      <c r="D203" s="96">
        <v>372</v>
      </c>
      <c r="E203" s="96">
        <v>0.155</v>
      </c>
      <c r="F203" s="96">
        <v>0</v>
      </c>
      <c r="G203" s="121">
        <v>0</v>
      </c>
    </row>
    <row r="204" spans="2:7" x14ac:dyDescent="0.25">
      <c r="B204" s="122" t="str">
        <v>Concrete, 40 MPa, in-situ, no reinforcement, Pre-mix Concrete ENVISIA (Boral) (ACT), (Canberra) ENVISIA 40MPa</v>
      </c>
      <c r="C204" t="str">
        <v>m³</v>
      </c>
      <c r="D204" s="96">
        <v>251</v>
      </c>
      <c r="E204" s="96">
        <v>0.10458333333333333</v>
      </c>
      <c r="F204" s="96">
        <v>0</v>
      </c>
      <c r="G204" s="121">
        <v>0</v>
      </c>
    </row>
    <row r="205" spans="2:7" x14ac:dyDescent="0.25">
      <c r="B205" s="122" t="str">
        <v>Concrete, 40 MPa, in-situ, no reinforcement, Pre-mix Concrete TREMIE (Boral) (ACT), (Canberra) TREMIE 40MPa</v>
      </c>
      <c r="C205" t="str">
        <v>m³</v>
      </c>
      <c r="D205" s="96">
        <v>314</v>
      </c>
      <c r="E205" s="96">
        <v>0.13083333333333333</v>
      </c>
      <c r="F205" s="96">
        <v>0</v>
      </c>
      <c r="G205" s="121">
        <v>0</v>
      </c>
    </row>
    <row r="206" spans="2:7" x14ac:dyDescent="0.25">
      <c r="B206" s="122" t="str">
        <v>Concrete, 40 MPa, in-situ, no reinforcement, Pre-mix Concrete SHOTCRETE (Boral) (ACT), (Canberra) SHOTCRETE 40MPa 10MM</v>
      </c>
      <c r="C206" t="str">
        <v>m³</v>
      </c>
      <c r="D206" s="96">
        <v>363</v>
      </c>
      <c r="E206" s="96">
        <v>0.15125</v>
      </c>
      <c r="F206" s="96">
        <v>0</v>
      </c>
      <c r="G206" s="121">
        <v>0</v>
      </c>
    </row>
    <row r="207" spans="2:7" x14ac:dyDescent="0.25">
      <c r="B207" s="122" t="str">
        <v>Concrete, 40 MPa, in-situ, no reinforcement, Pre-mix Concrete TfNSW B80 (Boral) (ACT), (Canberra) TfNSW B80 40MPa 20MM PUMP B1 EXPOSURE</v>
      </c>
      <c r="C207" t="str">
        <v>m³</v>
      </c>
      <c r="D207" s="96">
        <v>320</v>
      </c>
      <c r="E207" s="96">
        <v>0.13333333333333333</v>
      </c>
      <c r="F207" s="96">
        <v>0</v>
      </c>
      <c r="G207" s="121">
        <v>0</v>
      </c>
    </row>
    <row r="208" spans="2:7" x14ac:dyDescent="0.25">
      <c r="B208" s="122" t="str">
        <v>Concrete, 40 MPa, in-situ, no reinforcement, Pre-mix Concrete TfNSW B80 (Boral) (ACT), (Canberra) TfNSW B80 40MPa 20MM PUMP B2 EXPOSURE</v>
      </c>
      <c r="C208" t="str">
        <v>m³</v>
      </c>
      <c r="D208" s="96">
        <v>327</v>
      </c>
      <c r="E208" s="96">
        <v>0.13625000000000001</v>
      </c>
      <c r="F208" s="96">
        <v>0</v>
      </c>
      <c r="G208" s="121">
        <v>0</v>
      </c>
    </row>
    <row r="209" spans="2:7" x14ac:dyDescent="0.25">
      <c r="B209" s="122" t="str">
        <v>Concrete, 40 MPa, in-situ, no reinforcement, Pre-mix Concrete TfNSW B80 (Boral) (ACT), (Canberra) TfNSW B80 40MPa 20MM TREMIE B2 EXPOSURE</v>
      </c>
      <c r="C209" t="str">
        <v>m³</v>
      </c>
      <c r="D209" s="96">
        <v>336</v>
      </c>
      <c r="E209" s="96">
        <v>0.14000000000000001</v>
      </c>
      <c r="F209" s="96">
        <v>0</v>
      </c>
      <c r="G209" s="121">
        <v>0</v>
      </c>
    </row>
    <row r="210" spans="2:7" x14ac:dyDescent="0.25">
      <c r="B210" s="122" t="str">
        <v>Concrete, 35 MPa, in-situ, no reinforcement, Pre-mix Concrete TfNSW R83 (Boral) (ACT), (Canberra) TfNSW R83 35MPa 20MM HAND/MACHINE PLACED</v>
      </c>
      <c r="C210" t="str">
        <v>m³</v>
      </c>
      <c r="D210" s="96">
        <v>294</v>
      </c>
      <c r="E210" s="96">
        <v>0.1225</v>
      </c>
      <c r="F210" s="96">
        <v>0</v>
      </c>
      <c r="G210" s="121">
        <v>0</v>
      </c>
    </row>
    <row r="211" spans="2:7" x14ac:dyDescent="0.25">
      <c r="B211" s="122" t="str">
        <v>Concrete, 40 MPa, in-situ, no reinforcement, Pre-mix Concrete Normal Class GP blend (Boral) (NSW), (Newcastle) Normal Class GP blend 40MPa</v>
      </c>
      <c r="C211" t="str">
        <v>m³</v>
      </c>
      <c r="D211" s="96">
        <v>349</v>
      </c>
      <c r="E211" s="96">
        <v>0.14541666666666667</v>
      </c>
      <c r="F211" s="96">
        <v>0</v>
      </c>
      <c r="G211" s="121">
        <v>0</v>
      </c>
    </row>
    <row r="212" spans="2:7" x14ac:dyDescent="0.25">
      <c r="B212" s="122" t="str">
        <v>Concrete, 40 MPa, in-situ, no reinforcement, Pre-mix Concrete Normal Class GP/FA blend (Boral) (NSW), (Newcastle) Normal Class GP/FA blend 40 MPa</v>
      </c>
      <c r="C212" t="str">
        <v>m³</v>
      </c>
      <c r="D212" s="96">
        <v>324</v>
      </c>
      <c r="E212" s="96">
        <v>0.13500000000000001</v>
      </c>
      <c r="F212" s="96">
        <v>0</v>
      </c>
      <c r="G212" s="121">
        <v>0</v>
      </c>
    </row>
    <row r="213" spans="2:7" x14ac:dyDescent="0.25">
      <c r="B213" s="122" t="str">
        <v>Concrete, 40 MPa, in-situ, no reinforcement, Pre-mix Concrete ENVIROCRETE 30% (Boral) (NSW), (Newcastle) ENVIROCRETE 30% 40 MPa</v>
      </c>
      <c r="C213" t="str">
        <v>m³</v>
      </c>
      <c r="D213" s="96">
        <v>304</v>
      </c>
      <c r="E213" s="96">
        <v>0.12666666666666668</v>
      </c>
      <c r="F213" s="96">
        <v>0</v>
      </c>
      <c r="G213" s="121">
        <v>0</v>
      </c>
    </row>
    <row r="214" spans="2:7" x14ac:dyDescent="0.25">
      <c r="B214" s="122" t="str">
        <v>Concrete, 40 MPa, in-situ, no reinforcement, Pre-mix Concrete ENVIROCRETE 40% (Boral) (NSW), (Newcastle) ENVIROCRETE 40% 40 MPa</v>
      </c>
      <c r="C214" t="str">
        <v>m³</v>
      </c>
      <c r="D214" s="96">
        <v>276</v>
      </c>
      <c r="E214" s="96">
        <v>0.115</v>
      </c>
      <c r="F214" s="96">
        <v>0</v>
      </c>
      <c r="G214" s="121">
        <v>0</v>
      </c>
    </row>
    <row r="215" spans="2:7" x14ac:dyDescent="0.25">
      <c r="B215" s="122" t="str">
        <v>Concrete, 40 MPa, in-situ, no reinforcement, Pre-mix Concrete ENVIROCRETE PLUS (Boral) (NSW), (Newcastle) ENVIROCRETE PLUS 40MPa</v>
      </c>
      <c r="C215" t="str">
        <v>m³</v>
      </c>
      <c r="D215" s="96">
        <v>265</v>
      </c>
      <c r="E215" s="96">
        <v>0.11041666666666666</v>
      </c>
      <c r="F215" s="96">
        <v>0</v>
      </c>
      <c r="G215" s="121">
        <v>0</v>
      </c>
    </row>
    <row r="216" spans="2:7" x14ac:dyDescent="0.25">
      <c r="B216" s="122" t="str">
        <v>Concrete, 40 MPa, in-situ, no reinforcement, Pre-mix Concrete ENVISIA (Boral) (NSW), (Newcastle) ENVISIA 40MPa</v>
      </c>
      <c r="C216" t="str">
        <v>m³</v>
      </c>
      <c r="D216" s="96">
        <v>249</v>
      </c>
      <c r="E216" s="96">
        <v>0.10375</v>
      </c>
      <c r="F216" s="96">
        <v>0</v>
      </c>
      <c r="G216" s="121">
        <v>0</v>
      </c>
    </row>
    <row r="217" spans="2:7" x14ac:dyDescent="0.25">
      <c r="B217" s="122" t="str">
        <v>Concrete, 40 MPa, in-situ, no reinforcement, Pre-mix Concrete POST TENSIONED (Boral) (NSW), (Newcastle) POST TENSIONED 40MPa 22@3</v>
      </c>
      <c r="C217" t="str">
        <v>m³</v>
      </c>
      <c r="D217" s="96">
        <v>335</v>
      </c>
      <c r="E217" s="96">
        <v>0.13958333333333334</v>
      </c>
      <c r="F217" s="96">
        <v>0</v>
      </c>
      <c r="G217" s="121">
        <v>0</v>
      </c>
    </row>
    <row r="218" spans="2:7" x14ac:dyDescent="0.25">
      <c r="B218" s="122" t="str">
        <v>Concrete, 40 MPa, in-situ, no reinforcement, Pre-mix Concrete POST TENSIONED (Boral) (NSW), (Newcastle) POST TENSIONED 40MPa 22@4</v>
      </c>
      <c r="C218" t="str">
        <v>m³</v>
      </c>
      <c r="D218" s="96">
        <v>323</v>
      </c>
      <c r="E218" s="96">
        <v>0.13458333333333333</v>
      </c>
      <c r="F218" s="96">
        <v>0</v>
      </c>
      <c r="G218" s="121">
        <v>0</v>
      </c>
    </row>
    <row r="219" spans="2:7" x14ac:dyDescent="0.25">
      <c r="B219" s="122" t="str">
        <v>Concrete, 40 MPa, in-situ, no reinforcement, Pre-mix Concrete POST TENSIONED (Boral) (NSW), (Newcastle) POST TENSIONED 40MPa 22@5</v>
      </c>
      <c r="C219" t="str">
        <v>m³</v>
      </c>
      <c r="D219" s="96">
        <v>315</v>
      </c>
      <c r="E219" s="96">
        <v>0.13125000000000001</v>
      </c>
      <c r="F219" s="96">
        <v>0</v>
      </c>
      <c r="G219" s="121">
        <v>0</v>
      </c>
    </row>
    <row r="220" spans="2:7" x14ac:dyDescent="0.25">
      <c r="B220" s="122" t="str">
        <v>Concrete, 40 MPa, in-situ, no reinforcement, Pre-mix Concrete TREMIE (Boral) (NSW), (Newcastle) TREMIE 40MPa</v>
      </c>
      <c r="C220" t="str">
        <v>m³</v>
      </c>
      <c r="D220" s="96">
        <v>258</v>
      </c>
      <c r="E220" s="96">
        <v>0.1075</v>
      </c>
      <c r="F220" s="96">
        <v>0</v>
      </c>
      <c r="G220" s="121">
        <v>0</v>
      </c>
    </row>
    <row r="221" spans="2:7" x14ac:dyDescent="0.25">
      <c r="B221" s="122" t="str">
        <v>Concrete, 40 MPa, in-situ, no reinforcement, Pre-mix Concrete SHOTCRETE (Boral) (NSW), (Newcastle) SHOTCRETE 40MPa 10MM</v>
      </c>
      <c r="C221" t="str">
        <v>m³</v>
      </c>
      <c r="D221" s="96">
        <v>309</v>
      </c>
      <c r="E221" s="96">
        <v>0.12875</v>
      </c>
      <c r="F221" s="96">
        <v>0</v>
      </c>
      <c r="G221" s="121">
        <v>0</v>
      </c>
    </row>
    <row r="222" spans="2:7" x14ac:dyDescent="0.25">
      <c r="B222" s="122" t="str">
        <v>Concrete, 40 MPa, in-situ, no reinforcement, Pre-mix Concrete Normal Class GP/GGBFS blend (Boral) (NSW), (Newcastle) Normal Class GP/GGBFS blend 40 MPa</v>
      </c>
      <c r="C222" t="str">
        <v>m³</v>
      </c>
      <c r="D222" s="96">
        <v>247</v>
      </c>
      <c r="E222" s="96">
        <v>0.10291666666666667</v>
      </c>
      <c r="F222" s="96">
        <v>0</v>
      </c>
      <c r="G222" s="121">
        <v>0</v>
      </c>
    </row>
    <row r="223" spans="2:7" x14ac:dyDescent="0.25">
      <c r="B223" s="122" t="str">
        <v>Concrete, 40 MPa, in-situ, no reinforcement, Pre-mix Concrete TfNSW B80 (Boral) (NSW), (Newcastle) TfNSW B80 40MPa 20MM PUMP B1 EXPOSURE</v>
      </c>
      <c r="C223" t="str">
        <v>m³</v>
      </c>
      <c r="D223" s="96">
        <v>308</v>
      </c>
      <c r="E223" s="96">
        <v>0.12833333333333333</v>
      </c>
      <c r="F223" s="96">
        <v>0</v>
      </c>
      <c r="G223" s="121">
        <v>0</v>
      </c>
    </row>
    <row r="224" spans="2:7" x14ac:dyDescent="0.25">
      <c r="B224" s="122" t="str">
        <v>Concrete, 40 MPa, in-situ, no reinforcement, Pre-mix Concrete TfNSW B80 (Boral) (NSW), (Newcastle) TfNSW B80 40MPa 20MM PUMP B2 EXPOSURE</v>
      </c>
      <c r="C224" t="str">
        <v>m³</v>
      </c>
      <c r="D224" s="96">
        <v>314</v>
      </c>
      <c r="E224" s="96">
        <v>0.13083333333333333</v>
      </c>
      <c r="F224" s="96">
        <v>0</v>
      </c>
      <c r="G224" s="121">
        <v>0</v>
      </c>
    </row>
    <row r="225" spans="2:7" x14ac:dyDescent="0.25">
      <c r="B225" s="122" t="str">
        <v>Concrete, 40 MPa, in-situ, no reinforcement, Pre-mix Concrete TfNSW B80 (Boral) (NSW), (Newcastle) TfNSW B80 40MPa 20MM TREMIE B2 EXPOSURE</v>
      </c>
      <c r="C225" t="str">
        <v>m³</v>
      </c>
      <c r="D225" s="96">
        <v>322</v>
      </c>
      <c r="E225" s="96">
        <v>0.13416666666666666</v>
      </c>
      <c r="F225" s="96">
        <v>0</v>
      </c>
      <c r="G225" s="121">
        <v>0</v>
      </c>
    </row>
    <row r="226" spans="2:7" x14ac:dyDescent="0.25">
      <c r="B226" s="122" t="str">
        <v>Concrete, 40 MPa, in-situ, no reinforcement, Pre-mix Concrete Normal Class GP blend (Boral) (NSW), (Sydney) Normal Class GP blend 40MPa</v>
      </c>
      <c r="C226" t="str">
        <v>m³</v>
      </c>
      <c r="D226" s="96">
        <v>357</v>
      </c>
      <c r="E226" s="96">
        <v>0.14874999999999999</v>
      </c>
      <c r="F226" s="96">
        <v>0</v>
      </c>
      <c r="G226" s="121">
        <v>0</v>
      </c>
    </row>
    <row r="227" spans="2:7" x14ac:dyDescent="0.25">
      <c r="B227" s="122" t="str">
        <v>Concrete, 40 MPa, in-situ, no reinforcement, Pre-mix Concrete Normal Class GP/FA blend (Boral) (NSW), (Sydney) Normal Class GP/FA blend 40 MPa</v>
      </c>
      <c r="C227" t="str">
        <v>m³</v>
      </c>
      <c r="D227" s="96">
        <v>333</v>
      </c>
      <c r="E227" s="96">
        <v>0.13875000000000001</v>
      </c>
      <c r="F227" s="96">
        <v>0</v>
      </c>
      <c r="G227" s="121">
        <v>0</v>
      </c>
    </row>
    <row r="228" spans="2:7" x14ac:dyDescent="0.25">
      <c r="B228" s="122" t="str">
        <v>Concrete, 40 MPa, in-situ, no reinforcement, Pre-mix Concrete Normal Class GP/GGBFS blend (Boral) (NSW), (Sydney) Normal Class GP/GGBFS blend 40 MPa</v>
      </c>
      <c r="C228" t="str">
        <v>m³</v>
      </c>
      <c r="D228" s="96">
        <v>250</v>
      </c>
      <c r="E228" s="96">
        <v>0.10416666666666667</v>
      </c>
      <c r="F228" s="96">
        <v>0</v>
      </c>
      <c r="G228" s="121">
        <v>0</v>
      </c>
    </row>
    <row r="229" spans="2:7" x14ac:dyDescent="0.25">
      <c r="B229" s="122" t="str">
        <v>Concrete, 40 MPa, in-situ, no reinforcement, Pre-mix Concrete Normal Class GP/GGBFS /FA blend (Boral) (NSW), (Sydney) Normal Class GP/GGBFS /FA blend 40 MPa</v>
      </c>
      <c r="C229" t="str">
        <v>m³</v>
      </c>
      <c r="D229" s="96">
        <v>246</v>
      </c>
      <c r="E229" s="96">
        <v>0.10249999999999999</v>
      </c>
      <c r="F229" s="96">
        <v>0</v>
      </c>
      <c r="G229" s="121">
        <v>0</v>
      </c>
    </row>
    <row r="230" spans="2:7" x14ac:dyDescent="0.25">
      <c r="B230" s="122" t="str">
        <v>Concrete, 40 MPa, in-situ, no reinforcement, Pre-mix Concrete ENVIROCRETE 30% (Boral) (NSW), (Sydney) ENVIROCRETE 30% 40 MPa</v>
      </c>
      <c r="C230" t="str">
        <v>m³</v>
      </c>
      <c r="D230" s="96">
        <v>312</v>
      </c>
      <c r="E230" s="96">
        <v>0.13</v>
      </c>
      <c r="F230" s="96">
        <v>0</v>
      </c>
      <c r="G230" s="121">
        <v>0</v>
      </c>
    </row>
    <row r="231" spans="2:7" x14ac:dyDescent="0.25">
      <c r="B231" s="122" t="str">
        <v>Concrete, 40 MPa, in-situ, no reinforcement, Pre-mix Concrete ENVIROCRETE 40% (Boral) (NSW), (Sydney) ENVIROCRETE 40% 40 MPa</v>
      </c>
      <c r="C231" t="str">
        <v>m³</v>
      </c>
      <c r="D231" s="96">
        <v>282</v>
      </c>
      <c r="E231" s="96">
        <v>0.11749999999999999</v>
      </c>
      <c r="F231" s="96">
        <v>0</v>
      </c>
      <c r="G231" s="121">
        <v>0</v>
      </c>
    </row>
    <row r="232" spans="2:7" x14ac:dyDescent="0.25">
      <c r="B232" s="122" t="str">
        <v>Concrete, 40 MPa, in-situ, no reinforcement, Pre-mix Concrete ENVIROCRETE PLUS (Boral) (NSW), (Sydney) ENVIROCRETE PLUS 40MPa</v>
      </c>
      <c r="C232" t="str">
        <v>m³</v>
      </c>
      <c r="D232" s="96">
        <v>272</v>
      </c>
      <c r="E232" s="96">
        <v>0.11333333333333333</v>
      </c>
      <c r="F232" s="96">
        <v>0</v>
      </c>
      <c r="G232" s="121">
        <v>0</v>
      </c>
    </row>
    <row r="233" spans="2:7" x14ac:dyDescent="0.25">
      <c r="B233" s="122" t="str">
        <v>Concrete, 40 MPa, in-situ, no reinforcement, Pre-mix Concrete TREMIE (Boral) (NSW), (Sydney) TREMIE 40MPa</v>
      </c>
      <c r="C233" t="str">
        <v>m³</v>
      </c>
      <c r="D233" s="96">
        <v>258</v>
      </c>
      <c r="E233" s="96">
        <v>0.1075</v>
      </c>
      <c r="F233" s="96">
        <v>0</v>
      </c>
      <c r="G233" s="121">
        <v>0</v>
      </c>
    </row>
    <row r="234" spans="2:7" x14ac:dyDescent="0.25">
      <c r="B234" s="122" t="str">
        <v>Concrete, 40 MPa, in-situ, no reinforcement, Pre-mix Concrete ENVISIA (Boral) (NSW), (Sydney) ENVISIA 40MPa</v>
      </c>
      <c r="C234" t="str">
        <v>m³</v>
      </c>
      <c r="D234" s="96">
        <v>249</v>
      </c>
      <c r="E234" s="96">
        <v>0.10375</v>
      </c>
      <c r="F234" s="96">
        <v>0</v>
      </c>
      <c r="G234" s="121">
        <v>0</v>
      </c>
    </row>
    <row r="235" spans="2:7" x14ac:dyDescent="0.25">
      <c r="B235" s="122" t="str">
        <v>Concrete, 40 MPa, in-situ, no reinforcement, Pre-mix Concrete SHOTCRETE (Boral) (NSW), (Sydney) SHOTCRETE 40MPa 10MM</v>
      </c>
      <c r="C235" t="str">
        <v>m³</v>
      </c>
      <c r="D235" s="96">
        <v>309</v>
      </c>
      <c r="E235" s="96">
        <v>0.12875</v>
      </c>
      <c r="F235" s="96">
        <v>0</v>
      </c>
      <c r="G235" s="121">
        <v>0</v>
      </c>
    </row>
    <row r="236" spans="2:7" x14ac:dyDescent="0.25">
      <c r="B236" s="122" t="str">
        <v>Concrete, 40 MPa, in-situ, no reinforcement, Pre-mix Concrete POST TENSIONED (Boral) (NSW), (Sydney) POST TENSIONED 40MPa 22@3</v>
      </c>
      <c r="C236" t="str">
        <v>m³</v>
      </c>
      <c r="D236" s="96">
        <v>342</v>
      </c>
      <c r="E236" s="96">
        <v>0.14249999999999999</v>
      </c>
      <c r="F236" s="96">
        <v>0</v>
      </c>
      <c r="G236" s="121">
        <v>0</v>
      </c>
    </row>
    <row r="237" spans="2:7" x14ac:dyDescent="0.25">
      <c r="B237" s="122" t="str">
        <v>Concrete, 40 MPa, in-situ, no reinforcement, Pre-mix Concrete POST TENSIONED (Boral) (NSW), (Sydney) POST TENSIONED 40MPa 22@4</v>
      </c>
      <c r="C237" t="str">
        <v>m³</v>
      </c>
      <c r="D237" s="96">
        <v>335</v>
      </c>
      <c r="E237" s="96">
        <v>0.13958333333333334</v>
      </c>
      <c r="F237" s="96">
        <v>0</v>
      </c>
      <c r="G237" s="121">
        <v>0</v>
      </c>
    </row>
    <row r="238" spans="2:7" x14ac:dyDescent="0.25">
      <c r="B238" s="122" t="str">
        <v>Concrete, 40 MPa, in-situ, no reinforcement, Pre-mix Concrete POST TENSIONED (Boral) (NSW), (Sydney) POST TENSIONED 40MPa 22@5</v>
      </c>
      <c r="C238" t="str">
        <v>m³</v>
      </c>
      <c r="D238" s="96">
        <v>325</v>
      </c>
      <c r="E238" s="96">
        <v>0.13541666666666666</v>
      </c>
      <c r="F238" s="96">
        <v>0</v>
      </c>
      <c r="G238" s="121">
        <v>0</v>
      </c>
    </row>
    <row r="239" spans="2:7" x14ac:dyDescent="0.25">
      <c r="B239" s="122" t="str">
        <v>Concrete, 40 MPa, in-situ, no reinforcement, Pre-mix Concrete TfNSW B80 (Boral) (NSW), (Sydney) TfNSW B80 40MPa 20MM TREMIE B2 EXPOSURE</v>
      </c>
      <c r="C239" t="str">
        <v>m³</v>
      </c>
      <c r="D239" s="96">
        <v>235</v>
      </c>
      <c r="E239" s="96">
        <v>9.7916666666666666E-2</v>
      </c>
      <c r="F239" s="96">
        <v>0</v>
      </c>
      <c r="G239" s="121">
        <v>0</v>
      </c>
    </row>
    <row r="240" spans="2:7" x14ac:dyDescent="0.25">
      <c r="B240" s="122" t="str">
        <v>Concrete, 35 MPa, in-situ, no reinforcement, Pre-mix Concrete TfNSW R83 (Boral) (NSW), (Sydney) TfNSW R83 35MPa 20MM HAND/MACHINE PLACED</v>
      </c>
      <c r="C240" t="str">
        <v>m³</v>
      </c>
      <c r="D240" s="96">
        <v>289</v>
      </c>
      <c r="E240" s="96">
        <v>0.12041666666666667</v>
      </c>
      <c r="F240" s="96">
        <v>0</v>
      </c>
      <c r="G240" s="121">
        <v>0</v>
      </c>
    </row>
    <row r="241" spans="2:7" x14ac:dyDescent="0.25">
      <c r="B241" s="122" t="str">
        <v>Concrete, 40 MPa, in-situ, no reinforcement, Pre-mix Concrete TfNSW B80 (Boral) (NSW), (Sydney) TfNSW B80 40MPa 20MM PUMP B1 EXPOSURE</v>
      </c>
      <c r="C241" t="str">
        <v>m³</v>
      </c>
      <c r="D241" s="96">
        <v>313</v>
      </c>
      <c r="E241" s="96">
        <v>0.13041666666666665</v>
      </c>
      <c r="F241" s="96">
        <v>0</v>
      </c>
      <c r="G241" s="121">
        <v>0</v>
      </c>
    </row>
    <row r="242" spans="2:7" x14ac:dyDescent="0.25">
      <c r="B242" s="122" t="str">
        <v>Concrete, 40 MPa, in-situ, no reinforcement, Pre-mix Concrete TfNSW B80 (Boral) (NSW), (Sydney) TfNSW B80 40MPa 20MM PUMP B2 EXPOSURE</v>
      </c>
      <c r="C242" t="str">
        <v>m³</v>
      </c>
      <c r="D242" s="96">
        <v>231</v>
      </c>
      <c r="E242" s="96">
        <v>9.6250000000000002E-2</v>
      </c>
      <c r="F242" s="96">
        <v>0</v>
      </c>
      <c r="G242" s="121">
        <v>0</v>
      </c>
    </row>
    <row r="243" spans="2:7" x14ac:dyDescent="0.25">
      <c r="B243" s="122" t="str">
        <v>Concrete, 40 MPa, in-situ, no reinforcement, Pre-mix Concrete Normal Class GP blend (Boral) (NSW), (Wollongong) Normal Class GP blend 40MPa</v>
      </c>
      <c r="C243" t="str">
        <v>m³</v>
      </c>
      <c r="D243" s="96">
        <v>354</v>
      </c>
      <c r="E243" s="96">
        <v>0.14749999999999999</v>
      </c>
      <c r="F243" s="96">
        <v>0</v>
      </c>
      <c r="G243" s="121">
        <v>0</v>
      </c>
    </row>
    <row r="244" spans="2:7" x14ac:dyDescent="0.25">
      <c r="B244" s="122" t="str">
        <v>Concrete, 40 MPa, in-situ, no reinforcement, Pre-mix Concrete Normal Class GP/FA blend (Boral) (NSW), (Wollongong) Normal Class GP/FA blend 40 MPa</v>
      </c>
      <c r="C244" t="str">
        <v>m³</v>
      </c>
      <c r="D244" s="96">
        <v>330</v>
      </c>
      <c r="E244" s="96">
        <v>0.13750000000000001</v>
      </c>
      <c r="F244" s="96">
        <v>0</v>
      </c>
      <c r="G244" s="121">
        <v>0</v>
      </c>
    </row>
    <row r="245" spans="2:7" x14ac:dyDescent="0.25">
      <c r="B245" s="122" t="str">
        <v>Concrete, 40 MPa, in-situ, no reinforcement, Pre-mix Concrete Normal Class GP/GGBFS blend (Boral) (NSW), (Wollongong) Normal Class GP/GGBFS blend 40 MPa</v>
      </c>
      <c r="C245" t="str">
        <v>m³</v>
      </c>
      <c r="D245" s="96">
        <v>245</v>
      </c>
      <c r="E245" s="96">
        <v>0.10208333333333333</v>
      </c>
      <c r="F245" s="96">
        <v>0</v>
      </c>
      <c r="G245" s="121">
        <v>0</v>
      </c>
    </row>
    <row r="246" spans="2:7" x14ac:dyDescent="0.25">
      <c r="B246" s="122" t="str">
        <v>Concrete, 40 MPa, in-situ, no reinforcement, Pre-mix Concrete TfNSW B80 (Boral) (NSW), (Wollongong) TfNSW B80 40MPa 20MM PUMP B1 EXPOSURE</v>
      </c>
      <c r="C246" t="str">
        <v>m³</v>
      </c>
      <c r="D246" s="96">
        <v>313</v>
      </c>
      <c r="E246" s="96">
        <v>0.13041666666666665</v>
      </c>
      <c r="F246" s="96">
        <v>0</v>
      </c>
      <c r="G246" s="121">
        <v>0</v>
      </c>
    </row>
    <row r="247" spans="2:7" x14ac:dyDescent="0.25">
      <c r="B247" s="122" t="str">
        <v>Concrete, 40 MPa, in-situ, no reinforcement, Pre-mix Concrete Normal Class GP/GGBFS /FA blend (Boral) (NSW), (Wollongong) Normal Class GP/GGBFS /FA blend 40 MPa</v>
      </c>
      <c r="C247" t="str">
        <v>m³</v>
      </c>
      <c r="D247" s="96">
        <v>256</v>
      </c>
      <c r="E247" s="96">
        <v>0.10666666666666667</v>
      </c>
      <c r="F247" s="96">
        <v>0</v>
      </c>
      <c r="G247" s="121">
        <v>0</v>
      </c>
    </row>
    <row r="248" spans="2:7" x14ac:dyDescent="0.25">
      <c r="B248" s="122" t="str">
        <v>Concrete, 40 MPa, in-situ, no reinforcement, Pre-mix Concrete TfNSW B80 (Boral) (NSW), (Wollongong) TfNSW B80 40MPa 20MM PUMP B2 EXPOSURE</v>
      </c>
      <c r="C248" t="str">
        <v>m³</v>
      </c>
      <c r="D248" s="96">
        <v>320</v>
      </c>
      <c r="E248" s="96">
        <v>0.13333333333333333</v>
      </c>
      <c r="F248" s="96">
        <v>0</v>
      </c>
      <c r="G248" s="121">
        <v>0</v>
      </c>
    </row>
    <row r="249" spans="2:7" x14ac:dyDescent="0.25">
      <c r="B249" s="122" t="str">
        <v>Concrete, 40 MPa, in-situ, no reinforcement, Pre-mix Concrete TfNSW B80 (Boral) (NSW), (Wollongong) TfNSW B80 40MPa 20MM TREMIE B2 EXPOSURE</v>
      </c>
      <c r="C249" t="str">
        <v>m³</v>
      </c>
      <c r="D249" s="96">
        <v>329</v>
      </c>
      <c r="E249" s="96">
        <v>0.13708333333333333</v>
      </c>
      <c r="F249" s="96">
        <v>0</v>
      </c>
      <c r="G249" s="121">
        <v>0</v>
      </c>
    </row>
    <row r="250" spans="2:7" x14ac:dyDescent="0.25">
      <c r="B250" s="122" t="str">
        <v>Concrete, 35 MPa, in-situ, no reinforcement, Pre-mix Concrete TfNSW R83 (Boral) (NSW), (Wollongong) TfNSW R83 35MPa 20MM HAND/MACHINE PLACED</v>
      </c>
      <c r="C250" t="str">
        <v>m³</v>
      </c>
      <c r="D250" s="96">
        <v>287</v>
      </c>
      <c r="E250" s="96">
        <v>0.11958333333333333</v>
      </c>
      <c r="F250" s="96">
        <v>0</v>
      </c>
      <c r="G250" s="121">
        <v>0</v>
      </c>
    </row>
    <row r="251" spans="2:7" x14ac:dyDescent="0.25">
      <c r="B251" s="122" t="str">
        <v>Concrete, 40 MPa, in-situ, no reinforcement, Pre-mix Concrete ENVIROCRETE 30% (Boral) (NSW), (Wollongong) ENVIROCRETE 30% 40 MPa</v>
      </c>
      <c r="C251" t="str">
        <v>m³</v>
      </c>
      <c r="D251" s="96">
        <v>310</v>
      </c>
      <c r="E251" s="96">
        <v>0.12916666666666668</v>
      </c>
      <c r="F251" s="96">
        <v>0</v>
      </c>
      <c r="G251" s="121">
        <v>0</v>
      </c>
    </row>
    <row r="252" spans="2:7" x14ac:dyDescent="0.25">
      <c r="B252" s="122" t="str">
        <v>Concrete, 40 MPa, in-situ, no reinforcement, Pre-mix Concrete ENVIROCRETE 40% (Boral) (NSW), (Wollongong) ENVIROCRETE 40% 40 MPa</v>
      </c>
      <c r="C252" t="str">
        <v>m³</v>
      </c>
      <c r="D252" s="96">
        <v>278</v>
      </c>
      <c r="E252" s="96">
        <v>0.11583333333333333</v>
      </c>
      <c r="F252" s="96">
        <v>0</v>
      </c>
      <c r="G252" s="121">
        <v>0</v>
      </c>
    </row>
    <row r="253" spans="2:7" x14ac:dyDescent="0.25">
      <c r="B253" s="122" t="str">
        <v>Concrete, 40 MPa, in-situ, no reinforcement, Pre-mix Concrete ENVIROCRETE PLUS (Boral) (NSW), (Wollongong) ENVIROCRETE PLUS 40MPa</v>
      </c>
      <c r="C253" t="str">
        <v>m³</v>
      </c>
      <c r="D253" s="96">
        <v>268</v>
      </c>
      <c r="E253" s="96">
        <v>0.11166666666666666</v>
      </c>
      <c r="F253" s="96">
        <v>0</v>
      </c>
      <c r="G253" s="121">
        <v>0</v>
      </c>
    </row>
    <row r="254" spans="2:7" x14ac:dyDescent="0.25">
      <c r="B254" s="122" t="str">
        <v>Concrete, 40 MPa, in-situ, no reinforcement, Pre-mix Concrete ENVISIA (Boral) (NSW), (Wollongong) ENVISIA 40MPa</v>
      </c>
      <c r="C254" t="str">
        <v>m³</v>
      </c>
      <c r="D254" s="96">
        <v>247</v>
      </c>
      <c r="E254" s="96">
        <v>0.10291666666666667</v>
      </c>
      <c r="F254" s="96">
        <v>0</v>
      </c>
      <c r="G254" s="121">
        <v>0</v>
      </c>
    </row>
    <row r="255" spans="2:7" x14ac:dyDescent="0.25">
      <c r="B255" s="122" t="str">
        <v>Concrete, 40 MPa, in-situ, no reinforcement, Pre-mix Concrete POST TENSIONED (Boral) (NSW), (Wollongong) POST TENSIONED 40MPa 22@3</v>
      </c>
      <c r="C255" t="str">
        <v>m³</v>
      </c>
      <c r="D255" s="96">
        <v>339</v>
      </c>
      <c r="E255" s="96">
        <v>0.14124999999999999</v>
      </c>
      <c r="F255" s="96">
        <v>0</v>
      </c>
      <c r="G255" s="121">
        <v>0</v>
      </c>
    </row>
    <row r="256" spans="2:7" x14ac:dyDescent="0.25">
      <c r="B256" s="122" t="str">
        <v>Concrete, 40 MPa, in-situ, no reinforcement, Pre-mix Concrete POST TENSIONED (Boral) (NSW), (Wollongong) POST TENSIONED 40MPa 22@4</v>
      </c>
      <c r="C256" t="str">
        <v>m³</v>
      </c>
      <c r="D256" s="96">
        <v>330</v>
      </c>
      <c r="E256" s="96">
        <v>0.13750000000000001</v>
      </c>
      <c r="F256" s="96">
        <v>0</v>
      </c>
      <c r="G256" s="121">
        <v>0</v>
      </c>
    </row>
    <row r="257" spans="2:7" x14ac:dyDescent="0.25">
      <c r="B257" s="122" t="str">
        <v>Concrete, 40 MPa, in-situ, no reinforcement, Pre-mix Concrete POST TENSIONED (Boral) (NSW), (Wollongong) POST TENSIONED 40MPa 22@5</v>
      </c>
      <c r="C257" t="str">
        <v>m³</v>
      </c>
      <c r="D257" s="96">
        <v>321</v>
      </c>
      <c r="E257" s="96">
        <v>0.13375000000000001</v>
      </c>
      <c r="F257" s="96">
        <v>0</v>
      </c>
      <c r="G257" s="121">
        <v>0</v>
      </c>
    </row>
    <row r="258" spans="2:7" x14ac:dyDescent="0.25">
      <c r="B258" s="122" t="str">
        <v>Concrete, 40 MPa, in-situ, no reinforcement, Pre-mix Concrete TREMIE (Boral) (NSW), (Wollongong) TREMIE 40MPa</v>
      </c>
      <c r="C258" t="str">
        <v>m³</v>
      </c>
      <c r="D258" s="96">
        <v>309</v>
      </c>
      <c r="E258" s="96">
        <v>0.12875</v>
      </c>
      <c r="F258" s="96">
        <v>0</v>
      </c>
      <c r="G258" s="121">
        <v>0</v>
      </c>
    </row>
    <row r="259" spans="2:7" x14ac:dyDescent="0.25">
      <c r="B259" s="122" t="str">
        <v>Concrete, 40 MPa, in-situ, no reinforcement, Pre-mix Concrete SHOTCRETE (Boral) (NSW), (Wollongong) SHOTCRETE 40MPa 10MM</v>
      </c>
      <c r="C259" t="str">
        <v>m³</v>
      </c>
      <c r="D259" s="96">
        <v>374</v>
      </c>
      <c r="E259" s="96">
        <v>0.15583333333333332</v>
      </c>
      <c r="F259" s="96">
        <v>0</v>
      </c>
      <c r="G259" s="121">
        <v>0</v>
      </c>
    </row>
    <row r="260" spans="2:7" x14ac:dyDescent="0.25">
      <c r="B260" s="122" t="str">
        <v>Concrete, 40 MPa, in-situ, no reinforcement, Pre-mix Concrete Normal Class GP blend (Boral) (TAS), (Hobart) Normal Class GP blend 40MPa</v>
      </c>
      <c r="C260" t="str">
        <v>m³</v>
      </c>
      <c r="D260" s="96">
        <v>382</v>
      </c>
      <c r="E260" s="96">
        <v>0.15916666666666668</v>
      </c>
      <c r="F260" s="96">
        <v>0</v>
      </c>
      <c r="G260" s="121">
        <v>0</v>
      </c>
    </row>
    <row r="261" spans="2:7" x14ac:dyDescent="0.25">
      <c r="B261" s="122" t="str">
        <v>Concrete, 40 MPa, in-situ, no reinforcement, Pre-mix Concrete ENVISIA (Boral) (TAS), (Hobart) ENVISIA 40 MPa</v>
      </c>
      <c r="C261" t="str">
        <v>m³</v>
      </c>
      <c r="D261" s="96">
        <v>340</v>
      </c>
      <c r="E261" s="96">
        <v>0.14166666666666666</v>
      </c>
      <c r="F261" s="96">
        <v>0</v>
      </c>
      <c r="G261" s="121">
        <v>0</v>
      </c>
    </row>
    <row r="262" spans="2:7" x14ac:dyDescent="0.25">
      <c r="B262" s="122" t="str">
        <v>Concrete, 40 MPa, in-situ, no reinforcement, Pre-mix Concrete Normal Class GP blend (Boral) (TAS), (Launceston) Normal Class GP blend 40MPa</v>
      </c>
      <c r="C262" t="str">
        <v>m³</v>
      </c>
      <c r="D262" s="96">
        <v>372</v>
      </c>
      <c r="E262" s="96">
        <v>0.155</v>
      </c>
      <c r="F262" s="96">
        <v>0</v>
      </c>
      <c r="G262" s="121">
        <v>0</v>
      </c>
    </row>
    <row r="263" spans="2:7" x14ac:dyDescent="0.25">
      <c r="B263" s="122" t="str">
        <v>Concrete, 40 MPa, in-situ, no reinforcement, Pre-mix Concrete ENVISIA (Boral) (TAS), (Launceston) ENVISIA 40 MPa</v>
      </c>
      <c r="C263" t="str">
        <v>m³</v>
      </c>
      <c r="D263" s="96">
        <v>330</v>
      </c>
      <c r="E263" s="96">
        <v>0.13750000000000001</v>
      </c>
      <c r="F263" s="96">
        <v>0</v>
      </c>
      <c r="G263" s="121">
        <v>0</v>
      </c>
    </row>
    <row r="264" spans="2:7" x14ac:dyDescent="0.25">
      <c r="B264" s="122" t="str">
        <v>Concrete, 40 MPa, in-situ, no reinforcement, GP, Normal Class (WA Premix) (WA), (Perth)</v>
      </c>
      <c r="C264" t="str">
        <v>m³</v>
      </c>
      <c r="D264" s="96">
        <v>434</v>
      </c>
      <c r="E264" s="96">
        <v>0.18083333333333335</v>
      </c>
      <c r="F264" s="96">
        <v>0</v>
      </c>
      <c r="G264" s="121">
        <v>0</v>
      </c>
    </row>
    <row r="265" spans="2:7" x14ac:dyDescent="0.25">
      <c r="B265" s="122" t="str">
        <v>Concrete, 40 MPa, in-situ, no reinforcement, Blend, Normal Class (WA Premix) (WA), (Perth)</v>
      </c>
      <c r="C265" t="str">
        <v>m³</v>
      </c>
      <c r="D265" s="96">
        <v>239</v>
      </c>
      <c r="E265" s="96">
        <v>9.9583333333333329E-2</v>
      </c>
      <c r="F265" s="96">
        <v>0</v>
      </c>
      <c r="G265" s="121">
        <v>0</v>
      </c>
    </row>
    <row r="266" spans="2:7" x14ac:dyDescent="0.25">
      <c r="B266" s="122" t="str">
        <v>Concrete, 40 MPa, in-situ, no reinforcement, AH6395, Special Class (WA Premix) (WA), (Perth)</v>
      </c>
      <c r="C266" t="str">
        <v>m³</v>
      </c>
      <c r="D266" s="96">
        <v>215</v>
      </c>
      <c r="E266" s="96">
        <v>8.9583333333333334E-2</v>
      </c>
      <c r="F266" s="96">
        <v>0</v>
      </c>
      <c r="G266" s="121">
        <v>0</v>
      </c>
    </row>
    <row r="267" spans="2:7" x14ac:dyDescent="0.25">
      <c r="B267" s="122" t="str">
        <v>Concrete, 40 MPa, in-situ, no reinforcement, AH6415, Special Class (WA Premix) (WA), (Perth)</v>
      </c>
      <c r="C267" t="str">
        <v>m³</v>
      </c>
      <c r="D267" s="96">
        <v>237</v>
      </c>
      <c r="E267" s="96">
        <v>9.8750000000000004E-2</v>
      </c>
      <c r="F267" s="96">
        <v>0</v>
      </c>
      <c r="G267" s="121">
        <v>0</v>
      </c>
    </row>
    <row r="268" spans="2:7" x14ac:dyDescent="0.25">
      <c r="B268" s="122" t="str">
        <v>Concrete, 40 MPa, in-situ, no reinforcement, AH6416, Special Class (WA Premix) (WA), (Perth)</v>
      </c>
      <c r="C268" t="str">
        <v>m³</v>
      </c>
      <c r="D268" s="96">
        <v>238</v>
      </c>
      <c r="E268" s="96">
        <v>9.9166666666666667E-2</v>
      </c>
      <c r="F268" s="96">
        <v>0</v>
      </c>
      <c r="G268" s="121">
        <v>0</v>
      </c>
    </row>
    <row r="269" spans="2:7" x14ac:dyDescent="0.25">
      <c r="B269" s="122" t="str">
        <v>Concrete, 40 MPa, in-situ, no reinforcement, BH6395, Special Class (WA Premix) (WA), (Perth)</v>
      </c>
      <c r="C269" t="str">
        <v>m³</v>
      </c>
      <c r="D269" s="96">
        <v>215</v>
      </c>
      <c r="E269" s="96">
        <v>8.9583333333333334E-2</v>
      </c>
      <c r="F269" s="96">
        <v>0</v>
      </c>
      <c r="G269" s="121">
        <v>0</v>
      </c>
    </row>
    <row r="270" spans="2:7" x14ac:dyDescent="0.25">
      <c r="B270" s="122" t="str">
        <v>Concrete, 40 MPa, in-situ, no reinforcement, CH1420, Special Class (WA Premix) (WA), (Perth)</v>
      </c>
      <c r="C270" t="str">
        <v>m³</v>
      </c>
      <c r="D270" s="96">
        <v>483</v>
      </c>
      <c r="E270" s="96">
        <v>0.20125000000000001</v>
      </c>
      <c r="F270" s="96">
        <v>0</v>
      </c>
      <c r="G270" s="121">
        <v>0</v>
      </c>
    </row>
    <row r="271" spans="2:7" x14ac:dyDescent="0.25">
      <c r="B271" s="122" t="str">
        <v>Concrete, 40 MPa, in-situ, no reinforcement, CH6422, Special Class (WA Premix) (WA), (Perth)</v>
      </c>
      <c r="C271" t="str">
        <v>m³</v>
      </c>
      <c r="D271" s="96">
        <v>240</v>
      </c>
      <c r="E271" s="96">
        <v>0.1</v>
      </c>
      <c r="F271" s="96">
        <v>0</v>
      </c>
      <c r="G271" s="121">
        <v>0</v>
      </c>
    </row>
    <row r="272" spans="2:7" x14ac:dyDescent="0.25">
      <c r="B272" s="122" t="str">
        <v>Concrete, 40 MPa, in-situ, no reinforcement, BP6418, Special Class (WA Premix) (WA), (Perth)</v>
      </c>
      <c r="C272" t="str">
        <v>m³</v>
      </c>
      <c r="D272" s="96">
        <v>242</v>
      </c>
      <c r="E272" s="96">
        <v>0.10083333333333333</v>
      </c>
      <c r="F272" s="96">
        <v>0</v>
      </c>
      <c r="G272" s="121">
        <v>0</v>
      </c>
    </row>
    <row r="273" spans="2:7" x14ac:dyDescent="0.25">
      <c r="B273" s="122" t="str">
        <v>Concrete, 40 MPa, in-situ, no reinforcement, BP8418, Special Class (WA Premix) (WA), (Perth)</v>
      </c>
      <c r="C273" t="str">
        <v>m³</v>
      </c>
      <c r="D273" s="96">
        <v>254</v>
      </c>
      <c r="E273" s="96">
        <v>0.10583333333333333</v>
      </c>
      <c r="F273" s="96">
        <v>0</v>
      </c>
      <c r="G273" s="121">
        <v>0</v>
      </c>
    </row>
    <row r="274" spans="2:7" x14ac:dyDescent="0.25">
      <c r="B274" s="122" t="str">
        <v>Concrete, 40 MPa, in-situ, no reinforcement, AH1395, Special Class (WA Premix) (WA), (Perth)</v>
      </c>
      <c r="C274" t="str">
        <v>m³</v>
      </c>
      <c r="D274" s="96">
        <v>460</v>
      </c>
      <c r="E274" s="96">
        <v>0.19166666666666668</v>
      </c>
      <c r="F274" s="96">
        <v>0</v>
      </c>
      <c r="G274" s="121">
        <v>0</v>
      </c>
    </row>
    <row r="275" spans="2:7" x14ac:dyDescent="0.25">
      <c r="B275" s="122" t="str">
        <v>Concrete, 40 MPa, in-situ, no reinforcement, AH1404, Special Class (WA Premix) (WA), (Perth)</v>
      </c>
      <c r="C275" t="str">
        <v>m³</v>
      </c>
      <c r="D275" s="96">
        <v>470</v>
      </c>
      <c r="E275" s="96">
        <v>0.19583333333333333</v>
      </c>
      <c r="F275" s="96">
        <v>0</v>
      </c>
      <c r="G275" s="121">
        <v>0</v>
      </c>
    </row>
    <row r="276" spans="2:7" x14ac:dyDescent="0.25">
      <c r="B276" s="122" t="str">
        <v>Concrete, 40 MPa, in-situ, no reinforcement, BH1395, Special Class (WA Premix) (WA), (Perth)</v>
      </c>
      <c r="C276" t="str">
        <v>m³</v>
      </c>
      <c r="D276" s="96">
        <v>460</v>
      </c>
      <c r="E276" s="96">
        <v>0.19166666666666668</v>
      </c>
      <c r="F276" s="96">
        <v>0</v>
      </c>
      <c r="G276" s="121">
        <v>0</v>
      </c>
    </row>
    <row r="277" spans="2:7" x14ac:dyDescent="0.25">
      <c r="B277" s="122" t="str">
        <v>Concrete, 40 MPa, in-situ, no reinforcement, BKA410, Special Class (WA Premix) (WA), (Perth)</v>
      </c>
      <c r="C277" t="str">
        <v>m³</v>
      </c>
      <c r="D277" s="96">
        <v>367</v>
      </c>
      <c r="E277" s="96">
        <v>0.15291666666666667</v>
      </c>
      <c r="F277" s="96">
        <v>0</v>
      </c>
      <c r="G277" s="121">
        <v>0</v>
      </c>
    </row>
    <row r="278" spans="2:7" x14ac:dyDescent="0.25">
      <c r="B278" s="122" t="str">
        <v>Concrete, 40 MPa, in-situ, no reinforcement, CK9439, Special Class (WA Premix) (WA), (Perth)</v>
      </c>
      <c r="C278" t="str">
        <v>m³</v>
      </c>
      <c r="D278" s="96">
        <v>499</v>
      </c>
      <c r="E278" s="96">
        <v>0.20791666666666667</v>
      </c>
      <c r="F278" s="96">
        <v>0</v>
      </c>
      <c r="G278" s="121">
        <v>0</v>
      </c>
    </row>
    <row r="279" spans="2:7" x14ac:dyDescent="0.25">
      <c r="B279" s="122" t="str">
        <v>Concrete, 40 MPa, in-situ, no reinforcement, CC1421, Special Class (WA Premix) (WA), (Perth)</v>
      </c>
      <c r="C279" t="str">
        <v>m³</v>
      </c>
      <c r="D279" s="96">
        <v>485</v>
      </c>
      <c r="E279" s="96">
        <v>0.20208333333333334</v>
      </c>
      <c r="F279" s="96">
        <v>0</v>
      </c>
      <c r="G279" s="121">
        <v>0</v>
      </c>
    </row>
    <row r="280" spans="2:7" x14ac:dyDescent="0.25">
      <c r="B280" s="122" t="str">
        <v>Concrete, 40 MPa, in-situ, no reinforcement, Ready-Mix Concrete (LC)50 (Concrite) (NSW) (Sydney Region, NSW)</v>
      </c>
      <c r="C280" t="str">
        <v>m³</v>
      </c>
      <c r="D280" s="96">
        <v>219</v>
      </c>
      <c r="E280" s="96">
        <v>9.1249999999999998E-2</v>
      </c>
      <c r="F280" s="96">
        <v>0</v>
      </c>
      <c r="G280" s="121">
        <v>0</v>
      </c>
    </row>
    <row r="281" spans="2:7" x14ac:dyDescent="0.25">
      <c r="B281" s="122" t="str">
        <v>Concrete, 40 MPa, in-situ, no reinforcement, Ready-Mix Concrete (LC)40 (Concrite) (NSW) (Sydney Region, NSW)</v>
      </c>
      <c r="C281" t="str">
        <v>m³</v>
      </c>
      <c r="D281" s="96">
        <v>253</v>
      </c>
      <c r="E281" s="96">
        <v>0.10541666666666667</v>
      </c>
      <c r="F281" s="96">
        <v>0</v>
      </c>
      <c r="G281" s="121">
        <v>0</v>
      </c>
    </row>
    <row r="282" spans="2:7" x14ac:dyDescent="0.25">
      <c r="B282" s="122" t="str">
        <v>Concrete, 40 MPa, in-situ, no reinforcement, Ready-Mix Concrete (LC)30 (Concrite) (NSW) (Sydney Region, NSW)</v>
      </c>
      <c r="C282" t="str">
        <v>m³</v>
      </c>
      <c r="D282" s="96">
        <v>326</v>
      </c>
      <c r="E282" s="96">
        <v>0.13583333333333333</v>
      </c>
      <c r="F282" s="96">
        <v>0</v>
      </c>
      <c r="G282" s="121">
        <v>0</v>
      </c>
    </row>
    <row r="283" spans="2:7" x14ac:dyDescent="0.25">
      <c r="B283" s="122" t="str">
        <v>Concrete, 40 MPa, in-situ, no reinforcement, Ready-Mix Concrete (LCHP) (Concrite) (NSW) (Sydney Region, NSW)</v>
      </c>
      <c r="C283" t="str">
        <v>m³</v>
      </c>
      <c r="D283" s="96">
        <v>267</v>
      </c>
      <c r="E283" s="96">
        <v>0.11125</v>
      </c>
      <c r="F283" s="96">
        <v>0</v>
      </c>
      <c r="G283" s="121">
        <v>0</v>
      </c>
    </row>
    <row r="284" spans="2:7" x14ac:dyDescent="0.25">
      <c r="B284" s="122" t="str">
        <v>Concrete, 40 MPa, in-situ, no reinforcement, Ready-Mix Concrete (LCP) (Concrite) (NSW) (Sydney Region, NSW)</v>
      </c>
      <c r="C284" t="str">
        <v>m³</v>
      </c>
      <c r="D284" s="96">
        <v>280</v>
      </c>
      <c r="E284" s="96">
        <v>0.11666666666666667</v>
      </c>
      <c r="F284" s="96">
        <v>0</v>
      </c>
      <c r="G284" s="121">
        <v>0</v>
      </c>
    </row>
    <row r="285" spans="2:7" x14ac:dyDescent="0.25">
      <c r="B285" s="122" t="str">
        <v>Concrete, 40 MPa, in-situ, no reinforcement, Ready-Mix Concrete Normal class GP blend (Concrite) (NSW) (Sydney Region, NSW)</v>
      </c>
      <c r="C285" t="str">
        <v>m³</v>
      </c>
      <c r="D285" s="96">
        <v>341</v>
      </c>
      <c r="E285" s="96">
        <v>0.14208333333333334</v>
      </c>
      <c r="F285" s="96">
        <v>0</v>
      </c>
      <c r="G285" s="121">
        <v>0</v>
      </c>
    </row>
    <row r="286" spans="2:7" x14ac:dyDescent="0.25">
      <c r="B286" s="122" t="str">
        <v>Concrete, 40 MPa, in-situ, no reinforcement, Ready-Mix Concrete POST TENSIONED (Concrite) (NSW) (Sydney Region, NSW)</v>
      </c>
      <c r="C286" t="str">
        <v>m³</v>
      </c>
      <c r="D286" s="96">
        <v>325</v>
      </c>
      <c r="E286" s="96">
        <v>0.13541666666666666</v>
      </c>
      <c r="F286" s="96">
        <v>0</v>
      </c>
      <c r="G286" s="121">
        <v>0</v>
      </c>
    </row>
    <row r="287" spans="2:7" x14ac:dyDescent="0.25">
      <c r="B287" s="122" t="str">
        <v>Concrete, 40 MPa, in-situ, no reinforcement, Ready-Mix Concrete TREMIE 40MPa (Concrite) (NSW) (Sydney Region, NSW)</v>
      </c>
      <c r="C287" t="str">
        <v>m³</v>
      </c>
      <c r="D287" s="96">
        <v>317</v>
      </c>
      <c r="E287" s="96">
        <v>0.13208333333333333</v>
      </c>
      <c r="F287" s="96">
        <v>0</v>
      </c>
      <c r="G287" s="121">
        <v>0</v>
      </c>
    </row>
    <row r="288" spans="2:7" x14ac:dyDescent="0.25">
      <c r="B288" s="122" t="str">
        <v>Concrete, 40 MPa, in-situ, no reinforcement, Ready-Mix Concrete TfNSW B80 20MM PUMP B1 EXPOSURE (Concrite) (NSW) (Sydney Region, NSW)</v>
      </c>
      <c r="C288" t="str">
        <v>m³</v>
      </c>
      <c r="D288" s="96">
        <v>317</v>
      </c>
      <c r="E288" s="96">
        <v>0.13208333333333333</v>
      </c>
      <c r="F288" s="96">
        <v>0</v>
      </c>
      <c r="G288" s="121">
        <v>0</v>
      </c>
    </row>
    <row r="289" spans="2:7" x14ac:dyDescent="0.25">
      <c r="B289" s="122" t="str">
        <v>Concrete, 40 MPa, in-situ, no reinforcement, Ready-Mix Concrete TfNSW B80 20MM PUMP B2 EXPOSURE (Concrite) (NSW) (Sydney Region, NSW)</v>
      </c>
      <c r="C289" t="str">
        <v>m³</v>
      </c>
      <c r="D289" s="96">
        <v>248</v>
      </c>
      <c r="E289" s="96">
        <v>0.10333333333333333</v>
      </c>
      <c r="F289" s="96">
        <v>0</v>
      </c>
      <c r="G289" s="121">
        <v>0</v>
      </c>
    </row>
    <row r="290" spans="2:7" x14ac:dyDescent="0.25">
      <c r="B290" s="122" t="str">
        <v>Concrete, 40 MPa, in-situ, no reinforcement, Ready-Mix Concrete SLAG AGG CONCRETE MIX, (LC)50 (Concrite) (NSW) (Sydney Region, NSW)</v>
      </c>
      <c r="C290" t="str">
        <v>m³</v>
      </c>
      <c r="D290" s="96">
        <v>233</v>
      </c>
      <c r="E290" s="96">
        <v>9.7083333333333327E-2</v>
      </c>
      <c r="F290" s="96">
        <v>0</v>
      </c>
      <c r="G290" s="121">
        <v>0</v>
      </c>
    </row>
    <row r="291" spans="2:7" x14ac:dyDescent="0.25">
      <c r="B291" s="122" t="str">
        <v>Concrete, 40 MPa, in-situ, no reinforcement, Ready-Mix Concrete SLAG AGG CONCRETE MIX, (LC)40 (Concrite) (NSW) (Sydney Region, NSW)</v>
      </c>
      <c r="C291" t="str">
        <v>m³</v>
      </c>
      <c r="D291" s="96">
        <v>262</v>
      </c>
      <c r="E291" s="96">
        <v>0.10916666666666666</v>
      </c>
      <c r="F291" s="96">
        <v>0</v>
      </c>
      <c r="G291" s="121">
        <v>0</v>
      </c>
    </row>
    <row r="292" spans="2:7" x14ac:dyDescent="0.25">
      <c r="B292" s="122" t="str">
        <v>Concrete, 40 MPa, in-situ, no reinforcement, Ready-Mix Concrete SLAG AGG CONCRETE MIX, (LC)30 (Concrite) (NSW) (Sydney Region, NSW)</v>
      </c>
      <c r="C292" t="str">
        <v>m³</v>
      </c>
      <c r="D292" s="96">
        <v>306</v>
      </c>
      <c r="E292" s="96">
        <v>0.1275</v>
      </c>
      <c r="F292" s="96">
        <v>0</v>
      </c>
      <c r="G292" s="121">
        <v>0</v>
      </c>
    </row>
    <row r="293" spans="2:7" x14ac:dyDescent="0.25">
      <c r="B293" s="122" t="str">
        <v>Concrete, 40 MPa, in-situ, no reinforcement, Ready-Mix Concrete (LC)30 40MPa (Concrite) (NSW) (Southern Highlands, NSW)</v>
      </c>
      <c r="C293" t="str">
        <v>m³</v>
      </c>
      <c r="D293" s="96">
        <v>320</v>
      </c>
      <c r="E293" s="96">
        <v>0.13333333333333333</v>
      </c>
      <c r="F293" s="96">
        <v>0</v>
      </c>
      <c r="G293" s="121">
        <v>0</v>
      </c>
    </row>
    <row r="294" spans="2:7" x14ac:dyDescent="0.25">
      <c r="B294" s="122" t="str">
        <v>Concrete, 40 MPa, in-situ, no reinforcement, Ready-Mix Concrete NORMAL CLASS GP BLEND (Concrite) (NSW) (Southern Highlands, NSW)</v>
      </c>
      <c r="C294" t="str">
        <v>m³</v>
      </c>
      <c r="D294" s="96">
        <v>369</v>
      </c>
      <c r="E294" s="96">
        <v>0.15375</v>
      </c>
      <c r="F294" s="96">
        <v>0</v>
      </c>
      <c r="G294" s="121">
        <v>0</v>
      </c>
    </row>
    <row r="295" spans="2:7" x14ac:dyDescent="0.25">
      <c r="B295" s="122" t="str">
        <v>Concrete, 40 MPa, in-situ, no reinforcement, Ready-Mix Concrete POST TENSIONED 40MPa 22@4 (Concrite) (NSW) (Southern Highlands, NSW)</v>
      </c>
      <c r="C295" t="str">
        <v>m³</v>
      </c>
      <c r="D295" s="96">
        <v>371</v>
      </c>
      <c r="E295" s="96">
        <v>0.15458333333333332</v>
      </c>
      <c r="F295" s="96">
        <v>0</v>
      </c>
      <c r="G295" s="121">
        <v>0</v>
      </c>
    </row>
    <row r="296" spans="2:7" x14ac:dyDescent="0.25">
      <c r="B296" s="122" t="str">
        <v>Concrete, 40 MPa, in-situ, no reinforcement, Ready-Mix Concrete LC30 40MPa (Concrite) (ACT) (Canberra, ACT)</v>
      </c>
      <c r="C296" t="str">
        <v>m³</v>
      </c>
      <c r="D296" s="96">
        <v>330</v>
      </c>
      <c r="E296" s="96">
        <v>0.13750000000000001</v>
      </c>
      <c r="F296" s="96">
        <v>0</v>
      </c>
      <c r="G296" s="121">
        <v>0</v>
      </c>
    </row>
    <row r="297" spans="2:7" x14ac:dyDescent="0.25">
      <c r="B297" s="122" t="str">
        <v>Concrete, 40 MPa, in-situ, no reinforcement, Ready-Mix Concrete NORMAL CLASS GP BLEND (Concrite) (ACT) (Canberra, ACT)</v>
      </c>
      <c r="C297" t="str">
        <v>m³</v>
      </c>
      <c r="D297" s="96">
        <v>367</v>
      </c>
      <c r="E297" s="96">
        <v>0.15291666666666667</v>
      </c>
      <c r="F297" s="96">
        <v>0</v>
      </c>
      <c r="G297" s="121">
        <v>0</v>
      </c>
    </row>
    <row r="298" spans="2:7" x14ac:dyDescent="0.25">
      <c r="B298" s="122" t="str">
        <v>Concrete, 40 MPa, in-situ, no reinforcement, Ready-Mix Concrete POST TENSIONED 40MPa 22@5 (Concrite) (ACT) (Canberra, ACT)</v>
      </c>
      <c r="C298" t="str">
        <v>m³</v>
      </c>
      <c r="D298" s="96">
        <v>313</v>
      </c>
      <c r="E298" s="96">
        <v>0.13041666666666665</v>
      </c>
      <c r="F298" s="96">
        <v>0</v>
      </c>
      <c r="G298" s="121">
        <v>0</v>
      </c>
    </row>
    <row r="299" spans="2:7" x14ac:dyDescent="0.25">
      <c r="B299" s="122" t="str">
        <v>Concrete, 40 MPa, in-situ, no reinforcement, Ready-Mix Concrete SHOTCRETE 40MPa 10MM (Concrite) (ACT) (Canberra, ACT)</v>
      </c>
      <c r="C299" t="str">
        <v>m³</v>
      </c>
      <c r="D299" s="96">
        <v>363</v>
      </c>
      <c r="E299" s="96">
        <v>0.15125</v>
      </c>
      <c r="F299" s="96">
        <v>0</v>
      </c>
      <c r="G299" s="121">
        <v>0</v>
      </c>
    </row>
    <row r="300" spans="2:7" x14ac:dyDescent="0.25">
      <c r="B300" s="122" t="str">
        <v>Concrete, 40 MPa, in-situ, no reinforcement, Ready-Mix Concrete TFNSW B80 20MM PUMP B1 EXPOSURE (Concrite) (ACT) (Canberra, ACT)</v>
      </c>
      <c r="C300" t="str">
        <v>m³</v>
      </c>
      <c r="D300" s="96">
        <v>322</v>
      </c>
      <c r="E300" s="96">
        <v>0.13416666666666666</v>
      </c>
      <c r="F300" s="96">
        <v>0</v>
      </c>
      <c r="G300" s="121">
        <v>0</v>
      </c>
    </row>
    <row r="301" spans="2:7" x14ac:dyDescent="0.25">
      <c r="B301" s="122" t="str">
        <v>Concrete, 40 MPa, in-situ, no reinforcement, Ready-Mix Concrete TFNSW B80 20MM TREMIE B2 EXPOSURE (Concrite) (ACT) (Canberra, ACT)</v>
      </c>
      <c r="C301" t="str">
        <v>m³</v>
      </c>
      <c r="D301" s="96">
        <v>366</v>
      </c>
      <c r="E301" s="96">
        <v>0.1525</v>
      </c>
      <c r="F301" s="96">
        <v>0</v>
      </c>
      <c r="G301" s="121">
        <v>0</v>
      </c>
    </row>
    <row r="302" spans="2:7" x14ac:dyDescent="0.25">
      <c r="B302" s="122" t="str">
        <v>Concrete, 40 MPa, in-situ, no reinforcement, (Futurecrete® S40MPA JUMP/ SLIP/COLUMNS 10MM SP) (Adbri) (NSW)</v>
      </c>
      <c r="C302" t="str">
        <v>m³</v>
      </c>
      <c r="D302" s="96">
        <v>324.8886</v>
      </c>
      <c r="E302" s="96">
        <v>0.13537025</v>
      </c>
      <c r="F302" s="96">
        <v>0</v>
      </c>
      <c r="G302" s="121">
        <v>0</v>
      </c>
    </row>
    <row r="303" spans="2:7" x14ac:dyDescent="0.25">
      <c r="B303" s="122" t="str">
        <v>Concrete, 40 MPa, in-situ, no reinforcement, (Futurecrete®  Ultra
N Class Ternary
40 MPa) (Adbri) (NSW)</v>
      </c>
      <c r="C303" t="str">
        <v>m³</v>
      </c>
      <c r="D303" s="96">
        <v>301.24640000000005</v>
      </c>
      <c r="E303" s="96">
        <v>0.12551933333333334</v>
      </c>
      <c r="F303" s="96">
        <v>0</v>
      </c>
      <c r="G303" s="121">
        <v>0</v>
      </c>
    </row>
    <row r="304" spans="2:7" x14ac:dyDescent="0.25">
      <c r="B304" s="122" t="str">
        <v>Concrete, 40 MPa, in-situ, no reinforcement, (Futurecrete®  Ultra S40 10MM RMS B80 B2 HWC) (Adbri) (NSW)</v>
      </c>
      <c r="C304" t="str">
        <v>m³</v>
      </c>
      <c r="D304" s="96">
        <v>283.52600000000001</v>
      </c>
      <c r="E304" s="96">
        <v>0.11813583333333334</v>
      </c>
      <c r="F304" s="96">
        <v>0</v>
      </c>
      <c r="G304" s="121">
        <v>0</v>
      </c>
    </row>
    <row r="305" spans="2:7" x14ac:dyDescent="0.25">
      <c r="B305" s="122" t="str">
        <v>Concrete, 40 MPa, in-situ, no reinforcement, (Futurecrete®
Ultra S40MPA
BLOCKFILL 10MM
230MM SLUMP SP) (Adbri) (NSW)</v>
      </c>
      <c r="C305" t="str">
        <v>m³</v>
      </c>
      <c r="D305" s="96">
        <v>282.86599999999999</v>
      </c>
      <c r="E305" s="96">
        <v>0.11786083333333333</v>
      </c>
      <c r="F305" s="96">
        <v>0</v>
      </c>
      <c r="G305" s="121">
        <v>0</v>
      </c>
    </row>
    <row r="306" spans="2:7" x14ac:dyDescent="0.25">
      <c r="B306" s="122" t="str">
        <v>Concrete, 40 MPa, in-situ, no reinforcement, (Futurecrete®
Ultra S40MPA
BLOCKFILL 10MM) (Adbri) (NSW)</v>
      </c>
      <c r="C306" t="str">
        <v>m³</v>
      </c>
      <c r="D306" s="96">
        <v>280.50560000000002</v>
      </c>
      <c r="E306" s="96">
        <v>0.11687733333333335</v>
      </c>
      <c r="F306" s="96">
        <v>0</v>
      </c>
      <c r="G306" s="121">
        <v>0</v>
      </c>
    </row>
    <row r="307" spans="2:7" x14ac:dyDescent="0.25">
      <c r="B307" s="122" t="str">
        <v>Concrete, 40 MPa, in-situ, no reinforcement, (Futurecrete®  Ultra S40MPA PILE/ TREMIE 10MM SP) (Adbri) (NSW)</v>
      </c>
      <c r="C307" t="str">
        <v>m³</v>
      </c>
      <c r="D307" s="96">
        <v>280.46559999999999</v>
      </c>
      <c r="E307" s="96">
        <v>0.11686066666666667</v>
      </c>
      <c r="F307" s="96">
        <v>0</v>
      </c>
      <c r="G307" s="121">
        <v>0</v>
      </c>
    </row>
    <row r="308" spans="2:7" x14ac:dyDescent="0.25">
      <c r="B308" s="122" t="str">
        <v>Concrete, 40 MPa, in-situ, no reinforcement, (Futurecrete®  Ultra S40MPA 10MM RITEK SYSTEM) (Adbri) (NSW)</v>
      </c>
      <c r="C308" t="str">
        <v>m³</v>
      </c>
      <c r="D308" s="96">
        <v>278.08530000000002</v>
      </c>
      <c r="E308" s="96">
        <v>0.11586887500000001</v>
      </c>
      <c r="F308" s="96">
        <v>0</v>
      </c>
      <c r="G308" s="121">
        <v>0</v>
      </c>
    </row>
    <row r="309" spans="2:7" x14ac:dyDescent="0.25">
      <c r="B309" s="122" t="str">
        <v>Concrete, 40 MPa, in-situ, no reinforcement, (Futurecrete®
Ultra S40MPA
10MM AFS WALL SYSTEM) (Adbri) (NSW)</v>
      </c>
      <c r="C309" t="str">
        <v>m³</v>
      </c>
      <c r="D309" s="96">
        <v>275.73489999999998</v>
      </c>
      <c r="E309" s="96">
        <v>0.11488954166666666</v>
      </c>
      <c r="F309" s="96">
        <v>0</v>
      </c>
      <c r="G309" s="121">
        <v>0</v>
      </c>
    </row>
    <row r="310" spans="2:7" x14ac:dyDescent="0.25">
      <c r="B310" s="122" t="str">
        <v>Concrete, 40 MPa, in-situ, no reinforcement, (Futurecrete®  S Class
GP/GL 40 MPa) (Adbri) (SA)</v>
      </c>
      <c r="C310" t="str">
        <v>m³</v>
      </c>
      <c r="D310" s="96">
        <v>305.81</v>
      </c>
      <c r="E310" s="96">
        <v>0.12742083333333334</v>
      </c>
      <c r="F310" s="96">
        <v>0</v>
      </c>
      <c r="G310" s="121">
        <v>0</v>
      </c>
    </row>
    <row r="311" spans="2:7" x14ac:dyDescent="0.25">
      <c r="B311" s="122" t="str">
        <v>Concrete, 40 MPa, in-situ, no reinforcement, (Adbri N Class
GP/GL 40 MPa) (Adbri) (SA)</v>
      </c>
      <c r="C311" t="str">
        <v>m³</v>
      </c>
      <c r="D311" s="96">
        <v>290.99</v>
      </c>
      <c r="E311" s="96">
        <v>0.12124583333333333</v>
      </c>
      <c r="F311" s="96">
        <v>0</v>
      </c>
      <c r="G311" s="121">
        <v>0</v>
      </c>
    </row>
    <row r="312" spans="2:7" x14ac:dyDescent="0.25">
      <c r="B312" s="122" t="str">
        <v>Concrete, 35 MPa, in-situ, no reinforcement, (Futurecrete® S35MPA S CLASS 20MM R83 HAND PLACE) (Adbri) (NSW)</v>
      </c>
      <c r="C312" t="str">
        <v>m³</v>
      </c>
      <c r="D312" s="96">
        <v>279.3202</v>
      </c>
      <c r="E312" s="96">
        <v>0.11638341666666667</v>
      </c>
      <c r="F312" s="96">
        <v>0</v>
      </c>
      <c r="G312" s="121">
        <v>0</v>
      </c>
    </row>
    <row r="313" spans="2:7" x14ac:dyDescent="0.25">
      <c r="B313" s="122" t="str">
        <v>Concrete, 40 MPa, in-situ, no reinforcement, (R4020B)(GB) (BCG) (WA), (Perth)</v>
      </c>
      <c r="C313" t="str">
        <v>m³</v>
      </c>
      <c r="D313" s="96">
        <v>321.8</v>
      </c>
      <c r="E313" s="96">
        <v>0.13408333333333333</v>
      </c>
      <c r="F313" s="96">
        <v>0</v>
      </c>
      <c r="G313" s="121">
        <v>0</v>
      </c>
    </row>
    <row r="314" spans="2:7" x14ac:dyDescent="0.25">
      <c r="B314" s="122" t="str">
        <v>Concrete, 40 MPa, in-situ, no reinforcement, (Futurecrete®  Special
GP/GL:Slag 40 MPa
4D 85/60) (Adbri) (SA)</v>
      </c>
      <c r="C314" t="str">
        <v>m³</v>
      </c>
      <c r="D314" s="96">
        <v>227.06</v>
      </c>
      <c r="E314" s="96">
        <v>9.4608333333333336E-2</v>
      </c>
      <c r="F314" s="96">
        <v>0</v>
      </c>
      <c r="G314" s="121">
        <v>0</v>
      </c>
    </row>
    <row r="315" spans="2:7" x14ac:dyDescent="0.25">
      <c r="B315" s="122" t="str">
        <v>Concrete, 40 MPa, in-situ, no reinforcement, (QE407LSPR) (Ecopact) (Holcim) (QLD), Gold Coast</v>
      </c>
      <c r="C315" t="str">
        <v>m³</v>
      </c>
      <c r="D315" s="96">
        <v>295.67</v>
      </c>
      <c r="E315" s="96">
        <v>0.12319583333333332</v>
      </c>
      <c r="F315" s="96">
        <v>0</v>
      </c>
      <c r="G315" s="121">
        <v>0</v>
      </c>
    </row>
    <row r="316" spans="2:7" x14ac:dyDescent="0.25">
      <c r="B316" s="122" t="str">
        <v>Concrete, 40 MPa, in-situ, no reinforcement, (R4020A)(GP) (BCG) (WA), (Perth)</v>
      </c>
      <c r="C316" t="str">
        <v>m³</v>
      </c>
      <c r="D316" s="96">
        <v>432.5</v>
      </c>
      <c r="E316" s="96">
        <v>0.18020833333333333</v>
      </c>
      <c r="F316" s="96">
        <v>0</v>
      </c>
      <c r="G316" s="121">
        <v>0</v>
      </c>
    </row>
    <row r="317" spans="2:7" x14ac:dyDescent="0.25">
      <c r="B317" s="122" t="str">
        <v>Concrete, 40 MPa, in-situ, no reinforcement, (WE404EQ01)(Ecopact) (Holcim) (WA), (Perth Metro)</v>
      </c>
      <c r="C317" t="str">
        <v>m³</v>
      </c>
      <c r="D317" s="96">
        <v>225.73</v>
      </c>
      <c r="E317" s="96">
        <v>9.4054166666666661E-2</v>
      </c>
      <c r="F317" s="96">
        <v>0</v>
      </c>
      <c r="G317" s="121">
        <v>0</v>
      </c>
    </row>
    <row r="318" spans="2:7" x14ac:dyDescent="0.25">
      <c r="B318" s="122" t="str">
        <v>Concrete, 40 MPa, in-situ, no reinforcement, (TR4010E1)(LH) (BCG) (WA), (Perth)</v>
      </c>
      <c r="C318" t="str">
        <v>m³</v>
      </c>
      <c r="D318" s="96">
        <v>243.66</v>
      </c>
      <c r="E318" s="96">
        <v>0.101525</v>
      </c>
      <c r="F318" s="96">
        <v>0</v>
      </c>
      <c r="G318" s="121">
        <v>0</v>
      </c>
    </row>
    <row r="319" spans="2:7" x14ac:dyDescent="0.25">
      <c r="B319" s="122" t="str">
        <v>Concrete, 40 MPa, in-situ, no reinforcement, (Adbri Concrete N Class GP:GL 40 MPa- Winnellie) (Adbri) (NT)</v>
      </c>
      <c r="C319" t="str">
        <v>m³</v>
      </c>
      <c r="D319" s="96">
        <v>403.25599999999997</v>
      </c>
      <c r="E319" s="96">
        <v>0.16802333333333333</v>
      </c>
      <c r="F319" s="96">
        <v>0</v>
      </c>
      <c r="G319" s="121">
        <v>0</v>
      </c>
    </row>
    <row r="320" spans="2:7" x14ac:dyDescent="0.25">
      <c r="B320" s="122" t="str">
        <v>Concrete, 40 MPa, in-situ, no reinforcement, (VE402EF2) (Ecopact) (Holcim) (VIC)</v>
      </c>
      <c r="C320" t="str">
        <v>m³</v>
      </c>
      <c r="D320" s="96">
        <v>286.45999999999998</v>
      </c>
      <c r="E320" s="96">
        <v>0.11935833333333334</v>
      </c>
      <c r="F320" s="96">
        <v>0</v>
      </c>
      <c r="G320" s="121">
        <v>0</v>
      </c>
    </row>
    <row r="321" spans="2:7" x14ac:dyDescent="0.25">
      <c r="B321" s="122" t="str">
        <v>Concrete, 40 MPa, in-situ, no reinforcement, (QE402EBF1) (Ecopact) (Holcim) (QLD) (Brisbane)</v>
      </c>
      <c r="C321" t="str">
        <v>m³</v>
      </c>
      <c r="D321" s="96">
        <v>333.34</v>
      </c>
      <c r="E321" s="96">
        <v>0.13889166666666669</v>
      </c>
      <c r="F321" s="96">
        <v>0</v>
      </c>
      <c r="G321" s="121">
        <v>0</v>
      </c>
    </row>
    <row r="322" spans="2:7" x14ac:dyDescent="0.25">
      <c r="B322" s="122" t="str">
        <v>Concrete, 40 MPa, in-situ, no reinforcement, (SE401EAV6) (Ecopact) (Holcim) (SA) (Adelaide)</v>
      </c>
      <c r="C322" t="str">
        <v>m³</v>
      </c>
      <c r="D322" s="96">
        <v>294.37</v>
      </c>
      <c r="E322" s="96">
        <v>0.12265416666666666</v>
      </c>
      <c r="F322" s="96">
        <v>0</v>
      </c>
      <c r="G322" s="121">
        <v>0</v>
      </c>
    </row>
    <row r="323" spans="2:7" x14ac:dyDescent="0.25">
      <c r="B323" s="122" t="str">
        <v>Concrete, 40 MPa, in-situ, no reinforcement, (CS4020A9)(GP) (BCG) (WA), (Perth)</v>
      </c>
      <c r="C323" t="str">
        <v>m³</v>
      </c>
      <c r="D323" s="96">
        <v>465.94</v>
      </c>
      <c r="E323" s="96">
        <v>0.19414166666666668</v>
      </c>
      <c r="F323" s="96">
        <v>0</v>
      </c>
      <c r="G323" s="121">
        <v>0</v>
      </c>
    </row>
    <row r="324" spans="2:7" x14ac:dyDescent="0.25">
      <c r="B324" s="122" t="str">
        <v>Concrete, 40 MPa, in-situ, no reinforcement, (VE401EAP) (Ecopact) (Holcim) (VIC)</v>
      </c>
      <c r="C324" t="str">
        <v>m³</v>
      </c>
      <c r="D324" s="96">
        <v>293.32</v>
      </c>
      <c r="E324" s="96">
        <v>0.12221666666666667</v>
      </c>
      <c r="F324" s="96">
        <v>0</v>
      </c>
      <c r="G324" s="121">
        <v>0</v>
      </c>
    </row>
    <row r="325" spans="2:7" x14ac:dyDescent="0.25">
      <c r="B325" s="122" t="str">
        <v>Concrete, 40 MPa, in-situ, no reinforcement, (40MPa 7MM BLOCKMIX) (Adbri) (QLD)</v>
      </c>
      <c r="C325" t="str">
        <v>m³</v>
      </c>
      <c r="D325" s="96">
        <v>292.31799999999998</v>
      </c>
      <c r="E325" s="96">
        <v>0.12179916666666667</v>
      </c>
      <c r="F325" s="96">
        <v>0</v>
      </c>
      <c r="G325" s="121">
        <v>0</v>
      </c>
    </row>
    <row r="326" spans="2:7" x14ac:dyDescent="0.25">
      <c r="B326" s="122" t="str">
        <v>Concrete, 40 MPa, in-situ, no reinforcement, (CS4020BGS)(B) (BCG) (WA), (Perth)</v>
      </c>
      <c r="C326" t="str">
        <v>m³</v>
      </c>
      <c r="D326" s="96">
        <v>288.27999999999997</v>
      </c>
      <c r="E326" s="96">
        <v>0.12011666666666666</v>
      </c>
      <c r="F326" s="96">
        <v>0</v>
      </c>
      <c r="G326" s="121">
        <v>0</v>
      </c>
    </row>
    <row r="327" spans="2:7" x14ac:dyDescent="0.25">
      <c r="B327" s="122" t="str">
        <v>Concrete, 40 MPa, in-situ, no reinforcement, (SE401E3) (Ecopact) (Holcim) (SA) (Adelaide)</v>
      </c>
      <c r="C327" t="str">
        <v>m³</v>
      </c>
      <c r="D327" s="96">
        <v>271.31</v>
      </c>
      <c r="E327" s="96">
        <v>0.11304583333333333</v>
      </c>
      <c r="F327" s="96">
        <v>0</v>
      </c>
      <c r="G327" s="121">
        <v>0</v>
      </c>
    </row>
    <row r="328" spans="2:7" x14ac:dyDescent="0.25">
      <c r="B328" s="122" t="str">
        <v>Concrete, 40 MPa, in-situ, no reinforcement, (SE402E3) (Ecopact) (Holcim) (SA) (Adelaide)</v>
      </c>
      <c r="C328" t="str">
        <v>m³</v>
      </c>
      <c r="D328" s="96">
        <v>264.31</v>
      </c>
      <c r="E328" s="96">
        <v>0.11012916666666667</v>
      </c>
      <c r="F328" s="96">
        <v>0</v>
      </c>
      <c r="G328" s="121">
        <v>0</v>
      </c>
    </row>
    <row r="329" spans="2:7" x14ac:dyDescent="0.25">
      <c r="B329" s="122" t="str">
        <v>Concrete, 40 MPa, in-situ, no reinforcement, (QE402EBR2) (Ecopact) (Holcim) (QLD) (Brisbane)</v>
      </c>
      <c r="C329" t="str">
        <v>m³</v>
      </c>
      <c r="D329" s="96">
        <v>303.2</v>
      </c>
      <c r="E329" s="96">
        <v>0.12633333333333333</v>
      </c>
      <c r="F329" s="96">
        <v>0</v>
      </c>
      <c r="G329" s="121">
        <v>0</v>
      </c>
    </row>
    <row r="330" spans="2:7" x14ac:dyDescent="0.25">
      <c r="B330" s="122" t="str">
        <v>Concrete, 40 MPa, in-situ, no reinforcement, (QE402EBR1) (Ecopact) (Holcim) (QLD) (Brisbane)</v>
      </c>
      <c r="C330" t="str">
        <v>m³</v>
      </c>
      <c r="D330" s="96">
        <v>296.19</v>
      </c>
      <c r="E330" s="96">
        <v>0.12341250000000001</v>
      </c>
      <c r="F330" s="96">
        <v>0</v>
      </c>
      <c r="G330" s="121">
        <v>0</v>
      </c>
    </row>
    <row r="331" spans="2:7" x14ac:dyDescent="0.25">
      <c r="B331" s="122" t="str">
        <v>Concrete, 40 MPa, in-situ, no reinforcement, (QE402EXT1) (Ecopact) (Holcim) (QLD) (Brisbane)</v>
      </c>
      <c r="C331" t="str">
        <v>m³</v>
      </c>
      <c r="D331" s="96">
        <v>296.19</v>
      </c>
      <c r="E331" s="96">
        <v>0.12341250000000001</v>
      </c>
      <c r="F331" s="96">
        <v>0</v>
      </c>
      <c r="G331" s="121">
        <v>0</v>
      </c>
    </row>
    <row r="332" spans="2:7" x14ac:dyDescent="0.25">
      <c r="B332" s="122" t="str">
        <v>Concrete, 40 MPa, in-situ, no reinforcement, (QE402LPN2) (Ecopact) (Holcim) (QLD) (Brisbane)</v>
      </c>
      <c r="C332" t="str">
        <v>m³</v>
      </c>
      <c r="D332" s="96">
        <v>289.18</v>
      </c>
      <c r="E332" s="96">
        <v>0.12049166666666668</v>
      </c>
      <c r="F332" s="96">
        <v>0</v>
      </c>
      <c r="G332" s="121">
        <v>0</v>
      </c>
    </row>
    <row r="333" spans="2:7" x14ac:dyDescent="0.25">
      <c r="B333" s="122" t="str">
        <v>Concrete, 40 MPa, in-situ, no reinforcement, (VE402EVR2) (Ecopact) (Holcim) (VIC)</v>
      </c>
      <c r="C333" t="str">
        <v>m³</v>
      </c>
      <c r="D333" s="96">
        <v>247.27</v>
      </c>
      <c r="E333" s="96">
        <v>0.10302916666666667</v>
      </c>
      <c r="F333" s="96">
        <v>0</v>
      </c>
      <c r="G333" s="121">
        <v>0</v>
      </c>
    </row>
    <row r="334" spans="2:7" x14ac:dyDescent="0.25">
      <c r="B334" s="122" t="str">
        <v>Concrete, 40 MPa, in-situ, no reinforcement, (Futurecrete®  N Class
GP/GL:Slag 40 MPa) (Adbri) (VIC)</v>
      </c>
      <c r="C334" t="str">
        <v>m³</v>
      </c>
      <c r="D334" s="96">
        <v>253.19</v>
      </c>
      <c r="E334" s="96">
        <v>0.10549583333333334</v>
      </c>
      <c r="F334" s="96">
        <v>0</v>
      </c>
      <c r="G334" s="121">
        <v>0</v>
      </c>
    </row>
    <row r="335" spans="2:7" x14ac:dyDescent="0.25">
      <c r="B335" s="122" t="str">
        <v>Concrete, 40 MPa, in-situ, no reinforcement, (QE401E100)(Ecopact) (Holcim) (QLD) (Sunshine Coast)</v>
      </c>
      <c r="C335" t="str">
        <v>m³</v>
      </c>
      <c r="D335" s="96">
        <v>225.25</v>
      </c>
      <c r="E335" s="96">
        <v>9.3854166666666669E-2</v>
      </c>
      <c r="F335" s="96">
        <v>0</v>
      </c>
      <c r="G335" s="121">
        <v>0</v>
      </c>
    </row>
    <row r="336" spans="2:7" x14ac:dyDescent="0.25">
      <c r="B336" s="122" t="str">
        <v>Concrete, 40 MPa, in-situ, no reinforcement, (QE402E)(Ecopact) (Holcim) (QLD) (Sunshine Coast)</v>
      </c>
      <c r="C336" t="str">
        <v>m³</v>
      </c>
      <c r="D336" s="96">
        <v>215.23</v>
      </c>
      <c r="E336" s="96">
        <v>8.9679166666666671E-2</v>
      </c>
      <c r="F336" s="96">
        <v>0</v>
      </c>
      <c r="G336" s="121">
        <v>0</v>
      </c>
    </row>
    <row r="337" spans="2:7" x14ac:dyDescent="0.25">
      <c r="B337" s="122" t="str">
        <v>Concrete, 40 MPa, in-situ, no reinforcement,Pronto (EPT4035) (Barro Group) (VIC)</v>
      </c>
      <c r="C337" t="str">
        <v>m³</v>
      </c>
      <c r="D337" s="96">
        <v>244.083</v>
      </c>
      <c r="E337" s="96">
        <v>0.10170125000000001</v>
      </c>
      <c r="F337" s="96">
        <v>0</v>
      </c>
      <c r="G337" s="121">
        <v>0</v>
      </c>
    </row>
    <row r="338" spans="2:7" x14ac:dyDescent="0.25">
      <c r="B338" s="122" t="str">
        <v>Concrete, 40 MPa, in-situ, no reinforcement, (Futurecrete®  Ultra
N Class GP/GL:Slag
40 MPa) (Adbri) (VIC)</v>
      </c>
      <c r="C338" t="str">
        <v>m³</v>
      </c>
      <c r="D338" s="96">
        <v>210.19</v>
      </c>
      <c r="E338" s="96">
        <v>8.7579166666666666E-2</v>
      </c>
      <c r="F338" s="96">
        <v>0</v>
      </c>
      <c r="G338" s="121">
        <v>0</v>
      </c>
    </row>
    <row r="339" spans="2:7" x14ac:dyDescent="0.25">
      <c r="B339" s="122" t="str">
        <v>Concrete, 40 MPa, in-situ, no reinforcement, (NE401E5)(Ecopact) (Holcim) (NSW), (Sydney)</v>
      </c>
      <c r="C339" t="str">
        <v>m³</v>
      </c>
      <c r="D339" s="96">
        <v>202.17</v>
      </c>
      <c r="E339" s="96">
        <v>8.4237500000000007E-2</v>
      </c>
      <c r="F339" s="96">
        <v>0</v>
      </c>
      <c r="G339" s="121">
        <v>0</v>
      </c>
    </row>
    <row r="340" spans="2:7" x14ac:dyDescent="0.25">
      <c r="B340" s="122" t="str">
        <v>Concrete, 40 MPa, in-situ, no reinforcement,Pronto (EPT4050) (Barro Group) (VIC)</v>
      </c>
      <c r="C340" t="str">
        <v>m³</v>
      </c>
      <c r="D340" s="96">
        <v>214.114</v>
      </c>
      <c r="E340" s="96">
        <v>8.9214166666666678E-2</v>
      </c>
      <c r="F340" s="96">
        <v>0</v>
      </c>
      <c r="G340" s="121">
        <v>0</v>
      </c>
    </row>
  </sheetData>
  <dataValidations count="1">
    <dataValidation type="list" allowBlank="1" showInputMessage="1" showErrorMessage="1" sqref="B6:B8" xr:uid="{636A1DC9-2250-415E-BACA-2BC8B58EE3B3}">
      <formula1>"Tier 1,Tier 2,Tier 3,Tier 4"</formula1>
    </dataValidation>
  </dataValidation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7415BE-8EF0-41E0-BE0F-C674E8888A10}">
  <sheetPr codeName="Sheet9">
    <tabColor rgb="FF00CCFF"/>
  </sheetPr>
  <dimension ref="A1:G239"/>
  <sheetViews>
    <sheetView showGridLines="0" zoomScale="80" zoomScaleNormal="80" workbookViewId="0"/>
  </sheetViews>
  <sheetFormatPr defaultRowHeight="13.2" x14ac:dyDescent="0.25"/>
  <cols>
    <col min="1" max="1" width="26.109375" customWidth="1"/>
    <col min="2" max="2" width="78.88671875" customWidth="1"/>
    <col min="3" max="3" width="21" customWidth="1"/>
    <col min="4" max="6" width="19.88671875" style="96" customWidth="1"/>
    <col min="7" max="7" width="23.5546875" style="96" customWidth="1"/>
  </cols>
  <sheetData>
    <row r="1" spans="1:7" x14ac:dyDescent="0.25">
      <c r="A1" s="4" t="str" cm="1">
        <f t="array" aca="1" ref="A1" ca="1">MID(CELL("filename",A1),FIND("]",CELL("filename",A1))+1,255)</f>
        <v>Concrete_50MPa</v>
      </c>
    </row>
    <row r="2" spans="1:7" x14ac:dyDescent="0.25">
      <c r="A2" s="4"/>
    </row>
    <row r="3" spans="1:7" x14ac:dyDescent="0.25">
      <c r="A3" s="4" t="s">
        <v>4048</v>
      </c>
      <c r="B3" t="s">
        <v>4073</v>
      </c>
    </row>
    <row r="4" spans="1:7" x14ac:dyDescent="0.25">
      <c r="A4" s="4"/>
    </row>
    <row r="5" spans="1:7" ht="73.5" customHeight="1" x14ac:dyDescent="0.25">
      <c r="A5" s="26" t="s">
        <v>4050</v>
      </c>
      <c r="B5" s="14" t="s">
        <v>4074</v>
      </c>
    </row>
    <row r="6" spans="1:7" x14ac:dyDescent="0.25">
      <c r="A6" s="26" t="s">
        <v>4052</v>
      </c>
      <c r="B6" s="27" t="s">
        <v>68</v>
      </c>
    </row>
    <row r="7" spans="1:7" x14ac:dyDescent="0.25">
      <c r="A7" s="26" t="s">
        <v>4053</v>
      </c>
      <c r="B7" s="27" t="s">
        <v>68</v>
      </c>
    </row>
    <row r="8" spans="1:7" x14ac:dyDescent="0.25">
      <c r="A8" s="26" t="s">
        <v>4054</v>
      </c>
      <c r="B8" s="27" t="s">
        <v>68</v>
      </c>
    </row>
    <row r="9" spans="1:7" x14ac:dyDescent="0.25">
      <c r="A9" s="26" t="s">
        <v>4055</v>
      </c>
      <c r="B9" s="4" t="s">
        <v>68</v>
      </c>
    </row>
    <row r="10" spans="1:7" x14ac:dyDescent="0.25">
      <c r="A10" s="26"/>
      <c r="B10" s="4"/>
    </row>
    <row r="11" spans="1:7" x14ac:dyDescent="0.25">
      <c r="A11" s="26" t="s">
        <v>4056</v>
      </c>
      <c r="B11" t="s">
        <v>4070</v>
      </c>
    </row>
    <row r="12" spans="1:7" x14ac:dyDescent="0.25">
      <c r="A12" s="101"/>
    </row>
    <row r="13" spans="1:7" x14ac:dyDescent="0.25">
      <c r="A13" s="101"/>
    </row>
    <row r="14" spans="1:7" x14ac:dyDescent="0.25">
      <c r="A14" s="26" t="s">
        <v>4057</v>
      </c>
    </row>
    <row r="15" spans="1:7" x14ac:dyDescent="0.25">
      <c r="A15" s="26"/>
      <c r="D15" s="112" t="s">
        <v>4058</v>
      </c>
      <c r="E15" s="113"/>
      <c r="F15" s="114" t="s">
        <v>4059</v>
      </c>
      <c r="G15" s="113"/>
    </row>
    <row r="16" spans="1:7" ht="39.6" x14ac:dyDescent="0.25">
      <c r="B16" s="28" t="s">
        <v>617</v>
      </c>
      <c r="C16" s="23" t="s">
        <v>23</v>
      </c>
      <c r="D16" s="24" t="s">
        <v>141</v>
      </c>
      <c r="E16" s="25" t="s">
        <v>148</v>
      </c>
      <c r="F16" s="24" t="s">
        <v>142</v>
      </c>
      <c r="G16" s="24" t="s">
        <v>149</v>
      </c>
    </row>
    <row r="17" spans="2:7" x14ac:dyDescent="0.25">
      <c r="B17" s="29"/>
      <c r="C17" s="30" t="s">
        <v>4060</v>
      </c>
      <c r="D17" s="118" t="str" cm="1">
        <f t="array" ref="D17">IF(AND(_xlfn.ANCHORARRAY(C23)=C23),C23,"Mixed")</f>
        <v>m³</v>
      </c>
      <c r="E17" s="118" t="s">
        <v>219</v>
      </c>
      <c r="F17" s="118" t="str" cm="1">
        <f t="array" ref="F17">IF(AND(_xlfn.ANCHORARRAY(C23)=C23),C23,"Mixed")</f>
        <v>m³</v>
      </c>
      <c r="G17" s="119" t="s">
        <v>219</v>
      </c>
    </row>
    <row r="18" spans="2:7" s="14" customFormat="1" x14ac:dyDescent="0.25">
      <c r="B18" s="31"/>
      <c r="C18" s="4" t="s">
        <v>4061</v>
      </c>
      <c r="D18" s="96">
        <f>MAX(_xlfn.ANCHORARRAY(D23))</f>
        <v>609.23299999999995</v>
      </c>
      <c r="E18" s="96">
        <f t="shared" ref="E18:G18" si="0">MAX(_xlfn.ANCHORARRAY(E23))</f>
        <v>0.25384708333333333</v>
      </c>
      <c r="F18" s="96">
        <f t="shared" si="0"/>
        <v>0</v>
      </c>
      <c r="G18" s="121">
        <f t="shared" si="0"/>
        <v>0</v>
      </c>
    </row>
    <row r="19" spans="2:7" x14ac:dyDescent="0.25">
      <c r="B19" s="122"/>
      <c r="C19" s="4" t="s">
        <v>4062</v>
      </c>
      <c r="D19" s="96">
        <f>MIN(_xlfn.ANCHORARRAY(D23))</f>
        <v>101</v>
      </c>
      <c r="E19" s="96">
        <f t="shared" ref="E19:G19" si="1">MIN(_xlfn.ANCHORARRAY(E23))</f>
        <v>4.2083333333333334E-2</v>
      </c>
      <c r="F19" s="96">
        <f t="shared" si="1"/>
        <v>0</v>
      </c>
      <c r="G19" s="121">
        <f t="shared" si="1"/>
        <v>0</v>
      </c>
    </row>
    <row r="20" spans="2:7" x14ac:dyDescent="0.25">
      <c r="B20" s="122"/>
      <c r="C20" s="4" t="s">
        <v>4063</v>
      </c>
      <c r="D20" s="96">
        <f>AVERAGE(_xlfn.ANCHORARRAY(D23))</f>
        <v>356.96685004608298</v>
      </c>
      <c r="E20" s="96">
        <f t="shared" ref="E20:G20" si="2">AVERAGE(_xlfn.ANCHORARRAY(E23))</f>
        <v>0.14873618751920123</v>
      </c>
      <c r="F20" s="96">
        <f t="shared" si="2"/>
        <v>0</v>
      </c>
      <c r="G20" s="121">
        <f t="shared" si="2"/>
        <v>0</v>
      </c>
    </row>
    <row r="21" spans="2:7" x14ac:dyDescent="0.25">
      <c r="B21" s="122"/>
      <c r="C21" s="4"/>
      <c r="G21" s="121"/>
    </row>
    <row r="22" spans="2:7" x14ac:dyDescent="0.25">
      <c r="B22" s="32" t="s">
        <v>4064</v>
      </c>
      <c r="D22"/>
      <c r="E22"/>
      <c r="F22"/>
      <c r="G22" s="124"/>
    </row>
    <row r="23" spans="2:7" x14ac:dyDescent="0.25">
      <c r="B23" s="129" t="str" cm="1">
        <f t="array" ref="B23:B239">_xlfn.UNIQUE(_xlfn._xlws.FILTER('EPD List'!D:D,ISNUMBER(SEARCH(B16,'EPD List'!C:C)),0))</f>
        <v>Concrete, 50 MPa, in-situ, no reinforcement, (R5020B)(GB) (BCG) (WA), (Perth)</v>
      </c>
      <c r="C23" s="67" t="str" cm="1">
        <f t="array" ref="C23:C239">_xlfn.IFNA(INDEX('EPD List'!$A:$AB,MATCH(_xlfn.ANCHORARRAY(B23),'EPD List'!$D:$D,0),MATCH(C$16,'EPD List'!$7:$7,0)),"")</f>
        <v>m³</v>
      </c>
      <c r="D23" s="118" cm="1">
        <f t="array" ref="D23:D239">_xlfn.IFNA(VALUE((INDEX('EPD List'!$A:$AD,MATCH(_xlfn.ANCHORARRAY($B23),'EPD List'!$D:$D,0),MATCH(D$16,'EPD List'!$7:$7,0)))),"")</f>
        <v>386.63</v>
      </c>
      <c r="E23" s="118" cm="1">
        <f t="array" ref="E23:E239">_xlfn.IFNA(VALUE((INDEX('EPD List'!$A:$AD,MATCH(_xlfn.ANCHORARRAY($B23),'EPD List'!$D:$D,0),MATCH(E$16,'EPD List'!$7:$7,0)))),"")</f>
        <v>0.16109583333333335</v>
      </c>
      <c r="F23" s="118" cm="1">
        <f t="array" ref="F23:F239">_xlfn.IFNA(VALUE((INDEX('EPD List'!$A:$AD,MATCH(_xlfn.ANCHORARRAY($B23),'EPD List'!$D:$D,0),MATCH(F$16,'EPD List'!$7:$7,0)))),"")</f>
        <v>0</v>
      </c>
      <c r="G23" s="119" cm="1">
        <f t="array" ref="G23:G239">_xlfn.IFNA(VALUE((INDEX('EPD List'!$A:$AD,MATCH(_xlfn.ANCHORARRAY($B23),'EPD List'!$D:$D,0),MATCH(G$16,'EPD List'!$7:$7,0)))),"")</f>
        <v>0</v>
      </c>
    </row>
    <row r="24" spans="2:7" x14ac:dyDescent="0.25">
      <c r="B24" s="122" t="str">
        <v>Concrete, 50 MPa, in-situ, no reinforcement, (VE501EVMW) (Ecopact) (Holcim) (VIC)</v>
      </c>
      <c r="C24" t="str">
        <v>m³</v>
      </c>
      <c r="D24" s="96">
        <v>272.38</v>
      </c>
      <c r="E24" s="96">
        <v>0.11349166666666666</v>
      </c>
      <c r="F24" s="96">
        <v>0</v>
      </c>
      <c r="G24" s="121">
        <v>0</v>
      </c>
    </row>
    <row r="25" spans="2:7" x14ac:dyDescent="0.25">
      <c r="B25" s="122" t="str">
        <v>Concrete, 50 MPa, in-situ, no reinforcement, (SE502E56) (Ecopact) (Holcim) (SA) (Adelaide)</v>
      </c>
      <c r="C25" t="str">
        <v>m³</v>
      </c>
      <c r="D25" s="96">
        <v>328.38</v>
      </c>
      <c r="E25" s="96">
        <v>0.136825</v>
      </c>
      <c r="F25" s="96">
        <v>0</v>
      </c>
      <c r="G25" s="121">
        <v>0</v>
      </c>
    </row>
    <row r="26" spans="2:7" x14ac:dyDescent="0.25">
      <c r="B26" s="122" t="str">
        <v>Concrete, 50 MPa, in-situ, no reinforcement, (SE501EAV) (Ecopact) (Holcim) (SA) (Adelaide)</v>
      </c>
      <c r="C26" t="str">
        <v>m³</v>
      </c>
      <c r="D26" s="96">
        <v>330.38</v>
      </c>
      <c r="E26" s="96">
        <v>0.13765833333333335</v>
      </c>
      <c r="F26" s="96">
        <v>0</v>
      </c>
      <c r="G26" s="121">
        <v>0</v>
      </c>
    </row>
    <row r="27" spans="2:7" x14ac:dyDescent="0.25">
      <c r="B27" s="122" t="str">
        <v>Concrete, 50 MPa, in-situ, no reinforcement, (SE501E3) (Ecopact) (Holcim) (SA) (Adelaide)</v>
      </c>
      <c r="C27" t="str">
        <v>m³</v>
      </c>
      <c r="D27" s="96">
        <v>312.33999999999997</v>
      </c>
      <c r="E27" s="96">
        <v>0.13014166666666668</v>
      </c>
      <c r="F27" s="96">
        <v>0</v>
      </c>
      <c r="G27" s="121">
        <v>0</v>
      </c>
    </row>
    <row r="28" spans="2:7" x14ac:dyDescent="0.25">
      <c r="B28" s="122" t="str">
        <v>Concrete, 50 MPa, in-situ, no reinforcement, (SE501E5) (Ecopact) (Holcim) (SA) (Adelaide)</v>
      </c>
      <c r="C28" t="str">
        <v>m³</v>
      </c>
      <c r="D28" s="96">
        <v>313.33999999999997</v>
      </c>
      <c r="E28" s="96">
        <v>0.13055833333333333</v>
      </c>
      <c r="F28" s="96">
        <v>0</v>
      </c>
      <c r="G28" s="121">
        <v>0</v>
      </c>
    </row>
    <row r="29" spans="2:7" x14ac:dyDescent="0.25">
      <c r="B29" s="122" t="str">
        <v>Concrete, 50 MPa, in-situ, no reinforcement, (SE502E2) (Ecopact) (Holcim) (SA) (Adelaide)</v>
      </c>
      <c r="C29" t="str">
        <v>m³</v>
      </c>
      <c r="D29" s="96">
        <v>304.33</v>
      </c>
      <c r="E29" s="96">
        <v>0.12680416666666669</v>
      </c>
      <c r="F29" s="96">
        <v>0</v>
      </c>
      <c r="G29" s="121">
        <v>0</v>
      </c>
    </row>
    <row r="30" spans="2:7" x14ac:dyDescent="0.25">
      <c r="B30" s="122" t="str">
        <v>Concrete, 50 MPa, in-situ, no reinforcement, (SE501EDTW) (Ecopact) (Holcim) (SA) (Adelaide)</v>
      </c>
      <c r="C30" t="str">
        <v>m³</v>
      </c>
      <c r="D30" s="96">
        <v>388.42</v>
      </c>
      <c r="E30" s="96">
        <v>0.16184166666666666</v>
      </c>
      <c r="F30" s="96">
        <v>0</v>
      </c>
      <c r="G30" s="121">
        <v>0</v>
      </c>
    </row>
    <row r="31" spans="2:7" x14ac:dyDescent="0.25">
      <c r="B31" s="122" t="str">
        <v>Concrete, 50 MPa, in-situ, no reinforcement, (SE502E3) (Ecopact) (Holcim) (SA) (Adelaide)</v>
      </c>
      <c r="C31" t="str">
        <v>m³</v>
      </c>
      <c r="D31" s="96">
        <v>305.33</v>
      </c>
      <c r="E31" s="96">
        <v>0.12722083333333334</v>
      </c>
      <c r="F31" s="96">
        <v>0</v>
      </c>
      <c r="G31" s="121">
        <v>0</v>
      </c>
    </row>
    <row r="32" spans="2:7" x14ac:dyDescent="0.25">
      <c r="B32" s="122" t="str">
        <v>Concrete, 50 MPa, in-situ, no reinforcement, (50MPa 7MM BLOCKMIX) (Adbri) (QLD)</v>
      </c>
      <c r="C32" t="str">
        <v>m³</v>
      </c>
      <c r="D32" s="96">
        <v>336.36</v>
      </c>
      <c r="E32" s="96">
        <v>0.14015000000000002</v>
      </c>
      <c r="F32" s="96">
        <v>0</v>
      </c>
      <c r="G32" s="121">
        <v>0</v>
      </c>
    </row>
    <row r="33" spans="2:7" x14ac:dyDescent="0.25">
      <c r="B33" s="122" t="str">
        <v>Concrete, 50 MPa, in-situ, no reinforcement, (VE501E56) (Ecopact) (Holcim) (VIC)</v>
      </c>
      <c r="C33" t="str">
        <v>m³</v>
      </c>
      <c r="D33" s="96">
        <v>340.36</v>
      </c>
      <c r="E33" s="96">
        <v>0.14181666666666667</v>
      </c>
      <c r="F33" s="96">
        <v>0</v>
      </c>
      <c r="G33" s="121">
        <v>0</v>
      </c>
    </row>
    <row r="34" spans="2:7" x14ac:dyDescent="0.25">
      <c r="B34" s="122" t="str">
        <v>Concrete, 50 MPa, in-situ, no reinforcement, (VE502E) (Ecopact) (Holcim) (VIC)</v>
      </c>
      <c r="C34" t="str">
        <v>m³</v>
      </c>
      <c r="D34" s="96">
        <v>303.32</v>
      </c>
      <c r="E34" s="96">
        <v>0.12638333333333335</v>
      </c>
      <c r="F34" s="96">
        <v>0</v>
      </c>
      <c r="G34" s="121">
        <v>0</v>
      </c>
    </row>
    <row r="35" spans="2:7" x14ac:dyDescent="0.25">
      <c r="B35" s="122" t="str">
        <v>Concrete, 50 MPa, in-situ, no reinforcement, (VE502E5) (Ecopact) (Holcim) (VIC)</v>
      </c>
      <c r="C35" t="str">
        <v>m³</v>
      </c>
      <c r="D35" s="96">
        <v>294.31</v>
      </c>
      <c r="E35" s="96">
        <v>0.12262916666666666</v>
      </c>
      <c r="F35" s="96">
        <v>0</v>
      </c>
      <c r="G35" s="121">
        <v>0</v>
      </c>
    </row>
    <row r="36" spans="2:7" x14ac:dyDescent="0.25">
      <c r="B36" s="122" t="str">
        <v>Concrete, 50 MPa, in-situ, no reinforcement, (E50SPLS) (Barro Group) (VIC)</v>
      </c>
      <c r="C36" t="str">
        <v>m³</v>
      </c>
      <c r="D36" s="96">
        <v>243.25299999999999</v>
      </c>
      <c r="E36" s="96">
        <v>0.10135541666666667</v>
      </c>
      <c r="F36" s="96">
        <v>0</v>
      </c>
      <c r="G36" s="121">
        <v>0</v>
      </c>
    </row>
    <row r="37" spans="2:7" x14ac:dyDescent="0.25">
      <c r="B37" s="122" t="str">
        <v>Concrete, 50 MPa, in-situ, no reinforcement, (VE502EVR2) (Ecopact) (Holcim) (VIC)</v>
      </c>
      <c r="C37" t="str">
        <v>m³</v>
      </c>
      <c r="D37" s="96">
        <v>279.29000000000002</v>
      </c>
      <c r="E37" s="96">
        <v>0.11637083333333334</v>
      </c>
      <c r="F37" s="96">
        <v>0</v>
      </c>
      <c r="G37" s="121">
        <v>0</v>
      </c>
    </row>
    <row r="38" spans="2:7" x14ac:dyDescent="0.25">
      <c r="B38" s="122" t="str">
        <v>Concrete, 50 MPa, in-situ, no reinforcement, (50MPa 14MM TREMIE 160 SLUMP) (Adbri) (VIC)</v>
      </c>
      <c r="C38" t="str">
        <v>m³</v>
      </c>
      <c r="D38" s="96">
        <v>293.29000000000002</v>
      </c>
      <c r="E38" s="96">
        <v>0.12220416666666667</v>
      </c>
      <c r="F38" s="96">
        <v>0</v>
      </c>
      <c r="G38" s="121">
        <v>0</v>
      </c>
    </row>
    <row r="39" spans="2:7" x14ac:dyDescent="0.25">
      <c r="B39" s="122" t="str">
        <v>Concrete, 50 MPa, in-situ, no reinforcement, (VE501EAV) (Ecopact) (Holcim) (VIC)</v>
      </c>
      <c r="C39" t="str">
        <v>m³</v>
      </c>
      <c r="D39" s="96">
        <v>307.3</v>
      </c>
      <c r="E39" s="96">
        <v>0.12804166666666666</v>
      </c>
      <c r="F39" s="96">
        <v>0</v>
      </c>
      <c r="G39" s="121">
        <v>0</v>
      </c>
    </row>
    <row r="40" spans="2:7" x14ac:dyDescent="0.25">
      <c r="B40" s="122" t="str">
        <v>Concrete, 50 MPa, in-situ, no reinforcement, (Futurecrete®  N
class GP/GL:Slag
50 MPa) (Adbri) (QLD)</v>
      </c>
      <c r="C40" t="str">
        <v>m³</v>
      </c>
      <c r="D40" s="96">
        <v>344.33600000000001</v>
      </c>
      <c r="E40" s="96">
        <v>0.14347333333333334</v>
      </c>
      <c r="F40" s="96">
        <v>0</v>
      </c>
      <c r="G40" s="121">
        <v>0</v>
      </c>
    </row>
    <row r="41" spans="2:7" x14ac:dyDescent="0.25">
      <c r="B41" s="122" t="str">
        <v>Concrete, 50 MPa, in-situ, no reinforcement, (NE502E1A1)(Ecopact) (Holcim) (NSW), (Sydney)</v>
      </c>
      <c r="C41" t="str">
        <v>m³</v>
      </c>
      <c r="D41" s="96">
        <v>353.33</v>
      </c>
      <c r="E41" s="96">
        <v>0.14722083333333336</v>
      </c>
      <c r="F41" s="96">
        <v>0</v>
      </c>
      <c r="G41" s="121">
        <v>0</v>
      </c>
    </row>
    <row r="42" spans="2:7" x14ac:dyDescent="0.25">
      <c r="B42" s="122" t="str">
        <v>Concrete, 50 MPa, in-situ, no reinforcement, (VE501EAP) (Ecopact) (Holcim) (VIC)</v>
      </c>
      <c r="C42" t="str">
        <v>m³</v>
      </c>
      <c r="D42" s="96">
        <v>375.34</v>
      </c>
      <c r="E42" s="96">
        <v>0.15639166666666668</v>
      </c>
      <c r="F42" s="96">
        <v>0</v>
      </c>
      <c r="G42" s="121">
        <v>0</v>
      </c>
    </row>
    <row r="43" spans="2:7" x14ac:dyDescent="0.25">
      <c r="B43" s="122" t="str">
        <v>Concrete, 50 MPa, in-situ, no reinforcement, (Futurecrete®  Ultra
N Class GP/GL:Slag
50 MPa) (Adbri) (VIC)</v>
      </c>
      <c r="C43" t="str">
        <v>m³</v>
      </c>
      <c r="D43" s="96">
        <v>242.21</v>
      </c>
      <c r="E43" s="96">
        <v>0.10092083333333333</v>
      </c>
      <c r="F43" s="96">
        <v>0</v>
      </c>
      <c r="G43" s="121">
        <v>0</v>
      </c>
    </row>
    <row r="44" spans="2:7" x14ac:dyDescent="0.25">
      <c r="B44" s="122" t="str">
        <v>Concrete, 50 MPa, in-situ, no reinforcement, (NE501E1)(Ecopact) (Holcim) (NSW), (Sydney)</v>
      </c>
      <c r="C44" t="str">
        <v>m³</v>
      </c>
      <c r="D44" s="96">
        <v>247.21</v>
      </c>
      <c r="E44" s="96">
        <v>0.10300416666666667</v>
      </c>
      <c r="F44" s="96">
        <v>0</v>
      </c>
      <c r="G44" s="121">
        <v>0</v>
      </c>
    </row>
    <row r="45" spans="2:7" x14ac:dyDescent="0.25">
      <c r="B45" s="122" t="str">
        <v>Concrete, 50 MPa, in-situ, no reinforcement, (NE501E5)(Ecopact) (Holcim) (NSW), (Sydney)</v>
      </c>
      <c r="C45" t="str">
        <v>m³</v>
      </c>
      <c r="D45" s="96">
        <v>248.21</v>
      </c>
      <c r="E45" s="96">
        <v>0.10342083333333334</v>
      </c>
      <c r="F45" s="96">
        <v>0</v>
      </c>
      <c r="G45" s="121">
        <v>0</v>
      </c>
    </row>
    <row r="46" spans="2:7" x14ac:dyDescent="0.25">
      <c r="B46" s="122" t="str">
        <v>Concrete, 50 MPa, in-situ, no reinforcement, (50MPa 20MM 3 GST POINTS CONCRETE) (Adbri) (VIC)</v>
      </c>
      <c r="C46" t="str">
        <v>m³</v>
      </c>
      <c r="D46" s="96">
        <v>298.25</v>
      </c>
      <c r="E46" s="96">
        <v>0.12427083333333333</v>
      </c>
      <c r="F46" s="96">
        <v>0</v>
      </c>
      <c r="G46" s="121">
        <v>0</v>
      </c>
    </row>
    <row r="47" spans="2:7" x14ac:dyDescent="0.25">
      <c r="B47" s="122" t="str">
        <v>Concrete, 50 MPa, in-situ, no reinforcement, (QE502MRF4) (Ecopact) (Holcim) (QLD) (Brisbane)</v>
      </c>
      <c r="C47" t="str">
        <v>m³</v>
      </c>
      <c r="D47" s="96">
        <v>400.33</v>
      </c>
      <c r="E47" s="96">
        <v>0.16680416666666667</v>
      </c>
      <c r="F47" s="96">
        <v>0</v>
      </c>
      <c r="G47" s="121">
        <v>0</v>
      </c>
    </row>
    <row r="48" spans="2:7" x14ac:dyDescent="0.25">
      <c r="B48" s="122" t="str">
        <v>Concrete, 50 MPa, in-situ, no reinforcement, (NE502E1)(Ecopact) (Holcim) (NSW), (Sydney)</v>
      </c>
      <c r="C48" t="str">
        <v>m³</v>
      </c>
      <c r="D48" s="96">
        <v>243.2</v>
      </c>
      <c r="E48" s="96">
        <v>0.10133333333333334</v>
      </c>
      <c r="F48" s="96">
        <v>0</v>
      </c>
      <c r="G48" s="121">
        <v>0</v>
      </c>
    </row>
    <row r="49" spans="2:7" x14ac:dyDescent="0.25">
      <c r="B49" s="122" t="str">
        <v>Concrete, 50 MPa, in-situ, no reinforcement, (NE502E5)(Ecopact) (Holcim) (NSW), (Sydney)</v>
      </c>
      <c r="C49" t="str">
        <v>m³</v>
      </c>
      <c r="D49" s="96">
        <v>244.2</v>
      </c>
      <c r="E49" s="96">
        <v>0.10175000000000001</v>
      </c>
      <c r="F49" s="96">
        <v>0</v>
      </c>
      <c r="G49" s="121">
        <v>0</v>
      </c>
    </row>
    <row r="50" spans="2:7" x14ac:dyDescent="0.25">
      <c r="B50" s="122" t="str">
        <v>Concrete, 50 MPa, in-situ, no reinforcement, (Futurecrete® N Class
GP:GL:Slag 50 MPa
- Winnellie) (Adbri) (NT)</v>
      </c>
      <c r="C50" t="str">
        <v>m³</v>
      </c>
      <c r="D50" s="96">
        <v>351.286</v>
      </c>
      <c r="E50" s="96">
        <v>0.14636916666666666</v>
      </c>
      <c r="F50" s="96">
        <v>0</v>
      </c>
      <c r="G50" s="121">
        <v>0</v>
      </c>
    </row>
    <row r="51" spans="2:7" x14ac:dyDescent="0.25">
      <c r="B51" s="122" t="str">
        <v>Concrete, 50 MPa, in-situ, no reinforcement, (50MPa 14MM TRAMWAYS
25% SLAG) (Adbri) (VIC)</v>
      </c>
      <c r="C51" t="str">
        <v>m³</v>
      </c>
      <c r="D51" s="96">
        <v>332.27</v>
      </c>
      <c r="E51" s="96">
        <v>0.13844583333333332</v>
      </c>
      <c r="F51" s="96">
        <v>0</v>
      </c>
      <c r="G51" s="121">
        <v>0</v>
      </c>
    </row>
    <row r="52" spans="2:7" x14ac:dyDescent="0.25">
      <c r="B52" s="122" t="str">
        <v>Concrete, 50 MPa, in-situ, no reinforcement, (QE501EEZY) (Ecopact) (Holcim) (QLD), Gold Coast</v>
      </c>
      <c r="C52" t="str">
        <v>m³</v>
      </c>
      <c r="D52" s="96">
        <v>301.24</v>
      </c>
      <c r="E52" s="96">
        <v>0.12551666666666667</v>
      </c>
      <c r="F52" s="96">
        <v>0</v>
      </c>
      <c r="G52" s="121">
        <v>0</v>
      </c>
    </row>
    <row r="53" spans="2:7" x14ac:dyDescent="0.25">
      <c r="B53" s="122" t="str">
        <v>Concrete, 50 MPa, in-situ, no reinforcement, (QE502E100) (Ecopact) (Holcim) (QLD) (Brisbane)</v>
      </c>
      <c r="C53" t="str">
        <v>m³</v>
      </c>
      <c r="D53" s="96">
        <v>294.23</v>
      </c>
      <c r="E53" s="96">
        <v>0.12259583333333333</v>
      </c>
      <c r="F53" s="96">
        <v>0</v>
      </c>
      <c r="G53" s="121">
        <v>0</v>
      </c>
    </row>
    <row r="54" spans="2:7" x14ac:dyDescent="0.25">
      <c r="B54" s="122" t="str">
        <v>Concrete, 50 MPa, in-situ, no reinforcement, (QE501EEZY) (Ecopact) (Holcim) (QLD) (Brisbane)</v>
      </c>
      <c r="C54" t="str">
        <v>m³</v>
      </c>
      <c r="D54" s="96">
        <v>307.24</v>
      </c>
      <c r="E54" s="96">
        <v>0.12801666666666667</v>
      </c>
      <c r="F54" s="96">
        <v>0</v>
      </c>
      <c r="G54" s="121">
        <v>0</v>
      </c>
    </row>
    <row r="55" spans="2:7" x14ac:dyDescent="0.25">
      <c r="B55" s="122" t="str">
        <v>Concrete, 50 MPa, in-situ, no reinforcement, (QE501EL21) (Ecopact) (Holcim) (QLD), Gold Coast</v>
      </c>
      <c r="C55" t="str">
        <v>m³</v>
      </c>
      <c r="D55" s="96">
        <v>308.24</v>
      </c>
      <c r="E55" s="96">
        <v>0.12843333333333332</v>
      </c>
      <c r="F55" s="96">
        <v>0</v>
      </c>
      <c r="G55" s="121">
        <v>0</v>
      </c>
    </row>
    <row r="56" spans="2:7" x14ac:dyDescent="0.25">
      <c r="B56" s="122" t="str">
        <v>Concrete, 50 MPa, in-situ, no reinforcement, (QE501EDUF) (Ecopact) (Holcim) (QLD), Gold Coast</v>
      </c>
      <c r="C56" t="str">
        <v>m³</v>
      </c>
      <c r="D56" s="96">
        <v>309.24</v>
      </c>
      <c r="E56" s="96">
        <v>0.12884999999999999</v>
      </c>
      <c r="F56" s="96">
        <v>0</v>
      </c>
      <c r="G56" s="121">
        <v>0</v>
      </c>
    </row>
    <row r="57" spans="2:7" x14ac:dyDescent="0.25">
      <c r="B57" s="122" t="str">
        <v>Concrete, 50 MPa, in-situ, no reinforcement, (Adbri concrete
N class GP/GL
50 MPa) (Adbri) (QLD)</v>
      </c>
      <c r="C57" t="str">
        <v>m³</v>
      </c>
      <c r="D57" s="96">
        <v>482.37099999999998</v>
      </c>
      <c r="E57" s="96">
        <v>0.20098791666666668</v>
      </c>
      <c r="F57" s="96">
        <v>0</v>
      </c>
      <c r="G57" s="121">
        <v>0</v>
      </c>
    </row>
    <row r="58" spans="2:7" x14ac:dyDescent="0.25">
      <c r="B58" s="122" t="str">
        <v>Concrete, 50 MPa, in-situ, no reinforcement, (QE507EBMX) (Ecopact) (Holcim) (QLD) (Brisbane)</v>
      </c>
      <c r="C58" t="str">
        <v>m³</v>
      </c>
      <c r="D58" s="96">
        <v>299.23</v>
      </c>
      <c r="E58" s="96">
        <v>0.12467916666666667</v>
      </c>
      <c r="F58" s="96">
        <v>0</v>
      </c>
      <c r="G58" s="121">
        <v>0</v>
      </c>
    </row>
    <row r="59" spans="2:7" x14ac:dyDescent="0.25">
      <c r="B59" s="122" t="str">
        <v>Concrete, 50 MPa, in-situ, no reinforcement, (QE502EEZY) (Ecopact) (Holcim) (QLD) (Brisbane)</v>
      </c>
      <c r="C59" t="str">
        <v>m³</v>
      </c>
      <c r="D59" s="96">
        <v>299.23</v>
      </c>
      <c r="E59" s="96">
        <v>0.12467916666666667</v>
      </c>
      <c r="F59" s="96">
        <v>0</v>
      </c>
      <c r="G59" s="121">
        <v>0</v>
      </c>
    </row>
    <row r="60" spans="2:7" x14ac:dyDescent="0.25">
      <c r="B60" s="122" t="str">
        <v>Concrete, 50 MPa, in-situ, no reinforcement, (QE501E100) (Ecopact) (Holcim) (QLD), Gold Coast</v>
      </c>
      <c r="C60" t="str">
        <v>m³</v>
      </c>
      <c r="D60" s="96">
        <v>301.23</v>
      </c>
      <c r="E60" s="96">
        <v>0.1255125</v>
      </c>
      <c r="F60" s="96">
        <v>0</v>
      </c>
      <c r="G60" s="121">
        <v>0</v>
      </c>
    </row>
    <row r="61" spans="2:7" x14ac:dyDescent="0.25">
      <c r="B61" s="122" t="str">
        <v>Concrete, 50 MPa, in-situ, no reinforcement, (QE502E100) (Ecopact) (Holcim) (QLD), Gold Coast</v>
      </c>
      <c r="C61" t="str">
        <v>m³</v>
      </c>
      <c r="D61" s="96">
        <v>288.22000000000003</v>
      </c>
      <c r="E61" s="96">
        <v>0.12009166666666667</v>
      </c>
      <c r="F61" s="96">
        <v>0</v>
      </c>
      <c r="G61" s="121">
        <v>0</v>
      </c>
    </row>
    <row r="62" spans="2:7" x14ac:dyDescent="0.25">
      <c r="B62" s="122" t="str">
        <v>Concrete, 50 MPa, in-situ, no reinforcement, (QE501E100) (Ecopact) (Holcim) (QLD) (Brisbane)</v>
      </c>
      <c r="C62" t="str">
        <v>m³</v>
      </c>
      <c r="D62" s="96">
        <v>302.23</v>
      </c>
      <c r="E62" s="96">
        <v>0.12592916666666665</v>
      </c>
      <c r="F62" s="96">
        <v>0</v>
      </c>
      <c r="G62" s="121">
        <v>0</v>
      </c>
    </row>
    <row r="63" spans="2:7" x14ac:dyDescent="0.25">
      <c r="B63" s="122" t="str">
        <v>Concrete, 50 MPa, in-situ, no reinforcement, (QE501EDUF) (Ecopact) (Holcim) (QLD) (Brisbane)</v>
      </c>
      <c r="C63" t="str">
        <v>m³</v>
      </c>
      <c r="D63" s="96">
        <v>280.20999999999998</v>
      </c>
      <c r="E63" s="96">
        <v>0.11675416666666667</v>
      </c>
      <c r="F63" s="96">
        <v>0</v>
      </c>
      <c r="G63" s="121">
        <v>0</v>
      </c>
    </row>
    <row r="64" spans="2:7" x14ac:dyDescent="0.25">
      <c r="B64" s="122" t="str">
        <v>Concrete, 50 MPa, in-situ, no reinforcement, (Adbri concrete
N class GP/GL:FA
50 MPa) (Adbri) (QLD)</v>
      </c>
      <c r="C64" t="str">
        <v>m³</v>
      </c>
      <c r="D64" s="96">
        <v>397.291</v>
      </c>
      <c r="E64" s="96">
        <v>0.16553791666666665</v>
      </c>
      <c r="F64" s="96">
        <v>0</v>
      </c>
      <c r="G64" s="121">
        <v>0</v>
      </c>
    </row>
    <row r="65" spans="2:7" x14ac:dyDescent="0.25">
      <c r="B65" s="122" t="str">
        <v>Concrete, 50 MPa, in-situ, no reinforcement, (QE501E200) (Ecopact) (Holcim) (QLD) (Brisbane)</v>
      </c>
      <c r="C65" t="str">
        <v>m³</v>
      </c>
      <c r="D65" s="96">
        <v>336.24</v>
      </c>
      <c r="E65" s="96">
        <v>0.1401</v>
      </c>
      <c r="F65" s="96">
        <v>0</v>
      </c>
      <c r="G65" s="121">
        <v>0</v>
      </c>
    </row>
    <row r="66" spans="2:7" x14ac:dyDescent="0.25">
      <c r="B66" s="122" t="str">
        <v>Concrete, 50 MPa, in-situ, no reinforcement, (QE501E200) (Ecopact) (Holcim) (QLD), Gold Coast</v>
      </c>
      <c r="C66" t="str">
        <v>m³</v>
      </c>
      <c r="D66" s="96">
        <v>327.23</v>
      </c>
      <c r="E66" s="96">
        <v>0.13634583333333333</v>
      </c>
      <c r="F66" s="96">
        <v>0</v>
      </c>
      <c r="G66" s="121">
        <v>0</v>
      </c>
    </row>
    <row r="67" spans="2:7" x14ac:dyDescent="0.25">
      <c r="B67" s="122" t="str">
        <v>Concrete, 50 MPa, in-situ, no reinforcement, (WE501E2)(Ecopact) (Holcim) (WA), (Perth Metro)</v>
      </c>
      <c r="C67" t="str">
        <v>m³</v>
      </c>
      <c r="D67" s="96">
        <v>313.20999999999998</v>
      </c>
      <c r="E67" s="96">
        <v>0.13050416666666664</v>
      </c>
      <c r="F67" s="96">
        <v>0</v>
      </c>
      <c r="G67" s="121">
        <v>0</v>
      </c>
    </row>
    <row r="68" spans="2:7" x14ac:dyDescent="0.25">
      <c r="B68" s="122" t="str">
        <v>Concrete, 50 MPa, in-situ, no reinforcement, (WE501E4)(Ecopact) (Holcim) (WA), (Perth Metro)</v>
      </c>
      <c r="C68" t="str">
        <v>m³</v>
      </c>
      <c r="D68" s="96">
        <v>313.20999999999998</v>
      </c>
      <c r="E68" s="96">
        <v>0.13050416666666664</v>
      </c>
      <c r="F68" s="96">
        <v>0</v>
      </c>
      <c r="G68" s="121">
        <v>0</v>
      </c>
    </row>
    <row r="69" spans="2:7" x14ac:dyDescent="0.25">
      <c r="B69" s="122" t="str">
        <v>Concrete, 50 MPa, in-situ, no reinforcement, (WE502E2)(Ecopact) (Holcim) (WA), (Perth Metro)</v>
      </c>
      <c r="C69" t="str">
        <v>m³</v>
      </c>
      <c r="D69" s="96">
        <v>320.20999999999998</v>
      </c>
      <c r="E69" s="96">
        <v>0.13342083333333332</v>
      </c>
      <c r="F69" s="96">
        <v>0</v>
      </c>
      <c r="G69" s="121">
        <v>0</v>
      </c>
    </row>
    <row r="70" spans="2:7" x14ac:dyDescent="0.25">
      <c r="B70" s="122" t="str">
        <v>Concrete, 50 MPa, in-situ, no reinforcement, (WE502E4)(Ecopact) (Holcim) (WA), (Perth Metro)</v>
      </c>
      <c r="C70" t="str">
        <v>m³</v>
      </c>
      <c r="D70" s="96">
        <v>320.20999999999998</v>
      </c>
      <c r="E70" s="96">
        <v>0.13342083333333332</v>
      </c>
      <c r="F70" s="96">
        <v>0</v>
      </c>
      <c r="G70" s="121">
        <v>0</v>
      </c>
    </row>
    <row r="71" spans="2:7" x14ac:dyDescent="0.25">
      <c r="B71" s="122" t="str">
        <v>Concrete, 50 MPa, in-situ, no reinforcement, (QE502LPN2) (Ecopact) (Holcim) (QLD) (Brisbane)</v>
      </c>
      <c r="C71" t="str">
        <v>m³</v>
      </c>
      <c r="D71" s="96">
        <v>398.26</v>
      </c>
      <c r="E71" s="96">
        <v>0.16594166666666665</v>
      </c>
      <c r="F71" s="96">
        <v>0</v>
      </c>
      <c r="G71" s="121">
        <v>0</v>
      </c>
    </row>
    <row r="72" spans="2:7" x14ac:dyDescent="0.25">
      <c r="B72" s="122" t="str">
        <v>Concrete, 50 MPa, in-situ, no reinforcement, (QE502LPN2) (Ecopact) (Holcim) (QLD), Gold Coast</v>
      </c>
      <c r="C72" t="str">
        <v>m³</v>
      </c>
      <c r="D72" s="96">
        <v>363.23</v>
      </c>
      <c r="E72" s="96">
        <v>0.15134583333333332</v>
      </c>
      <c r="F72" s="96">
        <v>0</v>
      </c>
      <c r="G72" s="121">
        <v>0</v>
      </c>
    </row>
    <row r="73" spans="2:7" x14ac:dyDescent="0.25">
      <c r="B73" s="122" t="str">
        <v>Concrete, 50 MPa, in-situ, no reinforcement, (50MPa 20MM
PANEL CONCRETE
120 SLUMP) (Adbri) (VIC)</v>
      </c>
      <c r="C73" t="str">
        <v>m³</v>
      </c>
      <c r="D73" s="96">
        <v>382.23</v>
      </c>
      <c r="E73" s="96">
        <v>0.1592625</v>
      </c>
      <c r="F73" s="96">
        <v>0</v>
      </c>
      <c r="G73" s="121">
        <v>0</v>
      </c>
    </row>
    <row r="74" spans="2:7" x14ac:dyDescent="0.25">
      <c r="B74" s="122" t="str">
        <v>Concrete, 50 MPa, in-situ, no reinforcement, (QE501ELCF) (Ecopact) (Holcim) (QLD) (Brisbane)</v>
      </c>
      <c r="C74" t="str">
        <v>m³</v>
      </c>
      <c r="D74" s="96">
        <v>320.19</v>
      </c>
      <c r="E74" s="96">
        <v>0.13341249999999999</v>
      </c>
      <c r="F74" s="96">
        <v>0</v>
      </c>
      <c r="G74" s="121">
        <v>0</v>
      </c>
    </row>
    <row r="75" spans="2:7" x14ac:dyDescent="0.25">
      <c r="B75" s="122" t="str">
        <v>Concrete, 50 MPa, in-situ, no reinforcement, (Adbri Concrete N Class GP/GL 50 MPa) (Adbri) (VIC)</v>
      </c>
      <c r="C75" t="str">
        <v>m³</v>
      </c>
      <c r="D75" s="96">
        <v>370.21</v>
      </c>
      <c r="E75" s="96">
        <v>0.15425416666666666</v>
      </c>
      <c r="F75" s="96">
        <v>0</v>
      </c>
      <c r="G75" s="121">
        <v>0</v>
      </c>
    </row>
    <row r="76" spans="2:7" x14ac:dyDescent="0.25">
      <c r="B76" s="122" t="str">
        <v>Concrete, 50 MPa, in-situ, no reinforcement, (QE501ECFA) (Ecopact) (Holcim) (QLD) (Brisbane)</v>
      </c>
      <c r="C76" t="str">
        <v>m³</v>
      </c>
      <c r="D76" s="96">
        <v>320.18</v>
      </c>
      <c r="E76" s="96">
        <v>0.13340833333333332</v>
      </c>
      <c r="F76" s="96">
        <v>0</v>
      </c>
      <c r="G76" s="121">
        <v>0</v>
      </c>
    </row>
    <row r="77" spans="2:7" x14ac:dyDescent="0.25">
      <c r="B77" s="122" t="str">
        <v>Concrete, 50 MPa, in-situ, no reinforcement, (VE502ESW) (Ecopact) (Holcim) (VIC)</v>
      </c>
      <c r="C77" t="str">
        <v>m³</v>
      </c>
      <c r="D77" s="96">
        <v>269.14999999999998</v>
      </c>
      <c r="E77" s="96">
        <v>0.11214583333333332</v>
      </c>
      <c r="F77" s="96">
        <v>0</v>
      </c>
      <c r="G77" s="121">
        <v>0</v>
      </c>
    </row>
    <row r="78" spans="2:7" x14ac:dyDescent="0.25">
      <c r="B78" s="122" t="str">
        <v>Concrete, 50 MPa, in-situ, no reinforcement, (Adbri Concrete N Class GP:GL 50 MPa
- Katherine) (Adbri) (NT)</v>
      </c>
      <c r="C78" t="str">
        <v>m³</v>
      </c>
      <c r="D78" s="96">
        <v>513.21400000000006</v>
      </c>
      <c r="E78" s="96">
        <v>0.21383916666666666</v>
      </c>
      <c r="F78" s="96">
        <v>0</v>
      </c>
      <c r="G78" s="121">
        <v>0</v>
      </c>
    </row>
    <row r="79" spans="2:7" x14ac:dyDescent="0.25">
      <c r="B79" s="122" t="str">
        <v>Concrete, 50 MPa, in-situ, no reinforcement, (Adbri Concrete N Class GP:GL 50 MPa
- Alice Springs) (Adbri) (NT)</v>
      </c>
      <c r="C79" t="str">
        <v>m³</v>
      </c>
      <c r="D79" s="96">
        <v>609.23299999999995</v>
      </c>
      <c r="E79" s="96">
        <v>0.25384708333333333</v>
      </c>
      <c r="F79" s="96">
        <v>0</v>
      </c>
      <c r="G79" s="121">
        <v>0</v>
      </c>
    </row>
    <row r="80" spans="2:7" x14ac:dyDescent="0.25">
      <c r="B80" s="122" t="str">
        <v>Concrete, 50 MPa, in-situ, no reinforcement, (E50SPHE) (Barro Group) (VIC)</v>
      </c>
      <c r="C80" t="str">
        <v>m³</v>
      </c>
      <c r="D80" s="96">
        <v>300.06450000000001</v>
      </c>
      <c r="E80" s="96">
        <v>0.12502687500000001</v>
      </c>
      <c r="F80" s="96">
        <v>0</v>
      </c>
      <c r="G80" s="121">
        <v>0</v>
      </c>
    </row>
    <row r="81" spans="2:7" x14ac:dyDescent="0.25">
      <c r="B81" s="122" t="str">
        <v>Concrete, 50 MPa, in-situ, no reinforcement, (EN50) (Barro Group) (VIC)</v>
      </c>
      <c r="C81" t="str">
        <v>m³</v>
      </c>
      <c r="D81" s="96">
        <v>286.05970000000002</v>
      </c>
      <c r="E81" s="96">
        <v>0.11919154166666666</v>
      </c>
      <c r="F81" s="96">
        <v>0</v>
      </c>
      <c r="G81" s="121">
        <v>0</v>
      </c>
    </row>
    <row r="82" spans="2:7" x14ac:dyDescent="0.25">
      <c r="B82" s="122" t="str">
        <v>Concrete, 50 MPa, in-situ, no reinforcement, (E50SP) (Barro Group) (VIC)</v>
      </c>
      <c r="C82" t="str">
        <v>m³</v>
      </c>
      <c r="D82" s="96">
        <v>270.02879999999999</v>
      </c>
      <c r="E82" s="96">
        <v>0.112512</v>
      </c>
      <c r="F82" s="96">
        <v>0</v>
      </c>
      <c r="G82" s="121">
        <v>0</v>
      </c>
    </row>
    <row r="83" spans="2:7" x14ac:dyDescent="0.25">
      <c r="B83" s="122" t="str">
        <v>Concrete, 50 MPa, in-situ, no reinforcement, (EVR450) (Barro Group) (VIC)</v>
      </c>
      <c r="C83" t="str">
        <v>m³</v>
      </c>
      <c r="D83" s="96">
        <v>363.02429999999998</v>
      </c>
      <c r="E83" s="96">
        <v>0.151260125</v>
      </c>
      <c r="F83" s="96">
        <v>0</v>
      </c>
      <c r="G83" s="121">
        <v>0</v>
      </c>
    </row>
    <row r="84" spans="2:7" x14ac:dyDescent="0.25">
      <c r="B84" s="122" t="str">
        <v>Concrete, 50 MPa, in-situ, no reinforcement, (Futurecrete®  S Class
GP/GL:Slag 50 MPa) (Adbri) (SA)</v>
      </c>
      <c r="C84" t="str">
        <v>m³</v>
      </c>
      <c r="D84" s="96">
        <v>303.66000000000003</v>
      </c>
      <c r="E84" s="96">
        <v>0.126525</v>
      </c>
      <c r="F84" s="96">
        <v>0</v>
      </c>
      <c r="G84" s="121">
        <v>0</v>
      </c>
    </row>
    <row r="85" spans="2:7" x14ac:dyDescent="0.25">
      <c r="B85" s="122" t="str">
        <v>Concrete, 50 MPa, in-situ, no reinforcement, (E50600) (Barro Group) (VIC)</v>
      </c>
      <c r="C85" t="str">
        <v>m³</v>
      </c>
      <c r="D85" s="96">
        <v>388.01949999999999</v>
      </c>
      <c r="E85" s="96">
        <v>0.16167479166666665</v>
      </c>
      <c r="F85" s="96">
        <v>0</v>
      </c>
      <c r="G85" s="121">
        <v>0</v>
      </c>
    </row>
    <row r="86" spans="2:7" x14ac:dyDescent="0.25">
      <c r="B86" s="122" t="str">
        <v>Concrete, 50 MPa, in-situ, no reinforcement, (S50MPA PT
22MPA AT 3 DAYS
20MM) (Adbri) (NSW)</v>
      </c>
      <c r="C86" t="str">
        <v>m³</v>
      </c>
      <c r="D86" s="96">
        <v>508.53</v>
      </c>
      <c r="E86" s="96">
        <v>0.21188749999999998</v>
      </c>
      <c r="F86" s="96">
        <v>0</v>
      </c>
      <c r="G86" s="121">
        <v>0</v>
      </c>
    </row>
    <row r="87" spans="2:7" x14ac:dyDescent="0.25">
      <c r="B87" s="122" t="str">
        <v>Concrete, 50 MPa, in-situ, no reinforcement, (E50PT22N3) (Barro Group) (VIC)</v>
      </c>
      <c r="C87" t="str">
        <v>m³</v>
      </c>
      <c r="D87" s="96">
        <v>310.00848000000002</v>
      </c>
      <c r="E87" s="96">
        <v>0.12917020000000001</v>
      </c>
      <c r="F87" s="96">
        <v>0</v>
      </c>
      <c r="G87" s="121">
        <v>0</v>
      </c>
    </row>
    <row r="88" spans="2:7" x14ac:dyDescent="0.25">
      <c r="B88" s="122" t="str">
        <v>Concrete, 50 MPa, in-situ, no reinforcement, (E50700) (Barro Group) (VIC)</v>
      </c>
      <c r="C88" t="str">
        <v>m³</v>
      </c>
      <c r="D88" s="96">
        <v>310.00848000000002</v>
      </c>
      <c r="E88" s="96">
        <v>0.12917020000000001</v>
      </c>
      <c r="F88" s="96">
        <v>0</v>
      </c>
      <c r="G88" s="121">
        <v>0</v>
      </c>
    </row>
    <row r="89" spans="2:7" x14ac:dyDescent="0.25">
      <c r="B89" s="122" t="str">
        <v>Concrete, 50 MPa, in-situ, no reinforcement, (S50MPA 20MM RMS B80 B1
EXPOSURE PRCST) (Adbri) (NSW)</v>
      </c>
      <c r="C89" t="str">
        <v>m³</v>
      </c>
      <c r="D89" s="96">
        <v>455.28</v>
      </c>
      <c r="E89" s="96">
        <v>0.18969999999999998</v>
      </c>
      <c r="F89" s="96">
        <v>0</v>
      </c>
      <c r="G89" s="121">
        <v>0</v>
      </c>
    </row>
    <row r="90" spans="2:7" x14ac:dyDescent="0.25">
      <c r="B90" s="122" t="str">
        <v>Concrete, 50 MPa, in-situ, no reinforcement, (Futurecrete® S50MPA HY-LINE 2INCH 10MM PUMP
) (Adbri) (NSW)</v>
      </c>
      <c r="C90" t="str">
        <v>m³</v>
      </c>
      <c r="D90" s="96">
        <v>401.3655</v>
      </c>
      <c r="E90" s="96">
        <v>0.16723562499999997</v>
      </c>
      <c r="F90" s="96">
        <v>0</v>
      </c>
      <c r="G90" s="121">
        <v>0</v>
      </c>
    </row>
    <row r="91" spans="2:7" x14ac:dyDescent="0.25">
      <c r="B91" s="122" t="str">
        <v>Concrete, 50 MPa, in-situ, no reinforcement, (Futurecrete®  Ultra N Class GP/ GL:Slag 50 MPa) (Adbri) (NSW)</v>
      </c>
      <c r="C91" t="str">
        <v>m³</v>
      </c>
      <c r="D91" s="96">
        <v>335.03340000000003</v>
      </c>
      <c r="E91" s="96">
        <v>0.13959725000000001</v>
      </c>
      <c r="F91" s="96">
        <v>0</v>
      </c>
      <c r="G91" s="121">
        <v>0</v>
      </c>
    </row>
    <row r="92" spans="2:7" x14ac:dyDescent="0.25">
      <c r="B92" s="122" t="str">
        <v>Concrete, 50 MPa, in-situ, no reinforcement, (Futurecrete® S50MPA JUMP/ SLIP/COLUMNS 10MM SP) (Adbri) (NSW)</v>
      </c>
      <c r="C92" t="str">
        <v>m³</v>
      </c>
      <c r="D92" s="96">
        <v>419.47409999999996</v>
      </c>
      <c r="E92" s="96">
        <v>0.17478087499999997</v>
      </c>
      <c r="F92" s="96">
        <v>0</v>
      </c>
      <c r="G92" s="121">
        <v>0</v>
      </c>
    </row>
    <row r="93" spans="2:7" x14ac:dyDescent="0.25">
      <c r="B93" s="122" t="str">
        <v>Concrete, 50 MPa, in-situ, no reinforcement, (Futurecrete®
N Class Ternary
50 MPa) (Adbri) (NSW)</v>
      </c>
      <c r="C93" t="str">
        <v>m³</v>
      </c>
      <c r="D93" s="96">
        <v>389.7928</v>
      </c>
      <c r="E93" s="96">
        <v>0.16241366666666665</v>
      </c>
      <c r="F93" s="96">
        <v>0</v>
      </c>
      <c r="G93" s="121">
        <v>0</v>
      </c>
    </row>
    <row r="94" spans="2:7" x14ac:dyDescent="0.25">
      <c r="B94" s="122" t="str">
        <v>Concrete, 50 MPa, in-situ, no reinforcement, (Futurecrete® Ultra S50MPA 20MM RMS B80 C1 EXPOSURE AP) (Adbri) (NSW)</v>
      </c>
      <c r="C94" t="str">
        <v>m³</v>
      </c>
      <c r="D94" s="96">
        <v>317.84030000000001</v>
      </c>
      <c r="E94" s="96">
        <v>0.13243345833333334</v>
      </c>
      <c r="F94" s="96">
        <v>0</v>
      </c>
      <c r="G94" s="121">
        <v>0</v>
      </c>
    </row>
    <row r="95" spans="2:7" x14ac:dyDescent="0.25">
      <c r="B95" s="122" t="str">
        <v>Concrete, 50 MPa, in-situ, no reinforcement, (Futurecrete® Ultra S50MPA BLOCKFILL 10MM 230MM SLUMP) (Adbri) (NSW)</v>
      </c>
      <c r="C95" t="str">
        <v>m³</v>
      </c>
      <c r="D95" s="96">
        <v>321.51020000000005</v>
      </c>
      <c r="E95" s="96">
        <v>0.13396258333333336</v>
      </c>
      <c r="F95" s="96">
        <v>0</v>
      </c>
      <c r="G95" s="121">
        <v>0</v>
      </c>
    </row>
    <row r="96" spans="2:7" x14ac:dyDescent="0.25">
      <c r="B96" s="122" t="str">
        <v>Concrete, 50 MPa, in-situ, no reinforcement, (General) (Holcim) (NSW)(ACT)</v>
      </c>
      <c r="C96" t="str">
        <v>m³</v>
      </c>
      <c r="D96" s="96">
        <v>514</v>
      </c>
      <c r="E96" s="96">
        <v>0.21416666666666667</v>
      </c>
      <c r="F96" s="96">
        <v>0</v>
      </c>
      <c r="G96" s="121">
        <v>0</v>
      </c>
    </row>
    <row r="97" spans="2:7" x14ac:dyDescent="0.25">
      <c r="B97" s="122" t="str">
        <v>Concrete, 50 MPa, in-situ, no reinforcement, (Fly Ash) (Holcim) (NSW)(ACT)</v>
      </c>
      <c r="C97" t="str">
        <v>m³</v>
      </c>
      <c r="D97" s="96">
        <v>414</v>
      </c>
      <c r="E97" s="96">
        <v>0.17249999999999999</v>
      </c>
      <c r="F97" s="96">
        <v>0</v>
      </c>
      <c r="G97" s="121">
        <v>0</v>
      </c>
    </row>
    <row r="98" spans="2:7" x14ac:dyDescent="0.25">
      <c r="B98" s="122" t="str">
        <v>Concrete, 50 MPa, in-situ, no reinforcement, (GGBS Slag) (Holcim) (NSW)(ACT)</v>
      </c>
      <c r="C98" t="str">
        <v>m³</v>
      </c>
      <c r="D98" s="96">
        <v>303</v>
      </c>
      <c r="E98" s="96">
        <v>0.12625</v>
      </c>
      <c r="F98" s="96">
        <v>0</v>
      </c>
      <c r="G98" s="121">
        <v>0</v>
      </c>
    </row>
    <row r="99" spans="2:7" x14ac:dyDescent="0.25">
      <c r="B99" s="122" t="str">
        <v>Concrete, 50 MPa, in-situ, no reinforcement, (Triple Blend) (Holcim) (NSW)(ACT)</v>
      </c>
      <c r="C99" t="str">
        <v>m³</v>
      </c>
      <c r="D99" s="96">
        <v>284</v>
      </c>
      <c r="E99" s="96">
        <v>0.11833333333333333</v>
      </c>
      <c r="F99" s="96">
        <v>0</v>
      </c>
      <c r="G99" s="121">
        <v>0</v>
      </c>
    </row>
    <row r="100" spans="2:7" x14ac:dyDescent="0.25">
      <c r="B100" s="122" t="str">
        <v>Concrete, 50 MPa, in-situ, no reinforcement,(Fly Ash)  (Holcim)  (QLD)</v>
      </c>
      <c r="C100" t="str">
        <v>m³</v>
      </c>
      <c r="D100" s="96">
        <v>363</v>
      </c>
      <c r="E100" s="96">
        <v>0.15125</v>
      </c>
      <c r="F100" s="96">
        <v>0</v>
      </c>
      <c r="G100" s="121">
        <v>0</v>
      </c>
    </row>
    <row r="101" spans="2:7" x14ac:dyDescent="0.25">
      <c r="B101" s="122" t="str">
        <v>Concrete, 50 MPa, in-situ, no reinforcement,(Triple Blend)  (Holcim)  (QLD)</v>
      </c>
      <c r="C101" t="str">
        <v>m³</v>
      </c>
      <c r="D101" s="96">
        <v>296</v>
      </c>
      <c r="E101" s="96">
        <v>0.12333333333333334</v>
      </c>
      <c r="F101" s="96">
        <v>0</v>
      </c>
      <c r="G101" s="121">
        <v>0</v>
      </c>
    </row>
    <row r="102" spans="2:7" x14ac:dyDescent="0.25">
      <c r="B102" s="122" t="str">
        <v>Concrete, 50 MPa, in-situ, no reinforcement, (General) (Holcim) (VIC)</v>
      </c>
      <c r="C102" t="str">
        <v>m³</v>
      </c>
      <c r="D102" s="96">
        <v>454</v>
      </c>
      <c r="E102" s="96">
        <v>0.18916666666666668</v>
      </c>
      <c r="F102" s="96">
        <v>0</v>
      </c>
      <c r="G102" s="121">
        <v>0</v>
      </c>
    </row>
    <row r="103" spans="2:7" x14ac:dyDescent="0.25">
      <c r="B103" s="122" t="str">
        <v>Concrete, 50 MPa, in-situ, no reinforcement, (Fly Ash) (Holcim) (VIC)</v>
      </c>
      <c r="C103" t="str">
        <v>m³</v>
      </c>
      <c r="D103" s="96">
        <v>363</v>
      </c>
      <c r="E103" s="96">
        <v>0.15125</v>
      </c>
      <c r="F103" s="96">
        <v>0</v>
      </c>
      <c r="G103" s="121">
        <v>0</v>
      </c>
    </row>
    <row r="104" spans="2:7" x14ac:dyDescent="0.25">
      <c r="B104" s="122" t="str">
        <v>Concrete, 50 MPa, in-situ, no reinforcement, (Triple Blend) (Holcim) (VIC)</v>
      </c>
      <c r="C104" t="str">
        <v>m³</v>
      </c>
      <c r="D104" s="96">
        <v>302</v>
      </c>
      <c r="E104" s="96">
        <v>0.12583333333333332</v>
      </c>
      <c r="F104" s="96">
        <v>0</v>
      </c>
      <c r="G104" s="121">
        <v>0</v>
      </c>
    </row>
    <row r="105" spans="2:7" x14ac:dyDescent="0.25">
      <c r="B105" s="122" t="str">
        <v>Concrete, 50 MPa, in-situ, no reinforcement, (GGBS Slag) (Holcim) (SA)</v>
      </c>
      <c r="C105" t="str">
        <v>m³</v>
      </c>
      <c r="D105" s="96">
        <v>303</v>
      </c>
      <c r="E105" s="96">
        <v>0.12625</v>
      </c>
      <c r="F105" s="96">
        <v>0</v>
      </c>
      <c r="G105" s="121">
        <v>0</v>
      </c>
    </row>
    <row r="106" spans="2:7" x14ac:dyDescent="0.25">
      <c r="B106" s="122" t="str">
        <v>Concrete, 50 MPa, in-situ, no reinforcement, (GGBS Slag) (Holcim) (WA)</v>
      </c>
      <c r="C106" t="str">
        <v>m³</v>
      </c>
      <c r="D106" s="96">
        <v>334</v>
      </c>
      <c r="E106" s="96">
        <v>0.13916666666666666</v>
      </c>
      <c r="F106" s="96">
        <v>0</v>
      </c>
      <c r="G106" s="121">
        <v>0</v>
      </c>
    </row>
    <row r="107" spans="2:7" x14ac:dyDescent="0.25">
      <c r="B107" s="122" t="str">
        <v>Concrete, 50 MPa, in-situ, no reinforcement, (VS504FSWC) (Holcim) (VIC)</v>
      </c>
      <c r="C107" t="str">
        <v>m³</v>
      </c>
      <c r="D107" s="96">
        <v>334.84</v>
      </c>
      <c r="E107" s="96">
        <v>0.13951666666666665</v>
      </c>
      <c r="F107" s="96">
        <v>0</v>
      </c>
      <c r="G107" s="121">
        <v>0</v>
      </c>
    </row>
    <row r="108" spans="2:7" x14ac:dyDescent="0.25">
      <c r="B108" s="122" t="str">
        <v>Concrete, 50 MPa, in-situ, no reinforcement, (VE502ENV) (Holcim) (VIC)</v>
      </c>
      <c r="C108" t="str">
        <v>m³</v>
      </c>
      <c r="D108" s="96">
        <v>333.89</v>
      </c>
      <c r="E108" s="96">
        <v>0.13912083333333333</v>
      </c>
      <c r="F108" s="96">
        <v>0</v>
      </c>
      <c r="G108" s="121">
        <v>0</v>
      </c>
    </row>
    <row r="109" spans="2:7" x14ac:dyDescent="0.25">
      <c r="B109" s="122" t="str">
        <v>Concrete, 50 MPa, in-situ, no reinforcement, (VS502FVRT) (Holcim) (VIC)</v>
      </c>
      <c r="C109" t="str">
        <v>m³</v>
      </c>
      <c r="D109" s="96">
        <v>286.08</v>
      </c>
      <c r="E109" s="96">
        <v>0.11919999999999999</v>
      </c>
      <c r="F109" s="96">
        <v>0</v>
      </c>
      <c r="G109" s="121">
        <v>0</v>
      </c>
    </row>
    <row r="110" spans="2:7" x14ac:dyDescent="0.25">
      <c r="B110" s="122" t="str">
        <v>Concrete, 50 MPa, in-situ, no reinforcement, (QS502PR13) (Holcim) (QLD), South East Queensland</v>
      </c>
      <c r="C110" t="str">
        <v>m³</v>
      </c>
      <c r="D110" s="96">
        <v>381.9</v>
      </c>
      <c r="E110" s="96">
        <v>0.15912499999999999</v>
      </c>
      <c r="F110" s="96">
        <v>0</v>
      </c>
      <c r="G110" s="121">
        <v>0</v>
      </c>
    </row>
    <row r="111" spans="2:7" x14ac:dyDescent="0.25">
      <c r="B111" s="122" t="str">
        <v>Concrete, 50 MPa, in-situ, no reinforcement, (QS502PR38) (Holcim) (QLD), South East Queensland</v>
      </c>
      <c r="C111" t="str">
        <v>m³</v>
      </c>
      <c r="D111" s="96">
        <v>436.45</v>
      </c>
      <c r="E111" s="96">
        <v>0.18185416666666665</v>
      </c>
      <c r="F111" s="96">
        <v>0</v>
      </c>
      <c r="G111" s="121">
        <v>0</v>
      </c>
    </row>
    <row r="112" spans="2:7" x14ac:dyDescent="0.25">
      <c r="B112" s="122" t="str">
        <v>Concrete, 50 MPa, in-situ, no reinforcement, (QS502PR36) (Holcim) (QLD), South East Queensland</v>
      </c>
      <c r="C112" t="str">
        <v>m³</v>
      </c>
      <c r="D112" s="96">
        <v>408.02</v>
      </c>
      <c r="E112" s="96">
        <v>0.17000833333333332</v>
      </c>
      <c r="F112" s="96">
        <v>0</v>
      </c>
      <c r="G112" s="121">
        <v>0</v>
      </c>
    </row>
    <row r="113" spans="2:7" x14ac:dyDescent="0.25">
      <c r="B113" s="122" t="str">
        <v>Concrete, 50 MPa, in-situ, no reinforcement, (QS502MRF4) (Holcim) (QLD), South East Queensland</v>
      </c>
      <c r="C113" t="str">
        <v>m³</v>
      </c>
      <c r="D113" s="96">
        <v>395.24</v>
      </c>
      <c r="E113" s="96">
        <v>0.16468333333333335</v>
      </c>
      <c r="F113" s="96">
        <v>0</v>
      </c>
      <c r="G113" s="121">
        <v>0</v>
      </c>
    </row>
    <row r="114" spans="2:7" x14ac:dyDescent="0.25">
      <c r="B114" s="122" t="str">
        <v>Concrete, 50 MPa, in-situ, no reinforcement, (QS502PR12) (Holcim) (QLD), South East Queensland</v>
      </c>
      <c r="C114" t="str">
        <v>m³</v>
      </c>
      <c r="D114" s="96">
        <v>408.58</v>
      </c>
      <c r="E114" s="96">
        <v>0.17024166666666665</v>
      </c>
      <c r="F114" s="96">
        <v>0</v>
      </c>
      <c r="G114" s="121">
        <v>0</v>
      </c>
    </row>
    <row r="115" spans="2:7" x14ac:dyDescent="0.25">
      <c r="B115" s="122" t="str">
        <v>Concrete, 50 MPa, in-situ, no reinforcement, (QE502E)(Holcim) (QLD), (North QLD)</v>
      </c>
      <c r="C115" t="str">
        <v>m³</v>
      </c>
      <c r="D115" s="96">
        <v>360.54</v>
      </c>
      <c r="E115" s="96">
        <v>0.150225</v>
      </c>
      <c r="F115" s="96">
        <v>0</v>
      </c>
      <c r="G115" s="121">
        <v>0</v>
      </c>
    </row>
    <row r="116" spans="2:7" x14ac:dyDescent="0.25">
      <c r="B116" s="122" t="str">
        <v>Concrete, 50 MPa, in-situ, no reinforcement, (QE502E1)(Holcim) (QLD), (North QLD)</v>
      </c>
      <c r="C116" t="str">
        <v>m³</v>
      </c>
      <c r="D116" s="96">
        <v>362.11</v>
      </c>
      <c r="E116" s="96">
        <v>0.15087916666666668</v>
      </c>
      <c r="F116" s="96">
        <v>0</v>
      </c>
      <c r="G116" s="121">
        <v>0</v>
      </c>
    </row>
    <row r="117" spans="2:7" x14ac:dyDescent="0.25">
      <c r="B117" s="122" t="str">
        <v>Concrete, 50 MPa, in-situ, no reinforcement, (QE501E)(Holcim) (QLD), (North QLD)</v>
      </c>
      <c r="C117" t="str">
        <v>m³</v>
      </c>
      <c r="D117" s="96">
        <v>365.28</v>
      </c>
      <c r="E117" s="96">
        <v>0.1522</v>
      </c>
      <c r="F117" s="96">
        <v>0</v>
      </c>
      <c r="G117" s="121">
        <v>0</v>
      </c>
    </row>
    <row r="118" spans="2:7" x14ac:dyDescent="0.25">
      <c r="B118" s="122" t="str">
        <v>Concrete, 50 MPa, in-situ, no reinforcement, (QE501E1)(Holcim) (QLD), (North QLD)</v>
      </c>
      <c r="C118" t="str">
        <v>m³</v>
      </c>
      <c r="D118" s="96">
        <v>366.34</v>
      </c>
      <c r="E118" s="96">
        <v>0.15264166666666665</v>
      </c>
      <c r="F118" s="96">
        <v>0</v>
      </c>
      <c r="G118" s="121">
        <v>0</v>
      </c>
    </row>
    <row r="119" spans="2:7" x14ac:dyDescent="0.25">
      <c r="B119" s="122" t="str">
        <v>Concrete, 50 MPa, in-situ, no reinforcement, (QE502EUF)(Holcim) (QLD), (North QLD)</v>
      </c>
      <c r="C119" t="str">
        <v>m³</v>
      </c>
      <c r="D119" s="96">
        <v>395.6</v>
      </c>
      <c r="E119" s="96">
        <v>0.16483333333333333</v>
      </c>
      <c r="F119" s="96">
        <v>0</v>
      </c>
      <c r="G119" s="121">
        <v>0</v>
      </c>
    </row>
    <row r="120" spans="2:7" x14ac:dyDescent="0.25">
      <c r="B120" s="122" t="str">
        <v>Concrete, 50 MPa, in-situ, no reinforcement, (Adbri N Class
GP/GL 50 MPa) (Adbri) (SA)</v>
      </c>
      <c r="C120" t="str">
        <v>m³</v>
      </c>
      <c r="D120" s="96">
        <v>389.23</v>
      </c>
      <c r="E120" s="96">
        <v>0.16217916666666668</v>
      </c>
      <c r="F120" s="96">
        <v>0</v>
      </c>
      <c r="G120" s="121">
        <v>0</v>
      </c>
    </row>
    <row r="121" spans="2:7" x14ac:dyDescent="0.25">
      <c r="B121" s="122" t="str">
        <v>Concrete, 50 MPa, in-situ, no reinforcement, (Futurecrete®  N
Class GP/GL:Slag
50 MPa) (Adbri) (SA)</v>
      </c>
      <c r="C121" t="str">
        <v>m³</v>
      </c>
      <c r="D121" s="96">
        <v>299.49</v>
      </c>
      <c r="E121" s="96">
        <v>0.1247875</v>
      </c>
      <c r="F121" s="96">
        <v>0</v>
      </c>
      <c r="G121" s="121">
        <v>0</v>
      </c>
    </row>
    <row r="122" spans="2:7" x14ac:dyDescent="0.25">
      <c r="B122" s="122" t="str">
        <v>Concrete, 50 MPa, in-situ, no reinforcement, (Futurecrete®  N Class
GP/GL:FA 50 MPa) (Adbri) (SA)</v>
      </c>
      <c r="C122" t="str">
        <v>m³</v>
      </c>
      <c r="D122" s="96">
        <v>311.22000000000003</v>
      </c>
      <c r="E122" s="96">
        <v>0.12967500000000001</v>
      </c>
      <c r="F122" s="96">
        <v>0</v>
      </c>
      <c r="G122" s="121">
        <v>0</v>
      </c>
    </row>
    <row r="123" spans="2:7" x14ac:dyDescent="0.25">
      <c r="B123" s="122" t="str">
        <v>Concrete, 50 MPa, in-situ, no reinforcement, Pre-mix Concrete Normal Class GP blend (Boral) (ACT), (Canberra) Normal Class GP blend 50MPa</v>
      </c>
      <c r="C123" t="str">
        <v>m³</v>
      </c>
      <c r="D123" s="96">
        <v>454</v>
      </c>
      <c r="E123" s="96">
        <v>0.18916666666666668</v>
      </c>
      <c r="F123" s="96">
        <v>0</v>
      </c>
      <c r="G123" s="121">
        <v>0</v>
      </c>
    </row>
    <row r="124" spans="2:7" x14ac:dyDescent="0.25">
      <c r="B124" s="122" t="str">
        <v>Concrete, 50 MPa, in-situ, no reinforcement, Pre-mix Concrete Normal Class GP/FA blend (Boral) (ACT), (Canberra) Normal Class GP/FA blend 50 MPa</v>
      </c>
      <c r="C124" t="str">
        <v>m³</v>
      </c>
      <c r="D124" s="96">
        <v>424</v>
      </c>
      <c r="E124" s="96">
        <v>0.17666666666666667</v>
      </c>
      <c r="F124" s="96">
        <v>0</v>
      </c>
      <c r="G124" s="121">
        <v>0</v>
      </c>
    </row>
    <row r="125" spans="2:7" x14ac:dyDescent="0.25">
      <c r="B125" s="122" t="str">
        <v>Concrete, 50 MPa, in-situ, no reinforcement, Pre-mix Concrete Normal Class GP/GGBFS blend (Boral) (ACT), (Canberra) Normal Class GP/GGBFS blend 50 MPa</v>
      </c>
      <c r="C125" t="str">
        <v>m³</v>
      </c>
      <c r="D125" s="96">
        <v>321</v>
      </c>
      <c r="E125" s="96">
        <v>0.13375000000000001</v>
      </c>
      <c r="F125" s="96">
        <v>0</v>
      </c>
      <c r="G125" s="121">
        <v>0</v>
      </c>
    </row>
    <row r="126" spans="2:7" x14ac:dyDescent="0.25">
      <c r="B126" s="122" t="str">
        <v>Concrete, 50 MPa, in-situ, no reinforcement, Pre-mix Concrete ENVIROCRETE 30% (Boral) (ACT), (Canberra) ENVIROCRETE 30% 50 MPa</v>
      </c>
      <c r="C126" t="str">
        <v>m³</v>
      </c>
      <c r="D126" s="96">
        <v>397</v>
      </c>
      <c r="E126" s="96">
        <v>0.16541666666666666</v>
      </c>
      <c r="F126" s="96">
        <v>0</v>
      </c>
      <c r="G126" s="121">
        <v>0</v>
      </c>
    </row>
    <row r="127" spans="2:7" x14ac:dyDescent="0.25">
      <c r="B127" s="122" t="str">
        <v>Concrete, 50 MPa, in-situ, no reinforcement, Pre-mix Concrete ENVIROCRETE 40% (Boral) (ACT), (Canberra) ENVIROCRETE 40% 50 MPa</v>
      </c>
      <c r="C127" t="str">
        <v>m³</v>
      </c>
      <c r="D127" s="96">
        <v>355</v>
      </c>
      <c r="E127" s="96">
        <v>0.14791666666666667</v>
      </c>
      <c r="F127" s="96">
        <v>0</v>
      </c>
      <c r="G127" s="121">
        <v>0</v>
      </c>
    </row>
    <row r="128" spans="2:7" x14ac:dyDescent="0.25">
      <c r="B128" s="122" t="str">
        <v>Concrete, 50 MPa, in-situ, no reinforcement, Pre-mix Concrete ENVIROCRETE PLUS (Boral) (ACT), (Canberra) ENVIROCRETE PLUS 50MPa</v>
      </c>
      <c r="C128" t="str">
        <v>m³</v>
      </c>
      <c r="D128" s="96">
        <v>341</v>
      </c>
      <c r="E128" s="96">
        <v>0.14208333333333334</v>
      </c>
      <c r="F128" s="96">
        <v>0</v>
      </c>
      <c r="G128" s="121">
        <v>0</v>
      </c>
    </row>
    <row r="129" spans="2:7" x14ac:dyDescent="0.25">
      <c r="B129" s="122" t="str">
        <v>Concrete, 50 MPa, in-situ, no reinforcement, Pre-mix Concrete HIGH SLUMP (Boral) (ACT), (Canberra) HIGH SLUMP 50MPa</v>
      </c>
      <c r="C129" t="str">
        <v>m³</v>
      </c>
      <c r="D129" s="96">
        <v>436</v>
      </c>
      <c r="E129" s="96">
        <v>0.18166666666666667</v>
      </c>
      <c r="F129" s="96">
        <v>0</v>
      </c>
      <c r="G129" s="121">
        <v>0</v>
      </c>
    </row>
    <row r="130" spans="2:7" x14ac:dyDescent="0.25">
      <c r="B130" s="122" t="str">
        <v>Concrete, 50 MPa, in-situ, no reinforcement, Pre-mix Concrete ENVISIA (Boral) (ACT), (Canberra) ENVISIA 50MPa</v>
      </c>
      <c r="C130" t="str">
        <v>m³</v>
      </c>
      <c r="D130" s="96">
        <v>327</v>
      </c>
      <c r="E130" s="96">
        <v>0.13625000000000001</v>
      </c>
      <c r="F130" s="96">
        <v>0</v>
      </c>
      <c r="G130" s="121">
        <v>0</v>
      </c>
    </row>
    <row r="131" spans="2:7" x14ac:dyDescent="0.25">
      <c r="B131" s="122" t="str">
        <v>Concrete, 50 MPa, in-situ, no reinforcement, Pre-mix Concrete TREMIE (Boral) (ACT), (Canberra) TREMIE 50MPa</v>
      </c>
      <c r="C131" t="str">
        <v>m³</v>
      </c>
      <c r="D131" s="96">
        <v>387</v>
      </c>
      <c r="E131" s="96">
        <v>0.16125</v>
      </c>
      <c r="F131" s="96">
        <v>0</v>
      </c>
      <c r="G131" s="121">
        <v>0</v>
      </c>
    </row>
    <row r="132" spans="2:7" x14ac:dyDescent="0.25">
      <c r="B132" s="122" t="str">
        <v>Concrete, 50 MPa, in-situ, no reinforcement, Pre-mix Concrete TfNSW B80 (Boral) (ACT), (Canberra) TfNSW B80 50MPa 20MM TREMIE CFA C1 EXPOSURE</v>
      </c>
      <c r="C132" t="str">
        <v>m³</v>
      </c>
      <c r="D132" s="96">
        <v>358</v>
      </c>
      <c r="E132" s="96">
        <v>0.14916666666666667</v>
      </c>
      <c r="F132" s="96">
        <v>0</v>
      </c>
      <c r="G132" s="121">
        <v>0</v>
      </c>
    </row>
    <row r="133" spans="2:7" x14ac:dyDescent="0.25">
      <c r="B133" s="122" t="str">
        <v>Concrete, 50 MPa, in-situ, no reinforcement, Pre-mix Concrete TfNSW B80 (Boral) (ACT), (Canberra) TfNSW B80 50MPa 20MM TREMIE B2 EXPOSURE</v>
      </c>
      <c r="C133" t="str">
        <v>m³</v>
      </c>
      <c r="D133" s="96">
        <v>415</v>
      </c>
      <c r="E133" s="96">
        <v>0.17291666666666666</v>
      </c>
      <c r="F133" s="96">
        <v>0</v>
      </c>
      <c r="G133" s="121">
        <v>0</v>
      </c>
    </row>
    <row r="134" spans="2:7" x14ac:dyDescent="0.25">
      <c r="B134" s="122" t="str">
        <v>Concrete, 50 MPa, in-situ, no reinforcement, Pre-mix Concrete Normal Class GP blend (Boral) (NSW), (Newcastle) Normal Class GP blend 50MPa</v>
      </c>
      <c r="C134" t="str">
        <v>m³</v>
      </c>
      <c r="D134" s="96">
        <v>444</v>
      </c>
      <c r="E134" s="96">
        <v>0.185</v>
      </c>
      <c r="F134" s="96">
        <v>0</v>
      </c>
      <c r="G134" s="121">
        <v>0</v>
      </c>
    </row>
    <row r="135" spans="2:7" x14ac:dyDescent="0.25">
      <c r="B135" s="122" t="str">
        <v>Concrete, 50 MPa, in-situ, no reinforcement, Pre-mix Concrete Normal Class GP/FA blend (Boral) (NSW), (Newcastle) Normal Class GP/FA blend 50 MPa</v>
      </c>
      <c r="C135" t="str">
        <v>m³</v>
      </c>
      <c r="D135" s="96">
        <v>410</v>
      </c>
      <c r="E135" s="96">
        <v>0.17083333333333334</v>
      </c>
      <c r="F135" s="96">
        <v>0</v>
      </c>
      <c r="G135" s="121">
        <v>0</v>
      </c>
    </row>
    <row r="136" spans="2:7" x14ac:dyDescent="0.25">
      <c r="B136" s="122" t="str">
        <v>Concrete, 50 MPa, in-situ, no reinforcement, Pre-mix Concrete ENVIROCRETE 30% (Boral) (NSW), (Newcastle) ENVIROCRETE 30% 50 MPa</v>
      </c>
      <c r="C136" t="str">
        <v>m³</v>
      </c>
      <c r="D136" s="96">
        <v>385</v>
      </c>
      <c r="E136" s="96">
        <v>0.16041666666666668</v>
      </c>
      <c r="F136" s="96">
        <v>0</v>
      </c>
      <c r="G136" s="121">
        <v>0</v>
      </c>
    </row>
    <row r="137" spans="2:7" x14ac:dyDescent="0.25">
      <c r="B137" s="122" t="str">
        <v>Concrete, 50 MPa, in-situ, no reinforcement, Pre-mix Concrete ENVIROCRETE 40% (Boral) (NSW), (Newcastle) ENVIROCRETE 40% 50 MPa</v>
      </c>
      <c r="C137" t="str">
        <v>m³</v>
      </c>
      <c r="D137" s="96">
        <v>345</v>
      </c>
      <c r="E137" s="96">
        <v>0.14374999999999999</v>
      </c>
      <c r="F137" s="96">
        <v>0</v>
      </c>
      <c r="G137" s="121">
        <v>0</v>
      </c>
    </row>
    <row r="138" spans="2:7" x14ac:dyDescent="0.25">
      <c r="B138" s="122" t="str">
        <v>Concrete, 50 MPa, in-situ, no reinforcement, Pre-mix Concrete ENVIROCRETE PLUS (Boral) (NSW), (Newcastle) ENVIROCRETE PLUS 50MPa</v>
      </c>
      <c r="C138" t="str">
        <v>m³</v>
      </c>
      <c r="D138" s="96">
        <v>333</v>
      </c>
      <c r="E138" s="96">
        <v>0.13875000000000001</v>
      </c>
      <c r="F138" s="96">
        <v>0</v>
      </c>
      <c r="G138" s="121">
        <v>0</v>
      </c>
    </row>
    <row r="139" spans="2:7" x14ac:dyDescent="0.25">
      <c r="B139" s="122" t="str">
        <v>Concrete, 50 MPa, in-situ, no reinforcement, Pre-mix Concrete ENVISIA (Boral) (NSW), (Newcastle) ENVISIA 50MPa</v>
      </c>
      <c r="C139" t="str">
        <v>m³</v>
      </c>
      <c r="D139" s="96">
        <v>324</v>
      </c>
      <c r="E139" s="96">
        <v>0.13500000000000001</v>
      </c>
      <c r="F139" s="96">
        <v>0</v>
      </c>
      <c r="G139" s="121">
        <v>0</v>
      </c>
    </row>
    <row r="140" spans="2:7" x14ac:dyDescent="0.25">
      <c r="B140" s="122" t="str">
        <v>Concrete, 50 MPa, in-situ, no reinforcement, Pre-mix Concrete HIGH SLUMP (Boral) (NSW), (Newcastle) HIGH SLUMP 50MPa</v>
      </c>
      <c r="C140" t="str">
        <v>m³</v>
      </c>
      <c r="D140" s="96">
        <v>427</v>
      </c>
      <c r="E140" s="96">
        <v>0.17791666666666667</v>
      </c>
      <c r="F140" s="96">
        <v>0</v>
      </c>
      <c r="G140" s="121">
        <v>0</v>
      </c>
    </row>
    <row r="141" spans="2:7" x14ac:dyDescent="0.25">
      <c r="B141" s="122" t="str">
        <v>Concrete, 50 MPa, in-situ, no reinforcement, Pre-mix Concrete TREMIE (Boral) (NSW), (Newcastle) TREMIE 50MPa</v>
      </c>
      <c r="C141" t="str">
        <v>m³</v>
      </c>
      <c r="D141" s="96">
        <v>335</v>
      </c>
      <c r="E141" s="96">
        <v>0.13958333333333334</v>
      </c>
      <c r="F141" s="96">
        <v>0</v>
      </c>
      <c r="G141" s="121">
        <v>0</v>
      </c>
    </row>
    <row r="142" spans="2:7" x14ac:dyDescent="0.25">
      <c r="B142" s="122" t="str">
        <v>Concrete, 50 MPa, in-situ, no reinforcement, Pre-mix Concrete Normal Class GP/GGBFS blend (Boral) (NSW), (Newcastle) Normal Class GP/GGBFS blend 50 MPa</v>
      </c>
      <c r="C142" t="str">
        <v>m³</v>
      </c>
      <c r="D142" s="96">
        <v>313</v>
      </c>
      <c r="E142" s="96">
        <v>0.13041666666666665</v>
      </c>
      <c r="F142" s="96">
        <v>0</v>
      </c>
      <c r="G142" s="121">
        <v>0</v>
      </c>
    </row>
    <row r="143" spans="2:7" x14ac:dyDescent="0.25">
      <c r="B143" s="122" t="str">
        <v>Concrete, 50 MPa, in-situ, no reinforcement, Pre-mix Concrete TfNSW B80 (Boral) (NSW), (Newcastle) TfNSW B80 50MPa 20MM TREMIE CFA C1 EXPOSURE</v>
      </c>
      <c r="C143" t="str">
        <v>m³</v>
      </c>
      <c r="D143" s="96">
        <v>341</v>
      </c>
      <c r="E143" s="96">
        <v>0.14208333333333334</v>
      </c>
      <c r="F143" s="96">
        <v>0</v>
      </c>
      <c r="G143" s="121">
        <v>0</v>
      </c>
    </row>
    <row r="144" spans="2:7" x14ac:dyDescent="0.25">
      <c r="B144" s="122" t="str">
        <v>Concrete, 50 MPa, in-situ, no reinforcement, Pre-mix Concrete TfNSW B80 (Boral) (NSW), (Newcastle) TfNSW B80 50MPa 20MM PUMP B2 EXPOSURE</v>
      </c>
      <c r="C144" t="str">
        <v>m³</v>
      </c>
      <c r="D144" s="96">
        <v>426</v>
      </c>
      <c r="E144" s="96">
        <v>0.17749999999999999</v>
      </c>
      <c r="F144" s="96">
        <v>0</v>
      </c>
      <c r="G144" s="121">
        <v>0</v>
      </c>
    </row>
    <row r="145" spans="2:7" x14ac:dyDescent="0.25">
      <c r="B145" s="122" t="str">
        <v>Concrete, 50 MPa, in-situ, no reinforcement, Pre-mix Concrete TfNSW B80 (Boral) (NSW), (Newcastle) TfNSW B80 50MPa 20MM TREMIE B2 EXPOSURE</v>
      </c>
      <c r="C145" t="str">
        <v>m³</v>
      </c>
      <c r="D145" s="96">
        <v>101</v>
      </c>
      <c r="E145" s="96">
        <v>4.2083333333333334E-2</v>
      </c>
      <c r="F145" s="96">
        <v>0</v>
      </c>
      <c r="G145" s="121">
        <v>0</v>
      </c>
    </row>
    <row r="146" spans="2:7" x14ac:dyDescent="0.25">
      <c r="B146" s="122" t="str">
        <v>Concrete, 50 MPa, in-situ, no reinforcement, Pre-mix Concrete Normal Class GP blend (Boral) (NSW), (Sydney) Normal Class GP blend 50MPa</v>
      </c>
      <c r="C146" t="str">
        <v>m³</v>
      </c>
      <c r="D146" s="96">
        <v>454</v>
      </c>
      <c r="E146" s="96">
        <v>0.18916666666666668</v>
      </c>
      <c r="F146" s="96">
        <v>0</v>
      </c>
      <c r="G146" s="121">
        <v>0</v>
      </c>
    </row>
    <row r="147" spans="2:7" x14ac:dyDescent="0.25">
      <c r="B147" s="122" t="str">
        <v>Concrete, 50 MPa, in-situ, no reinforcement, Pre-mix Concrete Normal Class GP/FA blend (Boral) (NSW), (Sydney) Normal Class GP/FA blend 50 MPa</v>
      </c>
      <c r="C147" t="str">
        <v>m³</v>
      </c>
      <c r="D147" s="96">
        <v>421</v>
      </c>
      <c r="E147" s="96">
        <v>0.17541666666666667</v>
      </c>
      <c r="F147" s="96">
        <v>0</v>
      </c>
      <c r="G147" s="121">
        <v>0</v>
      </c>
    </row>
    <row r="148" spans="2:7" x14ac:dyDescent="0.25">
      <c r="B148" s="122" t="str">
        <v>Concrete, 50 MPa, in-situ, no reinforcement, Pre-mix Concrete Normal Class GP/GGBFS blend (Boral) (NSW), (Sydney) Normal Class GP/GGBFS blend 50 MPa</v>
      </c>
      <c r="C148" t="str">
        <v>m³</v>
      </c>
      <c r="D148" s="96">
        <v>316</v>
      </c>
      <c r="E148" s="96">
        <v>0.13166666666666665</v>
      </c>
      <c r="F148" s="96">
        <v>0</v>
      </c>
      <c r="G148" s="121">
        <v>0</v>
      </c>
    </row>
    <row r="149" spans="2:7" x14ac:dyDescent="0.25">
      <c r="B149" s="122" t="str">
        <v>Concrete, 50 MPa, in-situ, no reinforcement, Pre-mix Concrete Normal Class GP/GGBFS/FA blend (Boral) (NSW), (Sydney) Normal Class GP/GGBFS/FA blend 50 MPa</v>
      </c>
      <c r="C149" t="str">
        <v>m³</v>
      </c>
      <c r="D149" s="96">
        <v>378</v>
      </c>
      <c r="E149" s="96">
        <v>0.1575</v>
      </c>
      <c r="F149" s="96">
        <v>0</v>
      </c>
      <c r="G149" s="121">
        <v>0</v>
      </c>
    </row>
    <row r="150" spans="2:7" x14ac:dyDescent="0.25">
      <c r="B150" s="122" t="str">
        <v>Concrete, 50 MPa, in-situ, no reinforcement, Pre-mix Concrete ENVIROCRETE 30% (Boral) (NSW), (Sydney) ENVIROCRETE 30% 50 MPa</v>
      </c>
      <c r="C150" t="str">
        <v>m³</v>
      </c>
      <c r="D150" s="96">
        <v>393</v>
      </c>
      <c r="E150" s="96">
        <v>0.16375000000000001</v>
      </c>
      <c r="F150" s="96">
        <v>0</v>
      </c>
      <c r="G150" s="121">
        <v>0</v>
      </c>
    </row>
    <row r="151" spans="2:7" x14ac:dyDescent="0.25">
      <c r="B151" s="122" t="str">
        <v>Concrete, 50 MPa, in-situ, no reinforcement, Pre-mix Concrete ENVIROCRETE 40% (Boral) (NSW), (Sydney) ENVIROCRETE 40% 50 MPa</v>
      </c>
      <c r="C151" t="str">
        <v>m³</v>
      </c>
      <c r="D151" s="96">
        <v>348</v>
      </c>
      <c r="E151" s="96">
        <v>0.14499999999999999</v>
      </c>
      <c r="F151" s="96">
        <v>0</v>
      </c>
      <c r="G151" s="121">
        <v>0</v>
      </c>
    </row>
    <row r="152" spans="2:7" x14ac:dyDescent="0.25">
      <c r="B152" s="122" t="str">
        <v>Concrete, 50 MPa, in-situ, no reinforcement, Pre-mix Concrete ENVIROCRETE PLUS (Boral) (NSW), (Sydney) ENVIROCRETE PLUS 50MPa</v>
      </c>
      <c r="C152" t="str">
        <v>m³</v>
      </c>
      <c r="D152" s="96">
        <v>337</v>
      </c>
      <c r="E152" s="96">
        <v>0.14041666666666666</v>
      </c>
      <c r="F152" s="96">
        <v>0</v>
      </c>
      <c r="G152" s="121">
        <v>0</v>
      </c>
    </row>
    <row r="153" spans="2:7" x14ac:dyDescent="0.25">
      <c r="B153" s="122" t="str">
        <v>Concrete, 50 MPa, in-situ, no reinforcement, Pre-mix Concrete TREMIE (Boral) (NSW), (Sydney) TREMIE 50MPa</v>
      </c>
      <c r="C153" t="str">
        <v>m³</v>
      </c>
      <c r="D153" s="96">
        <v>335</v>
      </c>
      <c r="E153" s="96">
        <v>0.13958333333333334</v>
      </c>
      <c r="F153" s="96">
        <v>0</v>
      </c>
      <c r="G153" s="121">
        <v>0</v>
      </c>
    </row>
    <row r="154" spans="2:7" x14ac:dyDescent="0.25">
      <c r="B154" s="122" t="str">
        <v>Concrete, 50 MPa, in-situ, no reinforcement, Pre-mix Concrete ENVISIA (Boral) (NSW), (Sydney) ENVISIA 50MPa</v>
      </c>
      <c r="C154" t="str">
        <v>m³</v>
      </c>
      <c r="D154" s="96">
        <v>324</v>
      </c>
      <c r="E154" s="96">
        <v>0.13500000000000001</v>
      </c>
      <c r="F154" s="96">
        <v>0</v>
      </c>
      <c r="G154" s="121">
        <v>0</v>
      </c>
    </row>
    <row r="155" spans="2:7" x14ac:dyDescent="0.25">
      <c r="B155" s="122" t="str">
        <v>Concrete, 50 MPa, in-situ, no reinforcement, Pre-mix Concrete HIGH SLUMP (Boral) (NSW), (Sydney) HIGH SLUMP 50MPa</v>
      </c>
      <c r="C155" t="str">
        <v>m³</v>
      </c>
      <c r="D155" s="96">
        <v>328</v>
      </c>
      <c r="E155" s="96">
        <v>0.13666666666666666</v>
      </c>
      <c r="F155" s="96">
        <v>0</v>
      </c>
      <c r="G155" s="121">
        <v>0</v>
      </c>
    </row>
    <row r="156" spans="2:7" x14ac:dyDescent="0.25">
      <c r="B156" s="122" t="str">
        <v>Concrete, 50 MPa, in-situ, no reinforcement, Pre-mix Concrete TfNSW B80 (Boral) (NSW), (Sydney) TfNSW B80 50MPa 20MM TREMIE CFA C1 EXPOSURE</v>
      </c>
      <c r="C156" t="str">
        <v>m³</v>
      </c>
      <c r="D156" s="96">
        <v>248</v>
      </c>
      <c r="E156" s="96">
        <v>0.10333333333333333</v>
      </c>
      <c r="F156" s="96">
        <v>0</v>
      </c>
      <c r="G156" s="121">
        <v>0</v>
      </c>
    </row>
    <row r="157" spans="2:7" x14ac:dyDescent="0.25">
      <c r="B157" s="122" t="str">
        <v>Concrete, 50 MPa, in-situ, no reinforcement, Pre-mix Concrete TfNSW B80 (Boral) (NSW), (Sydney) TfNSW B80 50MPa 20MM PUMP B2 EXPOSURE</v>
      </c>
      <c r="C157" t="str">
        <v>m³</v>
      </c>
      <c r="D157" s="96">
        <v>239</v>
      </c>
      <c r="E157" s="96">
        <v>9.9583333333333329E-2</v>
      </c>
      <c r="F157" s="96">
        <v>0</v>
      </c>
      <c r="G157" s="121">
        <v>0</v>
      </c>
    </row>
    <row r="158" spans="2:7" x14ac:dyDescent="0.25">
      <c r="B158" s="122" t="str">
        <v>Concrete, 50 MPa, in-situ, no reinforcement, Pre-mix Concrete TfNSW B80 (Boral) (NSW), (Sydney) TfNSW B80 50MPa 20MM TREMIE B2 EXPOSURE</v>
      </c>
      <c r="C158" t="str">
        <v>m³</v>
      </c>
      <c r="D158" s="96">
        <v>233</v>
      </c>
      <c r="E158" s="96">
        <v>9.7083333333333327E-2</v>
      </c>
      <c r="F158" s="96">
        <v>0</v>
      </c>
      <c r="G158" s="121">
        <v>0</v>
      </c>
    </row>
    <row r="159" spans="2:7" x14ac:dyDescent="0.25">
      <c r="B159" s="122" t="str">
        <v>Concrete, 50 MPa, in-situ, no reinforcement, Pre-mix Concrete Normal Class GP blend (Boral) (NSW), (Wollongong) Normal Class GP blend 50MPa</v>
      </c>
      <c r="C159" t="str">
        <v>m³</v>
      </c>
      <c r="D159" s="96">
        <v>449</v>
      </c>
      <c r="E159" s="96">
        <v>0.18708333333333332</v>
      </c>
      <c r="F159" s="96">
        <v>0</v>
      </c>
      <c r="G159" s="121">
        <v>0</v>
      </c>
    </row>
    <row r="160" spans="2:7" x14ac:dyDescent="0.25">
      <c r="B160" s="122" t="str">
        <v>Concrete, 50 MPa, in-situ, no reinforcement, Pre-mix Concrete Normal Class GP/FA blend (Boral) (NSW), (Wollongong) Normal Class GP/FA blend 50 MPa</v>
      </c>
      <c r="C160" t="str">
        <v>m³</v>
      </c>
      <c r="D160" s="96">
        <v>417</v>
      </c>
      <c r="E160" s="96">
        <v>0.17374999999999999</v>
      </c>
      <c r="F160" s="96">
        <v>0</v>
      </c>
      <c r="G160" s="121">
        <v>0</v>
      </c>
    </row>
    <row r="161" spans="2:7" x14ac:dyDescent="0.25">
      <c r="B161" s="122" t="str">
        <v>Concrete, 50 MPa, in-situ, no reinforcement, Pre-mix Concrete Normal Class GP/GGBFS blend (Boral) (NSW), (Wollongong) Normal Class GP/GGBFS blend 50 MPa</v>
      </c>
      <c r="C161" t="str">
        <v>m³</v>
      </c>
      <c r="D161" s="96">
        <v>309</v>
      </c>
      <c r="E161" s="96">
        <v>0.12875</v>
      </c>
      <c r="F161" s="96">
        <v>0</v>
      </c>
      <c r="G161" s="121">
        <v>0</v>
      </c>
    </row>
    <row r="162" spans="2:7" x14ac:dyDescent="0.25">
      <c r="B162" s="122" t="str">
        <v>Concrete, 50 MPa, in-situ, no reinforcement, Pre-mix Concrete Normal Class GP/GGBFS/FA blend (Boral) (NSW), (Wollongong) Normal Class GP/GGBFS/FA blend 50 MPa</v>
      </c>
      <c r="C162" t="str">
        <v>m³</v>
      </c>
      <c r="D162" s="96">
        <v>376</v>
      </c>
      <c r="E162" s="96">
        <v>0.15666666666666668</v>
      </c>
      <c r="F162" s="96">
        <v>0</v>
      </c>
      <c r="G162" s="121">
        <v>0</v>
      </c>
    </row>
    <row r="163" spans="2:7" x14ac:dyDescent="0.25">
      <c r="B163" s="122" t="str">
        <v>Concrete, 50 MPa, in-situ, no reinforcement, Pre-mix Concrete TfNSW B80 (Boral) (NSW), (Wollongong) TfNSW B80 50MPa 20MM TREMIE CFA C1 EXPOSURE</v>
      </c>
      <c r="C163" t="str">
        <v>m³</v>
      </c>
      <c r="D163" s="96">
        <v>349</v>
      </c>
      <c r="E163" s="96">
        <v>0.14541666666666667</v>
      </c>
      <c r="F163" s="96">
        <v>0</v>
      </c>
      <c r="G163" s="121">
        <v>0</v>
      </c>
    </row>
    <row r="164" spans="2:7" x14ac:dyDescent="0.25">
      <c r="B164" s="122" t="str">
        <v>Concrete, 50 MPa, in-situ, no reinforcement, Pre-mix Concrete ENVIROCRETE 30% (Boral) (NSW), (Wollongong) ENVIROCRETE 30% 50 MPa</v>
      </c>
      <c r="C164" t="str">
        <v>m³</v>
      </c>
      <c r="D164" s="96">
        <v>388</v>
      </c>
      <c r="E164" s="96">
        <v>0.16166666666666665</v>
      </c>
      <c r="F164" s="96">
        <v>0</v>
      </c>
      <c r="G164" s="121">
        <v>0</v>
      </c>
    </row>
    <row r="165" spans="2:7" x14ac:dyDescent="0.25">
      <c r="B165" s="122" t="str">
        <v>Concrete, 50 MPa, in-situ, no reinforcement, Pre-mix Concrete ENVIROCRETE 40% (Boral) (NSW), (Wollongong) ENVIROCRETE 40% 50 MPa</v>
      </c>
      <c r="C165" t="str">
        <v>m³</v>
      </c>
      <c r="D165" s="96">
        <v>345</v>
      </c>
      <c r="E165" s="96">
        <v>0.14374999999999999</v>
      </c>
      <c r="F165" s="96">
        <v>0</v>
      </c>
      <c r="G165" s="121">
        <v>0</v>
      </c>
    </row>
    <row r="166" spans="2:7" x14ac:dyDescent="0.25">
      <c r="B166" s="122" t="str">
        <v>Concrete, 50 MPa, in-situ, no reinforcement, Pre-mix Concrete ENVIROCRETE PLUS (Boral) (NSW), (Wollongong) ENVIROCRETE PLUS 50MPa</v>
      </c>
      <c r="C166" t="str">
        <v>m³</v>
      </c>
      <c r="D166" s="96">
        <v>334</v>
      </c>
      <c r="E166" s="96">
        <v>0.13916666666666666</v>
      </c>
      <c r="F166" s="96">
        <v>0</v>
      </c>
      <c r="G166" s="121">
        <v>0</v>
      </c>
    </row>
    <row r="167" spans="2:7" x14ac:dyDescent="0.25">
      <c r="B167" s="122" t="str">
        <v>Concrete, 50 MPa, in-situ, no reinforcement, Pre-mix Concrete ENVISIA (Boral) (NSW), (Wollongong) ENVISIA 50MPa</v>
      </c>
      <c r="C167" t="str">
        <v>m³</v>
      </c>
      <c r="D167" s="96">
        <v>321</v>
      </c>
      <c r="E167" s="96">
        <v>0.13375000000000001</v>
      </c>
      <c r="F167" s="96">
        <v>0</v>
      </c>
      <c r="G167" s="121">
        <v>0</v>
      </c>
    </row>
    <row r="168" spans="2:7" x14ac:dyDescent="0.25">
      <c r="B168" s="122" t="str">
        <v>Concrete, 50 MPa, in-situ, no reinforcement, Pre-mix Concrete HIGH SLUMP (Boral) (NSW), (Wollongong) HIGH SLUMP 50MPa</v>
      </c>
      <c r="C168" t="str">
        <v>m³</v>
      </c>
      <c r="D168" s="96">
        <v>429</v>
      </c>
      <c r="E168" s="96">
        <v>0.17874999999999999</v>
      </c>
      <c r="F168" s="96">
        <v>0</v>
      </c>
      <c r="G168" s="121">
        <v>0</v>
      </c>
    </row>
    <row r="169" spans="2:7" x14ac:dyDescent="0.25">
      <c r="B169" s="122" t="str">
        <v>Concrete, 50 MPa, in-situ, no reinforcement, Pre-mix Concrete TREMIE (Boral) (NSW), (Wollongong) TREMIE 50MPa</v>
      </c>
      <c r="C169" t="str">
        <v>m³</v>
      </c>
      <c r="D169" s="96">
        <v>378</v>
      </c>
      <c r="E169" s="96">
        <v>0.1575</v>
      </c>
      <c r="F169" s="96">
        <v>0</v>
      </c>
      <c r="G169" s="121">
        <v>0</v>
      </c>
    </row>
    <row r="170" spans="2:7" x14ac:dyDescent="0.25">
      <c r="B170" s="122" t="str">
        <v>Concrete, 50 MPa, in-situ, no reinforcement, Pre-mix Concrete ENVISIA (Boral) (TAS), (Hobart) ENVISIA 50 MPa</v>
      </c>
      <c r="C170" t="str">
        <v>m³</v>
      </c>
      <c r="D170" s="96">
        <v>399</v>
      </c>
      <c r="E170" s="96">
        <v>0.16625000000000001</v>
      </c>
      <c r="F170" s="96">
        <v>0</v>
      </c>
      <c r="G170" s="121">
        <v>0</v>
      </c>
    </row>
    <row r="171" spans="2:7" x14ac:dyDescent="0.25">
      <c r="B171" s="122" t="str">
        <v>Concrete, 50 MPa, in-situ, no reinforcement, Pre-mix Concrete Normal Class GP blend (Boral) (TAS), (Hobart) Normal Class GP blend 50MPa</v>
      </c>
      <c r="C171" t="str">
        <v>m³</v>
      </c>
      <c r="D171" s="96">
        <v>498</v>
      </c>
      <c r="E171" s="96">
        <v>0.20749999999999999</v>
      </c>
      <c r="F171" s="96">
        <v>0</v>
      </c>
      <c r="G171" s="121">
        <v>0</v>
      </c>
    </row>
    <row r="172" spans="2:7" x14ac:dyDescent="0.25">
      <c r="B172" s="122" t="str">
        <v>Concrete, 50 MPa, in-situ, no reinforcement, Pre-mix Concrete HIGH STRENGTH (Boral) (TAS), (Hobart) HIGH STRENGTH 50 MPa</v>
      </c>
      <c r="C172" t="str">
        <v>m³</v>
      </c>
      <c r="D172" s="96">
        <v>498</v>
      </c>
      <c r="E172" s="96">
        <v>0.20749999999999999</v>
      </c>
      <c r="F172" s="96">
        <v>0</v>
      </c>
      <c r="G172" s="121">
        <v>0</v>
      </c>
    </row>
    <row r="173" spans="2:7" x14ac:dyDescent="0.25">
      <c r="B173" s="122" t="str">
        <v>Concrete, 50 MPa, in-situ, no reinforcement, Pre-mix Concrete (Boral) (TAS), (Hobart) VICROADS VR450 50 MPa 20MM TREMIE B2 / CFA C1 EXPOSURE</v>
      </c>
      <c r="C173" t="str">
        <v>m³</v>
      </c>
      <c r="D173" s="96">
        <v>513</v>
      </c>
      <c r="E173" s="96">
        <v>0.21375</v>
      </c>
      <c r="F173" s="96">
        <v>0</v>
      </c>
      <c r="G173" s="121">
        <v>0</v>
      </c>
    </row>
    <row r="174" spans="2:7" x14ac:dyDescent="0.25">
      <c r="B174" s="122" t="str">
        <v>Concrete, 50 MPa, in-situ, no reinforcement, Pre-mix Concrete Normal Class GP blend (Boral) (TAS), (Launceston) Normal Class GP blend 50MPa</v>
      </c>
      <c r="C174" t="str">
        <v>m³</v>
      </c>
      <c r="D174" s="96">
        <v>490</v>
      </c>
      <c r="E174" s="96">
        <v>0.20416666666666666</v>
      </c>
      <c r="F174" s="96">
        <v>0</v>
      </c>
      <c r="G174" s="121">
        <v>0</v>
      </c>
    </row>
    <row r="175" spans="2:7" x14ac:dyDescent="0.25">
      <c r="B175" s="122" t="str">
        <v>Concrete, 50 MPa, in-situ, no reinforcement, Pre-mix Concrete ENVISIA (Boral) (TAS), (Launceston) ENVISIA 50 MPa</v>
      </c>
      <c r="C175" t="str">
        <v>m³</v>
      </c>
      <c r="D175" s="96">
        <v>386</v>
      </c>
      <c r="E175" s="96">
        <v>0.16083333333333333</v>
      </c>
      <c r="F175" s="96">
        <v>0</v>
      </c>
      <c r="G175" s="121">
        <v>0</v>
      </c>
    </row>
    <row r="176" spans="2:7" x14ac:dyDescent="0.25">
      <c r="B176" s="122" t="str">
        <v>Concrete, 50 MPa, in-situ, no reinforcement, Pre-mix Concrete HIGH STRENGTH (Boral) (TAS), (Launceston) HIGH STRENGTH 50 MPa</v>
      </c>
      <c r="C176" t="str">
        <v>m³</v>
      </c>
      <c r="D176" s="96">
        <v>490</v>
      </c>
      <c r="E176" s="96">
        <v>0.20416666666666666</v>
      </c>
      <c r="F176" s="96">
        <v>0</v>
      </c>
      <c r="G176" s="121">
        <v>0</v>
      </c>
    </row>
    <row r="177" spans="2:7" x14ac:dyDescent="0.25">
      <c r="B177" s="122" t="str">
        <v>Concrete, 50 MPa, in-situ, no reinforcement, Pre-mix Concrete (Boral) (TAS), (Launceston) VICROADS VR450 50 MPa 20MM TREMIE B2 / CFA C1 EXPOSURE</v>
      </c>
      <c r="C177" t="str">
        <v>m³</v>
      </c>
      <c r="D177" s="96">
        <v>473</v>
      </c>
      <c r="E177" s="96">
        <v>0.19708333333333333</v>
      </c>
      <c r="F177" s="96">
        <v>0</v>
      </c>
      <c r="G177" s="121">
        <v>0</v>
      </c>
    </row>
    <row r="178" spans="2:7" x14ac:dyDescent="0.25">
      <c r="B178" s="122" t="str">
        <v>Concrete, 50 MPa, in-situ, no reinforcement, GP, Normal Class (WA Premix) (WA), (Perth)</v>
      </c>
      <c r="C178" t="str">
        <v>m³</v>
      </c>
      <c r="D178" s="96">
        <v>505</v>
      </c>
      <c r="E178" s="96">
        <v>0.21041666666666667</v>
      </c>
      <c r="F178" s="96">
        <v>0</v>
      </c>
      <c r="G178" s="121">
        <v>0</v>
      </c>
    </row>
    <row r="179" spans="2:7" x14ac:dyDescent="0.25">
      <c r="B179" s="122" t="str">
        <v>Concrete, 50 MPa, in-situ, no reinforcement, AH1440, Special Class (WA Premix) (WA), (Perth)</v>
      </c>
      <c r="C179" t="str">
        <v>m³</v>
      </c>
      <c r="D179" s="96">
        <v>510</v>
      </c>
      <c r="E179" s="96">
        <v>0.21249999999999999</v>
      </c>
      <c r="F179" s="96">
        <v>0</v>
      </c>
      <c r="G179" s="121">
        <v>0</v>
      </c>
    </row>
    <row r="180" spans="2:7" x14ac:dyDescent="0.25">
      <c r="B180" s="122" t="str">
        <v>Concrete, 50 MPa, in-situ, no reinforcement, AH1450, Special Class (WA Premix) (WA), (Perth)</v>
      </c>
      <c r="C180" t="str">
        <v>m³</v>
      </c>
      <c r="D180" s="96">
        <v>517</v>
      </c>
      <c r="E180" s="96">
        <v>0.21541666666666667</v>
      </c>
      <c r="F180" s="96">
        <v>0</v>
      </c>
      <c r="G180" s="121">
        <v>0</v>
      </c>
    </row>
    <row r="181" spans="2:7" x14ac:dyDescent="0.25">
      <c r="B181" s="122" t="str">
        <v>Concrete, 50 MPa, in-situ, no reinforcement, BH1450, Special Class (WA Premix) (WA), (Perth)</v>
      </c>
      <c r="C181" t="str">
        <v>m³</v>
      </c>
      <c r="D181" s="96">
        <v>523</v>
      </c>
      <c r="E181" s="96">
        <v>0.21791666666666668</v>
      </c>
      <c r="F181" s="96">
        <v>0</v>
      </c>
      <c r="G181" s="121">
        <v>0</v>
      </c>
    </row>
    <row r="182" spans="2:7" x14ac:dyDescent="0.25">
      <c r="B182" s="122" t="str">
        <v>Concrete, 50 MPa, in-situ, no reinforcement, AH6444, Special Class (WA Premix) (WA), (Perth)</v>
      </c>
      <c r="C182" t="str">
        <v>m³</v>
      </c>
      <c r="D182" s="96">
        <v>251</v>
      </c>
      <c r="E182" s="96">
        <v>0.10458333333333333</v>
      </c>
      <c r="F182" s="96">
        <v>0</v>
      </c>
      <c r="G182" s="121">
        <v>0</v>
      </c>
    </row>
    <row r="183" spans="2:7" x14ac:dyDescent="0.25">
      <c r="B183" s="122" t="str">
        <v>Concrete, 50 MPa, in-situ, no reinforcement, AH6476, Special Class (WA Premix) (WA), (Perth)</v>
      </c>
      <c r="C183" t="str">
        <v>m³</v>
      </c>
      <c r="D183" s="96">
        <v>275</v>
      </c>
      <c r="E183" s="96">
        <v>0.11458333333333333</v>
      </c>
      <c r="F183" s="96">
        <v>0</v>
      </c>
      <c r="G183" s="121">
        <v>0</v>
      </c>
    </row>
    <row r="184" spans="2:7" x14ac:dyDescent="0.25">
      <c r="B184" s="122" t="str">
        <v>Concrete, 50 MPa, in-situ, no reinforcement, AH6445, Special Class (WA Premix) (WA), (Perth)</v>
      </c>
      <c r="C184" t="str">
        <v>m³</v>
      </c>
      <c r="D184" s="96">
        <v>252</v>
      </c>
      <c r="E184" s="96">
        <v>0.105</v>
      </c>
      <c r="F184" s="96">
        <v>0</v>
      </c>
      <c r="G184" s="121">
        <v>0</v>
      </c>
    </row>
    <row r="185" spans="2:7" x14ac:dyDescent="0.25">
      <c r="B185" s="122" t="str">
        <v>Concrete, 50 MPa, in-situ, no reinforcement, AH6450, Special Class (WA Premix) (WA), (Perth)</v>
      </c>
      <c r="C185" t="str">
        <v>m³</v>
      </c>
      <c r="D185" s="96">
        <v>255</v>
      </c>
      <c r="E185" s="96">
        <v>0.10625</v>
      </c>
      <c r="F185" s="96">
        <v>0</v>
      </c>
      <c r="G185" s="121">
        <v>0</v>
      </c>
    </row>
    <row r="186" spans="2:7" x14ac:dyDescent="0.25">
      <c r="B186" s="122" t="str">
        <v>Concrete, 50 MPa, in-situ, no reinforcement, BP6450, Special Class (WA Premix) (WA), (Perth)</v>
      </c>
      <c r="C186" t="str">
        <v>m³</v>
      </c>
      <c r="D186" s="96">
        <v>259</v>
      </c>
      <c r="E186" s="96">
        <v>0.10791666666666666</v>
      </c>
      <c r="F186" s="96">
        <v>0</v>
      </c>
      <c r="G186" s="121">
        <v>0</v>
      </c>
    </row>
    <row r="187" spans="2:7" x14ac:dyDescent="0.25">
      <c r="B187" s="122" t="str">
        <v>Concrete, 50 MPa, in-situ, no reinforcement, BP8450, Special Class (WA Premix) (WA), (Perth)</v>
      </c>
      <c r="C187" t="str">
        <v>m³</v>
      </c>
      <c r="D187" s="96">
        <v>271</v>
      </c>
      <c r="E187" s="96">
        <v>0.11291666666666667</v>
      </c>
      <c r="F187" s="96">
        <v>0</v>
      </c>
      <c r="G187" s="121">
        <v>0</v>
      </c>
    </row>
    <row r="188" spans="2:7" x14ac:dyDescent="0.25">
      <c r="B188" s="122" t="str">
        <v>Concrete, 50 MPa, in-situ, no reinforcement, AH1446, Special Class (WA Premix) (WA), (Perth)</v>
      </c>
      <c r="C188" t="str">
        <v>m³</v>
      </c>
      <c r="D188" s="96">
        <v>517</v>
      </c>
      <c r="E188" s="96">
        <v>0.21541666666666667</v>
      </c>
      <c r="F188" s="96">
        <v>0</v>
      </c>
      <c r="G188" s="121">
        <v>0</v>
      </c>
    </row>
    <row r="189" spans="2:7" x14ac:dyDescent="0.25">
      <c r="B189" s="122" t="str">
        <v>Concrete, 50 MPa, in-situ, no reinforcement, AH1448, Special Class (WA Premix) (WA), (Perth)</v>
      </c>
      <c r="C189" t="str">
        <v>m³</v>
      </c>
      <c r="D189" s="96">
        <v>521</v>
      </c>
      <c r="E189" s="96">
        <v>0.21708333333333332</v>
      </c>
      <c r="F189" s="96">
        <v>0</v>
      </c>
      <c r="G189" s="121">
        <v>0</v>
      </c>
    </row>
    <row r="190" spans="2:7" x14ac:dyDescent="0.25">
      <c r="B190" s="122" t="str">
        <v>Concrete, 50 MPa, in-situ, no reinforcement, AH9450, Special Class (WA Premix) (WA), (Perth)</v>
      </c>
      <c r="C190" t="str">
        <v>m³</v>
      </c>
      <c r="D190" s="96">
        <v>514</v>
      </c>
      <c r="E190" s="96">
        <v>0.21416666666666667</v>
      </c>
      <c r="F190" s="96">
        <v>0</v>
      </c>
      <c r="G190" s="121">
        <v>0</v>
      </c>
    </row>
    <row r="191" spans="2:7" x14ac:dyDescent="0.25">
      <c r="B191" s="122" t="str">
        <v>Concrete, 50 MPa, in-situ, no reinforcement, BH1446, Special Class (WA Premix) (WA), (Perth)</v>
      </c>
      <c r="C191" t="str">
        <v>m³</v>
      </c>
      <c r="D191" s="96">
        <v>518</v>
      </c>
      <c r="E191" s="96">
        <v>0.21583333333333332</v>
      </c>
      <c r="F191" s="96">
        <v>0</v>
      </c>
      <c r="G191" s="121">
        <v>0</v>
      </c>
    </row>
    <row r="192" spans="2:7" x14ac:dyDescent="0.25">
      <c r="B192" s="122" t="str">
        <v>Concrete, 50 MPa, in-situ, no reinforcement, BH1447, Special Class (WA Premix) (WA), (Perth)</v>
      </c>
      <c r="C192" t="str">
        <v>m³</v>
      </c>
      <c r="D192" s="96">
        <v>519</v>
      </c>
      <c r="E192" s="96">
        <v>0.21625</v>
      </c>
      <c r="F192" s="96">
        <v>0</v>
      </c>
      <c r="G192" s="121">
        <v>0</v>
      </c>
    </row>
    <row r="193" spans="2:7" x14ac:dyDescent="0.25">
      <c r="B193" s="122" t="str">
        <v>Concrete, 50 MPa, in-situ, no reinforcement, BH3500, Special Class (WA Premix) (WA), (Perth)</v>
      </c>
      <c r="C193" t="str">
        <v>m³</v>
      </c>
      <c r="D193" s="96">
        <v>421</v>
      </c>
      <c r="E193" s="96">
        <v>0.17541666666666667</v>
      </c>
      <c r="F193" s="96">
        <v>0</v>
      </c>
      <c r="G193" s="121">
        <v>0</v>
      </c>
    </row>
    <row r="194" spans="2:7" x14ac:dyDescent="0.25">
      <c r="B194" s="122" t="str">
        <v>Concrete, 50 MPa, in-situ, no reinforcement, CK9419, Special Class (WA Premix) (WA), (Perth)</v>
      </c>
      <c r="C194" t="str">
        <v>m³</v>
      </c>
      <c r="D194" s="96">
        <v>478</v>
      </c>
      <c r="E194" s="96">
        <v>0.19916666666666666</v>
      </c>
      <c r="F194" s="96">
        <v>0</v>
      </c>
      <c r="G194" s="121">
        <v>0</v>
      </c>
    </row>
    <row r="195" spans="2:7" x14ac:dyDescent="0.25">
      <c r="B195" s="122" t="str">
        <v>Concrete, 50 MPa, in-situ, no reinforcement, Ready-Mix Concrete (LC)50 (Concrite) (NSW) (Sydney Region, NSW)</v>
      </c>
      <c r="C195" t="str">
        <v>m³</v>
      </c>
      <c r="D195" s="96">
        <v>272</v>
      </c>
      <c r="E195" s="96">
        <v>0.11333333333333333</v>
      </c>
      <c r="F195" s="96">
        <v>0</v>
      </c>
      <c r="G195" s="121">
        <v>0</v>
      </c>
    </row>
    <row r="196" spans="2:7" x14ac:dyDescent="0.25">
      <c r="B196" s="122" t="str">
        <v>Concrete, 50 MPa, in-situ, no reinforcement, Ready-Mix Concrete (LC)40 (Concrite) (NSW) (Sydney Region, NSW)</v>
      </c>
      <c r="C196" t="str">
        <v>m³</v>
      </c>
      <c r="D196" s="96">
        <v>314</v>
      </c>
      <c r="E196" s="96">
        <v>0.13083333333333333</v>
      </c>
      <c r="F196" s="96">
        <v>0</v>
      </c>
      <c r="G196" s="121">
        <v>0</v>
      </c>
    </row>
    <row r="197" spans="2:7" x14ac:dyDescent="0.25">
      <c r="B197" s="122" t="str">
        <v>Concrete, 50 MPa, in-situ, no reinforcement, Ready-Mix Concrete (LC)30 (Concrite) (NSW) (Sydney Region, NSW)</v>
      </c>
      <c r="C197" t="str">
        <v>m³</v>
      </c>
      <c r="D197" s="96">
        <v>395</v>
      </c>
      <c r="E197" s="96">
        <v>0.16458333333333333</v>
      </c>
      <c r="F197" s="96">
        <v>0</v>
      </c>
      <c r="G197" s="121">
        <v>0</v>
      </c>
    </row>
    <row r="198" spans="2:7" x14ac:dyDescent="0.25">
      <c r="B198" s="122" t="str">
        <v>Concrete, 50 MPa, in-situ, no reinforcement, Ready-Mix Concrete (LCHP) (Concrite) (NSW) (Sydney Region, NSW)</v>
      </c>
      <c r="C198" t="str">
        <v>m³</v>
      </c>
      <c r="D198" s="96">
        <v>326</v>
      </c>
      <c r="E198" s="96">
        <v>0.13583333333333333</v>
      </c>
      <c r="F198" s="96">
        <v>0</v>
      </c>
      <c r="G198" s="121">
        <v>0</v>
      </c>
    </row>
    <row r="199" spans="2:7" x14ac:dyDescent="0.25">
      <c r="B199" s="122" t="str">
        <v>Concrete, 50 MPa, in-situ, no reinforcement, Ready-Mix Concrete (LCP) (Concrite) (NSW) (Sydney Region, NSW)</v>
      </c>
      <c r="C199" t="str">
        <v>m³</v>
      </c>
      <c r="D199" s="96">
        <v>348</v>
      </c>
      <c r="E199" s="96">
        <v>0.14499999999999999</v>
      </c>
      <c r="F199" s="96">
        <v>0</v>
      </c>
      <c r="G199" s="121">
        <v>0</v>
      </c>
    </row>
    <row r="200" spans="2:7" x14ac:dyDescent="0.25">
      <c r="B200" s="122" t="str">
        <v>Concrete, 50 MPa, in-situ, no reinforcement, Ready-Mix Concrete Normal class GP blend (Concrite) (NSW) (Sydney Region, NSW)</v>
      </c>
      <c r="C200" t="str">
        <v>m³</v>
      </c>
      <c r="D200" s="96">
        <v>435</v>
      </c>
      <c r="E200" s="96">
        <v>0.18124999999999999</v>
      </c>
      <c r="F200" s="96">
        <v>0</v>
      </c>
      <c r="G200" s="121">
        <v>0</v>
      </c>
    </row>
    <row r="201" spans="2:7" x14ac:dyDescent="0.25">
      <c r="B201" s="122" t="str">
        <v>Concrete, 50 MPa, in-situ, no reinforcement, Ready-Mix Concrete HIGH SLUMP (Concrite) (NSW) (Sydney Region, NSW)</v>
      </c>
      <c r="C201" t="str">
        <v>m³</v>
      </c>
      <c r="D201" s="96">
        <v>377</v>
      </c>
      <c r="E201" s="96">
        <v>0.15708333333333332</v>
      </c>
      <c r="F201" s="96">
        <v>0</v>
      </c>
      <c r="G201" s="121">
        <v>0</v>
      </c>
    </row>
    <row r="202" spans="2:7" x14ac:dyDescent="0.25">
      <c r="B202" s="122" t="str">
        <v>Concrete, 50 MPa, in-situ, no reinforcement, Ready-Mix Concrete TREMIE 50MPa (Concrite) (NSW) (Sydney Region, NSW)</v>
      </c>
      <c r="C202" t="str">
        <v>m³</v>
      </c>
      <c r="D202" s="96">
        <v>378</v>
      </c>
      <c r="E202" s="96">
        <v>0.1575</v>
      </c>
      <c r="F202" s="96">
        <v>0</v>
      </c>
      <c r="G202" s="121">
        <v>0</v>
      </c>
    </row>
    <row r="203" spans="2:7" x14ac:dyDescent="0.25">
      <c r="B203" s="122" t="str">
        <v>Concrete, 50 MPa, in-situ, no reinforcement, Ready-Mix Concrete TfNSW B80 10MM PUMP B2 EXPOSURE (Concrite) (NSW) (Sydney Region, NSW)</v>
      </c>
      <c r="C203" t="str">
        <v>m³</v>
      </c>
      <c r="D203" s="96">
        <v>250</v>
      </c>
      <c r="E203" s="96">
        <v>0.10416666666666667</v>
      </c>
      <c r="F203" s="96">
        <v>0</v>
      </c>
      <c r="G203" s="121">
        <v>0</v>
      </c>
    </row>
    <row r="204" spans="2:7" x14ac:dyDescent="0.25">
      <c r="B204" s="122" t="str">
        <v>Concrete, 50 MPa, in-situ, no reinforcement, Ready-Mix Concrete TfNSW B80 20MM PUMP B1 EXPOSURE (Concrite) (NSW) (Sydney Region, NSW)</v>
      </c>
      <c r="C204" t="str">
        <v>m³</v>
      </c>
      <c r="D204" s="96">
        <v>405</v>
      </c>
      <c r="E204" s="96">
        <v>0.16875000000000001</v>
      </c>
      <c r="F204" s="96">
        <v>0</v>
      </c>
      <c r="G204" s="121">
        <v>0</v>
      </c>
    </row>
    <row r="205" spans="2:7" x14ac:dyDescent="0.25">
      <c r="B205" s="122" t="str">
        <v>Concrete, 50 MPa, in-situ, no reinforcement, Ready-Mix Concrete TfNSW B80 20MM PUMP B2 EXPOSURE (Concrite) (NSW) (Sydney Region, NSW)</v>
      </c>
      <c r="C205" t="str">
        <v>m³</v>
      </c>
      <c r="D205" s="96">
        <v>251</v>
      </c>
      <c r="E205" s="96">
        <v>0.10458333333333333</v>
      </c>
      <c r="F205" s="96">
        <v>0</v>
      </c>
      <c r="G205" s="121">
        <v>0</v>
      </c>
    </row>
    <row r="206" spans="2:7" x14ac:dyDescent="0.25">
      <c r="B206" s="122" t="str">
        <v>Concrete, 50 MPa, in-situ, no reinforcement, Ready-Mix Concrete SLAG AGG CONCRETE MIX, (LC)50 (Concrite) (NSW) (Sydney Region, NSW)</v>
      </c>
      <c r="C206" t="str">
        <v>m³</v>
      </c>
      <c r="D206" s="96">
        <v>287</v>
      </c>
      <c r="E206" s="96">
        <v>0.11958333333333333</v>
      </c>
      <c r="F206" s="96">
        <v>0</v>
      </c>
      <c r="G206" s="121">
        <v>0</v>
      </c>
    </row>
    <row r="207" spans="2:7" x14ac:dyDescent="0.25">
      <c r="B207" s="122" t="str">
        <v>Concrete, 50 MPa, in-situ, no reinforcement, Ready-Mix Concrete SLAG AGG CONCRETE MIX, (LC)40 (Concrite) (NSW) (Sydney Region, NSW)</v>
      </c>
      <c r="C207" t="str">
        <v>m³</v>
      </c>
      <c r="D207" s="96">
        <v>323</v>
      </c>
      <c r="E207" s="96">
        <v>0.13458333333333333</v>
      </c>
      <c r="F207" s="96">
        <v>0</v>
      </c>
      <c r="G207" s="121">
        <v>0</v>
      </c>
    </row>
    <row r="208" spans="2:7" x14ac:dyDescent="0.25">
      <c r="B208" s="122" t="str">
        <v>Concrete, 50 MPa, in-situ, no reinforcement, Ready-Mix Concrete SLAG AGG CONCRETE MIX, (LC)30 (Concrite) (NSW) (Sydney Region, NSW)</v>
      </c>
      <c r="C208" t="str">
        <v>m³</v>
      </c>
      <c r="D208" s="96">
        <v>391</v>
      </c>
      <c r="E208" s="96">
        <v>0.16291666666666665</v>
      </c>
      <c r="F208" s="96">
        <v>0</v>
      </c>
      <c r="G208" s="121">
        <v>0</v>
      </c>
    </row>
    <row r="209" spans="2:7" x14ac:dyDescent="0.25">
      <c r="B209" s="122" t="str">
        <v>Concrete, 50 MPa, in-situ, no reinforcement, Ready-Mix Concrete (LC)30 50MPa (Concrite) (NSW) (Southern Highlands, NSW)</v>
      </c>
      <c r="C209" t="str">
        <v>m³</v>
      </c>
      <c r="D209" s="96">
        <v>393</v>
      </c>
      <c r="E209" s="96">
        <v>0.16375000000000001</v>
      </c>
      <c r="F209" s="96">
        <v>0</v>
      </c>
      <c r="G209" s="121">
        <v>0</v>
      </c>
    </row>
    <row r="210" spans="2:7" x14ac:dyDescent="0.25">
      <c r="B210" s="122" t="str">
        <v>Concrete, 50 MPa, in-situ, no reinforcement, Ready-Mix Concrete NORMAL CLASS GP BLEND (Concrite) (NSW) (Southern Highlands, NSW)</v>
      </c>
      <c r="C210" t="str">
        <v>m³</v>
      </c>
      <c r="D210" s="96">
        <v>446</v>
      </c>
      <c r="E210" s="96">
        <v>0.18583333333333332</v>
      </c>
      <c r="F210" s="96">
        <v>0</v>
      </c>
      <c r="G210" s="121">
        <v>0</v>
      </c>
    </row>
    <row r="211" spans="2:7" x14ac:dyDescent="0.25">
      <c r="B211" s="122" t="str">
        <v>Concrete, 50 MPa, in-situ, no reinforcement, Ready-Mix Concrete HIGH SLUMP (Concrite) (NSW) (Southern Highlands, NSW)</v>
      </c>
      <c r="C211" t="str">
        <v>m³</v>
      </c>
      <c r="D211" s="96">
        <v>398</v>
      </c>
      <c r="E211" s="96">
        <v>0.16583333333333333</v>
      </c>
      <c r="F211" s="96">
        <v>0</v>
      </c>
      <c r="G211" s="121">
        <v>0</v>
      </c>
    </row>
    <row r="212" spans="2:7" x14ac:dyDescent="0.25">
      <c r="B212" s="122" t="str">
        <v>Concrete, 50 MPa, in-situ, no reinforcement, Ready-Mix Concrete LC30 50MPa (Concrite) (ACT) (Canberra, ACT)</v>
      </c>
      <c r="C212" t="str">
        <v>m³</v>
      </c>
      <c r="D212" s="96">
        <v>408</v>
      </c>
      <c r="E212" s="96">
        <v>0.17</v>
      </c>
      <c r="F212" s="96">
        <v>0</v>
      </c>
      <c r="G212" s="121">
        <v>0</v>
      </c>
    </row>
    <row r="213" spans="2:7" x14ac:dyDescent="0.25">
      <c r="B213" s="122" t="str">
        <v>Concrete, 50 MPa, in-situ, no reinforcement, (Futurecrete® Ultra S50MPA DINCEL 10MM) (Adbri) (NSW)</v>
      </c>
      <c r="C213" t="str">
        <v>m³</v>
      </c>
      <c r="D213" s="96">
        <v>319.1198</v>
      </c>
      <c r="E213" s="96">
        <v>0.1329665833333333</v>
      </c>
      <c r="F213" s="96">
        <v>0</v>
      </c>
      <c r="G213" s="121">
        <v>0</v>
      </c>
    </row>
    <row r="214" spans="2:7" x14ac:dyDescent="0.25">
      <c r="B214" s="122" t="str">
        <v>Concrete, 50 MPa, in-situ, no reinforcement, (Futurecrete®  Ultra S50MPA PILE/ TREMIE 10MM SP) (Adbri) (NSW)</v>
      </c>
      <c r="C214" t="str">
        <v>m³</v>
      </c>
      <c r="D214" s="96">
        <v>319.1198</v>
      </c>
      <c r="E214" s="96">
        <v>0.1329665833333333</v>
      </c>
      <c r="F214" s="96">
        <v>0</v>
      </c>
      <c r="G214" s="121">
        <v>0</v>
      </c>
    </row>
    <row r="215" spans="2:7" x14ac:dyDescent="0.25">
      <c r="B215" s="122" t="str">
        <v>Concrete, 50 MPa, in-situ, no reinforcement, (Futurecrete® Ultra S50MPA 10MM RITEK) (Adbri) (NSW)</v>
      </c>
      <c r="C215" t="str">
        <v>m³</v>
      </c>
      <c r="D215" s="96">
        <v>316.01980000000003</v>
      </c>
      <c r="E215" s="96">
        <v>0.13167491666666667</v>
      </c>
      <c r="F215" s="96">
        <v>0</v>
      </c>
      <c r="G215" s="121">
        <v>0</v>
      </c>
    </row>
    <row r="216" spans="2:7" x14ac:dyDescent="0.25">
      <c r="B216" s="122" t="str">
        <v>Concrete, 50 MPa, in-situ, no reinforcement, (Futurecrete® Ultra S50MPA 10MM AFS WALL SYSTEM) (Adbri) (NSW)</v>
      </c>
      <c r="C216" t="str">
        <v>m³</v>
      </c>
      <c r="D216" s="96">
        <v>313.63940000000002</v>
      </c>
      <c r="E216" s="96">
        <v>0.13068308333333334</v>
      </c>
      <c r="F216" s="96">
        <v>0</v>
      </c>
      <c r="G216" s="121">
        <v>0</v>
      </c>
    </row>
    <row r="217" spans="2:7" x14ac:dyDescent="0.25">
      <c r="B217" s="122" t="str">
        <v>Concrete, 50 MPa, in-situ, no reinforcement, (Adbri Concrete
N Class GP/GL:FA
50 MPa) (Adbri) (NSW)</v>
      </c>
      <c r="C217" t="str">
        <v>m³</v>
      </c>
      <c r="D217" s="96">
        <v>450.92759999999998</v>
      </c>
      <c r="E217" s="96">
        <v>0.18788649999999998</v>
      </c>
      <c r="F217" s="96">
        <v>0</v>
      </c>
      <c r="G217" s="121">
        <v>0</v>
      </c>
    </row>
    <row r="218" spans="2:7" x14ac:dyDescent="0.25">
      <c r="B218" s="122" t="str">
        <v>Concrete, 50 MPa, in-situ, no reinforcement, (TR5014E1)(LH) (BCG) (WA), (Perth)</v>
      </c>
      <c r="C218" t="str">
        <v>m³</v>
      </c>
      <c r="D218" s="96">
        <v>289.95999999999998</v>
      </c>
      <c r="E218" s="96">
        <v>0.12081666666666667</v>
      </c>
      <c r="F218" s="96">
        <v>0</v>
      </c>
      <c r="G218" s="121">
        <v>0</v>
      </c>
    </row>
    <row r="219" spans="2:7" x14ac:dyDescent="0.25">
      <c r="B219" s="122" t="str">
        <v>Concrete, 50 MPa, in-situ, no reinforcement, (R5020A)(GP) (BCG) (WA), (Perth)</v>
      </c>
      <c r="C219" t="str">
        <v>m³</v>
      </c>
      <c r="D219" s="96">
        <v>515.87</v>
      </c>
      <c r="E219" s="96">
        <v>0.21494583333333334</v>
      </c>
      <c r="F219" s="96">
        <v>0</v>
      </c>
      <c r="G219" s="121">
        <v>0</v>
      </c>
    </row>
    <row r="220" spans="2:7" x14ac:dyDescent="0.25">
      <c r="B220" s="122" t="str">
        <v>Concrete, 50 MPa, in-situ, no reinforcement, (Adbri Concrete N Class GP:GL 50 MPa
- Winnellie) (Adbri) (NT)</v>
      </c>
      <c r="C220" t="str">
        <v>m³</v>
      </c>
      <c r="D220" s="96">
        <v>557.34100000000001</v>
      </c>
      <c r="E220" s="96">
        <v>0.23222541666666666</v>
      </c>
      <c r="F220" s="96">
        <v>0</v>
      </c>
      <c r="G220" s="121">
        <v>0</v>
      </c>
    </row>
    <row r="221" spans="2:7" x14ac:dyDescent="0.25">
      <c r="B221" s="122" t="str">
        <v>Concrete, 50 MPa, in-situ, no reinforcement, (WE504EQ01)(Ecopact) (Holcim) (WA), (Perth Metro)</v>
      </c>
      <c r="C221" t="str">
        <v>m³</v>
      </c>
      <c r="D221" s="96">
        <v>381.54</v>
      </c>
      <c r="E221" s="96">
        <v>0.15897500000000001</v>
      </c>
      <c r="F221" s="96">
        <v>0</v>
      </c>
      <c r="G221" s="121">
        <v>0</v>
      </c>
    </row>
    <row r="222" spans="2:7" x14ac:dyDescent="0.25">
      <c r="B222" s="122" t="str">
        <v>Concrete, 50 MPa, in-situ, no reinforcement, (SE501EHES) (Ecopact) (Holcim) (SA) (Adelaide)</v>
      </c>
      <c r="C222" t="str">
        <v>m³</v>
      </c>
      <c r="D222" s="96">
        <v>396.42</v>
      </c>
      <c r="E222" s="96">
        <v>0.16517500000000002</v>
      </c>
      <c r="F222" s="96">
        <v>0</v>
      </c>
      <c r="G222" s="121">
        <v>0</v>
      </c>
    </row>
    <row r="223" spans="2:7" x14ac:dyDescent="0.25">
      <c r="B223" s="122" t="str">
        <v>Concrete, 50 MPa, in-situ, no reinforcement, (SE501EPSW) (Ecopact) (Holcim) (SA) (Adelaide)</v>
      </c>
      <c r="C223" t="str">
        <v>m³</v>
      </c>
      <c r="D223" s="96">
        <v>387.42</v>
      </c>
      <c r="E223" s="96">
        <v>0.16142500000000001</v>
      </c>
      <c r="F223" s="96">
        <v>0</v>
      </c>
      <c r="G223" s="121">
        <v>0</v>
      </c>
    </row>
    <row r="224" spans="2:7" x14ac:dyDescent="0.25">
      <c r="B224" s="122" t="str">
        <v>Concrete, 50 MPa, in-situ, no reinforcement, (Futurecrete®
N class GP/GL:FA
50 MPa) (Adbri) (QLD)</v>
      </c>
      <c r="C224" t="str">
        <v>m³</v>
      </c>
      <c r="D224" s="96">
        <v>403.36700000000002</v>
      </c>
      <c r="E224" s="96">
        <v>0.16806958333333333</v>
      </c>
      <c r="F224" s="96">
        <v>0</v>
      </c>
      <c r="G224" s="121">
        <v>0</v>
      </c>
    </row>
    <row r="225" spans="2:7" x14ac:dyDescent="0.25">
      <c r="B225" s="122" t="str">
        <v>Concrete, 50 MPa, in-situ, no reinforcement, (CS5020BGS)(B) (BCG) (WA), (Perth)</v>
      </c>
      <c r="C225" t="str">
        <v>m³</v>
      </c>
      <c r="D225" s="96">
        <v>352.34</v>
      </c>
      <c r="E225" s="96">
        <v>0.14680833333333332</v>
      </c>
      <c r="F225" s="96">
        <v>0</v>
      </c>
      <c r="G225" s="121">
        <v>0</v>
      </c>
    </row>
    <row r="226" spans="2:7" x14ac:dyDescent="0.25">
      <c r="B226" s="122" t="str">
        <v>Concrete, 50 MPa, in-situ, no reinforcement, (VE502E56) (Ecopact) (Holcim) (VIC)</v>
      </c>
      <c r="C226" t="str">
        <v>m³</v>
      </c>
      <c r="D226" s="96">
        <v>340.33</v>
      </c>
      <c r="E226" s="96">
        <v>0.14180416666666668</v>
      </c>
      <c r="F226" s="96">
        <v>0</v>
      </c>
      <c r="G226" s="121">
        <v>0</v>
      </c>
    </row>
    <row r="227" spans="2:7" x14ac:dyDescent="0.25">
      <c r="B227" s="122" t="str">
        <v>Concrete, 50 MPa, in-situ, no reinforcement, (SE501EWC) (Ecopact) (Holcim) (SA) (Adelaide)</v>
      </c>
      <c r="C227" t="str">
        <v>m³</v>
      </c>
      <c r="D227" s="96">
        <v>299.38</v>
      </c>
      <c r="E227" s="96">
        <v>0.12474166666666667</v>
      </c>
      <c r="F227" s="96">
        <v>0</v>
      </c>
      <c r="G227" s="121">
        <v>0</v>
      </c>
    </row>
    <row r="228" spans="2:7" x14ac:dyDescent="0.25">
      <c r="B228" s="122" t="str">
        <v>Concrete, 50 MPa, in-situ, no reinforcement, (SE501E2) (Ecopact) (Holcim) (SA) (Adelaide)</v>
      </c>
      <c r="C228" t="str">
        <v>m³</v>
      </c>
      <c r="D228" s="96">
        <v>313.33999999999997</v>
      </c>
      <c r="E228" s="96">
        <v>0.13055833333333333</v>
      </c>
      <c r="F228" s="96">
        <v>0</v>
      </c>
      <c r="G228" s="121">
        <v>0</v>
      </c>
    </row>
    <row r="229" spans="2:7" x14ac:dyDescent="0.25">
      <c r="B229" s="122" t="str">
        <v>Concrete, 50 MPa, in-situ, no reinforcement, (SE502E5) (Ecopact) (Holcim) (SA) (Adelaide)</v>
      </c>
      <c r="C229" t="str">
        <v>m³</v>
      </c>
      <c r="D229" s="96">
        <v>308.33</v>
      </c>
      <c r="E229" s="96">
        <v>0.12847083333333334</v>
      </c>
      <c r="F229" s="96">
        <v>0</v>
      </c>
      <c r="G229" s="121">
        <v>0</v>
      </c>
    </row>
    <row r="230" spans="2:7" x14ac:dyDescent="0.25">
      <c r="B230" s="122" t="str">
        <v>Concrete, 50 MPa, in-situ, no reinforcement, (SE502E) (Ecopact) (Holcim) (SA) (Adelaide)</v>
      </c>
      <c r="C230" t="str">
        <v>m³</v>
      </c>
      <c r="D230" s="96">
        <v>303.33</v>
      </c>
      <c r="E230" s="96">
        <v>0.12638750000000001</v>
      </c>
      <c r="F230" s="96">
        <v>0</v>
      </c>
      <c r="G230" s="121">
        <v>0</v>
      </c>
    </row>
    <row r="231" spans="2:7" x14ac:dyDescent="0.25">
      <c r="B231" s="122" t="str">
        <v>Concrete, 50 MPa, in-situ, no reinforcement, (QE501EL21) (Ecopact) (Holcim) (QLD) (Brisbane)</v>
      </c>
      <c r="C231" t="str">
        <v>m³</v>
      </c>
      <c r="D231" s="96">
        <v>310.24</v>
      </c>
      <c r="E231" s="96">
        <v>0.12926666666666667</v>
      </c>
      <c r="F231" s="96">
        <v>0</v>
      </c>
      <c r="G231" s="121">
        <v>0</v>
      </c>
    </row>
    <row r="232" spans="2:7" x14ac:dyDescent="0.25">
      <c r="B232" s="122" t="str">
        <v>Concrete, 50 MPa, in-situ, no reinforcement, (WE504E2)(Ecopact) (Holcim) (WA), (Perth Metro)</v>
      </c>
      <c r="C232" t="str">
        <v>m³</v>
      </c>
      <c r="D232" s="96">
        <v>320.20999999999998</v>
      </c>
      <c r="E232" s="96">
        <v>0.13342083333333332</v>
      </c>
      <c r="F232" s="96">
        <v>0</v>
      </c>
      <c r="G232" s="121">
        <v>0</v>
      </c>
    </row>
    <row r="233" spans="2:7" x14ac:dyDescent="0.25">
      <c r="B233" s="122" t="str">
        <v>Concrete, 50 MPa, in-situ, no reinforcement, (WE504E4)(Ecopact) (Holcim) (WA), (Perth Metro)</v>
      </c>
      <c r="C233" t="str">
        <v>m³</v>
      </c>
      <c r="D233" s="96">
        <v>320.20999999999998</v>
      </c>
      <c r="E233" s="96">
        <v>0.13342083333333332</v>
      </c>
      <c r="F233" s="96">
        <v>0</v>
      </c>
      <c r="G233" s="121">
        <v>0</v>
      </c>
    </row>
    <row r="234" spans="2:7" x14ac:dyDescent="0.25">
      <c r="B234" s="122" t="str">
        <v>Concrete, 50 MPa, in-situ, no reinforcement, (Futurecrete®  N Class
GP/GL:Slag 50 MPa) (Adbri) (VIC)</v>
      </c>
      <c r="C234" t="str">
        <v>m³</v>
      </c>
      <c r="D234" s="96">
        <v>294.20999999999998</v>
      </c>
      <c r="E234" s="96">
        <v>0.1225875</v>
      </c>
      <c r="F234" s="96">
        <v>0</v>
      </c>
      <c r="G234" s="121">
        <v>0</v>
      </c>
    </row>
    <row r="235" spans="2:7" x14ac:dyDescent="0.25">
      <c r="B235" s="122" t="str">
        <v>Concrete, 50 MPa, in-situ, no reinforcement, (QE502E) (Ecopact) (Holcim) (QLD), Gold Coast</v>
      </c>
      <c r="C235" t="str">
        <v>m³</v>
      </c>
      <c r="D235" s="96">
        <v>289.22000000000003</v>
      </c>
      <c r="E235" s="96">
        <v>0.12050833333333334</v>
      </c>
      <c r="F235" s="96">
        <v>0</v>
      </c>
      <c r="G235" s="121">
        <v>0</v>
      </c>
    </row>
    <row r="236" spans="2:7" x14ac:dyDescent="0.25">
      <c r="B236" s="122" t="str">
        <v>Concrete, 50 MPa, in-situ, no reinforcement, (QE502EEZY) (Ecopact) (Holcim) (QLD), Gold Coast</v>
      </c>
      <c r="C236" t="str">
        <v>m³</v>
      </c>
      <c r="D236" s="96">
        <v>289.22000000000003</v>
      </c>
      <c r="E236" s="96">
        <v>0.12050833333333334</v>
      </c>
      <c r="F236" s="96">
        <v>0</v>
      </c>
      <c r="G236" s="121">
        <v>0</v>
      </c>
    </row>
    <row r="237" spans="2:7" x14ac:dyDescent="0.25">
      <c r="B237" s="122" t="str">
        <v>Concrete, 50 MPa, in-situ, no reinforcement, (QE501E) (Ecopact) (Holcim) (QLD), Gold Coast</v>
      </c>
      <c r="C237" t="str">
        <v>m³</v>
      </c>
      <c r="D237" s="96">
        <v>288.22000000000003</v>
      </c>
      <c r="E237" s="96">
        <v>0.12009166666666667</v>
      </c>
      <c r="F237" s="96">
        <v>0</v>
      </c>
      <c r="G237" s="121">
        <v>0</v>
      </c>
    </row>
    <row r="238" spans="2:7" x14ac:dyDescent="0.25">
      <c r="B238" s="122" t="str">
        <v>Concrete, 50 MPa, in-situ, no reinforcement, (QE502E) (Ecopact) (Holcim) (QLD) (Brisbane)</v>
      </c>
      <c r="C238" t="str">
        <v>m³</v>
      </c>
      <c r="D238" s="96">
        <v>286.22000000000003</v>
      </c>
      <c r="E238" s="96">
        <v>0.11925833333333334</v>
      </c>
      <c r="F238" s="96">
        <v>0</v>
      </c>
      <c r="G238" s="121">
        <v>0</v>
      </c>
    </row>
    <row r="239" spans="2:7" x14ac:dyDescent="0.25">
      <c r="B239" s="122" t="str">
        <v>Concrete, 50 MPa, in-situ, no reinforcement, (EFM50) (Barro Group) (VIC)</v>
      </c>
      <c r="C239" t="str">
        <v>m³</v>
      </c>
      <c r="D239" s="96">
        <v>288.15800000000002</v>
      </c>
      <c r="E239" s="96">
        <v>0.12006583333333333</v>
      </c>
      <c r="F239" s="96">
        <v>0</v>
      </c>
      <c r="G239" s="121">
        <v>0</v>
      </c>
    </row>
  </sheetData>
  <dataValidations count="1">
    <dataValidation type="list" allowBlank="1" showInputMessage="1" showErrorMessage="1" sqref="B6:B8" xr:uid="{CBDC1E43-3342-4B5D-85E7-90174A73EE5B}">
      <formula1>"Tier 1,Tier 2,Tier 3,Tier 4"</formula1>
    </dataValidation>
  </dataValidation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B534F3-E5F8-4567-B7A2-2F9FA98D0743}">
  <sheetPr codeName="Sheet10">
    <tabColor rgb="FF00CCFF"/>
  </sheetPr>
  <dimension ref="A1:G166"/>
  <sheetViews>
    <sheetView showGridLines="0" zoomScale="80" zoomScaleNormal="80" workbookViewId="0"/>
  </sheetViews>
  <sheetFormatPr defaultRowHeight="13.2" x14ac:dyDescent="0.25"/>
  <cols>
    <col min="1" max="1" width="26.109375" customWidth="1"/>
    <col min="2" max="2" width="90.5546875" customWidth="1"/>
    <col min="3" max="3" width="21" customWidth="1"/>
    <col min="4" max="6" width="19.88671875" style="96" customWidth="1"/>
    <col min="7" max="7" width="23.5546875" style="96" customWidth="1"/>
  </cols>
  <sheetData>
    <row r="1" spans="1:7" x14ac:dyDescent="0.25">
      <c r="A1" s="4" t="str" cm="1">
        <f t="array" aca="1" ref="A1" ca="1">MID(CELL("filename",A1),FIND("]",CELL("filename",A1))+1,255)</f>
        <v>Concrete_65MPa</v>
      </c>
    </row>
    <row r="2" spans="1:7" x14ac:dyDescent="0.25">
      <c r="A2" s="4"/>
    </row>
    <row r="3" spans="1:7" x14ac:dyDescent="0.25">
      <c r="A3" s="4" t="s">
        <v>4048</v>
      </c>
      <c r="B3" t="s">
        <v>4075</v>
      </c>
    </row>
    <row r="4" spans="1:7" x14ac:dyDescent="0.25">
      <c r="A4" s="4"/>
    </row>
    <row r="5" spans="1:7" ht="73.5" customHeight="1" x14ac:dyDescent="0.25">
      <c r="A5" s="26" t="s">
        <v>4050</v>
      </c>
      <c r="B5" s="14" t="s">
        <v>4076</v>
      </c>
    </row>
    <row r="6" spans="1:7" x14ac:dyDescent="0.25">
      <c r="A6" s="26" t="s">
        <v>4052</v>
      </c>
      <c r="B6" s="27" t="s">
        <v>68</v>
      </c>
    </row>
    <row r="7" spans="1:7" x14ac:dyDescent="0.25">
      <c r="A7" s="26" t="s">
        <v>4053</v>
      </c>
      <c r="B7" s="27" t="s">
        <v>68</v>
      </c>
    </row>
    <row r="8" spans="1:7" x14ac:dyDescent="0.25">
      <c r="A8" s="26" t="s">
        <v>4054</v>
      </c>
      <c r="B8" s="27" t="s">
        <v>69</v>
      </c>
    </row>
    <row r="9" spans="1:7" x14ac:dyDescent="0.25">
      <c r="A9" s="26" t="s">
        <v>4055</v>
      </c>
      <c r="B9" s="4" t="s">
        <v>69</v>
      </c>
    </row>
    <row r="10" spans="1:7" x14ac:dyDescent="0.25">
      <c r="A10" s="26"/>
      <c r="B10" s="4"/>
    </row>
    <row r="11" spans="1:7" ht="66" x14ac:dyDescent="0.25">
      <c r="A11" s="26" t="s">
        <v>4056</v>
      </c>
      <c r="B11" s="14" t="s">
        <v>4077</v>
      </c>
    </row>
    <row r="12" spans="1:7" x14ac:dyDescent="0.25">
      <c r="A12" s="101"/>
    </row>
    <row r="13" spans="1:7" x14ac:dyDescent="0.25">
      <c r="A13" s="101"/>
    </row>
    <row r="14" spans="1:7" x14ac:dyDescent="0.25">
      <c r="A14" s="26" t="s">
        <v>4057</v>
      </c>
    </row>
    <row r="15" spans="1:7" x14ac:dyDescent="0.25">
      <c r="A15" s="26"/>
      <c r="D15" s="112" t="s">
        <v>4058</v>
      </c>
      <c r="E15" s="113"/>
      <c r="F15" s="114" t="s">
        <v>4059</v>
      </c>
      <c r="G15" s="113"/>
    </row>
    <row r="16" spans="1:7" ht="39.6" x14ac:dyDescent="0.25">
      <c r="B16" s="28" t="s">
        <v>696</v>
      </c>
      <c r="C16" s="23" t="s">
        <v>23</v>
      </c>
      <c r="D16" s="24" t="s">
        <v>141</v>
      </c>
      <c r="E16" s="25" t="s">
        <v>148</v>
      </c>
      <c r="F16" s="24" t="s">
        <v>142</v>
      </c>
      <c r="G16" s="24" t="s">
        <v>149</v>
      </c>
    </row>
    <row r="17" spans="2:7" x14ac:dyDescent="0.25">
      <c r="B17" s="29"/>
      <c r="C17" s="30" t="s">
        <v>4060</v>
      </c>
      <c r="D17" s="118" t="str" cm="1">
        <f t="array" ref="D17">IF(AND(_xlfn.ANCHORARRAY(C23)=C23),C23,"Mixed")</f>
        <v>m³</v>
      </c>
      <c r="E17" s="118" t="s">
        <v>219</v>
      </c>
      <c r="F17" s="118" t="str" cm="1">
        <f t="array" ref="F17">IF(AND(_xlfn.ANCHORARRAY(C23)=C23),C23,"Mixed")</f>
        <v>m³</v>
      </c>
      <c r="G17" s="119" t="s">
        <v>219</v>
      </c>
    </row>
    <row r="18" spans="2:7" s="14" customFormat="1" x14ac:dyDescent="0.25">
      <c r="B18" s="31"/>
      <c r="C18" s="4" t="s">
        <v>4061</v>
      </c>
      <c r="D18" s="162">
        <f>Concrete_50MPa!D18</f>
        <v>609.23299999999995</v>
      </c>
      <c r="E18" s="162">
        <f>Concrete_50MPa!E18</f>
        <v>0.25384708333333333</v>
      </c>
      <c r="F18" s="96">
        <f t="shared" ref="F18:G18" si="0">MAX(_xlfn.ANCHORARRAY(F23))</f>
        <v>0</v>
      </c>
      <c r="G18" s="121">
        <f t="shared" si="0"/>
        <v>0</v>
      </c>
    </row>
    <row r="19" spans="2:7" x14ac:dyDescent="0.25">
      <c r="B19" s="122"/>
      <c r="C19" s="4" t="s">
        <v>4062</v>
      </c>
      <c r="D19" s="96">
        <f>MIN(_xlfn.ANCHORARRAY(D23))</f>
        <v>274</v>
      </c>
      <c r="E19" s="96">
        <f t="shared" ref="E19:G19" si="1">MIN(_xlfn.ANCHORARRAY(E23))</f>
        <v>0.11416666666666667</v>
      </c>
      <c r="F19" s="96">
        <f t="shared" si="1"/>
        <v>0</v>
      </c>
      <c r="G19" s="121">
        <f t="shared" si="1"/>
        <v>0</v>
      </c>
    </row>
    <row r="20" spans="2:7" x14ac:dyDescent="0.25">
      <c r="B20" s="122"/>
      <c r="C20" s="4" t="s">
        <v>4063</v>
      </c>
      <c r="D20" s="96">
        <f>AVERAGE(_xlfn.ANCHORARRAY(D23))</f>
        <v>381.51169047619049</v>
      </c>
      <c r="E20" s="96">
        <f t="shared" ref="E20:G20" si="2">AVERAGE(_xlfn.ANCHORARRAY(E23))</f>
        <v>0.15896320436507938</v>
      </c>
      <c r="F20" s="96">
        <f t="shared" si="2"/>
        <v>0</v>
      </c>
      <c r="G20" s="121">
        <f t="shared" si="2"/>
        <v>0</v>
      </c>
    </row>
    <row r="21" spans="2:7" x14ac:dyDescent="0.25">
      <c r="B21" s="122"/>
      <c r="C21" s="4"/>
      <c r="G21" s="121"/>
    </row>
    <row r="22" spans="2:7" x14ac:dyDescent="0.25">
      <c r="B22" s="32" t="s">
        <v>4064</v>
      </c>
      <c r="D22"/>
      <c r="E22"/>
      <c r="F22"/>
      <c r="G22" s="124"/>
    </row>
    <row r="23" spans="2:7" x14ac:dyDescent="0.25">
      <c r="B23" s="122" t="str" cm="1">
        <f t="array" ref="B23:B64">_xlfn.UNIQUE(_xlfn._xlws.FILTER('EPD List'!D:D,ISNUMBER(SEARCH(B16,'EPD List'!C:C)),0))</f>
        <v>Concrete, 65 MPa, in-situ, no reinforcement, (SE651EAV) (Ecopact) (Holcim) (SA) (Adelaide)</v>
      </c>
      <c r="C23" t="str" cm="1">
        <f t="array" ref="C23:C64">_xlfn.IFNA(INDEX('EPD List'!$A:$AB,MATCH(_xlfn.ANCHORARRAY(B23),'EPD List'!$D:$D,0),MATCH(C$16,'EPD List'!$7:$7,0)),"")</f>
        <v>m³</v>
      </c>
      <c r="D23" s="96" cm="1">
        <f t="array" ref="D23:D64">_xlfn.IFNA(VALUE((INDEX('EPD List'!$A:$AD,MATCH(_xlfn.ANCHORARRAY($B23),'EPD List'!$D:$D,0),MATCH(D$16,'EPD List'!$7:$7,0)))),"")</f>
        <v>355.4</v>
      </c>
      <c r="E23" s="96" cm="1">
        <f t="array" ref="E23:E64">_xlfn.IFNA(VALUE((INDEX('EPD List'!$A:$AD,MATCH(_xlfn.ANCHORARRAY($B23),'EPD List'!$D:$D,0),MATCH(E$16,'EPD List'!$7:$7,0)))),"")</f>
        <v>0.14808333333333334</v>
      </c>
      <c r="F23" s="96" cm="1">
        <f t="array" ref="F23:F64">_xlfn.IFNA(VALUE((INDEX('EPD List'!$A:$AD,MATCH(_xlfn.ANCHORARRAY($B23),'EPD List'!$D:$D,0),MATCH(F$16,'EPD List'!$7:$7,0)))),"")</f>
        <v>0</v>
      </c>
      <c r="G23" s="121" cm="1">
        <f t="array" ref="G23:G64">_xlfn.IFNA(VALUE((INDEX('EPD List'!$A:$AD,MATCH(_xlfn.ANCHORARRAY($B23),'EPD List'!$D:$D,0),MATCH(G$16,'EPD List'!$7:$7,0)))),"")</f>
        <v>0</v>
      </c>
    </row>
    <row r="24" spans="2:7" x14ac:dyDescent="0.25">
      <c r="B24" s="122" t="str">
        <v>Concrete, 65 MPa, in-situ, no reinforcement, (SE651E3) (Ecopact) (Holcim) (SA) (Adelaide)</v>
      </c>
      <c r="C24" t="str">
        <v>m³</v>
      </c>
      <c r="D24" s="96">
        <v>339.35</v>
      </c>
      <c r="E24" s="96">
        <v>0.14139583333333333</v>
      </c>
      <c r="F24" s="96">
        <v>0</v>
      </c>
      <c r="G24" s="121">
        <v>0</v>
      </c>
    </row>
    <row r="25" spans="2:7" x14ac:dyDescent="0.25">
      <c r="B25" s="122" t="str">
        <v>Concrete, 65 MPa, in-situ, no reinforcement, (SE651E5) (Ecopact) (Holcim) (SA) (Adelaide)</v>
      </c>
      <c r="C25" t="str">
        <v>m³</v>
      </c>
      <c r="D25" s="96">
        <v>340.35</v>
      </c>
      <c r="E25" s="96">
        <v>0.14181250000000001</v>
      </c>
      <c r="F25" s="96">
        <v>0</v>
      </c>
      <c r="G25" s="121">
        <v>0</v>
      </c>
    </row>
    <row r="26" spans="2:7" x14ac:dyDescent="0.25">
      <c r="B26" s="122" t="str">
        <v>Concrete, 65 MPa, in-situ, no reinforcement, (65MPa 14MM TREMIE 160 SLUMP) (Adbri) (VIC)</v>
      </c>
      <c r="C26" t="str">
        <v>m³</v>
      </c>
      <c r="D26" s="96">
        <v>372.35</v>
      </c>
      <c r="E26" s="96">
        <v>0.15514583333333334</v>
      </c>
      <c r="F26" s="96">
        <v>0</v>
      </c>
      <c r="G26" s="121">
        <v>0</v>
      </c>
    </row>
    <row r="27" spans="2:7" x14ac:dyDescent="0.25">
      <c r="B27" s="122" t="str">
        <v>Concrete, 65 MPa, in-situ, no reinforcement, (VE651EAV) (Ecopact) (Holcim) (VIC)</v>
      </c>
      <c r="C27" t="str">
        <v>m³</v>
      </c>
      <c r="D27" s="96">
        <v>344.32</v>
      </c>
      <c r="E27" s="96">
        <v>0.14346666666666669</v>
      </c>
      <c r="F27" s="96">
        <v>0</v>
      </c>
      <c r="G27" s="121">
        <v>0</v>
      </c>
    </row>
    <row r="28" spans="2:7" x14ac:dyDescent="0.25">
      <c r="B28" s="122" t="str">
        <v>Concrete, 65 MPa, in-situ, no reinforcement, (QE651E200) (Ecopact) (Holcim) (QLD) (Brisbane)</v>
      </c>
      <c r="C28" t="str">
        <v>m³</v>
      </c>
      <c r="D28" s="96">
        <v>353.26</v>
      </c>
      <c r="E28" s="96">
        <v>0.14719166666666667</v>
      </c>
      <c r="F28" s="96">
        <v>0</v>
      </c>
      <c r="G28" s="121">
        <v>0</v>
      </c>
    </row>
    <row r="29" spans="2:7" x14ac:dyDescent="0.25">
      <c r="B29" s="122" t="str">
        <v>Concrete, 65 MPa, in-situ, no reinforcement, (QE651EDUF) (Ecopact) (Holcim) (QLD) (Brisbane)</v>
      </c>
      <c r="C29" t="str">
        <v>m³</v>
      </c>
      <c r="D29" s="96">
        <v>355.26</v>
      </c>
      <c r="E29" s="96">
        <v>0.14802499999999999</v>
      </c>
      <c r="F29" s="96">
        <v>0</v>
      </c>
      <c r="G29" s="121">
        <v>0</v>
      </c>
    </row>
    <row r="30" spans="2:7" x14ac:dyDescent="0.25">
      <c r="B30" s="122" t="str">
        <v>Concrete, 65 MPa, in-situ, no reinforcement, (QE651E200) (Ecopact) (Holcim) (QLD), Gold Coast</v>
      </c>
      <c r="C30" t="str">
        <v>m³</v>
      </c>
      <c r="D30" s="96">
        <v>348.25</v>
      </c>
      <c r="E30" s="96">
        <v>0.14510416666666665</v>
      </c>
      <c r="F30" s="96">
        <v>0</v>
      </c>
      <c r="G30" s="121">
        <v>0</v>
      </c>
    </row>
    <row r="31" spans="2:7" x14ac:dyDescent="0.25">
      <c r="B31" s="122" t="str">
        <v>Concrete, 65 MPa, in-situ, no reinforcement, (QE651ELCF) (Ecopact) (Holcim) (QLD) (Brisbane)</v>
      </c>
      <c r="C31" t="str">
        <v>m³</v>
      </c>
      <c r="D31" s="96">
        <v>370.22</v>
      </c>
      <c r="E31" s="96">
        <v>0.15425833333333333</v>
      </c>
      <c r="F31" s="96">
        <v>0</v>
      </c>
      <c r="G31" s="121">
        <v>0</v>
      </c>
    </row>
    <row r="32" spans="2:7" x14ac:dyDescent="0.25">
      <c r="B32" s="122" t="str">
        <v>Concrete, 65 MPa, in-situ, no reinforcement, (QE651ECFA) (Ecopact) (Holcim) (QLD) (Brisbane)</v>
      </c>
      <c r="C32" t="str">
        <v>m³</v>
      </c>
      <c r="D32" s="96">
        <v>369.21</v>
      </c>
      <c r="E32" s="96">
        <v>0.15383749999999999</v>
      </c>
      <c r="F32" s="96">
        <v>0</v>
      </c>
      <c r="G32" s="121">
        <v>0</v>
      </c>
    </row>
    <row r="33" spans="2:7" x14ac:dyDescent="0.25">
      <c r="B33" s="122" t="str">
        <v>Concrete, 55 MPa, in-situ, no reinforcement, (VE552EVR3) (Ecopact) (Holcim) (VIC)</v>
      </c>
      <c r="C33" t="str">
        <v>m³</v>
      </c>
      <c r="D33" s="96">
        <v>289.16000000000003</v>
      </c>
      <c r="E33" s="96">
        <v>0.12048333333333335</v>
      </c>
      <c r="F33" s="96">
        <v>0</v>
      </c>
      <c r="G33" s="121">
        <v>0</v>
      </c>
    </row>
    <row r="34" spans="2:7" x14ac:dyDescent="0.25">
      <c r="B34" s="122" t="str">
        <v>Concrete, 65 MPa, in-situ, no reinforcement, (65MPa 14MM
SUPER WORKABLE CONCRETE) (Adbri) (VIC)</v>
      </c>
      <c r="C34" t="str">
        <v>m³</v>
      </c>
      <c r="D34" s="96">
        <v>369.19</v>
      </c>
      <c r="E34" s="96">
        <v>0.15382916666666666</v>
      </c>
      <c r="F34" s="96">
        <v>0</v>
      </c>
      <c r="G34" s="121">
        <v>0</v>
      </c>
    </row>
    <row r="35" spans="2:7" x14ac:dyDescent="0.25">
      <c r="B35" s="122" t="str">
        <v>Concrete, 65 MPa, in-situ, no reinforcement, (E65SPHE) (Barro Group) (VIC)</v>
      </c>
      <c r="C35" t="str">
        <v>m³</v>
      </c>
      <c r="D35" s="96">
        <v>356.08420000000001</v>
      </c>
      <c r="E35" s="96">
        <v>0.14836841666666667</v>
      </c>
      <c r="F35" s="96">
        <v>0</v>
      </c>
      <c r="G35" s="121">
        <v>0</v>
      </c>
    </row>
    <row r="36" spans="2:7" x14ac:dyDescent="0.25">
      <c r="B36" s="122" t="str">
        <v>Concrete, 65 MPa, in-situ, no reinforcement, (E65N56PUD) (Barro Group) (VIC)</v>
      </c>
      <c r="C36" t="str">
        <v>m³</v>
      </c>
      <c r="D36" s="96">
        <v>352.0675</v>
      </c>
      <c r="E36" s="96">
        <v>0.14669479166666666</v>
      </c>
      <c r="F36" s="96">
        <v>0</v>
      </c>
      <c r="G36" s="121">
        <v>0</v>
      </c>
    </row>
    <row r="37" spans="2:7" x14ac:dyDescent="0.25">
      <c r="B37" s="122" t="str">
        <v>Concrete, 65 MPa, in-situ, no reinforcement, (E65SP) (Barro Group) (VIC)</v>
      </c>
      <c r="C37" t="str">
        <v>m³</v>
      </c>
      <c r="D37" s="96">
        <v>316.04919999999998</v>
      </c>
      <c r="E37" s="96">
        <v>0.13168716666666666</v>
      </c>
      <c r="F37" s="96">
        <v>0</v>
      </c>
      <c r="G37" s="121">
        <v>0</v>
      </c>
    </row>
    <row r="38" spans="2:7" x14ac:dyDescent="0.25">
      <c r="B38" s="122" t="str">
        <v>Concrete, 60 MPa, in-situ, no reinforcement, (Futurecrete®  Ultra S60MPA PILE/ TREMIE 10MM SP) (Adbri) (NSW)</v>
      </c>
      <c r="C38" t="str">
        <v>m³</v>
      </c>
      <c r="D38" s="96">
        <v>349.87329999999997</v>
      </c>
      <c r="E38" s="96">
        <v>0.14578054166666665</v>
      </c>
      <c r="F38" s="96">
        <v>0</v>
      </c>
      <c r="G38" s="121">
        <v>0</v>
      </c>
    </row>
    <row r="39" spans="2:7" x14ac:dyDescent="0.25">
      <c r="B39" s="122" t="str">
        <v>Concrete, 65 MPa, in-situ, no reinforcement, (VS654FSWC) (Holcim) (VIC)</v>
      </c>
      <c r="C39" t="str">
        <v>m³</v>
      </c>
      <c r="D39" s="96">
        <v>409.54</v>
      </c>
      <c r="E39" s="96">
        <v>0.17064166666666666</v>
      </c>
      <c r="F39" s="96">
        <v>0</v>
      </c>
      <c r="G39" s="121">
        <v>0</v>
      </c>
    </row>
    <row r="40" spans="2:7" x14ac:dyDescent="0.25">
      <c r="B40" s="122" t="str">
        <v>Concrete, 55 MPa, in-situ, no reinforcement, (VS552FVRT) (Holcim) (VIC)</v>
      </c>
      <c r="C40" t="str">
        <v>m³</v>
      </c>
      <c r="D40" s="96">
        <v>303.35000000000002</v>
      </c>
      <c r="E40" s="96">
        <v>0.12639583333333335</v>
      </c>
      <c r="F40" s="96">
        <v>0</v>
      </c>
      <c r="G40" s="121">
        <v>0</v>
      </c>
    </row>
    <row r="41" spans="2:7" x14ac:dyDescent="0.25">
      <c r="B41" s="122" t="str">
        <v>Concrete, 65 MPa, in-situ, no reinforcement, Pre-mix Concrete HIGH SLUMP (Boral) (ACT), (Canberra) HIGH SLUMP 65MPa</v>
      </c>
      <c r="C41" t="str">
        <v>m³</v>
      </c>
      <c r="D41" s="96">
        <v>492</v>
      </c>
      <c r="E41" s="96">
        <v>0.20499999999999999</v>
      </c>
      <c r="F41" s="96">
        <v>0</v>
      </c>
      <c r="G41" s="121">
        <v>0</v>
      </c>
    </row>
    <row r="42" spans="2:7" x14ac:dyDescent="0.25">
      <c r="B42" s="122" t="str">
        <v>Concrete, 65 MPa, in-situ, no reinforcement, Pre-mix Concrete ENVISIA (Boral) (ACT), (Canberra) ENVISIA 65MPa</v>
      </c>
      <c r="C42" t="str">
        <v>m³</v>
      </c>
      <c r="D42" s="96">
        <v>333</v>
      </c>
      <c r="E42" s="96">
        <v>0.13875000000000001</v>
      </c>
      <c r="F42" s="96">
        <v>0</v>
      </c>
      <c r="G42" s="121">
        <v>0</v>
      </c>
    </row>
    <row r="43" spans="2:7" x14ac:dyDescent="0.25">
      <c r="B43" s="122" t="str">
        <v>Concrete, 65 MPa, in-situ, no reinforcement, Pre-mix Concrete TREMIE (Boral) (ACT), (Canberra) TREMIE 65MPa</v>
      </c>
      <c r="C43" t="str">
        <v>m³</v>
      </c>
      <c r="D43" s="96">
        <v>477</v>
      </c>
      <c r="E43" s="96">
        <v>0.19875000000000001</v>
      </c>
      <c r="F43" s="96">
        <v>0</v>
      </c>
      <c r="G43" s="121">
        <v>0</v>
      </c>
    </row>
    <row r="44" spans="2:7" x14ac:dyDescent="0.25">
      <c r="B44" s="122" t="str">
        <v>Concrete, 65 MPa, in-situ, no reinforcement, Pre-mix Concrete ENVISIA (Boral) (NSW), (Newcastle) ENVISIA 65MPa</v>
      </c>
      <c r="C44" t="str">
        <v>m³</v>
      </c>
      <c r="D44" s="96">
        <v>343</v>
      </c>
      <c r="E44" s="96">
        <v>0.14291666666666666</v>
      </c>
      <c r="F44" s="96">
        <v>0</v>
      </c>
      <c r="G44" s="121">
        <v>0</v>
      </c>
    </row>
    <row r="45" spans="2:7" x14ac:dyDescent="0.25">
      <c r="B45" s="122" t="str">
        <v>Concrete, 65 MPa, in-situ, no reinforcement, Pre-mix Concrete HIGH SLUMP (Boral) (NSW), (Newcastle) HIGH SLUMP 65MPa</v>
      </c>
      <c r="C45" t="str">
        <v>m³</v>
      </c>
      <c r="D45" s="96">
        <v>472</v>
      </c>
      <c r="E45" s="96">
        <v>0.19666666666666666</v>
      </c>
      <c r="F45" s="96">
        <v>0</v>
      </c>
      <c r="G45" s="121">
        <v>0</v>
      </c>
    </row>
    <row r="46" spans="2:7" x14ac:dyDescent="0.25">
      <c r="B46" s="122" t="str">
        <v>Concrete, 65 MPa, in-situ, no reinforcement, Pre-mix Concrete TREMIE (Boral) (NSW), (Newcastle) TREMIE 65MPa</v>
      </c>
      <c r="C46" t="str">
        <v>m³</v>
      </c>
      <c r="D46" s="96">
        <v>379</v>
      </c>
      <c r="E46" s="96">
        <v>0.15791666666666668</v>
      </c>
      <c r="F46" s="96">
        <v>0</v>
      </c>
      <c r="G46" s="121">
        <v>0</v>
      </c>
    </row>
    <row r="47" spans="2:7" x14ac:dyDescent="0.25">
      <c r="B47" s="122" t="str">
        <v>Concrete, 65 MPa, in-situ, no reinforcement, Pre-mix Concrete TREMIE (Boral) (NSW), (Sydney) TREMIE 65MPa</v>
      </c>
      <c r="C47" t="str">
        <v>m³</v>
      </c>
      <c r="D47" s="96">
        <v>379</v>
      </c>
      <c r="E47" s="96">
        <v>0.15791666666666668</v>
      </c>
      <c r="F47" s="96">
        <v>0</v>
      </c>
      <c r="G47" s="121">
        <v>0</v>
      </c>
    </row>
    <row r="48" spans="2:7" x14ac:dyDescent="0.25">
      <c r="B48" s="122" t="str">
        <v>Concrete, 65 MPa, in-situ, no reinforcement, Pre-mix Concrete ENVISIA (Boral) (NSW), (Sydney) ENVISIA 65MPa</v>
      </c>
      <c r="C48" t="str">
        <v>m³</v>
      </c>
      <c r="D48" s="96">
        <v>343</v>
      </c>
      <c r="E48" s="96">
        <v>0.14291666666666666</v>
      </c>
      <c r="F48" s="96">
        <v>0</v>
      </c>
      <c r="G48" s="121">
        <v>0</v>
      </c>
    </row>
    <row r="49" spans="2:7" x14ac:dyDescent="0.25">
      <c r="B49" s="122" t="str">
        <v>Concrete, 65 MPa, in-situ, no reinforcement, Pre-mix Concrete HIGH SLUMP (Boral) (NSW), (Sydney) HIGH SLUMP 65MPa</v>
      </c>
      <c r="C49" t="str">
        <v>m³</v>
      </c>
      <c r="D49" s="96">
        <v>379</v>
      </c>
      <c r="E49" s="96">
        <v>0.15791666666666668</v>
      </c>
      <c r="F49" s="96">
        <v>0</v>
      </c>
      <c r="G49" s="121">
        <v>0</v>
      </c>
    </row>
    <row r="50" spans="2:7" x14ac:dyDescent="0.25">
      <c r="B50" s="122" t="str">
        <v>Concrete, 65 MPa, in-situ, no reinforcement, Pre-mix Concrete ENVISIA (Boral) (NSW), (Wollongong) ENVISIA 65MPa</v>
      </c>
      <c r="C50" t="str">
        <v>m³</v>
      </c>
      <c r="D50" s="96">
        <v>327</v>
      </c>
      <c r="E50" s="96">
        <v>0.13625000000000001</v>
      </c>
      <c r="F50" s="96">
        <v>0</v>
      </c>
      <c r="G50" s="121">
        <v>0</v>
      </c>
    </row>
    <row r="51" spans="2:7" x14ac:dyDescent="0.25">
      <c r="B51" s="122" t="str">
        <v>Concrete, 65 MPa, in-situ, no reinforcement, Pre-mix Concrete HIGH SLUMP (Boral) (NSW), (Wollongong) HIGH SLUMP 65MPa</v>
      </c>
      <c r="C51" t="str">
        <v>m³</v>
      </c>
      <c r="D51" s="96">
        <v>499</v>
      </c>
      <c r="E51" s="96">
        <v>0.20791666666666667</v>
      </c>
      <c r="F51" s="96">
        <v>0</v>
      </c>
      <c r="G51" s="121">
        <v>0</v>
      </c>
    </row>
    <row r="52" spans="2:7" x14ac:dyDescent="0.25">
      <c r="B52" s="122" t="str">
        <v>Concrete, 65 MPa, in-situ, no reinforcement, Pre-mix Concrete TREMIE (Boral) (NSW), (Wollongong) TREMIE 65MPa</v>
      </c>
      <c r="C52" t="str">
        <v>m³</v>
      </c>
      <c r="D52" s="96">
        <v>471</v>
      </c>
      <c r="E52" s="96">
        <v>0.19625000000000001</v>
      </c>
      <c r="F52" s="96">
        <v>0</v>
      </c>
      <c r="G52" s="121">
        <v>0</v>
      </c>
    </row>
    <row r="53" spans="2:7" x14ac:dyDescent="0.25">
      <c r="B53" s="122" t="str">
        <v>Concrete, 65 MPa, in-situ, no reinforcement, Pre-mix Concrete HIGH STRENGTH (Boral) (TAS), (Hobart) HIGH STRENGTH 65 MPa</v>
      </c>
      <c r="C53" t="str">
        <v>m³</v>
      </c>
      <c r="D53" s="96">
        <v>608</v>
      </c>
      <c r="E53" s="96">
        <v>0.25333333333333335</v>
      </c>
      <c r="F53" s="96">
        <v>0</v>
      </c>
      <c r="G53" s="121">
        <v>0</v>
      </c>
    </row>
    <row r="54" spans="2:7" x14ac:dyDescent="0.25">
      <c r="B54" s="122" t="str">
        <v>Concrete, 65 MPa, in-situ, no reinforcement, Pre-mix Concrete HIGH STRENGTH (Boral) (TAS), (Launceston) HIGH STRENGTH 65 MPa</v>
      </c>
      <c r="C54" t="str">
        <v>m³</v>
      </c>
      <c r="D54" s="96">
        <v>593</v>
      </c>
      <c r="E54" s="96">
        <v>0.24708333333333332</v>
      </c>
      <c r="F54" s="96">
        <v>0</v>
      </c>
      <c r="G54" s="121">
        <v>0</v>
      </c>
    </row>
    <row r="55" spans="2:7" x14ac:dyDescent="0.25">
      <c r="B55" s="122" t="str">
        <v>Concrete, 65 MPa, in-situ, no reinforcement, AH6484, Special Class (WA Premix) (WA), (Perth)</v>
      </c>
      <c r="C55" t="str">
        <v>m³</v>
      </c>
      <c r="D55" s="96">
        <v>274</v>
      </c>
      <c r="E55" s="96">
        <v>0.11416666666666667</v>
      </c>
      <c r="F55" s="96">
        <v>0</v>
      </c>
      <c r="G55" s="121">
        <v>0</v>
      </c>
    </row>
    <row r="56" spans="2:7" x14ac:dyDescent="0.25">
      <c r="B56" s="122" t="str">
        <v>Concrete, 65 MPa, in-situ, no reinforcement, AH1465, Special Class (WA Premix) (WA), (Perth)</v>
      </c>
      <c r="C56" t="str">
        <v>m³</v>
      </c>
      <c r="D56" s="96">
        <v>539</v>
      </c>
      <c r="E56" s="96">
        <v>0.22458333333333333</v>
      </c>
      <c r="F56" s="96">
        <v>0</v>
      </c>
      <c r="G56" s="121">
        <v>0</v>
      </c>
    </row>
    <row r="57" spans="2:7" x14ac:dyDescent="0.25">
      <c r="B57" s="122" t="str">
        <v>Concrete, 65 MPa, in-situ, no reinforcement, BP6500, Special Class (WA Premix) (WA), (Perth)</v>
      </c>
      <c r="C57" t="str">
        <v>m³</v>
      </c>
      <c r="D57" s="96">
        <v>285</v>
      </c>
      <c r="E57" s="96">
        <v>0.11874999999999999</v>
      </c>
      <c r="F57" s="96">
        <v>0</v>
      </c>
      <c r="G57" s="121">
        <v>0</v>
      </c>
    </row>
    <row r="58" spans="2:7" x14ac:dyDescent="0.25">
      <c r="B58" s="122" t="str">
        <v>Concrete, 65 MPa, in-situ, no reinforcement, BP8500, Special Class (WA Premix) (WA), (Perth)</v>
      </c>
      <c r="C58" t="str">
        <v>m³</v>
      </c>
      <c r="D58" s="96">
        <v>298</v>
      </c>
      <c r="E58" s="96">
        <v>0.12416666666666666</v>
      </c>
      <c r="F58" s="96">
        <v>0</v>
      </c>
      <c r="G58" s="121">
        <v>0</v>
      </c>
    </row>
    <row r="59" spans="2:7" x14ac:dyDescent="0.25">
      <c r="B59" s="122" t="str">
        <v>Concrete, 65 MPa, in-situ, no reinforcement, Ready-Mix Concrete (LC)50 (Concrite) (NSW) (Sydney Region, NSW)</v>
      </c>
      <c r="C59" t="str">
        <v>m³</v>
      </c>
      <c r="D59" s="96">
        <v>277</v>
      </c>
      <c r="E59" s="96">
        <v>0.11541666666666667</v>
      </c>
      <c r="F59" s="96">
        <v>0</v>
      </c>
      <c r="G59" s="121">
        <v>0</v>
      </c>
    </row>
    <row r="60" spans="2:7" x14ac:dyDescent="0.25">
      <c r="B60" s="122" t="str">
        <v>Concrete, 65 MPa, in-situ, no reinforcement, Ready-Mix Concrete (LCP) (Concrite) (NSW) (Sydney Region, NSW)</v>
      </c>
      <c r="C60" t="str">
        <v>m³</v>
      </c>
      <c r="D60" s="96">
        <v>357</v>
      </c>
      <c r="E60" s="96">
        <v>0.14874999999999999</v>
      </c>
      <c r="F60" s="96">
        <v>0</v>
      </c>
      <c r="G60" s="121">
        <v>0</v>
      </c>
    </row>
    <row r="61" spans="2:7" x14ac:dyDescent="0.25">
      <c r="B61" s="122" t="str">
        <v>Concrete, 65 MPa, in-situ, no reinforcement, Ready-Mix Concrete HIGH STRENGTH (Concrite) (NSW) (Sydney Region, NSW)</v>
      </c>
      <c r="C61" t="str">
        <v>m³</v>
      </c>
      <c r="D61" s="96">
        <v>400</v>
      </c>
      <c r="E61" s="96">
        <v>0.16666666666666666</v>
      </c>
      <c r="F61" s="96">
        <v>0</v>
      </c>
      <c r="G61" s="121">
        <v>0</v>
      </c>
    </row>
    <row r="62" spans="2:7" x14ac:dyDescent="0.25">
      <c r="B62" s="122" t="str">
        <v>Concrete, 64 MPa, in-situ, no reinforcement, (Futurecrete®  Ultra S65MPA PILE/ TREMIE 10MM SP
) (Adbri) (NSW)</v>
      </c>
      <c r="C62" t="str">
        <v>m³</v>
      </c>
      <c r="D62" s="96">
        <v>370.846</v>
      </c>
      <c r="E62" s="96">
        <v>0.15451916666666665</v>
      </c>
      <c r="F62" s="96">
        <v>0</v>
      </c>
      <c r="G62" s="121">
        <v>0</v>
      </c>
    </row>
    <row r="63" spans="2:7" x14ac:dyDescent="0.25">
      <c r="B63" s="122" t="str">
        <v>Concrete, 65 MPa, in-situ, no reinforcement, (Futurecrete® S65MPA JUMP/ SLIP/COLUMNS 10MM SP) (Adbri) (NSW)</v>
      </c>
      <c r="C63" t="str">
        <v>m³</v>
      </c>
      <c r="D63" s="96">
        <v>495.0908</v>
      </c>
      <c r="E63" s="96">
        <v>0.20628783333333331</v>
      </c>
      <c r="F63" s="96">
        <v>0</v>
      </c>
      <c r="G63" s="121">
        <v>0</v>
      </c>
    </row>
    <row r="64" spans="2:7" x14ac:dyDescent="0.25">
      <c r="B64" s="122" t="str">
        <v>Concrete, 65 MPa, in-situ, no reinforcement, (QE651EDUF) (Ecopact) (Holcim) (QLD), Gold Coast</v>
      </c>
      <c r="C64" t="str">
        <v>m³</v>
      </c>
      <c r="D64" s="96">
        <v>339.27</v>
      </c>
      <c r="E64" s="96">
        <v>0.14136249999999997</v>
      </c>
      <c r="F64" s="96">
        <v>0</v>
      </c>
      <c r="G64" s="121">
        <v>0</v>
      </c>
    </row>
    <row r="65" spans="2:7" x14ac:dyDescent="0.25">
      <c r="B65" s="122"/>
      <c r="G65" s="121"/>
    </row>
    <row r="66" spans="2:7" x14ac:dyDescent="0.25">
      <c r="B66" s="122"/>
      <c r="G66" s="121"/>
    </row>
    <row r="67" spans="2:7" x14ac:dyDescent="0.25">
      <c r="B67" s="122"/>
      <c r="G67" s="121"/>
    </row>
    <row r="68" spans="2:7" x14ac:dyDescent="0.25">
      <c r="B68" s="122"/>
      <c r="G68" s="121"/>
    </row>
    <row r="69" spans="2:7" x14ac:dyDescent="0.25">
      <c r="B69" s="122"/>
      <c r="G69" s="121"/>
    </row>
    <row r="70" spans="2:7" x14ac:dyDescent="0.25">
      <c r="B70" s="122"/>
      <c r="G70" s="121"/>
    </row>
    <row r="71" spans="2:7" x14ac:dyDescent="0.25">
      <c r="B71" s="122"/>
      <c r="G71" s="121"/>
    </row>
    <row r="72" spans="2:7" x14ac:dyDescent="0.25">
      <c r="B72" s="122"/>
      <c r="G72" s="121"/>
    </row>
    <row r="73" spans="2:7" x14ac:dyDescent="0.25">
      <c r="B73" s="122"/>
      <c r="G73" s="121"/>
    </row>
    <row r="74" spans="2:7" x14ac:dyDescent="0.25">
      <c r="B74" s="122"/>
      <c r="G74" s="121"/>
    </row>
    <row r="75" spans="2:7" x14ac:dyDescent="0.25">
      <c r="B75" s="122"/>
      <c r="G75" s="121"/>
    </row>
    <row r="76" spans="2:7" x14ac:dyDescent="0.25">
      <c r="B76" s="122"/>
      <c r="G76" s="121"/>
    </row>
    <row r="77" spans="2:7" x14ac:dyDescent="0.25">
      <c r="B77" s="122"/>
      <c r="G77" s="121"/>
    </row>
    <row r="78" spans="2:7" x14ac:dyDescent="0.25">
      <c r="B78" s="122"/>
      <c r="G78" s="121"/>
    </row>
    <row r="79" spans="2:7" x14ac:dyDescent="0.25">
      <c r="B79" s="122"/>
      <c r="G79" s="121"/>
    </row>
    <row r="80" spans="2:7" x14ac:dyDescent="0.25">
      <c r="B80" s="122"/>
      <c r="G80" s="121"/>
    </row>
    <row r="81" spans="2:7" x14ac:dyDescent="0.25">
      <c r="B81" s="122"/>
      <c r="G81" s="121"/>
    </row>
    <row r="82" spans="2:7" x14ac:dyDescent="0.25">
      <c r="B82" s="122"/>
      <c r="G82" s="121"/>
    </row>
    <row r="83" spans="2:7" x14ac:dyDescent="0.25">
      <c r="B83" s="122"/>
      <c r="G83" s="121"/>
    </row>
    <row r="84" spans="2:7" x14ac:dyDescent="0.25">
      <c r="B84" s="122"/>
      <c r="G84" s="121"/>
    </row>
    <row r="85" spans="2:7" x14ac:dyDescent="0.25">
      <c r="B85" s="122"/>
      <c r="G85" s="121"/>
    </row>
    <row r="86" spans="2:7" x14ac:dyDescent="0.25">
      <c r="B86" s="122"/>
      <c r="G86" s="121"/>
    </row>
    <row r="87" spans="2:7" x14ac:dyDescent="0.25">
      <c r="B87" s="122"/>
      <c r="G87" s="121"/>
    </row>
    <row r="88" spans="2:7" x14ac:dyDescent="0.25">
      <c r="B88" s="122"/>
      <c r="G88" s="121"/>
    </row>
    <row r="89" spans="2:7" x14ac:dyDescent="0.25">
      <c r="B89" s="122"/>
      <c r="G89" s="121"/>
    </row>
    <row r="90" spans="2:7" x14ac:dyDescent="0.25">
      <c r="B90" s="122"/>
      <c r="G90" s="121"/>
    </row>
    <row r="91" spans="2:7" x14ac:dyDescent="0.25">
      <c r="B91" s="122"/>
      <c r="G91" s="121"/>
    </row>
    <row r="92" spans="2:7" x14ac:dyDescent="0.25">
      <c r="B92" s="122"/>
      <c r="G92" s="121"/>
    </row>
    <row r="93" spans="2:7" x14ac:dyDescent="0.25">
      <c r="B93" s="122"/>
      <c r="G93" s="121"/>
    </row>
    <row r="94" spans="2:7" x14ac:dyDescent="0.25">
      <c r="B94" s="122"/>
      <c r="G94" s="121"/>
    </row>
    <row r="95" spans="2:7" x14ac:dyDescent="0.25">
      <c r="B95" s="122"/>
      <c r="G95" s="121"/>
    </row>
    <row r="96" spans="2:7" x14ac:dyDescent="0.25">
      <c r="B96" s="122"/>
      <c r="G96" s="121"/>
    </row>
    <row r="97" spans="2:7" x14ac:dyDescent="0.25">
      <c r="B97" s="122"/>
      <c r="G97" s="121"/>
    </row>
    <row r="98" spans="2:7" x14ac:dyDescent="0.25">
      <c r="B98" s="122"/>
      <c r="G98" s="121"/>
    </row>
    <row r="99" spans="2:7" x14ac:dyDescent="0.25">
      <c r="B99" s="122"/>
      <c r="G99" s="121"/>
    </row>
    <row r="100" spans="2:7" x14ac:dyDescent="0.25">
      <c r="B100" s="122"/>
      <c r="G100" s="121"/>
    </row>
    <row r="101" spans="2:7" x14ac:dyDescent="0.25">
      <c r="B101" s="122"/>
      <c r="G101" s="121"/>
    </row>
    <row r="102" spans="2:7" x14ac:dyDescent="0.25">
      <c r="B102" s="122"/>
      <c r="G102" s="121"/>
    </row>
    <row r="103" spans="2:7" x14ac:dyDescent="0.25">
      <c r="B103" s="122"/>
      <c r="G103" s="121"/>
    </row>
    <row r="104" spans="2:7" x14ac:dyDescent="0.25">
      <c r="B104" s="122"/>
      <c r="G104" s="121"/>
    </row>
    <row r="105" spans="2:7" x14ac:dyDescent="0.25">
      <c r="B105" s="122"/>
      <c r="G105" s="121"/>
    </row>
    <row r="106" spans="2:7" x14ac:dyDescent="0.25">
      <c r="B106" s="122"/>
      <c r="G106" s="121"/>
    </row>
    <row r="107" spans="2:7" x14ac:dyDescent="0.25">
      <c r="B107" s="122"/>
      <c r="G107" s="121"/>
    </row>
    <row r="108" spans="2:7" x14ac:dyDescent="0.25">
      <c r="B108" s="122"/>
      <c r="G108" s="121"/>
    </row>
    <row r="109" spans="2:7" x14ac:dyDescent="0.25">
      <c r="B109" s="122"/>
      <c r="G109" s="121"/>
    </row>
    <row r="110" spans="2:7" x14ac:dyDescent="0.25">
      <c r="B110" s="122"/>
      <c r="G110" s="121"/>
    </row>
    <row r="111" spans="2:7" x14ac:dyDescent="0.25">
      <c r="B111" s="122"/>
      <c r="G111" s="121"/>
    </row>
    <row r="112" spans="2:7" x14ac:dyDescent="0.25">
      <c r="B112" s="122"/>
      <c r="G112" s="121"/>
    </row>
    <row r="113" spans="2:7" x14ac:dyDescent="0.25">
      <c r="B113" s="122"/>
      <c r="G113" s="121"/>
    </row>
    <row r="114" spans="2:7" x14ac:dyDescent="0.25">
      <c r="B114" s="122"/>
      <c r="G114" s="121"/>
    </row>
    <row r="115" spans="2:7" x14ac:dyDescent="0.25">
      <c r="B115" s="122"/>
      <c r="G115" s="121"/>
    </row>
    <row r="116" spans="2:7" x14ac:dyDescent="0.25">
      <c r="B116" s="122"/>
      <c r="G116" s="121"/>
    </row>
    <row r="117" spans="2:7" x14ac:dyDescent="0.25">
      <c r="B117" s="122"/>
      <c r="G117" s="121"/>
    </row>
    <row r="118" spans="2:7" x14ac:dyDescent="0.25">
      <c r="B118" s="122"/>
      <c r="G118" s="121"/>
    </row>
    <row r="119" spans="2:7" x14ac:dyDescent="0.25">
      <c r="B119" s="122"/>
      <c r="G119" s="121"/>
    </row>
    <row r="120" spans="2:7" x14ac:dyDescent="0.25">
      <c r="B120" s="122"/>
      <c r="G120" s="121"/>
    </row>
    <row r="121" spans="2:7" x14ac:dyDescent="0.25">
      <c r="B121" s="122"/>
      <c r="G121" s="121"/>
    </row>
    <row r="122" spans="2:7" x14ac:dyDescent="0.25">
      <c r="B122" s="122"/>
      <c r="G122" s="121"/>
    </row>
    <row r="123" spans="2:7" x14ac:dyDescent="0.25">
      <c r="B123" s="122"/>
      <c r="G123" s="121"/>
    </row>
    <row r="124" spans="2:7" x14ac:dyDescent="0.25">
      <c r="B124" s="122"/>
      <c r="G124" s="121"/>
    </row>
    <row r="125" spans="2:7" x14ac:dyDescent="0.25">
      <c r="B125" s="122"/>
      <c r="G125" s="121"/>
    </row>
    <row r="126" spans="2:7" x14ac:dyDescent="0.25">
      <c r="B126" s="122"/>
      <c r="G126" s="121"/>
    </row>
    <row r="127" spans="2:7" x14ac:dyDescent="0.25">
      <c r="B127" s="122"/>
      <c r="G127" s="121"/>
    </row>
    <row r="128" spans="2:7" x14ac:dyDescent="0.25">
      <c r="B128" s="122"/>
      <c r="G128" s="121"/>
    </row>
    <row r="129" spans="2:7" x14ac:dyDescent="0.25">
      <c r="B129" s="122"/>
      <c r="G129" s="121"/>
    </row>
    <row r="130" spans="2:7" x14ac:dyDescent="0.25">
      <c r="B130" s="122"/>
      <c r="G130" s="121"/>
    </row>
    <row r="131" spans="2:7" x14ac:dyDescent="0.25">
      <c r="B131" s="122"/>
      <c r="G131" s="121"/>
    </row>
    <row r="132" spans="2:7" x14ac:dyDescent="0.25">
      <c r="B132" s="122"/>
      <c r="G132" s="121"/>
    </row>
    <row r="133" spans="2:7" x14ac:dyDescent="0.25">
      <c r="B133" s="122"/>
      <c r="G133" s="121"/>
    </row>
    <row r="134" spans="2:7" x14ac:dyDescent="0.25">
      <c r="B134" s="122"/>
      <c r="G134" s="121"/>
    </row>
    <row r="135" spans="2:7" x14ac:dyDescent="0.25">
      <c r="B135" s="122"/>
      <c r="G135" s="121"/>
    </row>
    <row r="136" spans="2:7" x14ac:dyDescent="0.25">
      <c r="B136" s="122"/>
      <c r="G136" s="121"/>
    </row>
    <row r="137" spans="2:7" x14ac:dyDescent="0.25">
      <c r="B137" s="122"/>
      <c r="G137" s="121"/>
    </row>
    <row r="138" spans="2:7" x14ac:dyDescent="0.25">
      <c r="B138" s="122"/>
      <c r="G138" s="121"/>
    </row>
    <row r="139" spans="2:7" x14ac:dyDescent="0.25">
      <c r="B139" s="122"/>
      <c r="G139" s="121"/>
    </row>
    <row r="140" spans="2:7" x14ac:dyDescent="0.25">
      <c r="B140" s="122"/>
      <c r="G140" s="121"/>
    </row>
    <row r="141" spans="2:7" x14ac:dyDescent="0.25">
      <c r="B141" s="122"/>
      <c r="G141" s="121"/>
    </row>
    <row r="142" spans="2:7" x14ac:dyDescent="0.25">
      <c r="B142" s="122"/>
      <c r="G142" s="121"/>
    </row>
    <row r="143" spans="2:7" x14ac:dyDescent="0.25">
      <c r="B143" s="122"/>
      <c r="G143" s="121"/>
    </row>
    <row r="144" spans="2:7" x14ac:dyDescent="0.25">
      <c r="B144" s="122"/>
      <c r="G144" s="121"/>
    </row>
    <row r="145" spans="2:7" x14ac:dyDescent="0.25">
      <c r="B145" s="122"/>
      <c r="G145" s="121"/>
    </row>
    <row r="146" spans="2:7" x14ac:dyDescent="0.25">
      <c r="B146" s="122"/>
      <c r="G146" s="121"/>
    </row>
    <row r="147" spans="2:7" x14ac:dyDescent="0.25">
      <c r="B147" s="122"/>
      <c r="G147" s="121"/>
    </row>
    <row r="148" spans="2:7" x14ac:dyDescent="0.25">
      <c r="B148" s="122"/>
      <c r="G148" s="121"/>
    </row>
    <row r="149" spans="2:7" x14ac:dyDescent="0.25">
      <c r="B149" s="122"/>
      <c r="G149" s="121"/>
    </row>
    <row r="150" spans="2:7" x14ac:dyDescent="0.25">
      <c r="B150" s="122"/>
      <c r="G150" s="121"/>
    </row>
    <row r="151" spans="2:7" x14ac:dyDescent="0.25">
      <c r="B151" s="122"/>
      <c r="G151" s="121"/>
    </row>
    <row r="152" spans="2:7" x14ac:dyDescent="0.25">
      <c r="B152" s="122"/>
      <c r="G152" s="121"/>
    </row>
    <row r="153" spans="2:7" x14ac:dyDescent="0.25">
      <c r="B153" s="122"/>
      <c r="G153" s="121"/>
    </row>
    <row r="154" spans="2:7" x14ac:dyDescent="0.25">
      <c r="B154" s="122"/>
      <c r="G154" s="121"/>
    </row>
    <row r="155" spans="2:7" x14ac:dyDescent="0.25">
      <c r="B155" s="122"/>
      <c r="G155" s="121"/>
    </row>
    <row r="156" spans="2:7" x14ac:dyDescent="0.25">
      <c r="B156" s="122"/>
      <c r="G156" s="121"/>
    </row>
    <row r="157" spans="2:7" x14ac:dyDescent="0.25">
      <c r="B157" s="122"/>
      <c r="G157" s="121"/>
    </row>
    <row r="158" spans="2:7" x14ac:dyDescent="0.25">
      <c r="B158" s="122"/>
      <c r="G158" s="121"/>
    </row>
    <row r="159" spans="2:7" x14ac:dyDescent="0.25">
      <c r="B159" s="122"/>
      <c r="G159" s="121"/>
    </row>
    <row r="160" spans="2:7" x14ac:dyDescent="0.25">
      <c r="B160" s="122"/>
      <c r="G160" s="121"/>
    </row>
    <row r="161" spans="2:7" x14ac:dyDescent="0.25">
      <c r="B161" s="122"/>
      <c r="G161" s="121"/>
    </row>
    <row r="162" spans="2:7" x14ac:dyDescent="0.25">
      <c r="B162" s="122"/>
      <c r="G162" s="121"/>
    </row>
    <row r="163" spans="2:7" x14ac:dyDescent="0.25">
      <c r="B163" s="122"/>
      <c r="G163" s="121"/>
    </row>
    <row r="164" spans="2:7" x14ac:dyDescent="0.25">
      <c r="B164" s="122"/>
      <c r="G164" s="121"/>
    </row>
    <row r="165" spans="2:7" x14ac:dyDescent="0.25">
      <c r="B165" s="122"/>
      <c r="G165" s="121"/>
    </row>
    <row r="166" spans="2:7" x14ac:dyDescent="0.25">
      <c r="B166" s="125"/>
      <c r="C166" s="126"/>
      <c r="D166" s="127"/>
      <c r="E166" s="127"/>
      <c r="F166" s="127"/>
      <c r="G166" s="128"/>
    </row>
  </sheetData>
  <dataValidations count="1">
    <dataValidation type="list" allowBlank="1" showInputMessage="1" showErrorMessage="1" sqref="B6:B9" xr:uid="{326FEB15-AE40-4BA3-8226-869004D50EF1}">
      <formula1>"Tier 1,Tier 2,Tier 3,Tier 4"</formula1>
    </dataValidation>
  </dataValidation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2C3300-F26C-4B7B-85C8-6EFE4AF1EF74}">
  <sheetPr codeName="Sheet11">
    <tabColor rgb="FF00CCFF"/>
  </sheetPr>
  <dimension ref="A1:G166"/>
  <sheetViews>
    <sheetView showGridLines="0" zoomScale="80" zoomScaleNormal="80" workbookViewId="0"/>
  </sheetViews>
  <sheetFormatPr defaultRowHeight="13.2" x14ac:dyDescent="0.25"/>
  <cols>
    <col min="1" max="1" width="26.109375" customWidth="1"/>
    <col min="2" max="2" width="90.5546875" customWidth="1"/>
    <col min="3" max="3" width="21" customWidth="1"/>
    <col min="4" max="6" width="19.88671875" style="96" customWidth="1"/>
    <col min="7" max="7" width="23.5546875" style="96" customWidth="1"/>
  </cols>
  <sheetData>
    <row r="1" spans="1:7" x14ac:dyDescent="0.25">
      <c r="A1" s="4" t="str" cm="1">
        <f t="array" aca="1" ref="A1" ca="1">MID(CELL("filename",A1),FIND("]",CELL("filename",A1))+1,255)</f>
        <v>Concrete_80MPa</v>
      </c>
    </row>
    <row r="2" spans="1:7" x14ac:dyDescent="0.25">
      <c r="A2" s="4"/>
    </row>
    <row r="3" spans="1:7" x14ac:dyDescent="0.25">
      <c r="A3" s="4" t="s">
        <v>4048</v>
      </c>
      <c r="B3" t="s">
        <v>4078</v>
      </c>
    </row>
    <row r="4" spans="1:7" x14ac:dyDescent="0.25">
      <c r="A4" s="4"/>
    </row>
    <row r="5" spans="1:7" ht="73.5" customHeight="1" x14ac:dyDescent="0.25">
      <c r="A5" s="26" t="s">
        <v>4050</v>
      </c>
      <c r="B5" s="14" t="s">
        <v>4079</v>
      </c>
    </row>
    <row r="6" spans="1:7" x14ac:dyDescent="0.25">
      <c r="A6" s="26" t="s">
        <v>4052</v>
      </c>
      <c r="B6" s="27" t="s">
        <v>68</v>
      </c>
    </row>
    <row r="7" spans="1:7" x14ac:dyDescent="0.25">
      <c r="A7" s="26" t="s">
        <v>4053</v>
      </c>
      <c r="B7" s="27" t="s">
        <v>68</v>
      </c>
    </row>
    <row r="8" spans="1:7" x14ac:dyDescent="0.25">
      <c r="A8" s="26" t="s">
        <v>4054</v>
      </c>
      <c r="B8" s="27" t="s">
        <v>70</v>
      </c>
    </row>
    <row r="9" spans="1:7" x14ac:dyDescent="0.25">
      <c r="A9" s="26" t="s">
        <v>4055</v>
      </c>
      <c r="B9" s="33" t="s">
        <v>70</v>
      </c>
    </row>
    <row r="10" spans="1:7" x14ac:dyDescent="0.25">
      <c r="A10" s="26"/>
      <c r="B10" s="4"/>
    </row>
    <row r="11" spans="1:7" ht="66" x14ac:dyDescent="0.25">
      <c r="A11" s="26" t="s">
        <v>4056</v>
      </c>
      <c r="B11" s="14" t="s">
        <v>4080</v>
      </c>
    </row>
    <row r="12" spans="1:7" x14ac:dyDescent="0.25">
      <c r="A12" s="101"/>
    </row>
    <row r="13" spans="1:7" x14ac:dyDescent="0.25">
      <c r="A13" s="101"/>
    </row>
    <row r="14" spans="1:7" x14ac:dyDescent="0.25">
      <c r="A14" s="26" t="s">
        <v>4057</v>
      </c>
    </row>
    <row r="15" spans="1:7" x14ac:dyDescent="0.25">
      <c r="A15" s="26"/>
      <c r="D15" s="112" t="s">
        <v>4058</v>
      </c>
      <c r="E15" s="113"/>
      <c r="F15" s="114" t="s">
        <v>4059</v>
      </c>
      <c r="G15" s="113"/>
    </row>
    <row r="16" spans="1:7" ht="39.6" x14ac:dyDescent="0.25">
      <c r="B16" s="28" t="s">
        <v>840</v>
      </c>
      <c r="C16" s="23" t="s">
        <v>23</v>
      </c>
      <c r="D16" s="24" t="s">
        <v>141</v>
      </c>
      <c r="E16" s="25" t="s">
        <v>148</v>
      </c>
      <c r="F16" s="24" t="s">
        <v>142</v>
      </c>
      <c r="G16" s="24" t="s">
        <v>149</v>
      </c>
    </row>
    <row r="17" spans="2:7" x14ac:dyDescent="0.25">
      <c r="B17" s="29"/>
      <c r="C17" s="30" t="s">
        <v>4060</v>
      </c>
      <c r="D17" s="118" t="str" cm="1">
        <f t="array" ref="D17">IF(AND(_xlfn.ANCHORARRAY(C23)=C23),C23,"Mixed")</f>
        <v>m³</v>
      </c>
      <c r="E17" s="118" t="s">
        <v>219</v>
      </c>
      <c r="F17" s="118" t="str" cm="1">
        <f t="array" ref="F17">IF(AND(_xlfn.ANCHORARRAY(C23)=C23),C23,"Mixed")</f>
        <v>m³</v>
      </c>
      <c r="G17" s="119" t="s">
        <v>219</v>
      </c>
    </row>
    <row r="18" spans="2:7" s="14" customFormat="1" x14ac:dyDescent="0.25">
      <c r="B18" s="31"/>
      <c r="C18" s="4" t="s">
        <v>4061</v>
      </c>
      <c r="D18" s="162">
        <f>Concrete_50MPa!D18</f>
        <v>609.23299999999995</v>
      </c>
      <c r="E18" s="162">
        <f>Concrete_50MPa!E18</f>
        <v>0.25384708333333333</v>
      </c>
      <c r="F18" s="96">
        <f t="shared" ref="F18:G18" si="0">MAX(_xlfn.ANCHORARRAY(F23))</f>
        <v>0</v>
      </c>
      <c r="G18" s="121">
        <f t="shared" si="0"/>
        <v>0</v>
      </c>
    </row>
    <row r="19" spans="2:7" x14ac:dyDescent="0.25">
      <c r="B19" s="122"/>
      <c r="C19" s="4" t="s">
        <v>4062</v>
      </c>
      <c r="D19" s="96">
        <f>MIN(_xlfn.ANCHORARRAY(D23))</f>
        <v>301</v>
      </c>
      <c r="E19" s="96">
        <f t="shared" ref="E19:G19" si="1">MIN(_xlfn.ANCHORARRAY(E23))</f>
        <v>0.12541666666666668</v>
      </c>
      <c r="F19" s="96">
        <f t="shared" si="1"/>
        <v>0</v>
      </c>
      <c r="G19" s="121">
        <f t="shared" si="1"/>
        <v>0</v>
      </c>
    </row>
    <row r="20" spans="2:7" x14ac:dyDescent="0.25">
      <c r="B20" s="122"/>
      <c r="C20" s="4" t="s">
        <v>4063</v>
      </c>
      <c r="D20" s="96">
        <f>AVERAGE(_xlfn.ANCHORARRAY(D23))</f>
        <v>425.98784000000006</v>
      </c>
      <c r="E20" s="96">
        <f t="shared" ref="E20:G20" si="2">AVERAGE(_xlfn.ANCHORARRAY(E23))</f>
        <v>0.17749493333333333</v>
      </c>
      <c r="F20" s="96">
        <f t="shared" si="2"/>
        <v>0</v>
      </c>
      <c r="G20" s="121">
        <f t="shared" si="2"/>
        <v>0</v>
      </c>
    </row>
    <row r="21" spans="2:7" x14ac:dyDescent="0.25">
      <c r="B21" s="122"/>
      <c r="C21" s="4"/>
      <c r="G21" s="121"/>
    </row>
    <row r="22" spans="2:7" x14ac:dyDescent="0.25">
      <c r="B22" s="32" t="s">
        <v>4064</v>
      </c>
      <c r="D22"/>
      <c r="E22"/>
      <c r="F22"/>
      <c r="G22" s="124"/>
    </row>
    <row r="23" spans="2:7" x14ac:dyDescent="0.25">
      <c r="B23" s="122" t="str" cm="1">
        <f t="array" ref="B23:B42">_xlfn.UNIQUE(_xlfn._xlws.FILTER('EPD List'!D:D,ISNUMBER(SEARCH(B16,'EPD List'!C:C)),0))</f>
        <v>Concrete, 80 MPa, in-situ, no reinforcement, (VE801EAV) (Ecopact) (Holcim) (VIC)</v>
      </c>
      <c r="C23" t="str" cm="1">
        <f t="array" ref="C23:C42">_xlfn.IFNA(INDEX('EPD List'!$A:$AB,MATCH(_xlfn.ANCHORARRAY(B23),'EPD List'!$D:$D,0),MATCH(C$16,'EPD List'!$7:$7,0)),"")</f>
        <v>m³</v>
      </c>
      <c r="D23" s="96" cm="1">
        <f t="array" ref="D23:D42">_xlfn.IFNA(VALUE((INDEX('EPD List'!$A:$AD,MATCH(_xlfn.ANCHORARRAY($B23),'EPD List'!$D:$D,0),MATCH(D$16,'EPD List'!$7:$7,0)))),"")</f>
        <v>408.36</v>
      </c>
      <c r="E23" s="96" cm="1">
        <f t="array" ref="E23:E42">_xlfn.IFNA(VALUE((INDEX('EPD List'!$A:$AD,MATCH(_xlfn.ANCHORARRAY($B23),'EPD List'!$D:$D,0),MATCH(E$16,'EPD List'!$7:$7,0)))),"")</f>
        <v>0.17015000000000002</v>
      </c>
      <c r="F23" s="96" cm="1">
        <f t="array" ref="F23:F42">_xlfn.IFNA(VALUE((INDEX('EPD List'!$A:$AD,MATCH(_xlfn.ANCHORARRAY($B23),'EPD List'!$D:$D,0),MATCH(F$16,'EPD List'!$7:$7,0)))),"")</f>
        <v>0</v>
      </c>
      <c r="G23" s="121" cm="1">
        <f t="array" ref="G23:G42">_xlfn.IFNA(VALUE((INDEX('EPD List'!$A:$AD,MATCH(_xlfn.ANCHORARRAY($B23),'EPD List'!$D:$D,0),MATCH(G$16,'EPD List'!$7:$7,0)))),"")</f>
        <v>0</v>
      </c>
    </row>
    <row r="24" spans="2:7" x14ac:dyDescent="0.25">
      <c r="B24" s="122" t="str">
        <v>Concrete, 80 MPa, in-situ, no reinforcement, (80MPa 14MM 150MM SLUMP CONCRETE) (Adbri) (VIC)</v>
      </c>
      <c r="C24" t="str">
        <v>m³</v>
      </c>
      <c r="D24" s="96">
        <v>406.33</v>
      </c>
      <c r="E24" s="96">
        <v>0.16930416666666667</v>
      </c>
      <c r="F24" s="96">
        <v>0</v>
      </c>
      <c r="G24" s="121">
        <v>0</v>
      </c>
    </row>
    <row r="25" spans="2:7" x14ac:dyDescent="0.25">
      <c r="B25" s="122" t="str">
        <v>Concrete, 80 MPa, in-situ, no reinforcement, (QE801EDUF) (Ecopact) (Holcim) (QLD), Gold Coast</v>
      </c>
      <c r="C25" t="str">
        <v>m³</v>
      </c>
      <c r="D25" s="96">
        <v>432.33</v>
      </c>
      <c r="E25" s="96">
        <v>0.18013750000000001</v>
      </c>
      <c r="F25" s="96">
        <v>0</v>
      </c>
      <c r="G25" s="121">
        <v>0</v>
      </c>
    </row>
    <row r="26" spans="2:7" x14ac:dyDescent="0.25">
      <c r="B26" s="122" t="str">
        <v>Concrete, 80 MPa, in-situ, no reinforcement, (QE801E200) (Ecopact) (Holcim) (QLD) (Brisbane)</v>
      </c>
      <c r="C26" t="str">
        <v>m³</v>
      </c>
      <c r="D26" s="96">
        <v>419.31</v>
      </c>
      <c r="E26" s="96">
        <v>0.17471250000000002</v>
      </c>
      <c r="F26" s="96">
        <v>0</v>
      </c>
      <c r="G26" s="121">
        <v>0</v>
      </c>
    </row>
    <row r="27" spans="2:7" x14ac:dyDescent="0.25">
      <c r="B27" s="122" t="str">
        <v>Concrete, 80 MPa, in-situ, no reinforcement, (QE801EDUF) (Ecopact) (Holcim) (QLD) (Brisbane)</v>
      </c>
      <c r="C27" t="str">
        <v>m³</v>
      </c>
      <c r="D27" s="96">
        <v>421.31</v>
      </c>
      <c r="E27" s="96">
        <v>0.17554583333333335</v>
      </c>
      <c r="F27" s="96">
        <v>0</v>
      </c>
      <c r="G27" s="121">
        <v>0</v>
      </c>
    </row>
    <row r="28" spans="2:7" x14ac:dyDescent="0.25">
      <c r="B28" s="122" t="str">
        <v>Concrete, 80 MPa, in-situ, no reinforcement, (E80SPHE) (Barro Group) (VIC)</v>
      </c>
      <c r="C28" t="str">
        <v>m³</v>
      </c>
      <c r="D28" s="96">
        <v>457.12799999999999</v>
      </c>
      <c r="E28" s="96">
        <v>0.19047</v>
      </c>
      <c r="F28" s="96">
        <v>0</v>
      </c>
      <c r="G28" s="121">
        <v>0</v>
      </c>
    </row>
    <row r="29" spans="2:7" x14ac:dyDescent="0.25">
      <c r="B29" s="122" t="str">
        <v>Concrete, 80 MPa, in-situ, no reinforcement, (E80SP) (Barro Group) (VIC)</v>
      </c>
      <c r="C29" t="str">
        <v>m³</v>
      </c>
      <c r="D29" s="96">
        <v>379.0788</v>
      </c>
      <c r="E29" s="96">
        <v>0.15794950000000002</v>
      </c>
      <c r="F29" s="96">
        <v>0</v>
      </c>
      <c r="G29" s="121">
        <v>0</v>
      </c>
    </row>
    <row r="30" spans="2:7" x14ac:dyDescent="0.25">
      <c r="B30" s="122" t="str">
        <v>Concrete, 80 MPa, in-situ, no reinforcement, Pre-mix Concrete ENVISIA 80MPa (Boral) (ACT), (Canberra) ENVISIA 80MPa</v>
      </c>
      <c r="C30" t="str">
        <v>m³</v>
      </c>
      <c r="D30" s="96">
        <v>433</v>
      </c>
      <c r="E30" s="96">
        <v>0.18041666666666667</v>
      </c>
      <c r="F30" s="96">
        <v>0</v>
      </c>
      <c r="G30" s="121">
        <v>0</v>
      </c>
    </row>
    <row r="31" spans="2:7" x14ac:dyDescent="0.25">
      <c r="B31" s="122" t="str">
        <v>Concrete, 80 MPa, in-situ, no reinforcement, Pre-mix Concrete HIGH SLUMP (Boral) (ACT), (Canberra) HIGH SLUMP 80MPa</v>
      </c>
      <c r="C31" t="str">
        <v>m³</v>
      </c>
      <c r="D31" s="96">
        <v>520</v>
      </c>
      <c r="E31" s="96">
        <v>0.21666666666666667</v>
      </c>
      <c r="F31" s="96">
        <v>0</v>
      </c>
      <c r="G31" s="121">
        <v>0</v>
      </c>
    </row>
    <row r="32" spans="2:7" x14ac:dyDescent="0.25">
      <c r="B32" s="122" t="str">
        <v>Concrete, 80 MPa, in-situ, no reinforcement, Pre-mix Concrete ENVISIA (Boral) (NSW), (Newcastle) ENVISIA 80MPa</v>
      </c>
      <c r="C32" t="str">
        <v>m³</v>
      </c>
      <c r="D32" s="96">
        <v>422</v>
      </c>
      <c r="E32" s="96">
        <v>0.17583333333333334</v>
      </c>
      <c r="F32" s="96">
        <v>0</v>
      </c>
      <c r="G32" s="121">
        <v>0</v>
      </c>
    </row>
    <row r="33" spans="2:7" x14ac:dyDescent="0.25">
      <c r="B33" s="122" t="str">
        <v>Concrete, 80 MPa, in-situ, no reinforcement, Pre-mix Concrete HIGH SLUMP (Boral) (NSW), (Newcastle) HIGH SLUMP 80MPa</v>
      </c>
      <c r="C33" t="str">
        <v>m³</v>
      </c>
      <c r="D33" s="96">
        <v>485</v>
      </c>
      <c r="E33" s="96">
        <v>0.20208333333333334</v>
      </c>
      <c r="F33" s="96">
        <v>0</v>
      </c>
      <c r="G33" s="121">
        <v>0</v>
      </c>
    </row>
    <row r="34" spans="2:7" x14ac:dyDescent="0.25">
      <c r="B34" s="122" t="str">
        <v>Concrete, 80 MPa, in-situ, no reinforcement, Pre-mix Concrete HIGH SLUMP (Boral) (NSW), (Sydney) HIGH SLUMP 80MPa</v>
      </c>
      <c r="C34" t="str">
        <v>m³</v>
      </c>
      <c r="D34" s="96">
        <v>385</v>
      </c>
      <c r="E34" s="96">
        <v>0.16041666666666668</v>
      </c>
      <c r="F34" s="96">
        <v>0</v>
      </c>
      <c r="G34" s="121">
        <v>0</v>
      </c>
    </row>
    <row r="35" spans="2:7" x14ac:dyDescent="0.25">
      <c r="B35" s="122" t="str">
        <v>Concrete, 80 MPa, in-situ, no reinforcement, Pre-mix Concrete ENVISIA (Boral) (NSW), (Sydney) ENVISIA 80MPa</v>
      </c>
      <c r="C35" t="str">
        <v>m³</v>
      </c>
      <c r="D35" s="96">
        <v>422</v>
      </c>
      <c r="E35" s="96">
        <v>0.17583333333333334</v>
      </c>
      <c r="F35" s="96">
        <v>0</v>
      </c>
      <c r="G35" s="121">
        <v>0</v>
      </c>
    </row>
    <row r="36" spans="2:7" x14ac:dyDescent="0.25">
      <c r="B36" s="122" t="str">
        <v>Concrete, 80 MPa, in-situ, no reinforcement, Pre-mix Concrete ENVISIA (Boral) (NSW), (Wollongong) ENVISIA 80MPa</v>
      </c>
      <c r="C36" t="str">
        <v>m³</v>
      </c>
      <c r="D36" s="96">
        <v>426</v>
      </c>
      <c r="E36" s="96">
        <v>0.17749999999999999</v>
      </c>
      <c r="F36" s="96">
        <v>0</v>
      </c>
      <c r="G36" s="121">
        <v>0</v>
      </c>
    </row>
    <row r="37" spans="2:7" x14ac:dyDescent="0.25">
      <c r="B37" s="122" t="str">
        <v>Concrete, 80 MPa, in-situ, no reinforcement, Pre-mix Concrete HIGH SLUMP (Boral) (NSW), (Wollongong) HIGH SLUMP 80MPa</v>
      </c>
      <c r="C37" t="str">
        <v>m³</v>
      </c>
      <c r="D37" s="96">
        <v>529</v>
      </c>
      <c r="E37" s="96">
        <v>0.22041666666666668</v>
      </c>
      <c r="F37" s="96">
        <v>0</v>
      </c>
      <c r="G37" s="121">
        <v>0</v>
      </c>
    </row>
    <row r="38" spans="2:7" x14ac:dyDescent="0.25">
      <c r="B38" s="122" t="str">
        <v>Concrete, 80 MPa, in-situ, no reinforcement, Ready-Mix Concrete (LC)50 (Concrite) (NSW) (Sydney Region, NSW)</v>
      </c>
      <c r="C38" t="str">
        <v>m³</v>
      </c>
      <c r="D38" s="96">
        <v>301</v>
      </c>
      <c r="E38" s="96">
        <v>0.12541666666666668</v>
      </c>
      <c r="F38" s="96">
        <v>0</v>
      </c>
      <c r="G38" s="121">
        <v>0</v>
      </c>
    </row>
    <row r="39" spans="2:7" x14ac:dyDescent="0.25">
      <c r="B39" s="122" t="str">
        <v>Concrete, 80 MPa, in-situ, no reinforcement, Ready-Mix Concrete HIGH STRENGTH (Concrite) (NSW) (Sydney Region, NSW)</v>
      </c>
      <c r="C39" t="str">
        <v>m³</v>
      </c>
      <c r="D39" s="96">
        <v>413</v>
      </c>
      <c r="E39" s="96">
        <v>0.17208333333333334</v>
      </c>
      <c r="F39" s="96">
        <v>0</v>
      </c>
      <c r="G39" s="121">
        <v>0</v>
      </c>
    </row>
    <row r="40" spans="2:7" x14ac:dyDescent="0.25">
      <c r="B40" s="122" t="str">
        <v>Concrete, 80 MPa, in-situ, no reinforcement, (NE801ELH)(Ecopact) (Holcim) (NSW), (Sydney)</v>
      </c>
      <c r="C40" t="str">
        <v>m³</v>
      </c>
      <c r="D40" s="96">
        <v>391.38</v>
      </c>
      <c r="E40" s="96">
        <v>0.163075</v>
      </c>
      <c r="F40" s="96">
        <v>0</v>
      </c>
      <c r="G40" s="121">
        <v>0</v>
      </c>
    </row>
    <row r="41" spans="2:7" x14ac:dyDescent="0.25">
      <c r="B41" s="122" t="str">
        <v>Concrete, 80 MPa, in-situ, no reinforcement, (QE801E200) (Ecopact) (Holcim) (QLD), Gold Coast</v>
      </c>
      <c r="C41" t="str">
        <v>m³</v>
      </c>
      <c r="D41" s="96">
        <v>417.31</v>
      </c>
      <c r="E41" s="96">
        <v>0.17387916666666667</v>
      </c>
      <c r="F41" s="96">
        <v>0</v>
      </c>
      <c r="G41" s="121">
        <v>0</v>
      </c>
    </row>
    <row r="42" spans="2:7" x14ac:dyDescent="0.25">
      <c r="B42" s="122" t="str">
        <v>Concrete, 80 MPa, in-situ, no reinforcement, (80MPa 14MM
SUPER WORKABLE CONCRETE) (Adbri) (VIC)</v>
      </c>
      <c r="C42" t="str">
        <v>m³</v>
      </c>
      <c r="D42" s="96">
        <v>451.22</v>
      </c>
      <c r="E42" s="96">
        <v>0.18800833333333333</v>
      </c>
      <c r="F42" s="96">
        <v>0</v>
      </c>
      <c r="G42" s="121">
        <v>0</v>
      </c>
    </row>
    <row r="43" spans="2:7" x14ac:dyDescent="0.25">
      <c r="B43" s="122"/>
      <c r="G43" s="121"/>
    </row>
    <row r="44" spans="2:7" x14ac:dyDescent="0.25">
      <c r="B44" s="122"/>
      <c r="G44" s="121"/>
    </row>
    <row r="45" spans="2:7" x14ac:dyDescent="0.25">
      <c r="B45" s="122"/>
      <c r="G45" s="121"/>
    </row>
    <row r="46" spans="2:7" x14ac:dyDescent="0.25">
      <c r="B46" s="122"/>
      <c r="G46" s="121"/>
    </row>
    <row r="47" spans="2:7" x14ac:dyDescent="0.25">
      <c r="B47" s="122"/>
      <c r="G47" s="121"/>
    </row>
    <row r="48" spans="2:7" x14ac:dyDescent="0.25">
      <c r="B48" s="122"/>
      <c r="G48" s="121"/>
    </row>
    <row r="49" spans="2:7" x14ac:dyDescent="0.25">
      <c r="B49" s="122"/>
      <c r="G49" s="121"/>
    </row>
    <row r="50" spans="2:7" x14ac:dyDescent="0.25">
      <c r="B50" s="122"/>
      <c r="G50" s="121"/>
    </row>
    <row r="51" spans="2:7" x14ac:dyDescent="0.25">
      <c r="B51" s="122"/>
      <c r="G51" s="121"/>
    </row>
    <row r="52" spans="2:7" x14ac:dyDescent="0.25">
      <c r="B52" s="122"/>
      <c r="G52" s="121"/>
    </row>
    <row r="53" spans="2:7" x14ac:dyDescent="0.25">
      <c r="B53" s="122"/>
      <c r="G53" s="121"/>
    </row>
    <row r="54" spans="2:7" x14ac:dyDescent="0.25">
      <c r="B54" s="122"/>
      <c r="G54" s="121"/>
    </row>
    <row r="55" spans="2:7" x14ac:dyDescent="0.25">
      <c r="B55" s="122"/>
      <c r="G55" s="121"/>
    </row>
    <row r="56" spans="2:7" x14ac:dyDescent="0.25">
      <c r="B56" s="122"/>
      <c r="G56" s="121"/>
    </row>
    <row r="57" spans="2:7" x14ac:dyDescent="0.25">
      <c r="B57" s="122"/>
      <c r="G57" s="121"/>
    </row>
    <row r="58" spans="2:7" x14ac:dyDescent="0.25">
      <c r="B58" s="122"/>
      <c r="G58" s="121"/>
    </row>
    <row r="59" spans="2:7" x14ac:dyDescent="0.25">
      <c r="B59" s="122"/>
      <c r="G59" s="121"/>
    </row>
    <row r="60" spans="2:7" x14ac:dyDescent="0.25">
      <c r="B60" s="122"/>
      <c r="G60" s="121"/>
    </row>
    <row r="61" spans="2:7" x14ac:dyDescent="0.25">
      <c r="B61" s="122"/>
      <c r="G61" s="121"/>
    </row>
    <row r="62" spans="2:7" x14ac:dyDescent="0.25">
      <c r="B62" s="122"/>
      <c r="G62" s="121"/>
    </row>
    <row r="63" spans="2:7" x14ac:dyDescent="0.25">
      <c r="B63" s="122"/>
      <c r="G63" s="121"/>
    </row>
    <row r="64" spans="2:7" x14ac:dyDescent="0.25">
      <c r="B64" s="122"/>
      <c r="G64" s="121"/>
    </row>
    <row r="65" spans="2:7" x14ac:dyDescent="0.25">
      <c r="B65" s="122"/>
      <c r="G65" s="121"/>
    </row>
    <row r="66" spans="2:7" x14ac:dyDescent="0.25">
      <c r="B66" s="122"/>
      <c r="G66" s="121"/>
    </row>
    <row r="67" spans="2:7" x14ac:dyDescent="0.25">
      <c r="B67" s="122"/>
      <c r="G67" s="121"/>
    </row>
    <row r="68" spans="2:7" x14ac:dyDescent="0.25">
      <c r="B68" s="122"/>
      <c r="G68" s="121"/>
    </row>
    <row r="69" spans="2:7" x14ac:dyDescent="0.25">
      <c r="B69" s="122"/>
      <c r="G69" s="121"/>
    </row>
    <row r="70" spans="2:7" x14ac:dyDescent="0.25">
      <c r="B70" s="122"/>
      <c r="G70" s="121"/>
    </row>
    <row r="71" spans="2:7" x14ac:dyDescent="0.25">
      <c r="B71" s="122"/>
      <c r="G71" s="121"/>
    </row>
    <row r="72" spans="2:7" x14ac:dyDescent="0.25">
      <c r="B72" s="122"/>
      <c r="G72" s="121"/>
    </row>
    <row r="73" spans="2:7" x14ac:dyDescent="0.25">
      <c r="B73" s="122"/>
      <c r="G73" s="121"/>
    </row>
    <row r="74" spans="2:7" x14ac:dyDescent="0.25">
      <c r="B74" s="122"/>
      <c r="G74" s="121"/>
    </row>
    <row r="75" spans="2:7" x14ac:dyDescent="0.25">
      <c r="B75" s="122"/>
      <c r="G75" s="121"/>
    </row>
    <row r="76" spans="2:7" x14ac:dyDescent="0.25">
      <c r="B76" s="122"/>
      <c r="G76" s="121"/>
    </row>
    <row r="77" spans="2:7" x14ac:dyDescent="0.25">
      <c r="B77" s="122"/>
      <c r="G77" s="121"/>
    </row>
    <row r="78" spans="2:7" x14ac:dyDescent="0.25">
      <c r="B78" s="122"/>
      <c r="G78" s="121"/>
    </row>
    <row r="79" spans="2:7" x14ac:dyDescent="0.25">
      <c r="B79" s="122"/>
      <c r="G79" s="121"/>
    </row>
    <row r="80" spans="2:7" x14ac:dyDescent="0.25">
      <c r="B80" s="122"/>
      <c r="G80" s="121"/>
    </row>
    <row r="81" spans="2:7" x14ac:dyDescent="0.25">
      <c r="B81" s="122"/>
      <c r="G81" s="121"/>
    </row>
    <row r="82" spans="2:7" x14ac:dyDescent="0.25">
      <c r="B82" s="122"/>
      <c r="G82" s="121"/>
    </row>
    <row r="83" spans="2:7" x14ac:dyDescent="0.25">
      <c r="B83" s="122"/>
      <c r="G83" s="121"/>
    </row>
    <row r="84" spans="2:7" x14ac:dyDescent="0.25">
      <c r="B84" s="122"/>
      <c r="G84" s="121"/>
    </row>
    <row r="85" spans="2:7" x14ac:dyDescent="0.25">
      <c r="B85" s="122"/>
      <c r="G85" s="121"/>
    </row>
    <row r="86" spans="2:7" x14ac:dyDescent="0.25">
      <c r="B86" s="122"/>
      <c r="G86" s="121"/>
    </row>
    <row r="87" spans="2:7" x14ac:dyDescent="0.25">
      <c r="B87" s="122"/>
      <c r="G87" s="121"/>
    </row>
    <row r="88" spans="2:7" x14ac:dyDescent="0.25">
      <c r="B88" s="122"/>
      <c r="G88" s="121"/>
    </row>
    <row r="89" spans="2:7" x14ac:dyDescent="0.25">
      <c r="B89" s="122"/>
      <c r="G89" s="121"/>
    </row>
    <row r="90" spans="2:7" x14ac:dyDescent="0.25">
      <c r="B90" s="122"/>
      <c r="G90" s="121"/>
    </row>
    <row r="91" spans="2:7" x14ac:dyDescent="0.25">
      <c r="B91" s="122"/>
      <c r="G91" s="121"/>
    </row>
    <row r="92" spans="2:7" x14ac:dyDescent="0.25">
      <c r="B92" s="122"/>
      <c r="G92" s="121"/>
    </row>
    <row r="93" spans="2:7" x14ac:dyDescent="0.25">
      <c r="B93" s="122"/>
      <c r="G93" s="121"/>
    </row>
    <row r="94" spans="2:7" x14ac:dyDescent="0.25">
      <c r="B94" s="122"/>
      <c r="G94" s="121"/>
    </row>
    <row r="95" spans="2:7" x14ac:dyDescent="0.25">
      <c r="B95" s="122"/>
      <c r="G95" s="121"/>
    </row>
    <row r="96" spans="2:7" x14ac:dyDescent="0.25">
      <c r="B96" s="122"/>
      <c r="G96" s="121"/>
    </row>
    <row r="97" spans="2:7" x14ac:dyDescent="0.25">
      <c r="B97" s="122"/>
      <c r="G97" s="121"/>
    </row>
    <row r="98" spans="2:7" x14ac:dyDescent="0.25">
      <c r="B98" s="122"/>
      <c r="G98" s="121"/>
    </row>
    <row r="99" spans="2:7" x14ac:dyDescent="0.25">
      <c r="B99" s="122"/>
      <c r="G99" s="121"/>
    </row>
    <row r="100" spans="2:7" x14ac:dyDescent="0.25">
      <c r="B100" s="122"/>
      <c r="G100" s="121"/>
    </row>
    <row r="101" spans="2:7" x14ac:dyDescent="0.25">
      <c r="B101" s="122"/>
      <c r="G101" s="121"/>
    </row>
    <row r="102" spans="2:7" x14ac:dyDescent="0.25">
      <c r="B102" s="122"/>
      <c r="G102" s="121"/>
    </row>
    <row r="103" spans="2:7" x14ac:dyDescent="0.25">
      <c r="B103" s="122"/>
      <c r="G103" s="121"/>
    </row>
    <row r="104" spans="2:7" x14ac:dyDescent="0.25">
      <c r="B104" s="122"/>
      <c r="G104" s="121"/>
    </row>
    <row r="105" spans="2:7" x14ac:dyDescent="0.25">
      <c r="B105" s="122"/>
      <c r="G105" s="121"/>
    </row>
    <row r="106" spans="2:7" x14ac:dyDescent="0.25">
      <c r="B106" s="122"/>
      <c r="G106" s="121"/>
    </row>
    <row r="107" spans="2:7" x14ac:dyDescent="0.25">
      <c r="B107" s="122"/>
      <c r="G107" s="121"/>
    </row>
    <row r="108" spans="2:7" x14ac:dyDescent="0.25">
      <c r="B108" s="122"/>
      <c r="G108" s="121"/>
    </row>
    <row r="109" spans="2:7" x14ac:dyDescent="0.25">
      <c r="B109" s="122"/>
      <c r="G109" s="121"/>
    </row>
    <row r="110" spans="2:7" x14ac:dyDescent="0.25">
      <c r="B110" s="122"/>
      <c r="G110" s="121"/>
    </row>
    <row r="111" spans="2:7" x14ac:dyDescent="0.25">
      <c r="B111" s="122"/>
      <c r="G111" s="121"/>
    </row>
    <row r="112" spans="2:7" x14ac:dyDescent="0.25">
      <c r="B112" s="122"/>
      <c r="G112" s="121"/>
    </row>
    <row r="113" spans="2:7" x14ac:dyDescent="0.25">
      <c r="B113" s="122"/>
      <c r="G113" s="121"/>
    </row>
    <row r="114" spans="2:7" x14ac:dyDescent="0.25">
      <c r="B114" s="122"/>
      <c r="G114" s="121"/>
    </row>
    <row r="115" spans="2:7" x14ac:dyDescent="0.25">
      <c r="B115" s="122"/>
      <c r="G115" s="121"/>
    </row>
    <row r="116" spans="2:7" x14ac:dyDescent="0.25">
      <c r="B116" s="122"/>
      <c r="G116" s="121"/>
    </row>
    <row r="117" spans="2:7" x14ac:dyDescent="0.25">
      <c r="B117" s="122"/>
      <c r="G117" s="121"/>
    </row>
    <row r="118" spans="2:7" x14ac:dyDescent="0.25">
      <c r="B118" s="122"/>
      <c r="G118" s="121"/>
    </row>
    <row r="119" spans="2:7" x14ac:dyDescent="0.25">
      <c r="B119" s="122"/>
      <c r="G119" s="121"/>
    </row>
    <row r="120" spans="2:7" x14ac:dyDescent="0.25">
      <c r="B120" s="122"/>
      <c r="G120" s="121"/>
    </row>
    <row r="121" spans="2:7" x14ac:dyDescent="0.25">
      <c r="B121" s="122"/>
      <c r="G121" s="121"/>
    </row>
    <row r="122" spans="2:7" x14ac:dyDescent="0.25">
      <c r="B122" s="122"/>
      <c r="G122" s="121"/>
    </row>
    <row r="123" spans="2:7" x14ac:dyDescent="0.25">
      <c r="B123" s="122"/>
      <c r="G123" s="121"/>
    </row>
    <row r="124" spans="2:7" x14ac:dyDescent="0.25">
      <c r="B124" s="122"/>
      <c r="G124" s="121"/>
    </row>
    <row r="125" spans="2:7" x14ac:dyDescent="0.25">
      <c r="B125" s="122"/>
      <c r="G125" s="121"/>
    </row>
    <row r="126" spans="2:7" x14ac:dyDescent="0.25">
      <c r="B126" s="122"/>
      <c r="G126" s="121"/>
    </row>
    <row r="127" spans="2:7" x14ac:dyDescent="0.25">
      <c r="B127" s="122"/>
      <c r="G127" s="121"/>
    </row>
    <row r="128" spans="2:7" x14ac:dyDescent="0.25">
      <c r="B128" s="122"/>
      <c r="G128" s="121"/>
    </row>
    <row r="129" spans="2:7" x14ac:dyDescent="0.25">
      <c r="B129" s="122"/>
      <c r="G129" s="121"/>
    </row>
    <row r="130" spans="2:7" x14ac:dyDescent="0.25">
      <c r="B130" s="122"/>
      <c r="G130" s="121"/>
    </row>
    <row r="131" spans="2:7" x14ac:dyDescent="0.25">
      <c r="B131" s="122"/>
      <c r="G131" s="121"/>
    </row>
    <row r="132" spans="2:7" x14ac:dyDescent="0.25">
      <c r="B132" s="122"/>
      <c r="G132" s="121"/>
    </row>
    <row r="133" spans="2:7" x14ac:dyDescent="0.25">
      <c r="B133" s="122"/>
      <c r="G133" s="121"/>
    </row>
    <row r="134" spans="2:7" x14ac:dyDescent="0.25">
      <c r="B134" s="122"/>
      <c r="G134" s="121"/>
    </row>
    <row r="135" spans="2:7" x14ac:dyDescent="0.25">
      <c r="B135" s="122"/>
      <c r="G135" s="121"/>
    </row>
    <row r="136" spans="2:7" x14ac:dyDescent="0.25">
      <c r="B136" s="122"/>
      <c r="G136" s="121"/>
    </row>
    <row r="137" spans="2:7" x14ac:dyDescent="0.25">
      <c r="B137" s="122"/>
      <c r="G137" s="121"/>
    </row>
    <row r="138" spans="2:7" x14ac:dyDescent="0.25">
      <c r="B138" s="122"/>
      <c r="G138" s="121"/>
    </row>
    <row r="139" spans="2:7" x14ac:dyDescent="0.25">
      <c r="B139" s="122"/>
      <c r="G139" s="121"/>
    </row>
    <row r="140" spans="2:7" x14ac:dyDescent="0.25">
      <c r="B140" s="122"/>
      <c r="G140" s="121"/>
    </row>
    <row r="141" spans="2:7" x14ac:dyDescent="0.25">
      <c r="B141" s="122"/>
      <c r="G141" s="121"/>
    </row>
    <row r="142" spans="2:7" x14ac:dyDescent="0.25">
      <c r="B142" s="122"/>
      <c r="G142" s="121"/>
    </row>
    <row r="143" spans="2:7" x14ac:dyDescent="0.25">
      <c r="B143" s="122"/>
      <c r="G143" s="121"/>
    </row>
    <row r="144" spans="2:7" x14ac:dyDescent="0.25">
      <c r="B144" s="122"/>
      <c r="G144" s="121"/>
    </row>
    <row r="145" spans="2:7" x14ac:dyDescent="0.25">
      <c r="B145" s="122"/>
      <c r="G145" s="121"/>
    </row>
    <row r="146" spans="2:7" x14ac:dyDescent="0.25">
      <c r="B146" s="122"/>
      <c r="G146" s="121"/>
    </row>
    <row r="147" spans="2:7" x14ac:dyDescent="0.25">
      <c r="B147" s="122"/>
      <c r="G147" s="121"/>
    </row>
    <row r="148" spans="2:7" x14ac:dyDescent="0.25">
      <c r="B148" s="122"/>
      <c r="G148" s="121"/>
    </row>
    <row r="149" spans="2:7" x14ac:dyDescent="0.25">
      <c r="B149" s="122"/>
      <c r="G149" s="121"/>
    </row>
    <row r="150" spans="2:7" x14ac:dyDescent="0.25">
      <c r="B150" s="122"/>
      <c r="G150" s="121"/>
    </row>
    <row r="151" spans="2:7" x14ac:dyDescent="0.25">
      <c r="B151" s="122"/>
      <c r="G151" s="121"/>
    </row>
    <row r="152" spans="2:7" x14ac:dyDescent="0.25">
      <c r="B152" s="122"/>
      <c r="G152" s="121"/>
    </row>
    <row r="153" spans="2:7" x14ac:dyDescent="0.25">
      <c r="B153" s="122"/>
      <c r="G153" s="121"/>
    </row>
    <row r="154" spans="2:7" x14ac:dyDescent="0.25">
      <c r="B154" s="122"/>
      <c r="G154" s="121"/>
    </row>
    <row r="155" spans="2:7" x14ac:dyDescent="0.25">
      <c r="B155" s="122"/>
      <c r="G155" s="121"/>
    </row>
    <row r="156" spans="2:7" x14ac:dyDescent="0.25">
      <c r="B156" s="122"/>
      <c r="G156" s="121"/>
    </row>
    <row r="157" spans="2:7" x14ac:dyDescent="0.25">
      <c r="B157" s="122"/>
      <c r="G157" s="121"/>
    </row>
    <row r="158" spans="2:7" x14ac:dyDescent="0.25">
      <c r="B158" s="122"/>
      <c r="G158" s="121"/>
    </row>
    <row r="159" spans="2:7" x14ac:dyDescent="0.25">
      <c r="B159" s="122"/>
      <c r="G159" s="121"/>
    </row>
    <row r="160" spans="2:7" x14ac:dyDescent="0.25">
      <c r="B160" s="122"/>
      <c r="G160" s="121"/>
    </row>
    <row r="161" spans="2:7" x14ac:dyDescent="0.25">
      <c r="B161" s="122"/>
      <c r="G161" s="121"/>
    </row>
    <row r="162" spans="2:7" x14ac:dyDescent="0.25">
      <c r="B162" s="122"/>
      <c r="G162" s="121"/>
    </row>
    <row r="163" spans="2:7" x14ac:dyDescent="0.25">
      <c r="B163" s="122"/>
      <c r="G163" s="121"/>
    </row>
    <row r="164" spans="2:7" x14ac:dyDescent="0.25">
      <c r="B164" s="122"/>
      <c r="G164" s="121"/>
    </row>
    <row r="165" spans="2:7" x14ac:dyDescent="0.25">
      <c r="B165" s="122"/>
      <c r="G165" s="121"/>
    </row>
    <row r="166" spans="2:7" x14ac:dyDescent="0.25">
      <c r="B166" s="125"/>
      <c r="C166" s="126"/>
      <c r="D166" s="127"/>
      <c r="E166" s="127"/>
      <c r="F166" s="127"/>
      <c r="G166" s="128"/>
    </row>
  </sheetData>
  <dataValidations count="1">
    <dataValidation type="list" allowBlank="1" showInputMessage="1" showErrorMessage="1" sqref="B6:B9" xr:uid="{CA6CD5B6-A709-4978-864A-179CC840ECBF}">
      <formula1>"Tier 1,Tier 2,Tier 3,Tier 4"</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128A93-0221-425C-9D76-3A392C96286C}">
  <sheetPr codeName="Sheet13">
    <tabColor rgb="FF00CCFF"/>
  </sheetPr>
  <dimension ref="A1:G166"/>
  <sheetViews>
    <sheetView showGridLines="0" zoomScale="80" zoomScaleNormal="80" workbookViewId="0"/>
  </sheetViews>
  <sheetFormatPr defaultRowHeight="13.2" x14ac:dyDescent="0.25"/>
  <cols>
    <col min="1" max="1" width="26.109375" customWidth="1"/>
    <col min="2" max="2" width="90.5546875" customWidth="1"/>
    <col min="3" max="3" width="21" customWidth="1"/>
    <col min="4" max="6" width="19.88671875" style="96" customWidth="1"/>
    <col min="7" max="7" width="23.5546875" style="96" customWidth="1"/>
  </cols>
  <sheetData>
    <row r="1" spans="1:7" x14ac:dyDescent="0.25">
      <c r="A1" s="4" t="str" cm="1">
        <f t="array" aca="1" ref="A1" ca="1">MID(CELL("filename",A1),FIND("]",CELL("filename",A1))+1,255)</f>
        <v>Concrete_80upMPa</v>
      </c>
    </row>
    <row r="2" spans="1:7" x14ac:dyDescent="0.25">
      <c r="A2" s="4"/>
    </row>
    <row r="3" spans="1:7" x14ac:dyDescent="0.25">
      <c r="A3" s="4" t="s">
        <v>4048</v>
      </c>
      <c r="B3" t="s">
        <v>4081</v>
      </c>
    </row>
    <row r="4" spans="1:7" x14ac:dyDescent="0.25">
      <c r="A4" s="4"/>
    </row>
    <row r="5" spans="1:7" ht="73.5" customHeight="1" x14ac:dyDescent="0.25">
      <c r="A5" s="26" t="s">
        <v>4050</v>
      </c>
      <c r="B5" s="14" t="s">
        <v>4082</v>
      </c>
    </row>
    <row r="6" spans="1:7" x14ac:dyDescent="0.25">
      <c r="A6" s="26" t="s">
        <v>4052</v>
      </c>
      <c r="B6" s="27" t="s">
        <v>68</v>
      </c>
    </row>
    <row r="7" spans="1:7" x14ac:dyDescent="0.25">
      <c r="A7" s="26" t="s">
        <v>4053</v>
      </c>
      <c r="B7" s="27" t="s">
        <v>68</v>
      </c>
    </row>
    <row r="8" spans="1:7" x14ac:dyDescent="0.25">
      <c r="A8" s="26" t="s">
        <v>4054</v>
      </c>
      <c r="B8" s="27" t="s">
        <v>71</v>
      </c>
    </row>
    <row r="9" spans="1:7" x14ac:dyDescent="0.25">
      <c r="A9" s="26" t="s">
        <v>4055</v>
      </c>
      <c r="B9" s="33" t="s">
        <v>71</v>
      </c>
    </row>
    <row r="10" spans="1:7" x14ac:dyDescent="0.25">
      <c r="A10" s="26"/>
      <c r="B10" s="4"/>
    </row>
    <row r="11" spans="1:7" ht="26.4" x14ac:dyDescent="0.25">
      <c r="A11" s="26" t="s">
        <v>4056</v>
      </c>
      <c r="B11" s="14" t="s">
        <v>4083</v>
      </c>
    </row>
    <row r="12" spans="1:7" x14ac:dyDescent="0.25">
      <c r="A12" s="101"/>
    </row>
    <row r="13" spans="1:7" x14ac:dyDescent="0.25">
      <c r="A13" s="101"/>
    </row>
    <row r="14" spans="1:7" x14ac:dyDescent="0.25">
      <c r="A14" s="26" t="s">
        <v>4057</v>
      </c>
    </row>
    <row r="15" spans="1:7" x14ac:dyDescent="0.25">
      <c r="A15" s="26"/>
      <c r="D15" s="112" t="s">
        <v>4058</v>
      </c>
      <c r="E15" s="113"/>
      <c r="F15" s="114" t="s">
        <v>4059</v>
      </c>
      <c r="G15" s="113"/>
    </row>
    <row r="16" spans="1:7" ht="39.6" x14ac:dyDescent="0.25">
      <c r="B16" s="28" t="s">
        <v>1197</v>
      </c>
      <c r="C16" s="23" t="s">
        <v>23</v>
      </c>
      <c r="D16" s="24" t="s">
        <v>141</v>
      </c>
      <c r="E16" s="25" t="s">
        <v>148</v>
      </c>
      <c r="F16" s="24" t="s">
        <v>142</v>
      </c>
      <c r="G16" s="24" t="s">
        <v>149</v>
      </c>
    </row>
    <row r="17" spans="2:7" x14ac:dyDescent="0.25">
      <c r="B17" s="29"/>
      <c r="C17" s="30" t="s">
        <v>4060</v>
      </c>
      <c r="D17" s="118" t="str" cm="1">
        <f t="array" ref="D17">IF(AND(_xlfn.ANCHORARRAY(C23)=C23),C23,"Mixed")</f>
        <v>m³</v>
      </c>
      <c r="E17" s="118" t="s">
        <v>219</v>
      </c>
      <c r="F17" s="118" t="str" cm="1">
        <f t="array" ref="F17">IF(AND(_xlfn.ANCHORARRAY(C23)=C23),C23,"Mixed")</f>
        <v>m³</v>
      </c>
      <c r="G17" s="119" t="s">
        <v>219</v>
      </c>
    </row>
    <row r="18" spans="2:7" s="14" customFormat="1" x14ac:dyDescent="0.25">
      <c r="B18" s="31"/>
      <c r="C18" s="4" t="s">
        <v>4061</v>
      </c>
      <c r="D18" s="162">
        <f>Concrete_50MPa!D18</f>
        <v>609.23299999999995</v>
      </c>
      <c r="E18" s="162">
        <f>Concrete_50MPa!E18</f>
        <v>0.25384708333333333</v>
      </c>
      <c r="F18" s="96">
        <f t="shared" ref="F18:G18" si="0">MAX(_xlfn.ANCHORARRAY(F23))</f>
        <v>0</v>
      </c>
      <c r="G18" s="121">
        <f t="shared" si="0"/>
        <v>0</v>
      </c>
    </row>
    <row r="19" spans="2:7" x14ac:dyDescent="0.25">
      <c r="B19" s="122"/>
      <c r="C19" s="4" t="s">
        <v>4062</v>
      </c>
      <c r="D19" s="96">
        <f>MIN(_xlfn.ANCHORARRAY(D23))</f>
        <v>444.10300000000001</v>
      </c>
      <c r="E19" s="96">
        <f t="shared" ref="E19:G19" si="1">MIN(_xlfn.ANCHORARRAY(E23))</f>
        <v>0.18504291666666667</v>
      </c>
      <c r="F19" s="96">
        <f t="shared" si="1"/>
        <v>0</v>
      </c>
      <c r="G19" s="121">
        <f t="shared" si="1"/>
        <v>0</v>
      </c>
    </row>
    <row r="20" spans="2:7" x14ac:dyDescent="0.25">
      <c r="B20" s="122"/>
      <c r="C20" s="4" t="s">
        <v>4063</v>
      </c>
      <c r="D20" s="96">
        <f>AVERAGE(_xlfn.ANCHORARRAY(D23))</f>
        <v>444.10300000000001</v>
      </c>
      <c r="E20" s="96">
        <f t="shared" ref="E20:G20" si="2">AVERAGE(_xlfn.ANCHORARRAY(E23))</f>
        <v>0.18504291666666667</v>
      </c>
      <c r="F20" s="96">
        <f t="shared" si="2"/>
        <v>0</v>
      </c>
      <c r="G20" s="121">
        <f t="shared" si="2"/>
        <v>0</v>
      </c>
    </row>
    <row r="21" spans="2:7" x14ac:dyDescent="0.25">
      <c r="B21" s="122"/>
      <c r="C21" s="4"/>
      <c r="G21" s="121"/>
    </row>
    <row r="22" spans="2:7" x14ac:dyDescent="0.25">
      <c r="B22" s="32" t="s">
        <v>4064</v>
      </c>
      <c r="D22"/>
      <c r="E22"/>
      <c r="F22"/>
      <c r="G22" s="124"/>
    </row>
    <row r="23" spans="2:7" x14ac:dyDescent="0.25">
      <c r="B23" s="122" t="str" cm="1">
        <f t="array" ref="B23">_xlfn.UNIQUE(_xlfn._xlws.FILTER('EPD List'!D:D,ISNUMBER(SEARCH(B16,'EPD List'!C:C)),0))</f>
        <v>Concrete, 100 MPa, in-situ, no reinforcement, (E100SP) (Barro Group) (VIC)</v>
      </c>
      <c r="C23" t="str" cm="1">
        <f t="array" ref="C23">_xlfn.IFNA(INDEX('EPD List'!$A:$AB,MATCH(_xlfn.ANCHORARRAY(B23),'EPD List'!$D:$D,0),MATCH(C$16,'EPD List'!$7:$7,0)),"")</f>
        <v>m³</v>
      </c>
      <c r="D23" s="96" cm="1">
        <f t="array" ref="D23">_xlfn.IFNA(VALUE((INDEX('EPD List'!$A:$AD,MATCH(_xlfn.ANCHORARRAY($B23),'EPD List'!$D:$D,0),MATCH(D$16,'EPD List'!$7:$7,0)))),"")</f>
        <v>444.10300000000001</v>
      </c>
      <c r="E23" s="96" cm="1">
        <f t="array" ref="E23">_xlfn.IFNA(VALUE((INDEX('EPD List'!$A:$AD,MATCH(_xlfn.ANCHORARRAY($B23),'EPD List'!$D:$D,0),MATCH(E$16,'EPD List'!$7:$7,0)))),"")</f>
        <v>0.18504291666666667</v>
      </c>
      <c r="F23" s="96" cm="1">
        <f t="array" ref="F23">_xlfn.IFNA(VALUE((INDEX('EPD List'!$A:$AD,MATCH(_xlfn.ANCHORARRAY($B23),'EPD List'!$D:$D,0),MATCH(F$16,'EPD List'!$7:$7,0)))),"")</f>
        <v>0</v>
      </c>
      <c r="G23" s="121" cm="1">
        <f t="array" ref="G23">_xlfn.IFNA(VALUE((INDEX('EPD List'!$A:$AD,MATCH(_xlfn.ANCHORARRAY($B23),'EPD List'!$D:$D,0),MATCH(G$16,'EPD List'!$7:$7,0)))),"")</f>
        <v>0</v>
      </c>
    </row>
    <row r="24" spans="2:7" x14ac:dyDescent="0.25">
      <c r="B24" s="122"/>
      <c r="G24" s="121"/>
    </row>
    <row r="25" spans="2:7" x14ac:dyDescent="0.25">
      <c r="B25" s="122"/>
      <c r="G25" s="121"/>
    </row>
    <row r="26" spans="2:7" x14ac:dyDescent="0.25">
      <c r="B26" s="122"/>
      <c r="G26" s="121"/>
    </row>
    <row r="27" spans="2:7" x14ac:dyDescent="0.25">
      <c r="B27" s="122"/>
      <c r="G27" s="121"/>
    </row>
    <row r="28" spans="2:7" x14ac:dyDescent="0.25">
      <c r="B28" s="122"/>
      <c r="G28" s="121"/>
    </row>
    <row r="29" spans="2:7" x14ac:dyDescent="0.25">
      <c r="B29" s="122"/>
      <c r="G29" s="121"/>
    </row>
    <row r="30" spans="2:7" x14ac:dyDescent="0.25">
      <c r="B30" s="122"/>
      <c r="G30" s="121"/>
    </row>
    <row r="31" spans="2:7" x14ac:dyDescent="0.25">
      <c r="B31" s="122"/>
      <c r="G31" s="121"/>
    </row>
    <row r="32" spans="2:7" x14ac:dyDescent="0.25">
      <c r="B32" s="122"/>
      <c r="G32" s="121"/>
    </row>
    <row r="33" spans="2:7" x14ac:dyDescent="0.25">
      <c r="B33" s="122"/>
      <c r="G33" s="121"/>
    </row>
    <row r="34" spans="2:7" x14ac:dyDescent="0.25">
      <c r="B34" s="122"/>
      <c r="G34" s="121"/>
    </row>
    <row r="35" spans="2:7" x14ac:dyDescent="0.25">
      <c r="B35" s="122"/>
      <c r="G35" s="121"/>
    </row>
    <row r="36" spans="2:7" x14ac:dyDescent="0.25">
      <c r="B36" s="122"/>
      <c r="G36" s="121"/>
    </row>
    <row r="37" spans="2:7" x14ac:dyDescent="0.25">
      <c r="B37" s="122"/>
      <c r="G37" s="121"/>
    </row>
    <row r="38" spans="2:7" x14ac:dyDescent="0.25">
      <c r="B38" s="122"/>
      <c r="G38" s="121"/>
    </row>
    <row r="39" spans="2:7" x14ac:dyDescent="0.25">
      <c r="B39" s="122"/>
      <c r="G39" s="121"/>
    </row>
    <row r="40" spans="2:7" x14ac:dyDescent="0.25">
      <c r="B40" s="122"/>
      <c r="G40" s="121"/>
    </row>
    <row r="41" spans="2:7" x14ac:dyDescent="0.25">
      <c r="B41" s="122"/>
      <c r="G41" s="121"/>
    </row>
    <row r="42" spans="2:7" x14ac:dyDescent="0.25">
      <c r="B42" s="122"/>
      <c r="G42" s="121"/>
    </row>
    <row r="43" spans="2:7" x14ac:dyDescent="0.25">
      <c r="B43" s="122"/>
      <c r="G43" s="121"/>
    </row>
    <row r="44" spans="2:7" x14ac:dyDescent="0.25">
      <c r="B44" s="122"/>
      <c r="G44" s="121"/>
    </row>
    <row r="45" spans="2:7" x14ac:dyDescent="0.25">
      <c r="B45" s="122"/>
      <c r="G45" s="121"/>
    </row>
    <row r="46" spans="2:7" x14ac:dyDescent="0.25">
      <c r="B46" s="122"/>
      <c r="G46" s="121"/>
    </row>
    <row r="47" spans="2:7" x14ac:dyDescent="0.25">
      <c r="B47" s="122"/>
      <c r="G47" s="121"/>
    </row>
    <row r="48" spans="2:7" x14ac:dyDescent="0.25">
      <c r="B48" s="122"/>
      <c r="G48" s="121"/>
    </row>
    <row r="49" spans="2:7" x14ac:dyDescent="0.25">
      <c r="B49" s="122"/>
      <c r="G49" s="121"/>
    </row>
    <row r="50" spans="2:7" x14ac:dyDescent="0.25">
      <c r="B50" s="122"/>
      <c r="G50" s="121"/>
    </row>
    <row r="51" spans="2:7" x14ac:dyDescent="0.25">
      <c r="B51" s="122"/>
      <c r="G51" s="121"/>
    </row>
    <row r="52" spans="2:7" x14ac:dyDescent="0.25">
      <c r="B52" s="122"/>
      <c r="G52" s="121"/>
    </row>
    <row r="53" spans="2:7" x14ac:dyDescent="0.25">
      <c r="B53" s="122"/>
      <c r="G53" s="121"/>
    </row>
    <row r="54" spans="2:7" x14ac:dyDescent="0.25">
      <c r="B54" s="122"/>
      <c r="G54" s="121"/>
    </row>
    <row r="55" spans="2:7" x14ac:dyDescent="0.25">
      <c r="B55" s="122"/>
      <c r="G55" s="121"/>
    </row>
    <row r="56" spans="2:7" x14ac:dyDescent="0.25">
      <c r="B56" s="122"/>
      <c r="G56" s="121"/>
    </row>
    <row r="57" spans="2:7" x14ac:dyDescent="0.25">
      <c r="B57" s="122"/>
      <c r="G57" s="121"/>
    </row>
    <row r="58" spans="2:7" x14ac:dyDescent="0.25">
      <c r="B58" s="122"/>
      <c r="G58" s="121"/>
    </row>
    <row r="59" spans="2:7" x14ac:dyDescent="0.25">
      <c r="B59" s="122"/>
      <c r="G59" s="121"/>
    </row>
    <row r="60" spans="2:7" x14ac:dyDescent="0.25">
      <c r="B60" s="122"/>
      <c r="G60" s="121"/>
    </row>
    <row r="61" spans="2:7" x14ac:dyDescent="0.25">
      <c r="B61" s="122"/>
      <c r="G61" s="121"/>
    </row>
    <row r="62" spans="2:7" x14ac:dyDescent="0.25">
      <c r="B62" s="122"/>
      <c r="G62" s="121"/>
    </row>
    <row r="63" spans="2:7" x14ac:dyDescent="0.25">
      <c r="B63" s="122"/>
      <c r="G63" s="121"/>
    </row>
    <row r="64" spans="2:7" x14ac:dyDescent="0.25">
      <c r="B64" s="122"/>
      <c r="G64" s="121"/>
    </row>
    <row r="65" spans="2:7" x14ac:dyDescent="0.25">
      <c r="B65" s="122"/>
      <c r="G65" s="121"/>
    </row>
    <row r="66" spans="2:7" x14ac:dyDescent="0.25">
      <c r="B66" s="122"/>
      <c r="G66" s="121"/>
    </row>
    <row r="67" spans="2:7" x14ac:dyDescent="0.25">
      <c r="B67" s="122"/>
      <c r="G67" s="121"/>
    </row>
    <row r="68" spans="2:7" x14ac:dyDescent="0.25">
      <c r="B68" s="122"/>
      <c r="G68" s="121"/>
    </row>
    <row r="69" spans="2:7" x14ac:dyDescent="0.25">
      <c r="B69" s="122"/>
      <c r="G69" s="121"/>
    </row>
    <row r="70" spans="2:7" x14ac:dyDescent="0.25">
      <c r="B70" s="122"/>
      <c r="G70" s="121"/>
    </row>
    <row r="71" spans="2:7" x14ac:dyDescent="0.25">
      <c r="B71" s="122"/>
      <c r="G71" s="121"/>
    </row>
    <row r="72" spans="2:7" x14ac:dyDescent="0.25">
      <c r="B72" s="122"/>
      <c r="G72" s="121"/>
    </row>
    <row r="73" spans="2:7" x14ac:dyDescent="0.25">
      <c r="B73" s="122"/>
      <c r="G73" s="121"/>
    </row>
    <row r="74" spans="2:7" x14ac:dyDescent="0.25">
      <c r="B74" s="122"/>
      <c r="G74" s="121"/>
    </row>
    <row r="75" spans="2:7" x14ac:dyDescent="0.25">
      <c r="B75" s="122"/>
      <c r="G75" s="121"/>
    </row>
    <row r="76" spans="2:7" x14ac:dyDescent="0.25">
      <c r="B76" s="122"/>
      <c r="G76" s="121"/>
    </row>
    <row r="77" spans="2:7" x14ac:dyDescent="0.25">
      <c r="B77" s="122"/>
      <c r="G77" s="121"/>
    </row>
    <row r="78" spans="2:7" x14ac:dyDescent="0.25">
      <c r="B78" s="122"/>
      <c r="G78" s="121"/>
    </row>
    <row r="79" spans="2:7" x14ac:dyDescent="0.25">
      <c r="B79" s="122"/>
      <c r="G79" s="121"/>
    </row>
    <row r="80" spans="2:7" x14ac:dyDescent="0.25">
      <c r="B80" s="122"/>
      <c r="G80" s="121"/>
    </row>
    <row r="81" spans="2:7" x14ac:dyDescent="0.25">
      <c r="B81" s="122"/>
      <c r="G81" s="121"/>
    </row>
    <row r="82" spans="2:7" x14ac:dyDescent="0.25">
      <c r="B82" s="122"/>
      <c r="G82" s="121"/>
    </row>
    <row r="83" spans="2:7" x14ac:dyDescent="0.25">
      <c r="B83" s="122"/>
      <c r="G83" s="121"/>
    </row>
    <row r="84" spans="2:7" x14ac:dyDescent="0.25">
      <c r="B84" s="122"/>
      <c r="G84" s="121"/>
    </row>
    <row r="85" spans="2:7" x14ac:dyDescent="0.25">
      <c r="B85" s="122"/>
      <c r="G85" s="121"/>
    </row>
    <row r="86" spans="2:7" x14ac:dyDescent="0.25">
      <c r="B86" s="122"/>
      <c r="G86" s="121"/>
    </row>
    <row r="87" spans="2:7" x14ac:dyDescent="0.25">
      <c r="B87" s="122"/>
      <c r="G87" s="121"/>
    </row>
    <row r="88" spans="2:7" x14ac:dyDescent="0.25">
      <c r="B88" s="122"/>
      <c r="G88" s="121"/>
    </row>
    <row r="89" spans="2:7" x14ac:dyDescent="0.25">
      <c r="B89" s="122"/>
      <c r="G89" s="121"/>
    </row>
    <row r="90" spans="2:7" x14ac:dyDescent="0.25">
      <c r="B90" s="122"/>
      <c r="G90" s="121"/>
    </row>
    <row r="91" spans="2:7" x14ac:dyDescent="0.25">
      <c r="B91" s="122"/>
      <c r="G91" s="121"/>
    </row>
    <row r="92" spans="2:7" x14ac:dyDescent="0.25">
      <c r="B92" s="122"/>
      <c r="G92" s="121"/>
    </row>
    <row r="93" spans="2:7" x14ac:dyDescent="0.25">
      <c r="B93" s="122"/>
      <c r="G93" s="121"/>
    </row>
    <row r="94" spans="2:7" x14ac:dyDescent="0.25">
      <c r="B94" s="122"/>
      <c r="G94" s="121"/>
    </row>
    <row r="95" spans="2:7" x14ac:dyDescent="0.25">
      <c r="B95" s="122"/>
      <c r="G95" s="121"/>
    </row>
    <row r="96" spans="2:7" x14ac:dyDescent="0.25">
      <c r="B96" s="122"/>
      <c r="G96" s="121"/>
    </row>
    <row r="97" spans="2:7" x14ac:dyDescent="0.25">
      <c r="B97" s="122"/>
      <c r="G97" s="121"/>
    </row>
    <row r="98" spans="2:7" x14ac:dyDescent="0.25">
      <c r="B98" s="122"/>
      <c r="G98" s="121"/>
    </row>
    <row r="99" spans="2:7" x14ac:dyDescent="0.25">
      <c r="B99" s="122"/>
      <c r="G99" s="121"/>
    </row>
    <row r="100" spans="2:7" x14ac:dyDescent="0.25">
      <c r="B100" s="122"/>
      <c r="G100" s="121"/>
    </row>
    <row r="101" spans="2:7" x14ac:dyDescent="0.25">
      <c r="B101" s="122"/>
      <c r="G101" s="121"/>
    </row>
    <row r="102" spans="2:7" x14ac:dyDescent="0.25">
      <c r="B102" s="122"/>
      <c r="G102" s="121"/>
    </row>
    <row r="103" spans="2:7" x14ac:dyDescent="0.25">
      <c r="B103" s="122"/>
      <c r="G103" s="121"/>
    </row>
    <row r="104" spans="2:7" x14ac:dyDescent="0.25">
      <c r="B104" s="122"/>
      <c r="G104" s="121"/>
    </row>
    <row r="105" spans="2:7" x14ac:dyDescent="0.25">
      <c r="B105" s="122"/>
      <c r="G105" s="121"/>
    </row>
    <row r="106" spans="2:7" x14ac:dyDescent="0.25">
      <c r="B106" s="122"/>
      <c r="G106" s="121"/>
    </row>
    <row r="107" spans="2:7" x14ac:dyDescent="0.25">
      <c r="B107" s="122"/>
      <c r="G107" s="121"/>
    </row>
    <row r="108" spans="2:7" x14ac:dyDescent="0.25">
      <c r="B108" s="122"/>
      <c r="G108" s="121"/>
    </row>
    <row r="109" spans="2:7" x14ac:dyDescent="0.25">
      <c r="B109" s="122"/>
      <c r="G109" s="121"/>
    </row>
    <row r="110" spans="2:7" x14ac:dyDescent="0.25">
      <c r="B110" s="122"/>
      <c r="G110" s="121"/>
    </row>
    <row r="111" spans="2:7" x14ac:dyDescent="0.25">
      <c r="B111" s="122"/>
      <c r="G111" s="121"/>
    </row>
    <row r="112" spans="2:7" x14ac:dyDescent="0.25">
      <c r="B112" s="122"/>
      <c r="G112" s="121"/>
    </row>
    <row r="113" spans="2:7" x14ac:dyDescent="0.25">
      <c r="B113" s="122"/>
      <c r="G113" s="121"/>
    </row>
    <row r="114" spans="2:7" x14ac:dyDescent="0.25">
      <c r="B114" s="122"/>
      <c r="G114" s="121"/>
    </row>
    <row r="115" spans="2:7" x14ac:dyDescent="0.25">
      <c r="B115" s="122"/>
      <c r="G115" s="121"/>
    </row>
    <row r="116" spans="2:7" x14ac:dyDescent="0.25">
      <c r="B116" s="122"/>
      <c r="G116" s="121"/>
    </row>
    <row r="117" spans="2:7" x14ac:dyDescent="0.25">
      <c r="B117" s="122"/>
      <c r="G117" s="121"/>
    </row>
    <row r="118" spans="2:7" x14ac:dyDescent="0.25">
      <c r="B118" s="122"/>
      <c r="G118" s="121"/>
    </row>
    <row r="119" spans="2:7" x14ac:dyDescent="0.25">
      <c r="B119" s="122"/>
      <c r="G119" s="121"/>
    </row>
    <row r="120" spans="2:7" x14ac:dyDescent="0.25">
      <c r="B120" s="122"/>
      <c r="G120" s="121"/>
    </row>
    <row r="121" spans="2:7" x14ac:dyDescent="0.25">
      <c r="B121" s="122"/>
      <c r="G121" s="121"/>
    </row>
    <row r="122" spans="2:7" x14ac:dyDescent="0.25">
      <c r="B122" s="122"/>
      <c r="G122" s="121"/>
    </row>
    <row r="123" spans="2:7" x14ac:dyDescent="0.25">
      <c r="B123" s="122"/>
      <c r="G123" s="121"/>
    </row>
    <row r="124" spans="2:7" x14ac:dyDescent="0.25">
      <c r="B124" s="122"/>
      <c r="G124" s="121"/>
    </row>
    <row r="125" spans="2:7" x14ac:dyDescent="0.25">
      <c r="B125" s="122"/>
      <c r="G125" s="121"/>
    </row>
    <row r="126" spans="2:7" x14ac:dyDescent="0.25">
      <c r="B126" s="122"/>
      <c r="G126" s="121"/>
    </row>
    <row r="127" spans="2:7" x14ac:dyDescent="0.25">
      <c r="B127" s="122"/>
      <c r="G127" s="121"/>
    </row>
    <row r="128" spans="2:7" x14ac:dyDescent="0.25">
      <c r="B128" s="122"/>
      <c r="G128" s="121"/>
    </row>
    <row r="129" spans="2:7" x14ac:dyDescent="0.25">
      <c r="B129" s="122"/>
      <c r="G129" s="121"/>
    </row>
    <row r="130" spans="2:7" x14ac:dyDescent="0.25">
      <c r="B130" s="122"/>
      <c r="G130" s="121"/>
    </row>
    <row r="131" spans="2:7" x14ac:dyDescent="0.25">
      <c r="B131" s="122"/>
      <c r="G131" s="121"/>
    </row>
    <row r="132" spans="2:7" x14ac:dyDescent="0.25">
      <c r="B132" s="122"/>
      <c r="G132" s="121"/>
    </row>
    <row r="133" spans="2:7" x14ac:dyDescent="0.25">
      <c r="B133" s="122"/>
      <c r="G133" s="121"/>
    </row>
    <row r="134" spans="2:7" x14ac:dyDescent="0.25">
      <c r="B134" s="122"/>
      <c r="G134" s="121"/>
    </row>
    <row r="135" spans="2:7" x14ac:dyDescent="0.25">
      <c r="B135" s="122"/>
      <c r="G135" s="121"/>
    </row>
    <row r="136" spans="2:7" x14ac:dyDescent="0.25">
      <c r="B136" s="122"/>
      <c r="G136" s="121"/>
    </row>
    <row r="137" spans="2:7" x14ac:dyDescent="0.25">
      <c r="B137" s="122"/>
      <c r="G137" s="121"/>
    </row>
    <row r="138" spans="2:7" x14ac:dyDescent="0.25">
      <c r="B138" s="122"/>
      <c r="G138" s="121"/>
    </row>
    <row r="139" spans="2:7" x14ac:dyDescent="0.25">
      <c r="B139" s="122"/>
      <c r="G139" s="121"/>
    </row>
    <row r="140" spans="2:7" x14ac:dyDescent="0.25">
      <c r="B140" s="122"/>
      <c r="G140" s="121"/>
    </row>
    <row r="141" spans="2:7" x14ac:dyDescent="0.25">
      <c r="B141" s="122"/>
      <c r="G141" s="121"/>
    </row>
    <row r="142" spans="2:7" x14ac:dyDescent="0.25">
      <c r="B142" s="122"/>
      <c r="G142" s="121"/>
    </row>
    <row r="143" spans="2:7" x14ac:dyDescent="0.25">
      <c r="B143" s="122"/>
      <c r="G143" s="121"/>
    </row>
    <row r="144" spans="2:7" x14ac:dyDescent="0.25">
      <c r="B144" s="122"/>
      <c r="G144" s="121"/>
    </row>
    <row r="145" spans="2:7" x14ac:dyDescent="0.25">
      <c r="B145" s="122"/>
      <c r="G145" s="121"/>
    </row>
    <row r="146" spans="2:7" x14ac:dyDescent="0.25">
      <c r="B146" s="122"/>
      <c r="G146" s="121"/>
    </row>
    <row r="147" spans="2:7" x14ac:dyDescent="0.25">
      <c r="B147" s="122"/>
      <c r="G147" s="121"/>
    </row>
    <row r="148" spans="2:7" x14ac:dyDescent="0.25">
      <c r="B148" s="122"/>
      <c r="G148" s="121"/>
    </row>
    <row r="149" spans="2:7" x14ac:dyDescent="0.25">
      <c r="B149" s="122"/>
      <c r="G149" s="121"/>
    </row>
    <row r="150" spans="2:7" x14ac:dyDescent="0.25">
      <c r="B150" s="122"/>
      <c r="G150" s="121"/>
    </row>
    <row r="151" spans="2:7" x14ac:dyDescent="0.25">
      <c r="B151" s="122"/>
      <c r="G151" s="121"/>
    </row>
    <row r="152" spans="2:7" x14ac:dyDescent="0.25">
      <c r="B152" s="122"/>
      <c r="G152" s="121"/>
    </row>
    <row r="153" spans="2:7" x14ac:dyDescent="0.25">
      <c r="B153" s="122"/>
      <c r="G153" s="121"/>
    </row>
    <row r="154" spans="2:7" x14ac:dyDescent="0.25">
      <c r="B154" s="122"/>
      <c r="G154" s="121"/>
    </row>
    <row r="155" spans="2:7" x14ac:dyDescent="0.25">
      <c r="B155" s="122"/>
      <c r="G155" s="121"/>
    </row>
    <row r="156" spans="2:7" x14ac:dyDescent="0.25">
      <c r="B156" s="122"/>
      <c r="G156" s="121"/>
    </row>
    <row r="157" spans="2:7" x14ac:dyDescent="0.25">
      <c r="B157" s="122"/>
      <c r="G157" s="121"/>
    </row>
    <row r="158" spans="2:7" x14ac:dyDescent="0.25">
      <c r="B158" s="122"/>
      <c r="G158" s="121"/>
    </row>
    <row r="159" spans="2:7" x14ac:dyDescent="0.25">
      <c r="B159" s="122"/>
      <c r="G159" s="121"/>
    </row>
    <row r="160" spans="2:7" x14ac:dyDescent="0.25">
      <c r="B160" s="122"/>
      <c r="G160" s="121"/>
    </row>
    <row r="161" spans="2:7" x14ac:dyDescent="0.25">
      <c r="B161" s="122"/>
      <c r="G161" s="121"/>
    </row>
    <row r="162" spans="2:7" x14ac:dyDescent="0.25">
      <c r="B162" s="122"/>
      <c r="G162" s="121"/>
    </row>
    <row r="163" spans="2:7" x14ac:dyDescent="0.25">
      <c r="B163" s="122"/>
      <c r="G163" s="121"/>
    </row>
    <row r="164" spans="2:7" x14ac:dyDescent="0.25">
      <c r="B164" s="122"/>
      <c r="G164" s="121"/>
    </row>
    <row r="165" spans="2:7" x14ac:dyDescent="0.25">
      <c r="B165" s="122"/>
      <c r="G165" s="121"/>
    </row>
    <row r="166" spans="2:7" x14ac:dyDescent="0.25">
      <c r="B166" s="125"/>
      <c r="C166" s="126"/>
      <c r="D166" s="127"/>
      <c r="E166" s="127"/>
      <c r="F166" s="127"/>
      <c r="G166" s="128"/>
    </row>
  </sheetData>
  <dataValidations count="1">
    <dataValidation type="list" allowBlank="1" showInputMessage="1" showErrorMessage="1" sqref="B6:B9" xr:uid="{9B293384-23CF-46DE-B2AF-CC3008BE3972}">
      <formula1>"Tier 1,Tier 2,Tier 3,Tier 4"</formula1>
    </dataValidation>
  </dataValidation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49224D-B11D-4CEF-9126-DB0AF5A58498}">
  <sheetPr codeName="Sheet14">
    <tabColor rgb="FF00CCFF"/>
  </sheetPr>
  <dimension ref="A1:G166"/>
  <sheetViews>
    <sheetView showGridLines="0" zoomScale="80" zoomScaleNormal="80" workbookViewId="0"/>
  </sheetViews>
  <sheetFormatPr defaultColWidth="9.109375" defaultRowHeight="13.2" x14ac:dyDescent="0.25"/>
  <cols>
    <col min="1" max="1" width="26.109375" customWidth="1"/>
    <col min="2" max="2" width="109.109375" customWidth="1"/>
    <col min="3" max="3" width="21" customWidth="1"/>
    <col min="4" max="6" width="19.88671875" style="96" customWidth="1"/>
    <col min="7" max="7" width="23.5546875" style="96" customWidth="1"/>
  </cols>
  <sheetData>
    <row r="1" spans="1:7" x14ac:dyDescent="0.25">
      <c r="A1" s="4" t="str" cm="1">
        <f t="array" aca="1" ref="A1" ca="1">MID(CELL("filename",A1),FIND("]",CELL("filename",A1))+1,255)</f>
        <v>Concrete_precast_panel</v>
      </c>
    </row>
    <row r="2" spans="1:7" x14ac:dyDescent="0.25">
      <c r="A2" s="4"/>
    </row>
    <row r="3" spans="1:7" x14ac:dyDescent="0.25">
      <c r="A3" s="4" t="s">
        <v>4048</v>
      </c>
      <c r="B3" t="s">
        <v>4084</v>
      </c>
    </row>
    <row r="4" spans="1:7" x14ac:dyDescent="0.25">
      <c r="A4" s="26"/>
    </row>
    <row r="5" spans="1:7" ht="73.5" customHeight="1" x14ac:dyDescent="0.25">
      <c r="A5" s="26" t="s">
        <v>4050</v>
      </c>
      <c r="B5" s="14" t="s">
        <v>4085</v>
      </c>
    </row>
    <row r="6" spans="1:7" x14ac:dyDescent="0.25">
      <c r="A6" s="26" t="s">
        <v>4052</v>
      </c>
      <c r="B6" s="27" t="s">
        <v>71</v>
      </c>
    </row>
    <row r="7" spans="1:7" x14ac:dyDescent="0.25">
      <c r="A7" s="26" t="s">
        <v>4053</v>
      </c>
      <c r="B7" s="27" t="s">
        <v>68</v>
      </c>
    </row>
    <row r="8" spans="1:7" x14ac:dyDescent="0.25">
      <c r="A8" s="26" t="s">
        <v>4054</v>
      </c>
      <c r="B8" s="27" t="s">
        <v>71</v>
      </c>
    </row>
    <row r="9" spans="1:7" x14ac:dyDescent="0.25">
      <c r="A9" s="26" t="s">
        <v>4055</v>
      </c>
      <c r="B9" s="33" t="s">
        <v>71</v>
      </c>
    </row>
    <row r="10" spans="1:7" x14ac:dyDescent="0.25">
      <c r="A10" s="26"/>
      <c r="B10" s="4"/>
    </row>
    <row r="11" spans="1:7" x14ac:dyDescent="0.25">
      <c r="A11" s="26" t="s">
        <v>4056</v>
      </c>
      <c r="B11" s="14" t="s">
        <v>4086</v>
      </c>
    </row>
    <row r="12" spans="1:7" x14ac:dyDescent="0.25">
      <c r="A12" s="101"/>
    </row>
    <row r="13" spans="1:7" x14ac:dyDescent="0.25">
      <c r="A13" s="101"/>
    </row>
    <row r="14" spans="1:7" x14ac:dyDescent="0.25">
      <c r="A14" s="26" t="s">
        <v>4057</v>
      </c>
    </row>
    <row r="15" spans="1:7" x14ac:dyDescent="0.25">
      <c r="A15" s="26"/>
      <c r="D15" s="112" t="s">
        <v>4058</v>
      </c>
      <c r="E15" s="113"/>
      <c r="F15" s="114" t="s">
        <v>4059</v>
      </c>
      <c r="G15" s="113"/>
    </row>
    <row r="16" spans="1:7" ht="39.6" x14ac:dyDescent="0.25">
      <c r="B16" s="28" t="s">
        <v>4087</v>
      </c>
      <c r="C16" s="23" t="s">
        <v>23</v>
      </c>
      <c r="D16" s="24" t="s">
        <v>141</v>
      </c>
      <c r="E16" s="25" t="s">
        <v>148</v>
      </c>
      <c r="F16" s="24" t="s">
        <v>142</v>
      </c>
      <c r="G16" s="24" t="s">
        <v>149</v>
      </c>
    </row>
    <row r="17" spans="2:7" x14ac:dyDescent="0.25">
      <c r="B17" s="29"/>
      <c r="C17" s="30" t="s">
        <v>4060</v>
      </c>
      <c r="D17" s="118" t="str" cm="1">
        <f t="array" ref="D17">IF(AND(_xlfn.ANCHORARRAY(C23)=C23),C23,"Mixed")</f>
        <v>tonne</v>
      </c>
      <c r="E17" s="118" t="s">
        <v>219</v>
      </c>
      <c r="F17" s="118" t="str" cm="1">
        <f t="array" ref="F17">IF(AND(_xlfn.ANCHORARRAY(C23)=C23),C23,"Mixed")</f>
        <v>tonne</v>
      </c>
      <c r="G17" s="119" t="s">
        <v>219</v>
      </c>
    </row>
    <row r="18" spans="2:7" s="14" customFormat="1" x14ac:dyDescent="0.25">
      <c r="B18" s="31"/>
      <c r="C18" s="4" t="s">
        <v>4061</v>
      </c>
      <c r="D18" s="96">
        <f t="shared" ref="D18:G18" si="0">MAX(_xlfn.ANCHORARRAY(D23))</f>
        <v>217.85472099999998</v>
      </c>
      <c r="E18" s="96">
        <f t="shared" si="0"/>
        <v>0.21785472099999997</v>
      </c>
      <c r="F18" s="96">
        <f t="shared" si="0"/>
        <v>0</v>
      </c>
      <c r="G18" s="121">
        <f t="shared" si="0"/>
        <v>0</v>
      </c>
    </row>
    <row r="19" spans="2:7" x14ac:dyDescent="0.25">
      <c r="B19" s="122"/>
      <c r="C19" s="4" t="s">
        <v>4062</v>
      </c>
      <c r="D19" s="96">
        <f>MIN(_xlfn.ANCHORARRAY(D23))</f>
        <v>183.09399999999999</v>
      </c>
      <c r="E19" s="96">
        <f t="shared" ref="E19:G19" si="1">MIN(_xlfn.ANCHORARRAY(E23))</f>
        <v>0.18309399999999998</v>
      </c>
      <c r="F19" s="96">
        <f t="shared" si="1"/>
        <v>0</v>
      </c>
      <c r="G19" s="121">
        <f t="shared" si="1"/>
        <v>0</v>
      </c>
    </row>
    <row r="20" spans="2:7" x14ac:dyDescent="0.25">
      <c r="B20" s="122"/>
      <c r="C20" s="4" t="s">
        <v>4063</v>
      </c>
      <c r="D20" s="96">
        <f>AVERAGE(_xlfn.ANCHORARRAY(D23))</f>
        <v>207.67277429999996</v>
      </c>
      <c r="E20" s="96">
        <f t="shared" ref="E20:G20" si="2">AVERAGE(_xlfn.ANCHORARRAY(E23))</f>
        <v>0.2076727743</v>
      </c>
      <c r="F20" s="96">
        <f t="shared" si="2"/>
        <v>0</v>
      </c>
      <c r="G20" s="121">
        <f t="shared" si="2"/>
        <v>0</v>
      </c>
    </row>
    <row r="21" spans="2:7" x14ac:dyDescent="0.25">
      <c r="B21" s="122"/>
      <c r="C21" s="4"/>
      <c r="G21" s="121"/>
    </row>
    <row r="22" spans="2:7" x14ac:dyDescent="0.25">
      <c r="B22" s="32" t="s">
        <v>4064</v>
      </c>
      <c r="D22"/>
      <c r="E22"/>
      <c r="F22"/>
      <c r="G22" s="124"/>
    </row>
    <row r="23" spans="2:7" x14ac:dyDescent="0.25">
      <c r="B23" s="122" t="str" cm="1">
        <f t="array" ref="B23:B26">_xlfn.UNIQUE(_xlfn._xlws.FILTER('EPD List'!D:D,ISNUMBER(SEARCH(B16,'EPD List'!C:C)),0))</f>
        <v>Prefabricated concrete, , Prefabricated concrete balcony with connector (AF Prefab) (Sweden)</v>
      </c>
      <c r="C23" t="str" cm="1">
        <f t="array" ref="C23:C26">_xlfn.IFNA(INDEX('EPD List'!$A:$AB,MATCH(_xlfn.ANCHORARRAY(B23),'EPD List'!$D:$D,0),MATCH(C$16,'EPD List'!$7:$7,0)),"")</f>
        <v>tonne</v>
      </c>
      <c r="D23" s="96" cm="1">
        <f t="array" ref="D23:D26">_xlfn.IFNA(VALUE((INDEX('EPD List'!$A:$AD,MATCH(_xlfn.ANCHORARRAY($B23),'EPD List'!$D:$D,0),MATCH(D$16,'EPD List'!$7:$7,0)))),"")</f>
        <v>214.99300000000002</v>
      </c>
      <c r="E23" s="96" cm="1">
        <f t="array" ref="E23:E26">_xlfn.IFNA(VALUE((INDEX('EPD List'!$A:$AD,MATCH(_xlfn.ANCHORARRAY($B23),'EPD List'!$D:$D,0),MATCH(E$16,'EPD List'!$7:$7,0)))),"")</f>
        <v>0.21499299999999999</v>
      </c>
      <c r="F23" s="96" cm="1">
        <f t="array" ref="F23:F26">_xlfn.IFNA(VALUE((INDEX('EPD List'!$A:$AD,MATCH(_xlfn.ANCHORARRAY($B23),'EPD List'!$D:$D,0),MATCH(F$16,'EPD List'!$7:$7,0)))),"")</f>
        <v>0</v>
      </c>
      <c r="G23" s="121" cm="1">
        <f t="array" ref="G23:G26">_xlfn.IFNA(VALUE((INDEX('EPD List'!$A:$AD,MATCH(_xlfn.ANCHORARRAY($B23),'EPD List'!$D:$D,0),MATCH(G$16,'EPD List'!$7:$7,0)))),"")</f>
        <v>0</v>
      </c>
    </row>
    <row r="24" spans="2:7" x14ac:dyDescent="0.25">
      <c r="B24" s="122" t="str">
        <v>Prefabricated concrete, , Prefabricated massive concrete slab for building (AF Prefab) (Sweden)</v>
      </c>
      <c r="C24" t="str">
        <v>tonne</v>
      </c>
      <c r="D24" s="96">
        <v>183.09399999999999</v>
      </c>
      <c r="E24" s="96">
        <v>0.18309399999999998</v>
      </c>
      <c r="F24" s="96">
        <v>0</v>
      </c>
      <c r="G24" s="121">
        <v>0</v>
      </c>
    </row>
    <row r="25" spans="2:7" x14ac:dyDescent="0.25">
      <c r="B25" s="122" t="str">
        <v>Prefabricated concrete, , Prefabricated massive balcony  - Australia average-case (Calculated) (Australia)</v>
      </c>
      <c r="C25" t="str">
        <v>tonne</v>
      </c>
      <c r="D25" s="96">
        <v>217.85472099999998</v>
      </c>
      <c r="E25" s="96">
        <v>0.21785472099999997</v>
      </c>
      <c r="F25" s="96">
        <v>0</v>
      </c>
      <c r="G25" s="121">
        <v>0</v>
      </c>
    </row>
    <row r="26" spans="2:7" x14ac:dyDescent="0.25">
      <c r="B26" s="122" t="str">
        <v>Prefabricated concrete, , Prefabricated concrete massive concrete slab for buildin - Australia average case (Calculated) (Australia)</v>
      </c>
      <c r="C26" t="str">
        <v>tonne</v>
      </c>
      <c r="D26" s="96">
        <v>214.74937619999997</v>
      </c>
      <c r="E26" s="96">
        <v>0.21474937619999998</v>
      </c>
      <c r="F26" s="96">
        <v>0</v>
      </c>
      <c r="G26" s="121">
        <v>0</v>
      </c>
    </row>
    <row r="27" spans="2:7" x14ac:dyDescent="0.25">
      <c r="B27" s="122"/>
      <c r="G27" s="121"/>
    </row>
    <row r="28" spans="2:7" x14ac:dyDescent="0.25">
      <c r="B28" s="122"/>
      <c r="G28" s="121"/>
    </row>
    <row r="29" spans="2:7" x14ac:dyDescent="0.25">
      <c r="B29" s="122"/>
      <c r="G29" s="121"/>
    </row>
    <row r="30" spans="2:7" x14ac:dyDescent="0.25">
      <c r="B30" s="122"/>
      <c r="G30" s="121"/>
    </row>
    <row r="31" spans="2:7" x14ac:dyDescent="0.25">
      <c r="B31" s="122"/>
      <c r="G31" s="121"/>
    </row>
    <row r="32" spans="2:7" x14ac:dyDescent="0.25">
      <c r="B32" s="122"/>
      <c r="G32" s="121"/>
    </row>
    <row r="33" spans="2:7" x14ac:dyDescent="0.25">
      <c r="B33" s="122"/>
      <c r="G33" s="121"/>
    </row>
    <row r="34" spans="2:7" x14ac:dyDescent="0.25">
      <c r="B34" s="122"/>
      <c r="G34" s="121"/>
    </row>
    <row r="35" spans="2:7" x14ac:dyDescent="0.25">
      <c r="B35" s="122"/>
      <c r="G35" s="121"/>
    </row>
    <row r="36" spans="2:7" x14ac:dyDescent="0.25">
      <c r="B36" s="122"/>
      <c r="G36" s="121"/>
    </row>
    <row r="37" spans="2:7" x14ac:dyDescent="0.25">
      <c r="B37" s="122"/>
      <c r="G37" s="121"/>
    </row>
    <row r="38" spans="2:7" x14ac:dyDescent="0.25">
      <c r="B38" s="122"/>
      <c r="G38" s="121"/>
    </row>
    <row r="39" spans="2:7" x14ac:dyDescent="0.25">
      <c r="B39" s="122"/>
      <c r="G39" s="121"/>
    </row>
    <row r="40" spans="2:7" x14ac:dyDescent="0.25">
      <c r="B40" s="122"/>
      <c r="G40" s="121"/>
    </row>
    <row r="41" spans="2:7" x14ac:dyDescent="0.25">
      <c r="B41" s="122"/>
      <c r="G41" s="121"/>
    </row>
    <row r="42" spans="2:7" x14ac:dyDescent="0.25">
      <c r="B42" s="122"/>
      <c r="G42" s="121"/>
    </row>
    <row r="43" spans="2:7" x14ac:dyDescent="0.25">
      <c r="B43" s="122"/>
      <c r="G43" s="121"/>
    </row>
    <row r="44" spans="2:7" x14ac:dyDescent="0.25">
      <c r="B44" s="122"/>
      <c r="G44" s="121"/>
    </row>
    <row r="45" spans="2:7" x14ac:dyDescent="0.25">
      <c r="B45" s="122"/>
      <c r="G45" s="121"/>
    </row>
    <row r="46" spans="2:7" x14ac:dyDescent="0.25">
      <c r="B46" s="122"/>
      <c r="G46" s="121"/>
    </row>
    <row r="47" spans="2:7" x14ac:dyDescent="0.25">
      <c r="B47" s="122"/>
      <c r="G47" s="121"/>
    </row>
    <row r="48" spans="2:7" x14ac:dyDescent="0.25">
      <c r="B48" s="122"/>
      <c r="G48" s="121"/>
    </row>
    <row r="49" spans="2:7" x14ac:dyDescent="0.25">
      <c r="B49" s="122"/>
      <c r="G49" s="121"/>
    </row>
    <row r="50" spans="2:7" x14ac:dyDescent="0.25">
      <c r="B50" s="122"/>
      <c r="G50" s="121"/>
    </row>
    <row r="51" spans="2:7" x14ac:dyDescent="0.25">
      <c r="B51" s="122"/>
      <c r="G51" s="121"/>
    </row>
    <row r="52" spans="2:7" x14ac:dyDescent="0.25">
      <c r="B52" s="122"/>
      <c r="G52" s="121"/>
    </row>
    <row r="53" spans="2:7" x14ac:dyDescent="0.25">
      <c r="B53" s="122"/>
      <c r="G53" s="121"/>
    </row>
    <row r="54" spans="2:7" x14ac:dyDescent="0.25">
      <c r="B54" s="122"/>
      <c r="G54" s="121"/>
    </row>
    <row r="55" spans="2:7" x14ac:dyDescent="0.25">
      <c r="B55" s="122"/>
      <c r="G55" s="121"/>
    </row>
    <row r="56" spans="2:7" x14ac:dyDescent="0.25">
      <c r="B56" s="122"/>
      <c r="G56" s="121"/>
    </row>
    <row r="57" spans="2:7" x14ac:dyDescent="0.25">
      <c r="B57" s="122"/>
      <c r="G57" s="121"/>
    </row>
    <row r="58" spans="2:7" x14ac:dyDescent="0.25">
      <c r="B58" s="122"/>
      <c r="G58" s="121"/>
    </row>
    <row r="59" spans="2:7" x14ac:dyDescent="0.25">
      <c r="B59" s="122"/>
      <c r="G59" s="121"/>
    </row>
    <row r="60" spans="2:7" x14ac:dyDescent="0.25">
      <c r="B60" s="122"/>
      <c r="G60" s="121"/>
    </row>
    <row r="61" spans="2:7" x14ac:dyDescent="0.25">
      <c r="B61" s="122"/>
      <c r="G61" s="121"/>
    </row>
    <row r="62" spans="2:7" x14ac:dyDescent="0.25">
      <c r="B62" s="122"/>
      <c r="G62" s="121"/>
    </row>
    <row r="63" spans="2:7" x14ac:dyDescent="0.25">
      <c r="B63" s="122"/>
      <c r="G63" s="121"/>
    </row>
    <row r="64" spans="2:7" x14ac:dyDescent="0.25">
      <c r="B64" s="122"/>
      <c r="G64" s="121"/>
    </row>
    <row r="65" spans="2:7" x14ac:dyDescent="0.25">
      <c r="B65" s="122"/>
      <c r="G65" s="121"/>
    </row>
    <row r="66" spans="2:7" x14ac:dyDescent="0.25">
      <c r="B66" s="122"/>
      <c r="G66" s="121"/>
    </row>
    <row r="67" spans="2:7" x14ac:dyDescent="0.25">
      <c r="B67" s="122"/>
      <c r="G67" s="121"/>
    </row>
    <row r="68" spans="2:7" x14ac:dyDescent="0.25">
      <c r="B68" s="122"/>
      <c r="G68" s="121"/>
    </row>
    <row r="69" spans="2:7" x14ac:dyDescent="0.25">
      <c r="B69" s="122"/>
      <c r="G69" s="121"/>
    </row>
    <row r="70" spans="2:7" x14ac:dyDescent="0.25">
      <c r="B70" s="122"/>
      <c r="G70" s="121"/>
    </row>
    <row r="71" spans="2:7" x14ac:dyDescent="0.25">
      <c r="B71" s="122"/>
      <c r="G71" s="121"/>
    </row>
    <row r="72" spans="2:7" x14ac:dyDescent="0.25">
      <c r="B72" s="122"/>
      <c r="G72" s="121"/>
    </row>
    <row r="73" spans="2:7" x14ac:dyDescent="0.25">
      <c r="B73" s="122"/>
      <c r="G73" s="121"/>
    </row>
    <row r="74" spans="2:7" x14ac:dyDescent="0.25">
      <c r="B74" s="122"/>
      <c r="G74" s="121"/>
    </row>
    <row r="75" spans="2:7" x14ac:dyDescent="0.25">
      <c r="B75" s="122"/>
      <c r="G75" s="121"/>
    </row>
    <row r="76" spans="2:7" x14ac:dyDescent="0.25">
      <c r="B76" s="122"/>
      <c r="G76" s="121"/>
    </row>
    <row r="77" spans="2:7" x14ac:dyDescent="0.25">
      <c r="B77" s="122"/>
      <c r="G77" s="121"/>
    </row>
    <row r="78" spans="2:7" x14ac:dyDescent="0.25">
      <c r="B78" s="122"/>
      <c r="G78" s="121"/>
    </row>
    <row r="79" spans="2:7" x14ac:dyDescent="0.25">
      <c r="B79" s="122"/>
      <c r="G79" s="121"/>
    </row>
    <row r="80" spans="2:7" x14ac:dyDescent="0.25">
      <c r="B80" s="122"/>
      <c r="G80" s="121"/>
    </row>
    <row r="81" spans="2:7" x14ac:dyDescent="0.25">
      <c r="B81" s="122"/>
      <c r="G81" s="121"/>
    </row>
    <row r="82" spans="2:7" x14ac:dyDescent="0.25">
      <c r="B82" s="122"/>
      <c r="G82" s="121"/>
    </row>
    <row r="83" spans="2:7" x14ac:dyDescent="0.25">
      <c r="B83" s="122"/>
      <c r="G83" s="121"/>
    </row>
    <row r="84" spans="2:7" x14ac:dyDescent="0.25">
      <c r="B84" s="122"/>
      <c r="G84" s="121"/>
    </row>
    <row r="85" spans="2:7" x14ac:dyDescent="0.25">
      <c r="B85" s="122"/>
      <c r="G85" s="121"/>
    </row>
    <row r="86" spans="2:7" x14ac:dyDescent="0.25">
      <c r="B86" s="122"/>
      <c r="G86" s="121"/>
    </row>
    <row r="87" spans="2:7" x14ac:dyDescent="0.25">
      <c r="B87" s="122"/>
      <c r="G87" s="121"/>
    </row>
    <row r="88" spans="2:7" x14ac:dyDescent="0.25">
      <c r="B88" s="122"/>
      <c r="G88" s="121"/>
    </row>
    <row r="89" spans="2:7" x14ac:dyDescent="0.25">
      <c r="B89" s="122"/>
      <c r="G89" s="121"/>
    </row>
    <row r="90" spans="2:7" x14ac:dyDescent="0.25">
      <c r="B90" s="122"/>
      <c r="G90" s="121"/>
    </row>
    <row r="91" spans="2:7" x14ac:dyDescent="0.25">
      <c r="B91" s="122"/>
      <c r="G91" s="121"/>
    </row>
    <row r="92" spans="2:7" x14ac:dyDescent="0.25">
      <c r="B92" s="122"/>
      <c r="G92" s="121"/>
    </row>
    <row r="93" spans="2:7" x14ac:dyDescent="0.25">
      <c r="B93" s="122"/>
      <c r="G93" s="121"/>
    </row>
    <row r="94" spans="2:7" x14ac:dyDescent="0.25">
      <c r="B94" s="122"/>
      <c r="G94" s="121"/>
    </row>
    <row r="95" spans="2:7" x14ac:dyDescent="0.25">
      <c r="B95" s="122"/>
      <c r="G95" s="121"/>
    </row>
    <row r="96" spans="2:7" x14ac:dyDescent="0.25">
      <c r="B96" s="122"/>
      <c r="G96" s="121"/>
    </row>
    <row r="97" spans="2:7" x14ac:dyDescent="0.25">
      <c r="B97" s="122"/>
      <c r="G97" s="121"/>
    </row>
    <row r="98" spans="2:7" x14ac:dyDescent="0.25">
      <c r="B98" s="122"/>
      <c r="G98" s="121"/>
    </row>
    <row r="99" spans="2:7" x14ac:dyDescent="0.25">
      <c r="B99" s="122"/>
      <c r="G99" s="121"/>
    </row>
    <row r="100" spans="2:7" x14ac:dyDescent="0.25">
      <c r="B100" s="122"/>
      <c r="G100" s="121"/>
    </row>
    <row r="101" spans="2:7" x14ac:dyDescent="0.25">
      <c r="B101" s="122"/>
      <c r="G101" s="121"/>
    </row>
    <row r="102" spans="2:7" x14ac:dyDescent="0.25">
      <c r="B102" s="122"/>
      <c r="G102" s="121"/>
    </row>
    <row r="103" spans="2:7" x14ac:dyDescent="0.25">
      <c r="B103" s="122"/>
      <c r="G103" s="121"/>
    </row>
    <row r="104" spans="2:7" x14ac:dyDescent="0.25">
      <c r="B104" s="122"/>
      <c r="G104" s="121"/>
    </row>
    <row r="105" spans="2:7" x14ac:dyDescent="0.25">
      <c r="B105" s="122"/>
      <c r="G105" s="121"/>
    </row>
    <row r="106" spans="2:7" x14ac:dyDescent="0.25">
      <c r="B106" s="122"/>
      <c r="G106" s="121"/>
    </row>
    <row r="107" spans="2:7" x14ac:dyDescent="0.25">
      <c r="B107" s="122"/>
      <c r="G107" s="121"/>
    </row>
    <row r="108" spans="2:7" x14ac:dyDescent="0.25">
      <c r="B108" s="122"/>
      <c r="G108" s="121"/>
    </row>
    <row r="109" spans="2:7" x14ac:dyDescent="0.25">
      <c r="B109" s="122"/>
      <c r="G109" s="121"/>
    </row>
    <row r="110" spans="2:7" x14ac:dyDescent="0.25">
      <c r="B110" s="122"/>
      <c r="G110" s="121"/>
    </row>
    <row r="111" spans="2:7" x14ac:dyDescent="0.25">
      <c r="B111" s="122"/>
      <c r="G111" s="121"/>
    </row>
    <row r="112" spans="2:7" x14ac:dyDescent="0.25">
      <c r="B112" s="122"/>
      <c r="G112" s="121"/>
    </row>
    <row r="113" spans="2:7" x14ac:dyDescent="0.25">
      <c r="B113" s="122"/>
      <c r="G113" s="121"/>
    </row>
    <row r="114" spans="2:7" x14ac:dyDescent="0.25">
      <c r="B114" s="122"/>
      <c r="G114" s="121"/>
    </row>
    <row r="115" spans="2:7" x14ac:dyDescent="0.25">
      <c r="B115" s="122"/>
      <c r="G115" s="121"/>
    </row>
    <row r="116" spans="2:7" x14ac:dyDescent="0.25">
      <c r="B116" s="122"/>
      <c r="G116" s="121"/>
    </row>
    <row r="117" spans="2:7" x14ac:dyDescent="0.25">
      <c r="B117" s="122"/>
      <c r="G117" s="121"/>
    </row>
    <row r="118" spans="2:7" x14ac:dyDescent="0.25">
      <c r="B118" s="122"/>
      <c r="G118" s="121"/>
    </row>
    <row r="119" spans="2:7" x14ac:dyDescent="0.25">
      <c r="B119" s="122"/>
      <c r="G119" s="121"/>
    </row>
    <row r="120" spans="2:7" x14ac:dyDescent="0.25">
      <c r="B120" s="122"/>
      <c r="G120" s="121"/>
    </row>
    <row r="121" spans="2:7" x14ac:dyDescent="0.25">
      <c r="B121" s="122"/>
      <c r="G121" s="121"/>
    </row>
    <row r="122" spans="2:7" x14ac:dyDescent="0.25">
      <c r="B122" s="122"/>
      <c r="G122" s="121"/>
    </row>
    <row r="123" spans="2:7" x14ac:dyDescent="0.25">
      <c r="B123" s="122"/>
      <c r="G123" s="121"/>
    </row>
    <row r="124" spans="2:7" x14ac:dyDescent="0.25">
      <c r="B124" s="122"/>
      <c r="G124" s="121"/>
    </row>
    <row r="125" spans="2:7" x14ac:dyDescent="0.25">
      <c r="B125" s="122"/>
      <c r="G125" s="121"/>
    </row>
    <row r="126" spans="2:7" x14ac:dyDescent="0.25">
      <c r="B126" s="122"/>
      <c r="G126" s="121"/>
    </row>
    <row r="127" spans="2:7" x14ac:dyDescent="0.25">
      <c r="B127" s="122"/>
      <c r="G127" s="121"/>
    </row>
    <row r="128" spans="2:7" x14ac:dyDescent="0.25">
      <c r="B128" s="122"/>
      <c r="G128" s="121"/>
    </row>
    <row r="129" spans="2:7" x14ac:dyDescent="0.25">
      <c r="B129" s="122"/>
      <c r="G129" s="121"/>
    </row>
    <row r="130" spans="2:7" x14ac:dyDescent="0.25">
      <c r="B130" s="122"/>
      <c r="G130" s="121"/>
    </row>
    <row r="131" spans="2:7" x14ac:dyDescent="0.25">
      <c r="B131" s="122"/>
      <c r="G131" s="121"/>
    </row>
    <row r="132" spans="2:7" x14ac:dyDescent="0.25">
      <c r="B132" s="122"/>
      <c r="G132" s="121"/>
    </row>
    <row r="133" spans="2:7" x14ac:dyDescent="0.25">
      <c r="B133" s="122"/>
      <c r="G133" s="121"/>
    </row>
    <row r="134" spans="2:7" x14ac:dyDescent="0.25">
      <c r="B134" s="122"/>
      <c r="G134" s="121"/>
    </row>
    <row r="135" spans="2:7" x14ac:dyDescent="0.25">
      <c r="B135" s="122"/>
      <c r="G135" s="121"/>
    </row>
    <row r="136" spans="2:7" x14ac:dyDescent="0.25">
      <c r="B136" s="122"/>
      <c r="G136" s="121"/>
    </row>
    <row r="137" spans="2:7" x14ac:dyDescent="0.25">
      <c r="B137" s="122"/>
      <c r="G137" s="121"/>
    </row>
    <row r="138" spans="2:7" x14ac:dyDescent="0.25">
      <c r="B138" s="122"/>
      <c r="G138" s="121"/>
    </row>
    <row r="139" spans="2:7" x14ac:dyDescent="0.25">
      <c r="B139" s="122"/>
      <c r="G139" s="121"/>
    </row>
    <row r="140" spans="2:7" x14ac:dyDescent="0.25">
      <c r="B140" s="122"/>
      <c r="G140" s="121"/>
    </row>
    <row r="141" spans="2:7" x14ac:dyDescent="0.25">
      <c r="B141" s="122"/>
      <c r="G141" s="121"/>
    </row>
    <row r="142" spans="2:7" x14ac:dyDescent="0.25">
      <c r="B142" s="122"/>
      <c r="G142" s="121"/>
    </row>
    <row r="143" spans="2:7" x14ac:dyDescent="0.25">
      <c r="B143" s="122"/>
      <c r="G143" s="121"/>
    </row>
    <row r="144" spans="2:7" x14ac:dyDescent="0.25">
      <c r="B144" s="122"/>
      <c r="G144" s="121"/>
    </row>
    <row r="145" spans="2:7" x14ac:dyDescent="0.25">
      <c r="B145" s="122"/>
      <c r="G145" s="121"/>
    </row>
    <row r="146" spans="2:7" x14ac:dyDescent="0.25">
      <c r="B146" s="122"/>
      <c r="G146" s="121"/>
    </row>
    <row r="147" spans="2:7" x14ac:dyDescent="0.25">
      <c r="B147" s="122"/>
      <c r="G147" s="121"/>
    </row>
    <row r="148" spans="2:7" x14ac:dyDescent="0.25">
      <c r="B148" s="122"/>
      <c r="G148" s="121"/>
    </row>
    <row r="149" spans="2:7" x14ac:dyDescent="0.25">
      <c r="B149" s="122"/>
      <c r="G149" s="121"/>
    </row>
    <row r="150" spans="2:7" x14ac:dyDescent="0.25">
      <c r="B150" s="122"/>
      <c r="G150" s="121"/>
    </row>
    <row r="151" spans="2:7" x14ac:dyDescent="0.25">
      <c r="B151" s="122"/>
      <c r="G151" s="121"/>
    </row>
    <row r="152" spans="2:7" x14ac:dyDescent="0.25">
      <c r="B152" s="122"/>
      <c r="G152" s="121"/>
    </row>
    <row r="153" spans="2:7" x14ac:dyDescent="0.25">
      <c r="B153" s="122"/>
      <c r="G153" s="121"/>
    </row>
    <row r="154" spans="2:7" x14ac:dyDescent="0.25">
      <c r="B154" s="122"/>
      <c r="G154" s="121"/>
    </row>
    <row r="155" spans="2:7" x14ac:dyDescent="0.25">
      <c r="B155" s="122"/>
      <c r="G155" s="121"/>
    </row>
    <row r="156" spans="2:7" x14ac:dyDescent="0.25">
      <c r="B156" s="122"/>
      <c r="G156" s="121"/>
    </row>
    <row r="157" spans="2:7" x14ac:dyDescent="0.25">
      <c r="B157" s="122"/>
      <c r="G157" s="121"/>
    </row>
    <row r="158" spans="2:7" x14ac:dyDescent="0.25">
      <c r="B158" s="122"/>
      <c r="G158" s="121"/>
    </row>
    <row r="159" spans="2:7" x14ac:dyDescent="0.25">
      <c r="B159" s="122"/>
      <c r="G159" s="121"/>
    </row>
    <row r="160" spans="2:7" x14ac:dyDescent="0.25">
      <c r="B160" s="122"/>
      <c r="G160" s="121"/>
    </row>
    <row r="161" spans="2:7" x14ac:dyDescent="0.25">
      <c r="B161" s="122"/>
      <c r="G161" s="121"/>
    </row>
    <row r="162" spans="2:7" x14ac:dyDescent="0.25">
      <c r="B162" s="122"/>
      <c r="G162" s="121"/>
    </row>
    <row r="163" spans="2:7" x14ac:dyDescent="0.25">
      <c r="B163" s="122"/>
      <c r="G163" s="121"/>
    </row>
    <row r="164" spans="2:7" x14ac:dyDescent="0.25">
      <c r="B164" s="122"/>
      <c r="G164" s="121"/>
    </row>
    <row r="165" spans="2:7" x14ac:dyDescent="0.25">
      <c r="B165" s="122"/>
      <c r="G165" s="121"/>
    </row>
    <row r="166" spans="2:7" x14ac:dyDescent="0.25">
      <c r="B166" s="125"/>
      <c r="C166" s="126"/>
      <c r="D166" s="127"/>
      <c r="E166" s="127"/>
      <c r="F166" s="127"/>
      <c r="G166" s="128"/>
    </row>
  </sheetData>
  <dataValidations count="1">
    <dataValidation type="list" allowBlank="1" showInputMessage="1" showErrorMessage="1" sqref="B6:B9" xr:uid="{7CD405D3-4D5E-42FC-88ED-A8BF3A96B4B8}">
      <formula1>"Tier 1,Tier 2,Tier 3,Tier 4"</formula1>
    </dataValidation>
  </dataValidation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40D7ED-1664-4C78-AD45-727ECBADCA1B}">
  <sheetPr codeName="Sheet15">
    <tabColor rgb="FF00CCFF"/>
  </sheetPr>
  <dimension ref="A1:G166"/>
  <sheetViews>
    <sheetView showGridLines="0" zoomScale="80" zoomScaleNormal="80" workbookViewId="0"/>
  </sheetViews>
  <sheetFormatPr defaultRowHeight="13.2" x14ac:dyDescent="0.25"/>
  <cols>
    <col min="1" max="1" width="26.109375" customWidth="1"/>
    <col min="2" max="2" width="109.109375" customWidth="1"/>
    <col min="3" max="3" width="21" customWidth="1"/>
    <col min="4" max="6" width="19.88671875" style="96" customWidth="1"/>
    <col min="7" max="7" width="23.5546875" style="96" customWidth="1"/>
  </cols>
  <sheetData>
    <row r="1" spans="1:7" x14ac:dyDescent="0.25">
      <c r="A1" s="4" t="str" cm="1">
        <f t="array" aca="1" ref="A1" ca="1">MID(CELL("filename",A1),FIND("]",CELL("filename",A1))+1,255)</f>
        <v>Concrete_hollowcore</v>
      </c>
    </row>
    <row r="2" spans="1:7" x14ac:dyDescent="0.25">
      <c r="A2" s="4"/>
    </row>
    <row r="3" spans="1:7" x14ac:dyDescent="0.25">
      <c r="A3" s="4" t="s">
        <v>4048</v>
      </c>
      <c r="B3" t="s">
        <v>4088</v>
      </c>
    </row>
    <row r="4" spans="1:7" x14ac:dyDescent="0.25">
      <c r="A4" s="26"/>
    </row>
    <row r="5" spans="1:7" ht="73.5" customHeight="1" x14ac:dyDescent="0.25">
      <c r="A5" s="26" t="s">
        <v>4050</v>
      </c>
      <c r="B5" s="14" t="s">
        <v>4089</v>
      </c>
    </row>
    <row r="6" spans="1:7" x14ac:dyDescent="0.25">
      <c r="A6" s="26" t="s">
        <v>4052</v>
      </c>
      <c r="B6" s="27" t="s">
        <v>68</v>
      </c>
    </row>
    <row r="7" spans="1:7" x14ac:dyDescent="0.25">
      <c r="A7" s="26" t="s">
        <v>4053</v>
      </c>
      <c r="B7" s="27" t="s">
        <v>70</v>
      </c>
    </row>
    <row r="8" spans="1:7" x14ac:dyDescent="0.25">
      <c r="A8" s="26" t="s">
        <v>4054</v>
      </c>
      <c r="B8" s="27" t="s">
        <v>71</v>
      </c>
    </row>
    <row r="9" spans="1:7" x14ac:dyDescent="0.25">
      <c r="A9" s="26" t="s">
        <v>4055</v>
      </c>
      <c r="B9" s="33" t="s">
        <v>71</v>
      </c>
    </row>
    <row r="10" spans="1:7" x14ac:dyDescent="0.25">
      <c r="A10" s="26"/>
      <c r="B10" s="4"/>
    </row>
    <row r="11" spans="1:7" x14ac:dyDescent="0.25">
      <c r="A11" s="26" t="s">
        <v>4056</v>
      </c>
      <c r="B11" s="14" t="s">
        <v>4090</v>
      </c>
    </row>
    <row r="12" spans="1:7" x14ac:dyDescent="0.25">
      <c r="A12" s="101"/>
    </row>
    <row r="13" spans="1:7" x14ac:dyDescent="0.25">
      <c r="A13" s="101"/>
    </row>
    <row r="14" spans="1:7" x14ac:dyDescent="0.25">
      <c r="A14" s="26" t="s">
        <v>4057</v>
      </c>
    </row>
    <row r="15" spans="1:7" x14ac:dyDescent="0.25">
      <c r="A15" s="26"/>
      <c r="D15" s="112" t="s">
        <v>4058</v>
      </c>
      <c r="E15" s="113"/>
      <c r="F15" s="114" t="s">
        <v>4059</v>
      </c>
      <c r="G15" s="113"/>
    </row>
    <row r="16" spans="1:7" ht="39.6" x14ac:dyDescent="0.25">
      <c r="B16" s="28" t="s">
        <v>2209</v>
      </c>
      <c r="C16" s="23" t="s">
        <v>23</v>
      </c>
      <c r="D16" s="24" t="s">
        <v>141</v>
      </c>
      <c r="E16" s="25" t="s">
        <v>148</v>
      </c>
      <c r="F16" s="24" t="s">
        <v>142</v>
      </c>
      <c r="G16" s="24" t="s">
        <v>149</v>
      </c>
    </row>
    <row r="17" spans="2:7" x14ac:dyDescent="0.25">
      <c r="B17" s="29"/>
      <c r="C17" s="30" t="s">
        <v>4060</v>
      </c>
      <c r="D17" s="118" t="str" cm="1">
        <f t="array" ref="D17">IF(AND(_xlfn.ANCHORARRAY(C23)=C23),C23,"Mixed")</f>
        <v>m³</v>
      </c>
      <c r="E17" s="118" t="s">
        <v>219</v>
      </c>
      <c r="F17" s="118" t="str" cm="1">
        <f t="array" ref="F17">IF(AND(_xlfn.ANCHORARRAY(C23)=C23),C23,"Mixed")</f>
        <v>m³</v>
      </c>
      <c r="G17" s="119" t="s">
        <v>219</v>
      </c>
    </row>
    <row r="18" spans="2:7" s="14" customFormat="1" x14ac:dyDescent="0.25">
      <c r="B18" s="31"/>
      <c r="C18" s="4" t="s">
        <v>4061</v>
      </c>
      <c r="D18" s="96">
        <f t="shared" ref="D18:G18" si="0">MAX(_xlfn.ANCHORARRAY(D23))</f>
        <v>357</v>
      </c>
      <c r="E18" s="96">
        <f t="shared" si="0"/>
        <v>0.24203389830508473</v>
      </c>
      <c r="F18" s="96">
        <f t="shared" si="0"/>
        <v>0</v>
      </c>
      <c r="G18" s="121">
        <f t="shared" si="0"/>
        <v>0</v>
      </c>
    </row>
    <row r="19" spans="2:7" x14ac:dyDescent="0.25">
      <c r="B19" s="122"/>
      <c r="C19" s="4" t="s">
        <v>4062</v>
      </c>
      <c r="D19" s="96">
        <f>MIN(_xlfn.ANCHORARRAY(D23))</f>
        <v>317</v>
      </c>
      <c r="E19" s="96">
        <f t="shared" ref="E19:G19" si="1">MIN(_xlfn.ANCHORARRAY(E23))</f>
        <v>0.21491525423728813</v>
      </c>
      <c r="F19" s="96">
        <f t="shared" si="1"/>
        <v>0</v>
      </c>
      <c r="G19" s="121">
        <f t="shared" si="1"/>
        <v>0</v>
      </c>
    </row>
    <row r="20" spans="2:7" x14ac:dyDescent="0.25">
      <c r="B20" s="122"/>
      <c r="C20" s="4" t="s">
        <v>4063</v>
      </c>
      <c r="D20" s="96">
        <f>AVERAGE(_xlfn.ANCHORARRAY(D23))</f>
        <v>338.5</v>
      </c>
      <c r="E20" s="96">
        <f t="shared" ref="E20:G20" si="2">AVERAGE(_xlfn.ANCHORARRAY(E23))</f>
        <v>0.2294915254237288</v>
      </c>
      <c r="F20" s="96">
        <f t="shared" si="2"/>
        <v>0</v>
      </c>
      <c r="G20" s="121">
        <f t="shared" si="2"/>
        <v>0</v>
      </c>
    </row>
    <row r="21" spans="2:7" x14ac:dyDescent="0.25">
      <c r="B21" s="122"/>
      <c r="C21" s="4"/>
      <c r="G21" s="121"/>
    </row>
    <row r="22" spans="2:7" x14ac:dyDescent="0.25">
      <c r="B22" s="32" t="s">
        <v>4064</v>
      </c>
      <c r="D22"/>
      <c r="E22"/>
      <c r="F22"/>
      <c r="G22" s="124"/>
    </row>
    <row r="23" spans="2:7" x14ac:dyDescent="0.25">
      <c r="B23" s="122" t="str" cm="1">
        <f t="array" ref="B23:B26">_xlfn.UNIQUE(_xlfn._xlws.FILTER('EPD List'!D:D,ISNUMBER(SEARCH(B16,'EPD List'!C:C)),0))</f>
        <v>Hollowcore concrete, , Hollowcore BGC (HC500) Conc Mix 2  (BGC) (Australia)</v>
      </c>
      <c r="C23" t="str" cm="1">
        <f t="array" ref="C23:C26">_xlfn.IFNA(INDEX('EPD List'!$A:$AB,MATCH(_xlfn.ANCHORARRAY(B23),'EPD List'!$D:$D,0),MATCH(C$16,'EPD List'!$7:$7,0)),"")</f>
        <v>m³</v>
      </c>
      <c r="D23" s="96" cm="1">
        <f t="array" ref="D23:D26">_xlfn.IFNA(VALUE((INDEX('EPD List'!$A:$AD,MATCH(_xlfn.ANCHORARRAY($B23),'EPD List'!$D:$D,0),MATCH(D$16,'EPD List'!$7:$7,0)))),"")</f>
        <v>317</v>
      </c>
      <c r="E23" s="96" cm="1">
        <f t="array" ref="E23:E26">_xlfn.IFNA(VALUE((INDEX('EPD List'!$A:$AD,MATCH(_xlfn.ANCHORARRAY($B23),'EPD List'!$D:$D,0),MATCH(E$16,'EPD List'!$7:$7,0)))),"")</f>
        <v>0.21491525423728813</v>
      </c>
      <c r="F23" s="96" cm="1">
        <f t="array" ref="F23:F26">_xlfn.IFNA(VALUE((INDEX('EPD List'!$A:$AD,MATCH(_xlfn.ANCHORARRAY($B23),'EPD List'!$D:$D,0),MATCH(F$16,'EPD List'!$7:$7,0)))),"")</f>
        <v>0</v>
      </c>
      <c r="G23" s="121" cm="1">
        <f t="array" ref="G23:G26">_xlfn.IFNA(VALUE((INDEX('EPD List'!$A:$AD,MATCH(_xlfn.ANCHORARRAY($B23),'EPD List'!$D:$D,0),MATCH(G$16,'EPD List'!$7:$7,0)))),"")</f>
        <v>0</v>
      </c>
    </row>
    <row r="24" spans="2:7" x14ac:dyDescent="0.25">
      <c r="B24" s="122" t="str">
        <v>Hollowcore concrete, , Hollowcore BGC (HC200W) Conc Mix 2  (BGC) (Australia)</v>
      </c>
      <c r="C24" t="str">
        <v>m³</v>
      </c>
      <c r="D24" s="96">
        <v>357</v>
      </c>
      <c r="E24" s="96">
        <v>0.24203389830508473</v>
      </c>
      <c r="F24" s="96">
        <v>0</v>
      </c>
      <c r="G24" s="121">
        <v>0</v>
      </c>
    </row>
    <row r="25" spans="2:7" x14ac:dyDescent="0.25">
      <c r="B25" s="122" t="str">
        <v>Hollowcore concrete, , Hollowcore BGC (HC160) Conc Mix 2  (BGC) (Australia)</v>
      </c>
      <c r="C25" t="str">
        <v>m³</v>
      </c>
      <c r="D25" s="96">
        <v>332</v>
      </c>
      <c r="E25" s="96">
        <v>0.22508474576271187</v>
      </c>
      <c r="F25" s="96">
        <v>0</v>
      </c>
      <c r="G25" s="121">
        <v>0</v>
      </c>
    </row>
    <row r="26" spans="2:7" x14ac:dyDescent="0.25">
      <c r="B26" s="122" t="str">
        <v>Hollowcore concrete, , Hollowcore BGC (HC250) Conc Mix 2  (BGC) (Australia)</v>
      </c>
      <c r="C26" t="str">
        <v>m³</v>
      </c>
      <c r="D26" s="96">
        <v>348</v>
      </c>
      <c r="E26" s="96">
        <v>0.23593220338983051</v>
      </c>
      <c r="F26" s="96">
        <v>0</v>
      </c>
      <c r="G26" s="121">
        <v>0</v>
      </c>
    </row>
    <row r="27" spans="2:7" x14ac:dyDescent="0.25">
      <c r="B27" s="122"/>
      <c r="G27" s="121"/>
    </row>
    <row r="28" spans="2:7" x14ac:dyDescent="0.25">
      <c r="B28" s="122"/>
      <c r="G28" s="121"/>
    </row>
    <row r="29" spans="2:7" x14ac:dyDescent="0.25">
      <c r="B29" s="122"/>
      <c r="G29" s="121"/>
    </row>
    <row r="30" spans="2:7" x14ac:dyDescent="0.25">
      <c r="B30" s="122"/>
      <c r="G30" s="121"/>
    </row>
    <row r="31" spans="2:7" x14ac:dyDescent="0.25">
      <c r="B31" s="122"/>
      <c r="G31" s="121"/>
    </row>
    <row r="32" spans="2:7" x14ac:dyDescent="0.25">
      <c r="B32" s="122"/>
      <c r="G32" s="121"/>
    </row>
    <row r="33" spans="2:7" x14ac:dyDescent="0.25">
      <c r="B33" s="122"/>
      <c r="G33" s="121"/>
    </row>
    <row r="34" spans="2:7" x14ac:dyDescent="0.25">
      <c r="B34" s="122"/>
      <c r="G34" s="121"/>
    </row>
    <row r="35" spans="2:7" x14ac:dyDescent="0.25">
      <c r="B35" s="122"/>
      <c r="G35" s="121"/>
    </row>
    <row r="36" spans="2:7" x14ac:dyDescent="0.25">
      <c r="B36" s="122"/>
      <c r="G36" s="121"/>
    </row>
    <row r="37" spans="2:7" x14ac:dyDescent="0.25">
      <c r="B37" s="122"/>
      <c r="G37" s="121"/>
    </row>
    <row r="38" spans="2:7" x14ac:dyDescent="0.25">
      <c r="B38" s="122"/>
      <c r="G38" s="121"/>
    </row>
    <row r="39" spans="2:7" x14ac:dyDescent="0.25">
      <c r="B39" s="122"/>
      <c r="G39" s="121"/>
    </row>
    <row r="40" spans="2:7" x14ac:dyDescent="0.25">
      <c r="B40" s="122"/>
      <c r="G40" s="121"/>
    </row>
    <row r="41" spans="2:7" x14ac:dyDescent="0.25">
      <c r="B41" s="122"/>
      <c r="G41" s="121"/>
    </row>
    <row r="42" spans="2:7" x14ac:dyDescent="0.25">
      <c r="B42" s="122"/>
      <c r="G42" s="121"/>
    </row>
    <row r="43" spans="2:7" x14ac:dyDescent="0.25">
      <c r="B43" s="122"/>
      <c r="G43" s="121"/>
    </row>
    <row r="44" spans="2:7" x14ac:dyDescent="0.25">
      <c r="B44" s="122"/>
      <c r="G44" s="121"/>
    </row>
    <row r="45" spans="2:7" x14ac:dyDescent="0.25">
      <c r="B45" s="122"/>
      <c r="G45" s="121"/>
    </row>
    <row r="46" spans="2:7" x14ac:dyDescent="0.25">
      <c r="B46" s="122"/>
      <c r="G46" s="121"/>
    </row>
    <row r="47" spans="2:7" x14ac:dyDescent="0.25">
      <c r="B47" s="122"/>
      <c r="G47" s="121"/>
    </row>
    <row r="48" spans="2:7" x14ac:dyDescent="0.25">
      <c r="B48" s="122"/>
      <c r="G48" s="121"/>
    </row>
    <row r="49" spans="2:7" x14ac:dyDescent="0.25">
      <c r="B49" s="122"/>
      <c r="G49" s="121"/>
    </row>
    <row r="50" spans="2:7" x14ac:dyDescent="0.25">
      <c r="B50" s="122"/>
      <c r="G50" s="121"/>
    </row>
    <row r="51" spans="2:7" x14ac:dyDescent="0.25">
      <c r="B51" s="122"/>
      <c r="G51" s="121"/>
    </row>
    <row r="52" spans="2:7" x14ac:dyDescent="0.25">
      <c r="B52" s="122"/>
      <c r="G52" s="121"/>
    </row>
    <row r="53" spans="2:7" x14ac:dyDescent="0.25">
      <c r="B53" s="122"/>
      <c r="G53" s="121"/>
    </row>
    <row r="54" spans="2:7" x14ac:dyDescent="0.25">
      <c r="B54" s="122"/>
      <c r="G54" s="121"/>
    </row>
    <row r="55" spans="2:7" x14ac:dyDescent="0.25">
      <c r="B55" s="122"/>
      <c r="G55" s="121"/>
    </row>
    <row r="56" spans="2:7" x14ac:dyDescent="0.25">
      <c r="B56" s="122"/>
      <c r="G56" s="121"/>
    </row>
    <row r="57" spans="2:7" x14ac:dyDescent="0.25">
      <c r="B57" s="122"/>
      <c r="G57" s="121"/>
    </row>
    <row r="58" spans="2:7" x14ac:dyDescent="0.25">
      <c r="B58" s="122"/>
      <c r="G58" s="121"/>
    </row>
    <row r="59" spans="2:7" x14ac:dyDescent="0.25">
      <c r="B59" s="122"/>
      <c r="G59" s="121"/>
    </row>
    <row r="60" spans="2:7" x14ac:dyDescent="0.25">
      <c r="B60" s="122"/>
      <c r="G60" s="121"/>
    </row>
    <row r="61" spans="2:7" x14ac:dyDescent="0.25">
      <c r="B61" s="122"/>
      <c r="G61" s="121"/>
    </row>
    <row r="62" spans="2:7" x14ac:dyDescent="0.25">
      <c r="B62" s="122"/>
      <c r="G62" s="121"/>
    </row>
    <row r="63" spans="2:7" x14ac:dyDescent="0.25">
      <c r="B63" s="122"/>
      <c r="G63" s="121"/>
    </row>
    <row r="64" spans="2:7" x14ac:dyDescent="0.25">
      <c r="B64" s="122"/>
      <c r="G64" s="121"/>
    </row>
    <row r="65" spans="2:7" x14ac:dyDescent="0.25">
      <c r="B65" s="122"/>
      <c r="G65" s="121"/>
    </row>
    <row r="66" spans="2:7" x14ac:dyDescent="0.25">
      <c r="B66" s="122"/>
      <c r="G66" s="121"/>
    </row>
    <row r="67" spans="2:7" x14ac:dyDescent="0.25">
      <c r="B67" s="122"/>
      <c r="G67" s="121"/>
    </row>
    <row r="68" spans="2:7" x14ac:dyDescent="0.25">
      <c r="B68" s="122"/>
      <c r="G68" s="121"/>
    </row>
    <row r="69" spans="2:7" x14ac:dyDescent="0.25">
      <c r="B69" s="122"/>
      <c r="G69" s="121"/>
    </row>
    <row r="70" spans="2:7" x14ac:dyDescent="0.25">
      <c r="B70" s="122"/>
      <c r="G70" s="121"/>
    </row>
    <row r="71" spans="2:7" x14ac:dyDescent="0.25">
      <c r="B71" s="122"/>
      <c r="G71" s="121"/>
    </row>
    <row r="72" spans="2:7" x14ac:dyDescent="0.25">
      <c r="B72" s="122"/>
      <c r="G72" s="121"/>
    </row>
    <row r="73" spans="2:7" x14ac:dyDescent="0.25">
      <c r="B73" s="122"/>
      <c r="G73" s="121"/>
    </row>
    <row r="74" spans="2:7" x14ac:dyDescent="0.25">
      <c r="B74" s="122"/>
      <c r="G74" s="121"/>
    </row>
    <row r="75" spans="2:7" x14ac:dyDescent="0.25">
      <c r="B75" s="122"/>
      <c r="G75" s="121"/>
    </row>
    <row r="76" spans="2:7" x14ac:dyDescent="0.25">
      <c r="B76" s="122"/>
      <c r="G76" s="121"/>
    </row>
    <row r="77" spans="2:7" x14ac:dyDescent="0.25">
      <c r="B77" s="122"/>
      <c r="G77" s="121"/>
    </row>
    <row r="78" spans="2:7" x14ac:dyDescent="0.25">
      <c r="B78" s="122"/>
      <c r="G78" s="121"/>
    </row>
    <row r="79" spans="2:7" x14ac:dyDescent="0.25">
      <c r="B79" s="122"/>
      <c r="G79" s="121"/>
    </row>
    <row r="80" spans="2:7" x14ac:dyDescent="0.25">
      <c r="B80" s="122"/>
      <c r="G80" s="121"/>
    </row>
    <row r="81" spans="2:7" x14ac:dyDescent="0.25">
      <c r="B81" s="122"/>
      <c r="G81" s="121"/>
    </row>
    <row r="82" spans="2:7" x14ac:dyDescent="0.25">
      <c r="B82" s="122"/>
      <c r="G82" s="121"/>
    </row>
    <row r="83" spans="2:7" x14ac:dyDescent="0.25">
      <c r="B83" s="122"/>
      <c r="G83" s="121"/>
    </row>
    <row r="84" spans="2:7" x14ac:dyDescent="0.25">
      <c r="B84" s="122"/>
      <c r="G84" s="121"/>
    </row>
    <row r="85" spans="2:7" x14ac:dyDescent="0.25">
      <c r="B85" s="122"/>
      <c r="G85" s="121"/>
    </row>
    <row r="86" spans="2:7" x14ac:dyDescent="0.25">
      <c r="B86" s="122"/>
      <c r="G86" s="121"/>
    </row>
    <row r="87" spans="2:7" x14ac:dyDescent="0.25">
      <c r="B87" s="122"/>
      <c r="G87" s="121"/>
    </row>
    <row r="88" spans="2:7" x14ac:dyDescent="0.25">
      <c r="B88" s="122"/>
      <c r="G88" s="121"/>
    </row>
    <row r="89" spans="2:7" x14ac:dyDescent="0.25">
      <c r="B89" s="122"/>
      <c r="G89" s="121"/>
    </row>
    <row r="90" spans="2:7" x14ac:dyDescent="0.25">
      <c r="B90" s="122"/>
      <c r="G90" s="121"/>
    </row>
    <row r="91" spans="2:7" x14ac:dyDescent="0.25">
      <c r="B91" s="122"/>
      <c r="G91" s="121"/>
    </row>
    <row r="92" spans="2:7" x14ac:dyDescent="0.25">
      <c r="B92" s="122"/>
      <c r="G92" s="121"/>
    </row>
    <row r="93" spans="2:7" x14ac:dyDescent="0.25">
      <c r="B93" s="122"/>
      <c r="G93" s="121"/>
    </row>
    <row r="94" spans="2:7" x14ac:dyDescent="0.25">
      <c r="B94" s="122"/>
      <c r="G94" s="121"/>
    </row>
    <row r="95" spans="2:7" x14ac:dyDescent="0.25">
      <c r="B95" s="122"/>
      <c r="G95" s="121"/>
    </row>
    <row r="96" spans="2:7" x14ac:dyDescent="0.25">
      <c r="B96" s="122"/>
      <c r="G96" s="121"/>
    </row>
    <row r="97" spans="2:7" x14ac:dyDescent="0.25">
      <c r="B97" s="122"/>
      <c r="G97" s="121"/>
    </row>
    <row r="98" spans="2:7" x14ac:dyDescent="0.25">
      <c r="B98" s="122"/>
      <c r="G98" s="121"/>
    </row>
    <row r="99" spans="2:7" x14ac:dyDescent="0.25">
      <c r="B99" s="122"/>
      <c r="G99" s="121"/>
    </row>
    <row r="100" spans="2:7" x14ac:dyDescent="0.25">
      <c r="B100" s="122"/>
      <c r="G100" s="121"/>
    </row>
    <row r="101" spans="2:7" x14ac:dyDescent="0.25">
      <c r="B101" s="122"/>
      <c r="G101" s="121"/>
    </row>
    <row r="102" spans="2:7" x14ac:dyDescent="0.25">
      <c r="B102" s="122"/>
      <c r="G102" s="121"/>
    </row>
    <row r="103" spans="2:7" x14ac:dyDescent="0.25">
      <c r="B103" s="122"/>
      <c r="G103" s="121"/>
    </row>
    <row r="104" spans="2:7" x14ac:dyDescent="0.25">
      <c r="B104" s="122"/>
      <c r="G104" s="121"/>
    </row>
    <row r="105" spans="2:7" x14ac:dyDescent="0.25">
      <c r="B105" s="122"/>
      <c r="G105" s="121"/>
    </row>
    <row r="106" spans="2:7" x14ac:dyDescent="0.25">
      <c r="B106" s="122"/>
      <c r="G106" s="121"/>
    </row>
    <row r="107" spans="2:7" x14ac:dyDescent="0.25">
      <c r="B107" s="122"/>
      <c r="G107" s="121"/>
    </row>
    <row r="108" spans="2:7" x14ac:dyDescent="0.25">
      <c r="B108" s="122"/>
      <c r="G108" s="121"/>
    </row>
    <row r="109" spans="2:7" x14ac:dyDescent="0.25">
      <c r="B109" s="122"/>
      <c r="G109" s="121"/>
    </row>
    <row r="110" spans="2:7" x14ac:dyDescent="0.25">
      <c r="B110" s="122"/>
      <c r="G110" s="121"/>
    </row>
    <row r="111" spans="2:7" x14ac:dyDescent="0.25">
      <c r="B111" s="122"/>
      <c r="G111" s="121"/>
    </row>
    <row r="112" spans="2:7" x14ac:dyDescent="0.25">
      <c r="B112" s="122"/>
      <c r="G112" s="121"/>
    </row>
    <row r="113" spans="2:7" x14ac:dyDescent="0.25">
      <c r="B113" s="122"/>
      <c r="G113" s="121"/>
    </row>
    <row r="114" spans="2:7" x14ac:dyDescent="0.25">
      <c r="B114" s="122"/>
      <c r="G114" s="121"/>
    </row>
    <row r="115" spans="2:7" x14ac:dyDescent="0.25">
      <c r="B115" s="122"/>
      <c r="G115" s="121"/>
    </row>
    <row r="116" spans="2:7" x14ac:dyDescent="0.25">
      <c r="B116" s="122"/>
      <c r="G116" s="121"/>
    </row>
    <row r="117" spans="2:7" x14ac:dyDescent="0.25">
      <c r="B117" s="122"/>
      <c r="G117" s="121"/>
    </row>
    <row r="118" spans="2:7" x14ac:dyDescent="0.25">
      <c r="B118" s="122"/>
      <c r="G118" s="121"/>
    </row>
    <row r="119" spans="2:7" x14ac:dyDescent="0.25">
      <c r="B119" s="122"/>
      <c r="G119" s="121"/>
    </row>
    <row r="120" spans="2:7" x14ac:dyDescent="0.25">
      <c r="B120" s="122"/>
      <c r="G120" s="121"/>
    </row>
    <row r="121" spans="2:7" x14ac:dyDescent="0.25">
      <c r="B121" s="122"/>
      <c r="G121" s="121"/>
    </row>
    <row r="122" spans="2:7" x14ac:dyDescent="0.25">
      <c r="B122" s="122"/>
      <c r="G122" s="121"/>
    </row>
    <row r="123" spans="2:7" x14ac:dyDescent="0.25">
      <c r="B123" s="122"/>
      <c r="G123" s="121"/>
    </row>
    <row r="124" spans="2:7" x14ac:dyDescent="0.25">
      <c r="B124" s="122"/>
      <c r="G124" s="121"/>
    </row>
    <row r="125" spans="2:7" x14ac:dyDescent="0.25">
      <c r="B125" s="122"/>
      <c r="G125" s="121"/>
    </row>
    <row r="126" spans="2:7" x14ac:dyDescent="0.25">
      <c r="B126" s="122"/>
      <c r="G126" s="121"/>
    </row>
    <row r="127" spans="2:7" x14ac:dyDescent="0.25">
      <c r="B127" s="122"/>
      <c r="G127" s="121"/>
    </row>
    <row r="128" spans="2:7" x14ac:dyDescent="0.25">
      <c r="B128" s="122"/>
      <c r="G128" s="121"/>
    </row>
    <row r="129" spans="2:7" x14ac:dyDescent="0.25">
      <c r="B129" s="122"/>
      <c r="G129" s="121"/>
    </row>
    <row r="130" spans="2:7" x14ac:dyDescent="0.25">
      <c r="B130" s="122"/>
      <c r="G130" s="121"/>
    </row>
    <row r="131" spans="2:7" x14ac:dyDescent="0.25">
      <c r="B131" s="122"/>
      <c r="G131" s="121"/>
    </row>
    <row r="132" spans="2:7" x14ac:dyDescent="0.25">
      <c r="B132" s="122"/>
      <c r="G132" s="121"/>
    </row>
    <row r="133" spans="2:7" x14ac:dyDescent="0.25">
      <c r="B133" s="122"/>
      <c r="G133" s="121"/>
    </row>
    <row r="134" spans="2:7" x14ac:dyDescent="0.25">
      <c r="B134" s="122"/>
      <c r="G134" s="121"/>
    </row>
    <row r="135" spans="2:7" x14ac:dyDescent="0.25">
      <c r="B135" s="122"/>
      <c r="G135" s="121"/>
    </row>
    <row r="136" spans="2:7" x14ac:dyDescent="0.25">
      <c r="B136" s="122"/>
      <c r="G136" s="121"/>
    </row>
    <row r="137" spans="2:7" x14ac:dyDescent="0.25">
      <c r="B137" s="122"/>
      <c r="G137" s="121"/>
    </row>
    <row r="138" spans="2:7" x14ac:dyDescent="0.25">
      <c r="B138" s="122"/>
      <c r="G138" s="121"/>
    </row>
    <row r="139" spans="2:7" x14ac:dyDescent="0.25">
      <c r="B139" s="122"/>
      <c r="G139" s="121"/>
    </row>
    <row r="140" spans="2:7" x14ac:dyDescent="0.25">
      <c r="B140" s="122"/>
      <c r="G140" s="121"/>
    </row>
    <row r="141" spans="2:7" x14ac:dyDescent="0.25">
      <c r="B141" s="122"/>
      <c r="G141" s="121"/>
    </row>
    <row r="142" spans="2:7" x14ac:dyDescent="0.25">
      <c r="B142" s="122"/>
      <c r="G142" s="121"/>
    </row>
    <row r="143" spans="2:7" x14ac:dyDescent="0.25">
      <c r="B143" s="122"/>
      <c r="G143" s="121"/>
    </row>
    <row r="144" spans="2:7" x14ac:dyDescent="0.25">
      <c r="B144" s="122"/>
      <c r="G144" s="121"/>
    </row>
    <row r="145" spans="2:7" x14ac:dyDescent="0.25">
      <c r="B145" s="122"/>
      <c r="G145" s="121"/>
    </row>
    <row r="146" spans="2:7" x14ac:dyDescent="0.25">
      <c r="B146" s="122"/>
      <c r="G146" s="121"/>
    </row>
    <row r="147" spans="2:7" x14ac:dyDescent="0.25">
      <c r="B147" s="122"/>
      <c r="G147" s="121"/>
    </row>
    <row r="148" spans="2:7" x14ac:dyDescent="0.25">
      <c r="B148" s="122"/>
      <c r="G148" s="121"/>
    </row>
    <row r="149" spans="2:7" x14ac:dyDescent="0.25">
      <c r="B149" s="122"/>
      <c r="G149" s="121"/>
    </row>
    <row r="150" spans="2:7" x14ac:dyDescent="0.25">
      <c r="B150" s="122"/>
      <c r="G150" s="121"/>
    </row>
    <row r="151" spans="2:7" x14ac:dyDescent="0.25">
      <c r="B151" s="122"/>
      <c r="G151" s="121"/>
    </row>
    <row r="152" spans="2:7" x14ac:dyDescent="0.25">
      <c r="B152" s="122"/>
      <c r="G152" s="121"/>
    </row>
    <row r="153" spans="2:7" x14ac:dyDescent="0.25">
      <c r="B153" s="122"/>
      <c r="G153" s="121"/>
    </row>
    <row r="154" spans="2:7" x14ac:dyDescent="0.25">
      <c r="B154" s="122"/>
      <c r="G154" s="121"/>
    </row>
    <row r="155" spans="2:7" x14ac:dyDescent="0.25">
      <c r="B155" s="122"/>
      <c r="G155" s="121"/>
    </row>
    <row r="156" spans="2:7" x14ac:dyDescent="0.25">
      <c r="B156" s="122"/>
      <c r="G156" s="121"/>
    </row>
    <row r="157" spans="2:7" x14ac:dyDescent="0.25">
      <c r="B157" s="122"/>
      <c r="G157" s="121"/>
    </row>
    <row r="158" spans="2:7" x14ac:dyDescent="0.25">
      <c r="B158" s="122"/>
      <c r="G158" s="121"/>
    </row>
    <row r="159" spans="2:7" x14ac:dyDescent="0.25">
      <c r="B159" s="122"/>
      <c r="G159" s="121"/>
    </row>
    <row r="160" spans="2:7" x14ac:dyDescent="0.25">
      <c r="B160" s="122"/>
      <c r="G160" s="121"/>
    </row>
    <row r="161" spans="2:7" x14ac:dyDescent="0.25">
      <c r="B161" s="122"/>
      <c r="G161" s="121"/>
    </row>
    <row r="162" spans="2:7" x14ac:dyDescent="0.25">
      <c r="B162" s="122"/>
      <c r="G162" s="121"/>
    </row>
    <row r="163" spans="2:7" x14ac:dyDescent="0.25">
      <c r="B163" s="122"/>
      <c r="G163" s="121"/>
    </row>
    <row r="164" spans="2:7" x14ac:dyDescent="0.25">
      <c r="B164" s="122"/>
      <c r="G164" s="121"/>
    </row>
    <row r="165" spans="2:7" x14ac:dyDescent="0.25">
      <c r="B165" s="122"/>
      <c r="G165" s="121"/>
    </row>
    <row r="166" spans="2:7" x14ac:dyDescent="0.25">
      <c r="B166" s="125"/>
      <c r="C166" s="126"/>
      <c r="D166" s="127"/>
      <c r="E166" s="127"/>
      <c r="F166" s="127"/>
      <c r="G166" s="128"/>
    </row>
  </sheetData>
  <dataValidations count="1">
    <dataValidation type="list" allowBlank="1" showInputMessage="1" showErrorMessage="1" sqref="B6:B9" xr:uid="{BA1B2E8B-56F4-4D5F-8D57-947D00051F8F}">
      <formula1>"Tier 1,Tier 2,Tier 3,Tier 4"</formula1>
    </dataValidation>
  </dataValidation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E8AF66-907D-4E09-95C6-40623BE6CFAE}">
  <sheetPr codeName="Sheet16">
    <tabColor rgb="FF00CCFF"/>
  </sheetPr>
  <dimension ref="A1:G298"/>
  <sheetViews>
    <sheetView showGridLines="0" zoomScale="80" zoomScaleNormal="80" workbookViewId="0"/>
  </sheetViews>
  <sheetFormatPr defaultRowHeight="13.2" x14ac:dyDescent="0.25"/>
  <cols>
    <col min="1" max="1" width="26.109375" customWidth="1"/>
    <col min="2" max="2" width="109.109375" customWidth="1"/>
    <col min="3" max="3" width="21" customWidth="1"/>
    <col min="4" max="6" width="19.88671875" style="96" customWidth="1"/>
    <col min="7" max="7" width="23.5546875" style="96" customWidth="1"/>
  </cols>
  <sheetData>
    <row r="1" spans="1:7" x14ac:dyDescent="0.25">
      <c r="A1" s="4" t="str" cm="1">
        <f t="array" aca="1" ref="A1" ca="1">MID(CELL("filename",A1),FIND("]",CELL("filename",A1))+1,255)</f>
        <v>Asphalt</v>
      </c>
    </row>
    <row r="2" spans="1:7" x14ac:dyDescent="0.25">
      <c r="A2" s="4"/>
    </row>
    <row r="3" spans="1:7" x14ac:dyDescent="0.25">
      <c r="A3" s="4" t="s">
        <v>4048</v>
      </c>
      <c r="B3" t="s">
        <v>4091</v>
      </c>
    </row>
    <row r="4" spans="1:7" x14ac:dyDescent="0.25">
      <c r="A4" s="26"/>
    </row>
    <row r="5" spans="1:7" ht="73.5" customHeight="1" x14ac:dyDescent="0.25">
      <c r="A5" s="26" t="s">
        <v>4050</v>
      </c>
      <c r="B5" s="14" t="s">
        <v>4092</v>
      </c>
    </row>
    <row r="6" spans="1:7" x14ac:dyDescent="0.25">
      <c r="A6" s="26" t="s">
        <v>4052</v>
      </c>
      <c r="B6" s="27" t="s">
        <v>68</v>
      </c>
    </row>
    <row r="7" spans="1:7" x14ac:dyDescent="0.25">
      <c r="A7" s="26" t="s">
        <v>4053</v>
      </c>
      <c r="B7" s="27" t="s">
        <v>68</v>
      </c>
    </row>
    <row r="8" spans="1:7" x14ac:dyDescent="0.25">
      <c r="A8" s="26" t="s">
        <v>4054</v>
      </c>
      <c r="B8" s="27" t="s">
        <v>69</v>
      </c>
    </row>
    <row r="9" spans="1:7" x14ac:dyDescent="0.25">
      <c r="A9" s="26" t="s">
        <v>4055</v>
      </c>
      <c r="B9" s="4" t="s">
        <v>69</v>
      </c>
    </row>
    <row r="10" spans="1:7" x14ac:dyDescent="0.25">
      <c r="A10" s="26"/>
      <c r="B10" s="4"/>
    </row>
    <row r="11" spans="1:7" x14ac:dyDescent="0.25">
      <c r="A11" s="26" t="s">
        <v>4056</v>
      </c>
      <c r="B11" s="14"/>
    </row>
    <row r="12" spans="1:7" x14ac:dyDescent="0.25">
      <c r="A12" s="101"/>
    </row>
    <row r="13" spans="1:7" x14ac:dyDescent="0.25">
      <c r="A13" s="101"/>
    </row>
    <row r="14" spans="1:7" x14ac:dyDescent="0.25">
      <c r="A14" s="26" t="s">
        <v>4057</v>
      </c>
    </row>
    <row r="15" spans="1:7" x14ac:dyDescent="0.25">
      <c r="A15" s="26"/>
      <c r="D15" s="112" t="s">
        <v>4058</v>
      </c>
      <c r="E15" s="113"/>
      <c r="F15" s="114" t="s">
        <v>4059</v>
      </c>
      <c r="G15" s="113"/>
    </row>
    <row r="16" spans="1:7" ht="39.6" x14ac:dyDescent="0.25">
      <c r="B16" s="28" t="s">
        <v>259</v>
      </c>
      <c r="C16" s="23" t="s">
        <v>23</v>
      </c>
      <c r="D16" s="24" t="s">
        <v>141</v>
      </c>
      <c r="E16" s="25" t="s">
        <v>148</v>
      </c>
      <c r="F16" s="24" t="s">
        <v>142</v>
      </c>
      <c r="G16" s="24" t="s">
        <v>149</v>
      </c>
    </row>
    <row r="17" spans="2:7" x14ac:dyDescent="0.25">
      <c r="B17" s="29"/>
      <c r="C17" s="30" t="s">
        <v>4060</v>
      </c>
      <c r="D17" s="118" t="str" cm="1">
        <f t="array" ref="D17">IF(AND(_xlfn.ANCHORARRAY(C23)=C23),C23,"Mixed")</f>
        <v>tonne</v>
      </c>
      <c r="E17" s="118" t="s">
        <v>219</v>
      </c>
      <c r="F17" s="118" t="str" cm="1">
        <f t="array" ref="F17">IF(AND(_xlfn.ANCHORARRAY(C23)=C23),C23,"Mixed")</f>
        <v>tonne</v>
      </c>
      <c r="G17" s="119" t="s">
        <v>219</v>
      </c>
    </row>
    <row r="18" spans="2:7" s="14" customFormat="1" x14ac:dyDescent="0.25">
      <c r="B18" s="31"/>
      <c r="C18" s="4" t="s">
        <v>4061</v>
      </c>
      <c r="D18" s="96">
        <f t="shared" ref="D18:G18" si="0">MAX(_xlfn.ANCHORARRAY(D23))</f>
        <v>134.00033099999999</v>
      </c>
      <c r="E18" s="96">
        <f t="shared" si="0"/>
        <v>0.134000331</v>
      </c>
      <c r="F18" s="96">
        <f t="shared" si="0"/>
        <v>0</v>
      </c>
      <c r="G18" s="121">
        <f t="shared" si="0"/>
        <v>0</v>
      </c>
    </row>
    <row r="19" spans="2:7" x14ac:dyDescent="0.25">
      <c r="B19" s="122"/>
      <c r="C19" s="4" t="s">
        <v>4062</v>
      </c>
      <c r="D19" s="96">
        <f>MIN(_xlfn.ANCHORARRAY(D23))</f>
        <v>11.3</v>
      </c>
      <c r="E19" s="96">
        <f t="shared" ref="E19:G19" si="1">MIN(_xlfn.ANCHORARRAY(E23))</f>
        <v>1.1300000000000001E-2</v>
      </c>
      <c r="F19" s="96">
        <f t="shared" si="1"/>
        <v>0</v>
      </c>
      <c r="G19" s="121">
        <f t="shared" si="1"/>
        <v>0</v>
      </c>
    </row>
    <row r="20" spans="2:7" x14ac:dyDescent="0.25">
      <c r="B20" s="122"/>
      <c r="C20" s="4" t="s">
        <v>4063</v>
      </c>
      <c r="D20" s="96">
        <f>AVERAGE(_xlfn.ANCHORARRAY(D23))</f>
        <v>72.407449258333358</v>
      </c>
      <c r="E20" s="96">
        <f t="shared" ref="E20:G20" si="2">AVERAGE(_xlfn.ANCHORARRAY(E23))</f>
        <v>7.2407449258333298E-2</v>
      </c>
      <c r="F20" s="96">
        <f t="shared" si="2"/>
        <v>0</v>
      </c>
      <c r="G20" s="121">
        <f t="shared" si="2"/>
        <v>0</v>
      </c>
    </row>
    <row r="21" spans="2:7" x14ac:dyDescent="0.25">
      <c r="B21" s="122"/>
      <c r="C21" s="4"/>
      <c r="G21" s="121"/>
    </row>
    <row r="22" spans="2:7" x14ac:dyDescent="0.25">
      <c r="B22" s="32" t="s">
        <v>4064</v>
      </c>
      <c r="D22"/>
      <c r="E22"/>
      <c r="F22"/>
      <c r="G22" s="124"/>
    </row>
    <row r="23" spans="2:7" x14ac:dyDescent="0.25">
      <c r="B23" s="122" t="str" cm="1">
        <f t="array" ref="B23:B298">_xlfn.UNIQUE(_xlfn._xlws.FILTER('EPD List'!D:D,ISNUMBER(SEARCH(B16,'EPD List'!C:C)),0))</f>
        <v>Downer Reconophalt NSWAC20 AR450</v>
      </c>
      <c r="C23" t="str" cm="1">
        <f t="array" ref="C23:C298">_xlfn.IFNA(INDEX('EPD List'!$A:$AB,MATCH(_xlfn.ANCHORARRAY(B23),'EPD List'!$D:$D,0),MATCH(C$16,'EPD List'!$7:$7,0)),"")</f>
        <v>tonne</v>
      </c>
      <c r="D23" s="96" cm="1">
        <f t="array" ref="D23:D298">_xlfn.IFNA(VALUE((INDEX('EPD List'!$A:$AD,MATCH(_xlfn.ANCHORARRAY($B23),'EPD List'!$D:$D,0),MATCH(D$16,'EPD List'!$7:$7,0)))),"")</f>
        <v>74.997439999999997</v>
      </c>
      <c r="E23" s="96" cm="1">
        <f t="array" ref="E23:E298">_xlfn.IFNA(VALUE((INDEX('EPD List'!$A:$AD,MATCH(_xlfn.ANCHORARRAY($B23),'EPD List'!$D:$D,0),MATCH(E$16,'EPD List'!$7:$7,0)))),"")</f>
        <v>7.4997439999999999E-2</v>
      </c>
      <c r="F23" s="96" cm="1">
        <f t="array" ref="F23:F298">_xlfn.IFNA(VALUE((INDEX('EPD List'!$A:$AD,MATCH(_xlfn.ANCHORARRAY($B23),'EPD List'!$D:$D,0),MATCH(F$16,'EPD List'!$7:$7,0)))),"")</f>
        <v>0</v>
      </c>
      <c r="G23" s="121" cm="1">
        <f t="array" ref="G23:G298">_xlfn.IFNA(VALUE((INDEX('EPD List'!$A:$AD,MATCH(_xlfn.ANCHORARRAY($B23),'EPD List'!$D:$D,0),MATCH(G$16,'EPD List'!$7:$7,0)))),"")</f>
        <v>0</v>
      </c>
    </row>
    <row r="24" spans="2:7" x14ac:dyDescent="0.25">
      <c r="B24" s="122" t="str">
        <v>Downer Reconophalt NSWAC14 AR 450</v>
      </c>
      <c r="C24" t="str">
        <v>tonne</v>
      </c>
      <c r="D24" s="96">
        <v>68.099767999999997</v>
      </c>
      <c r="E24" s="96">
        <v>6.8099767999999991E-2</v>
      </c>
      <c r="F24" s="96">
        <v>0</v>
      </c>
      <c r="G24" s="121">
        <v>0</v>
      </c>
    </row>
    <row r="25" spans="2:7" x14ac:dyDescent="0.25">
      <c r="B25" s="122" t="str">
        <v>Downer Reconophalt NSWAC14H AR450</v>
      </c>
      <c r="C25" t="str">
        <v>tonne</v>
      </c>
      <c r="D25" s="96">
        <v>83.499844999999993</v>
      </c>
      <c r="E25" s="96">
        <v>8.3499845000000003E-2</v>
      </c>
      <c r="F25" s="96">
        <v>0</v>
      </c>
      <c r="G25" s="121">
        <v>0</v>
      </c>
    </row>
    <row r="26" spans="2:7" x14ac:dyDescent="0.25">
      <c r="B26" s="122" t="str">
        <v>Downer Berrimah Asphalt Manufacturing FacilityAC20 A15E Type 4</v>
      </c>
      <c r="C26" t="str">
        <v>tonne</v>
      </c>
      <c r="D26" s="96">
        <v>110.262137</v>
      </c>
      <c r="E26" s="96">
        <v>0.110262137</v>
      </c>
      <c r="F26" s="96">
        <v>0</v>
      </c>
      <c r="G26" s="121">
        <v>0</v>
      </c>
    </row>
    <row r="27" spans="2:7" x14ac:dyDescent="0.25">
      <c r="B27" s="122" t="str">
        <v>Downer Berrimah Asphalt Manufacturing FacilityAC14 A15E Type 5</v>
      </c>
      <c r="C27" t="str">
        <v>tonne</v>
      </c>
      <c r="D27" s="96">
        <v>114.26715</v>
      </c>
      <c r="E27" s="96">
        <v>0.11426715000000001</v>
      </c>
      <c r="F27" s="96">
        <v>0</v>
      </c>
      <c r="G27" s="121">
        <v>0</v>
      </c>
    </row>
    <row r="28" spans="2:7" x14ac:dyDescent="0.25">
      <c r="B28" s="122" t="str">
        <v>Downer Berrimah Asphalt Manufacturing FacilityAC10 A15E Type 2</v>
      </c>
      <c r="C28" t="str">
        <v>tonne</v>
      </c>
      <c r="D28" s="96">
        <v>116.27015399999999</v>
      </c>
      <c r="E28" s="96">
        <v>0.11627015400000001</v>
      </c>
      <c r="F28" s="96">
        <v>0</v>
      </c>
      <c r="G28" s="121">
        <v>0</v>
      </c>
    </row>
    <row r="29" spans="2:7" x14ac:dyDescent="0.25">
      <c r="B29" s="122" t="str">
        <v>Downer Reconophalt NSWAC14H A15E</v>
      </c>
      <c r="C29" t="str">
        <v>tonne</v>
      </c>
      <c r="D29" s="96">
        <v>90.699940800000007</v>
      </c>
      <c r="E29" s="96">
        <v>9.0699940800000003E-2</v>
      </c>
      <c r="F29" s="96">
        <v>0</v>
      </c>
      <c r="G29" s="121">
        <v>0</v>
      </c>
    </row>
    <row r="30" spans="2:7" x14ac:dyDescent="0.25">
      <c r="B30" s="122" t="str">
        <v>Downer Lindisfarne Asphalt Manufacturing FacilityAC07 Type L,N</v>
      </c>
      <c r="C30" t="str">
        <v>tonne</v>
      </c>
      <c r="D30" s="96">
        <v>63.696106</v>
      </c>
      <c r="E30" s="96">
        <v>6.3696106000000002E-2</v>
      </c>
      <c r="F30" s="96">
        <v>0</v>
      </c>
      <c r="G30" s="121">
        <v>0</v>
      </c>
    </row>
    <row r="31" spans="2:7" x14ac:dyDescent="0.25">
      <c r="B31" s="122" t="str">
        <v xml:space="preserve">Downer Mackay Asphalt Manufacturing FacilityAC20 A15E H 4907 </v>
      </c>
      <c r="C31" t="str">
        <v>tonne</v>
      </c>
      <c r="D31" s="96">
        <v>100.12017</v>
      </c>
      <c r="E31" s="96">
        <v>0.10012016999999999</v>
      </c>
      <c r="F31" s="96">
        <v>0</v>
      </c>
      <c r="G31" s="121">
        <v>0</v>
      </c>
    </row>
    <row r="32" spans="2:7" x14ac:dyDescent="0.25">
      <c r="B32" s="122" t="str">
        <v xml:space="preserve">Downer Mackay Asphalt Manufacturing FacilityAC14 A15E 4906 </v>
      </c>
      <c r="C32" t="str">
        <v>tonne</v>
      </c>
      <c r="D32" s="96">
        <v>102.122176</v>
      </c>
      <c r="E32" s="96">
        <v>0.102122176</v>
      </c>
      <c r="F32" s="96">
        <v>0</v>
      </c>
      <c r="G32" s="121">
        <v>0</v>
      </c>
    </row>
    <row r="33" spans="2:7" x14ac:dyDescent="0.25">
      <c r="B33" s="122" t="str">
        <v>Fulton Hogan LaraSize 10, 14mm Plastiphalt®</v>
      </c>
      <c r="C33" t="str">
        <v>tonne</v>
      </c>
      <c r="D33" s="96">
        <v>73.482908000000009</v>
      </c>
      <c r="E33" s="96">
        <v>7.3482908000000013E-2</v>
      </c>
      <c r="F33" s="96">
        <v>0</v>
      </c>
      <c r="G33" s="121">
        <v>0</v>
      </c>
    </row>
    <row r="34" spans="2:7" x14ac:dyDescent="0.25">
      <c r="B34" s="122" t="str">
        <v>Fulton Hogan LaraSize 10, 14mm DGA Type N 10% RAP ≤5% Glass</v>
      </c>
      <c r="C34" t="str">
        <v>tonne</v>
      </c>
      <c r="D34" s="96">
        <v>58.666124999999994</v>
      </c>
      <c r="E34" s="96">
        <v>5.8666125E-2</v>
      </c>
      <c r="F34" s="96">
        <v>0</v>
      </c>
      <c r="G34" s="121">
        <v>0</v>
      </c>
    </row>
    <row r="35" spans="2:7" x14ac:dyDescent="0.25">
      <c r="B35" s="122" t="str">
        <v>Downer Bli Bli Asphalt Manufacturing FacilityOG14 A15E</v>
      </c>
      <c r="C35" t="str">
        <v>tonne</v>
      </c>
      <c r="D35" s="96">
        <v>84.895539999999997</v>
      </c>
      <c r="E35" s="96">
        <v>8.4895539999999992E-2</v>
      </c>
      <c r="F35" s="96">
        <v>0</v>
      </c>
      <c r="G35" s="121">
        <v>0</v>
      </c>
    </row>
    <row r="36" spans="2:7" x14ac:dyDescent="0.25">
      <c r="B36" s="122" t="str">
        <v>Downer Shepparton Asphalt Manufacturing FacilityAC20 R20 SI</v>
      </c>
      <c r="C36" t="str">
        <v>tonne</v>
      </c>
      <c r="D36" s="96">
        <v>71.880485799999988</v>
      </c>
      <c r="E36" s="96">
        <v>7.1880485799999991E-2</v>
      </c>
      <c r="F36" s="96">
        <v>0</v>
      </c>
      <c r="G36" s="121">
        <v>0</v>
      </c>
    </row>
    <row r="37" spans="2:7" x14ac:dyDescent="0.25">
      <c r="B37" s="122" t="str">
        <v>Downer Bathurst Asphalt Manufacturing FacilityAC14 A15E H S</v>
      </c>
      <c r="C37" t="str">
        <v>tonne</v>
      </c>
      <c r="D37" s="96">
        <v>127.141182</v>
      </c>
      <c r="E37" s="96">
        <v>0.12714118199999999</v>
      </c>
      <c r="F37" s="96">
        <v>0</v>
      </c>
      <c r="G37" s="121">
        <v>0</v>
      </c>
    </row>
    <row r="38" spans="2:7" x14ac:dyDescent="0.25">
      <c r="B38" s="122" t="str">
        <v>Downer Bayswater Asphalt Manufacturing FacilitySMA10 A10E H Castella 302176C</v>
      </c>
      <c r="C38" t="str">
        <v>tonne</v>
      </c>
      <c r="D38" s="96">
        <v>91.100317999999987</v>
      </c>
      <c r="E38" s="96">
        <v>9.1100318E-2</v>
      </c>
      <c r="F38" s="96">
        <v>0</v>
      </c>
      <c r="G38" s="121">
        <v>0</v>
      </c>
    </row>
    <row r="39" spans="2:7" x14ac:dyDescent="0.25">
      <c r="B39" s="122" t="str">
        <v>Fulton Hogan Bushells RidgeDG10 A15E R116</v>
      </c>
      <c r="C39" t="str">
        <v>tonne</v>
      </c>
      <c r="D39" s="96">
        <v>103.112219</v>
      </c>
      <c r="E39" s="96">
        <v>0.10311221899999999</v>
      </c>
      <c r="F39" s="96">
        <v>0</v>
      </c>
      <c r="G39" s="121">
        <v>0</v>
      </c>
    </row>
    <row r="40" spans="2:7" x14ac:dyDescent="0.25">
      <c r="B40" s="122" t="str">
        <v>Downer Shepparton Asphalt Manufacturing FacilityAC07 R9 NH</v>
      </c>
      <c r="C40" t="str">
        <v>tonne</v>
      </c>
      <c r="D40" s="96">
        <v>78.183108999999988</v>
      </c>
      <c r="E40" s="96">
        <v>7.8183108999999987E-2</v>
      </c>
      <c r="F40" s="96">
        <v>0</v>
      </c>
      <c r="G40" s="121">
        <v>0</v>
      </c>
    </row>
    <row r="41" spans="2:7" x14ac:dyDescent="0.25">
      <c r="B41" s="122" t="str">
        <v>Fulton Hogan Eastern CreekBC14 A10E AIRPORT</v>
      </c>
      <c r="C41" t="str">
        <v>tonne</v>
      </c>
      <c r="D41" s="96">
        <v>110.113218</v>
      </c>
      <c r="E41" s="96">
        <v>0.110113218</v>
      </c>
      <c r="F41" s="96">
        <v>0</v>
      </c>
      <c r="G41" s="121">
        <v>0</v>
      </c>
    </row>
    <row r="42" spans="2:7" x14ac:dyDescent="0.25">
      <c r="B42" s="122" t="str">
        <v xml:space="preserve">Fulton Hogan Kembla GrangeSMA10 A15E R121 EVO </v>
      </c>
      <c r="C42" t="str">
        <v>tonne</v>
      </c>
      <c r="D42" s="96">
        <v>98.500341000000006</v>
      </c>
      <c r="E42" s="96">
        <v>9.8500341000000005E-2</v>
      </c>
      <c r="F42" s="96">
        <v>0</v>
      </c>
      <c r="G42" s="121">
        <v>0</v>
      </c>
    </row>
    <row r="43" spans="2:7" x14ac:dyDescent="0.25">
      <c r="B43" s="122" t="str">
        <v>Downer Albany Asphalt Manufacturing FacilityAC10</v>
      </c>
      <c r="C43" t="str">
        <v>tonne</v>
      </c>
      <c r="D43" s="96">
        <v>70.471712000000011</v>
      </c>
      <c r="E43" s="96">
        <v>7.0471712000000006E-2</v>
      </c>
      <c r="F43" s="96">
        <v>0</v>
      </c>
      <c r="G43" s="121">
        <v>0</v>
      </c>
    </row>
    <row r="44" spans="2:7" x14ac:dyDescent="0.25">
      <c r="B44" s="122" t="str">
        <v>Downer Hope Valley Asphalt Manufacturing FacilityAC10 R10 1E0B00</v>
      </c>
      <c r="C44" t="str">
        <v>tonne</v>
      </c>
      <c r="D44" s="96">
        <v>60.861292399999996</v>
      </c>
      <c r="E44" s="96">
        <v>6.0861292399999996E-2</v>
      </c>
      <c r="F44" s="96">
        <v>0</v>
      </c>
      <c r="G44" s="121">
        <v>0</v>
      </c>
    </row>
    <row r="45" spans="2:7" x14ac:dyDescent="0.25">
      <c r="B45" s="122" t="str">
        <v>Downer Lismore Asphalt Manufacturing FacilityAC14</v>
      </c>
      <c r="C45" t="str">
        <v>tonne</v>
      </c>
      <c r="D45" s="96">
        <v>66.26571100000001</v>
      </c>
      <c r="E45" s="96">
        <v>6.6265711000000005E-2</v>
      </c>
      <c r="F45" s="96">
        <v>0</v>
      </c>
      <c r="G45" s="121">
        <v>0</v>
      </c>
    </row>
    <row r="46" spans="2:7" x14ac:dyDescent="0.25">
      <c r="B46" s="122" t="str">
        <v>Fulton Hogan Kembla GrangeDG10 AR450 AS2150 R30% G2.5%</v>
      </c>
      <c r="C46" t="str">
        <v>tonne</v>
      </c>
      <c r="D46" s="96">
        <v>59.659090999999997</v>
      </c>
      <c r="E46" s="96">
        <v>5.9659091000000004E-2</v>
      </c>
      <c r="F46" s="96">
        <v>0</v>
      </c>
      <c r="G46" s="121">
        <v>0</v>
      </c>
    </row>
    <row r="47" spans="2:7" x14ac:dyDescent="0.25">
      <c r="B47" s="122" t="str">
        <v>Downer Lismore Asphalt Manufacturing FacilityAC20 R15</v>
      </c>
      <c r="C47" t="str">
        <v>tonne</v>
      </c>
      <c r="D47" s="96">
        <v>58.858189099999997</v>
      </c>
      <c r="E47" s="96">
        <v>5.88581891E-2</v>
      </c>
      <c r="F47" s="96">
        <v>0</v>
      </c>
      <c r="G47" s="121">
        <v>0</v>
      </c>
    </row>
    <row r="48" spans="2:7" x14ac:dyDescent="0.25">
      <c r="B48" s="122" t="str">
        <v>Downer Hope Valley Asphalt Manufacturing FacilityAC10 R20 1E0D00</v>
      </c>
      <c r="C48" t="str">
        <v>tonne</v>
      </c>
      <c r="D48" s="96">
        <v>57.656884900000001</v>
      </c>
      <c r="E48" s="96">
        <v>5.7656884900000004E-2</v>
      </c>
      <c r="F48" s="96">
        <v>0</v>
      </c>
      <c r="G48" s="121">
        <v>0</v>
      </c>
    </row>
    <row r="49" spans="2:7" x14ac:dyDescent="0.25">
      <c r="B49" s="122" t="str">
        <v>Downer Bayswater Asphalt Manufacturing FacilityAC20 R29 SI 302313</v>
      </c>
      <c r="C49" t="str">
        <v>tonne</v>
      </c>
      <c r="D49" s="96">
        <v>51.848855299999997</v>
      </c>
      <c r="E49" s="96">
        <v>5.1848855300000003E-2</v>
      </c>
      <c r="F49" s="96">
        <v>0</v>
      </c>
      <c r="G49" s="121">
        <v>0</v>
      </c>
    </row>
    <row r="50" spans="2:7" x14ac:dyDescent="0.25">
      <c r="B50" s="122" t="str">
        <v>Fulton Hogan DandenongSize 14mm DGA Type VP</v>
      </c>
      <c r="C50" t="str">
        <v>tonne</v>
      </c>
      <c r="D50" s="96">
        <v>79.775075999999999</v>
      </c>
      <c r="E50" s="96">
        <v>7.9775076E-2</v>
      </c>
      <c r="F50" s="96">
        <v>0</v>
      </c>
      <c r="G50" s="121">
        <v>0</v>
      </c>
    </row>
    <row r="51" spans="2:7" x14ac:dyDescent="0.25">
      <c r="B51" s="122" t="str">
        <v>Downer Lismore Asphalt Manufacturing FacilityAC07</v>
      </c>
      <c r="C51" t="str">
        <v>tonne</v>
      </c>
      <c r="D51" s="96">
        <v>67.961714000000001</v>
      </c>
      <c r="E51" s="96">
        <v>6.7961713999999993E-2</v>
      </c>
      <c r="F51" s="96">
        <v>0</v>
      </c>
      <c r="G51" s="121">
        <v>0</v>
      </c>
    </row>
    <row r="52" spans="2:7" x14ac:dyDescent="0.25">
      <c r="B52" s="122" t="str">
        <v>Downer Hope Valley Asphalt Manufacturing FacilityAC20 R23 2C0E00</v>
      </c>
      <c r="C52" t="str">
        <v>tonne</v>
      </c>
      <c r="D52" s="96">
        <v>65.757668999999993</v>
      </c>
      <c r="E52" s="96">
        <v>6.5757669000000019E-2</v>
      </c>
      <c r="F52" s="96">
        <v>0</v>
      </c>
      <c r="G52" s="121">
        <v>0</v>
      </c>
    </row>
    <row r="53" spans="2:7" x14ac:dyDescent="0.25">
      <c r="B53" s="122" t="str">
        <v>Downer Sydney Sustainable Road Resource Centre, RosehillAC14 R30</v>
      </c>
      <c r="C53" t="str">
        <v>tonne</v>
      </c>
      <c r="D53" s="96">
        <v>59.1516722</v>
      </c>
      <c r="E53" s="96">
        <v>5.9151672199999998E-2</v>
      </c>
      <c r="F53" s="96">
        <v>0</v>
      </c>
      <c r="G53" s="121">
        <v>0</v>
      </c>
    </row>
    <row r="54" spans="2:7" x14ac:dyDescent="0.25">
      <c r="B54" s="122" t="str">
        <v>Downer Somerton Asphalt Manufacturing FacilityAC14 V 303235</v>
      </c>
      <c r="C54" t="str">
        <v>tonne</v>
      </c>
      <c r="D54" s="96">
        <v>60.652784100000005</v>
      </c>
      <c r="E54" s="96">
        <v>6.0652784100000003E-2</v>
      </c>
      <c r="F54" s="96">
        <v>0</v>
      </c>
      <c r="G54" s="121">
        <v>0</v>
      </c>
    </row>
    <row r="55" spans="2:7" x14ac:dyDescent="0.25">
      <c r="B55" s="122" t="str">
        <v>Downer Teralba Asphalt Manufacturing FacilityAC14 R10 H Reconophalt</v>
      </c>
      <c r="C55" t="str">
        <v>tonne</v>
      </c>
      <c r="D55" s="96">
        <v>78.367492499999997</v>
      </c>
      <c r="E55" s="96">
        <v>7.8367492499999997E-2</v>
      </c>
      <c r="F55" s="96">
        <v>0</v>
      </c>
      <c r="G55" s="121">
        <v>0</v>
      </c>
    </row>
    <row r="56" spans="2:7" x14ac:dyDescent="0.25">
      <c r="B56" s="122" t="str">
        <v>Downer Teralba Asphalt Manufacturing FacilityAC14 R10 H DG</v>
      </c>
      <c r="C56" t="str">
        <v>tonne</v>
      </c>
      <c r="D56" s="96">
        <v>78.667094199999994</v>
      </c>
      <c r="E56" s="96">
        <v>7.8667094199999982E-2</v>
      </c>
      <c r="F56" s="96">
        <v>0</v>
      </c>
      <c r="G56" s="121">
        <v>0</v>
      </c>
    </row>
    <row r="57" spans="2:7" x14ac:dyDescent="0.25">
      <c r="B57" s="122" t="str">
        <v>Downer Sydney Sustainable Road Resource Centre, RosehillAC10 R30</v>
      </c>
      <c r="C57" t="str">
        <v>tonne</v>
      </c>
      <c r="D57" s="96">
        <v>63.3531841</v>
      </c>
      <c r="E57" s="96">
        <v>6.3353184100000001E-2</v>
      </c>
      <c r="F57" s="96">
        <v>0</v>
      </c>
      <c r="G57" s="121">
        <v>0</v>
      </c>
    </row>
    <row r="58" spans="2:7" x14ac:dyDescent="0.25">
      <c r="B58" s="122" t="str">
        <v>Downer Somerton Asphalt Manufacturing FacilityAC20 R38 SF 303324</v>
      </c>
      <c r="C58" t="str">
        <v>tonne</v>
      </c>
      <c r="D58" s="96">
        <v>49.641469800000003</v>
      </c>
      <c r="E58" s="96">
        <v>4.9641469799999997E-2</v>
      </c>
      <c r="F58" s="96">
        <v>0</v>
      </c>
      <c r="G58" s="121">
        <v>0</v>
      </c>
    </row>
    <row r="59" spans="2:7" x14ac:dyDescent="0.25">
      <c r="B59" s="122" t="str">
        <v>Downer Adelaide Sustainable Road Resource Centre, WingfieldAC10 R30 Reconophalt Fine</v>
      </c>
      <c r="C59" t="str">
        <v>tonne</v>
      </c>
      <c r="D59" s="96">
        <v>60.149386200000002</v>
      </c>
      <c r="E59" s="96">
        <v>6.0149386200000002E-2</v>
      </c>
      <c r="F59" s="96">
        <v>0</v>
      </c>
      <c r="G59" s="121">
        <v>0</v>
      </c>
    </row>
    <row r="60" spans="2:7" x14ac:dyDescent="0.25">
      <c r="B60" s="122" t="str">
        <v>Downer Wodonga Asphalt Manufacturing FacilityAC14 R10 H</v>
      </c>
      <c r="C60" t="str">
        <v>tonne</v>
      </c>
      <c r="D60" s="96">
        <v>79.662905999999992</v>
      </c>
      <c r="E60" s="96">
        <v>7.9662905999999992E-2</v>
      </c>
      <c r="F60" s="96">
        <v>0</v>
      </c>
      <c r="G60" s="121">
        <v>0</v>
      </c>
    </row>
    <row r="61" spans="2:7" x14ac:dyDescent="0.25">
      <c r="B61" s="122" t="str">
        <v>Downer Wodonga Asphalt Manufacturing FacilityAC14 R10 H G</v>
      </c>
      <c r="C61" t="str">
        <v>tonne</v>
      </c>
      <c r="D61" s="96">
        <v>79.662905999999992</v>
      </c>
      <c r="E61" s="96">
        <v>7.9662905999999992E-2</v>
      </c>
      <c r="F61" s="96">
        <v>0</v>
      </c>
      <c r="G61" s="121">
        <v>0</v>
      </c>
    </row>
    <row r="62" spans="2:7" x14ac:dyDescent="0.25">
      <c r="B62" s="122" t="str">
        <v>Downer Wodonga Asphalt Manufacturing FacilityAC10 R15 H</v>
      </c>
      <c r="C62" t="str">
        <v>tonne</v>
      </c>
      <c r="D62" s="96">
        <v>77.960705000000004</v>
      </c>
      <c r="E62" s="96">
        <v>7.7960705000000005E-2</v>
      </c>
      <c r="F62" s="96">
        <v>0</v>
      </c>
      <c r="G62" s="121">
        <v>0</v>
      </c>
    </row>
    <row r="63" spans="2:7" x14ac:dyDescent="0.25">
      <c r="B63" s="122" t="str">
        <v>Downer Wodonga Asphalt Manufacturing FacilityAC20 R20</v>
      </c>
      <c r="C63" t="str">
        <v>tonne</v>
      </c>
      <c r="D63" s="96">
        <v>78.460905000000011</v>
      </c>
      <c r="E63" s="96">
        <v>7.8460905000000011E-2</v>
      </c>
      <c r="F63" s="96">
        <v>0</v>
      </c>
      <c r="G63" s="121">
        <v>0</v>
      </c>
    </row>
    <row r="64" spans="2:7" x14ac:dyDescent="0.25">
      <c r="B64" s="122" t="str">
        <v>Downer Gippsland Asphalt Manufacturing FacilityAC20</v>
      </c>
      <c r="C64" t="str">
        <v>tonne</v>
      </c>
      <c r="D64" s="96">
        <v>73.456395400000005</v>
      </c>
      <c r="E64" s="96">
        <v>7.3456395399999999E-2</v>
      </c>
      <c r="F64" s="96">
        <v>0</v>
      </c>
      <c r="G64" s="121">
        <v>0</v>
      </c>
    </row>
    <row r="65" spans="2:7" x14ac:dyDescent="0.25">
      <c r="B65" s="122" t="str">
        <v>Downer Mowbray Asphalt Manufacturing FacilityAC14 Type H</v>
      </c>
      <c r="C65" t="str">
        <v>tonne</v>
      </c>
      <c r="D65" s="96">
        <v>57.944081699999998</v>
      </c>
      <c r="E65" s="96">
        <v>5.7944081699999997E-2</v>
      </c>
      <c r="F65" s="96">
        <v>0</v>
      </c>
      <c r="G65" s="121">
        <v>0</v>
      </c>
    </row>
    <row r="66" spans="2:7" x14ac:dyDescent="0.25">
      <c r="B66" s="122" t="str">
        <v>Downer Mowbray Asphalt Manufacturing FacilityAC14 Type N</v>
      </c>
      <c r="C66" t="str">
        <v>tonne</v>
      </c>
      <c r="D66" s="96">
        <v>57.944081699999998</v>
      </c>
      <c r="E66" s="96">
        <v>5.7944081699999997E-2</v>
      </c>
      <c r="F66" s="96">
        <v>0</v>
      </c>
      <c r="G66" s="121">
        <v>0</v>
      </c>
    </row>
    <row r="67" spans="2:7" x14ac:dyDescent="0.25">
      <c r="B67" s="122" t="str">
        <v>Downer Mowbray Asphalt Manufacturing FacilityAC10 Type L</v>
      </c>
      <c r="C67" t="str">
        <v>tonne</v>
      </c>
      <c r="D67" s="96">
        <v>55.542086300000001</v>
      </c>
      <c r="E67" s="96">
        <v>5.5542086300000001E-2</v>
      </c>
      <c r="F67" s="96">
        <v>0</v>
      </c>
      <c r="G67" s="121">
        <v>0</v>
      </c>
    </row>
    <row r="68" spans="2:7" x14ac:dyDescent="0.25">
      <c r="B68" s="122" t="str">
        <v xml:space="preserve">Downer Mackay Asphalt Manufacturing FacilityAC20 H 4907 </v>
      </c>
      <c r="C68" t="str">
        <v>tonne</v>
      </c>
      <c r="D68" s="96">
        <v>84.763807</v>
      </c>
      <c r="E68" s="96">
        <v>8.4763806999999997E-2</v>
      </c>
      <c r="F68" s="96">
        <v>0</v>
      </c>
      <c r="G68" s="121">
        <v>0</v>
      </c>
    </row>
    <row r="69" spans="2:7" x14ac:dyDescent="0.25">
      <c r="B69" s="122" t="str">
        <v>Downer Mackay Asphalt Manufacturing FacilityAC20 C600 H 4097</v>
      </c>
      <c r="C69" t="str">
        <v>tonne</v>
      </c>
      <c r="D69" s="96">
        <v>84.763807</v>
      </c>
      <c r="E69" s="96">
        <v>8.4763806999999997E-2</v>
      </c>
      <c r="F69" s="96">
        <v>0</v>
      </c>
      <c r="G69" s="121">
        <v>0</v>
      </c>
    </row>
    <row r="70" spans="2:7" x14ac:dyDescent="0.25">
      <c r="B70" s="122" t="str">
        <v>Downer Gippsland Asphalt Manufacturing FacilityAC14</v>
      </c>
      <c r="C70" t="str">
        <v>tonne</v>
      </c>
      <c r="D70" s="96">
        <v>74.956201000000007</v>
      </c>
      <c r="E70" s="96">
        <v>7.4956201000000014E-2</v>
      </c>
      <c r="F70" s="96">
        <v>0</v>
      </c>
      <c r="G70" s="121">
        <v>0</v>
      </c>
    </row>
    <row r="71" spans="2:7" x14ac:dyDescent="0.25">
      <c r="B71" s="122" t="str">
        <v>Downer Somerton Asphalt Manufacturing FacilityAC10 R19 H N 303152</v>
      </c>
      <c r="C71" t="str">
        <v>tonne</v>
      </c>
      <c r="D71" s="96">
        <v>65.048681099999996</v>
      </c>
      <c r="E71" s="96">
        <v>6.5048681099999991E-2</v>
      </c>
      <c r="F71" s="96">
        <v>0</v>
      </c>
      <c r="G71" s="121">
        <v>0</v>
      </c>
    </row>
    <row r="72" spans="2:7" x14ac:dyDescent="0.25">
      <c r="B72" s="122" t="str">
        <v>Downer Mowbray Asphalt Manufacturing FacilityAC07 Type L,N</v>
      </c>
      <c r="C72" t="str">
        <v>tonne</v>
      </c>
      <c r="D72" s="96">
        <v>60.143096900000003</v>
      </c>
      <c r="E72" s="96">
        <v>6.0143096899999998E-2</v>
      </c>
      <c r="F72" s="96">
        <v>0</v>
      </c>
      <c r="G72" s="121">
        <v>0</v>
      </c>
    </row>
    <row r="73" spans="2:7" x14ac:dyDescent="0.25">
      <c r="B73" s="122" t="str">
        <v>Downer Bathurst Asphalt Manufacturing FacilityAC10 R10</v>
      </c>
      <c r="C73" t="str">
        <v>tonne</v>
      </c>
      <c r="D73" s="96">
        <v>79.356415999999996</v>
      </c>
      <c r="E73" s="96">
        <v>7.9356415999999985E-2</v>
      </c>
      <c r="F73" s="96">
        <v>0</v>
      </c>
      <c r="G73" s="121">
        <v>0</v>
      </c>
    </row>
    <row r="74" spans="2:7" x14ac:dyDescent="0.25">
      <c r="B74" s="122" t="str">
        <v>Downer Mowbray Asphalt Manufacturing FacilityAC10 Type N</v>
      </c>
      <c r="C74" t="str">
        <v>tonne</v>
      </c>
      <c r="D74" s="96">
        <v>61.143087200000004</v>
      </c>
      <c r="E74" s="96">
        <v>6.1143087199999994E-2</v>
      </c>
      <c r="F74" s="96">
        <v>0</v>
      </c>
      <c r="G74" s="121">
        <v>0</v>
      </c>
    </row>
    <row r="75" spans="2:7" x14ac:dyDescent="0.25">
      <c r="B75" s="122" t="str">
        <v>Downer Bathurst Asphalt Manufacturing FacilityAC07</v>
      </c>
      <c r="C75" t="str">
        <v>tonne</v>
      </c>
      <c r="D75" s="96">
        <v>87.161130999999997</v>
      </c>
      <c r="E75" s="96">
        <v>8.7161131000000003E-2</v>
      </c>
      <c r="F75" s="96">
        <v>0</v>
      </c>
      <c r="G75" s="121">
        <v>0</v>
      </c>
    </row>
    <row r="76" spans="2:7" x14ac:dyDescent="0.25">
      <c r="B76" s="122" t="str">
        <v>Downer Swanbank Asphalt Manufacturing FacilityAC10 R12</v>
      </c>
      <c r="C76" t="str">
        <v>tonne</v>
      </c>
      <c r="D76" s="96">
        <v>76.753708000000003</v>
      </c>
      <c r="E76" s="96">
        <v>7.6753708000000004E-2</v>
      </c>
      <c r="F76" s="96">
        <v>0</v>
      </c>
      <c r="G76" s="121">
        <v>0</v>
      </c>
    </row>
    <row r="77" spans="2:7" x14ac:dyDescent="0.25">
      <c r="B77" s="122" t="str">
        <v>Fulton Hogan DandenongSize 10mm DGA Type N 10-20% RAP</v>
      </c>
      <c r="C77" t="str">
        <v>tonne</v>
      </c>
      <c r="D77" s="96">
        <v>73.249341999999999</v>
      </c>
      <c r="E77" s="96">
        <v>7.3249341999999995E-2</v>
      </c>
      <c r="F77" s="96">
        <v>0</v>
      </c>
      <c r="G77" s="121">
        <v>0</v>
      </c>
    </row>
    <row r="78" spans="2:7" x14ac:dyDescent="0.25">
      <c r="B78" s="122" t="str">
        <v xml:space="preserve">Downer Archerfield Asphalt Manufacturing FacilityAC20 R15 </v>
      </c>
      <c r="C78" t="str">
        <v>tonne</v>
      </c>
      <c r="D78" s="96">
        <v>74.449890000000011</v>
      </c>
      <c r="E78" s="96">
        <v>7.4449890000000005E-2</v>
      </c>
      <c r="F78" s="96">
        <v>0</v>
      </c>
      <c r="G78" s="121">
        <v>0</v>
      </c>
    </row>
    <row r="79" spans="2:7" x14ac:dyDescent="0.25">
      <c r="B79" s="122" t="str">
        <v>Downer Brisbane Sustainable Road Resource Centre, BrendaleAC10 R20 BCC</v>
      </c>
      <c r="C79" t="str">
        <v>tonne</v>
      </c>
      <c r="D79" s="96">
        <v>64.643296699999993</v>
      </c>
      <c r="E79" s="96">
        <v>6.4643296699999978E-2</v>
      </c>
      <c r="F79" s="96">
        <v>0</v>
      </c>
      <c r="G79" s="121">
        <v>0</v>
      </c>
    </row>
    <row r="80" spans="2:7" x14ac:dyDescent="0.25">
      <c r="B80" s="122" t="str">
        <v>Fulton Hogan Kembla GrangeDG10 AR450 FINE AUSPEC R10%</v>
      </c>
      <c r="C80" t="str">
        <v>tonne</v>
      </c>
      <c r="D80" s="96">
        <v>63.341906999999999</v>
      </c>
      <c r="E80" s="96">
        <v>6.3341906999999989E-2</v>
      </c>
      <c r="F80" s="96">
        <v>0</v>
      </c>
      <c r="G80" s="121">
        <v>0</v>
      </c>
    </row>
    <row r="81" spans="2:7" x14ac:dyDescent="0.25">
      <c r="B81" s="122" t="str">
        <v>Fulton Hogan Kembla GrangeDG28 AR450 AS2150 R25%</v>
      </c>
      <c r="C81" t="str">
        <v>tonne</v>
      </c>
      <c r="D81" s="96">
        <v>54.335568499999994</v>
      </c>
      <c r="E81" s="96">
        <v>5.4335568499999994E-2</v>
      </c>
      <c r="F81" s="96">
        <v>0</v>
      </c>
      <c r="G81" s="121">
        <v>0</v>
      </c>
    </row>
    <row r="82" spans="2:7" x14ac:dyDescent="0.25">
      <c r="B82" s="122" t="str">
        <v>Downer Bathurst Asphalt Manufacturing FacilityAC20 R10</v>
      </c>
      <c r="C82" t="str">
        <v>tonne</v>
      </c>
      <c r="D82" s="96">
        <v>85.055500000000009</v>
      </c>
      <c r="E82" s="96">
        <v>8.5055500000000006E-2</v>
      </c>
      <c r="F82" s="96">
        <v>0</v>
      </c>
      <c r="G82" s="121">
        <v>0</v>
      </c>
    </row>
    <row r="83" spans="2:7" x14ac:dyDescent="0.25">
      <c r="B83" s="122" t="str">
        <v>Downer Bathurst Asphalt Manufacturing FacilityAC14 R10 H</v>
      </c>
      <c r="C83" t="str">
        <v>tonne</v>
      </c>
      <c r="D83" s="96">
        <v>86.255402000000004</v>
      </c>
      <c r="E83" s="96">
        <v>8.6255401999999995E-2</v>
      </c>
      <c r="F83" s="96">
        <v>0</v>
      </c>
      <c r="G83" s="121">
        <v>0</v>
      </c>
    </row>
    <row r="84" spans="2:7" x14ac:dyDescent="0.25">
      <c r="B84" s="122" t="str">
        <v>Fulton Hogan Kembla GrangeDG20 AR450 AS2150 R30%</v>
      </c>
      <c r="C84" t="str">
        <v>tonne</v>
      </c>
      <c r="D84" s="96">
        <v>55.735273800000009</v>
      </c>
      <c r="E84" s="96">
        <v>5.5735273799999999E-2</v>
      </c>
      <c r="F84" s="96">
        <v>0</v>
      </c>
      <c r="G84" s="121">
        <v>0</v>
      </c>
    </row>
    <row r="85" spans="2:7" x14ac:dyDescent="0.25">
      <c r="B85" s="122" t="str">
        <v>Downer Hume Asphalt Manufacturing FacilityAC14 R15</v>
      </c>
      <c r="C85" t="str">
        <v>tonne</v>
      </c>
      <c r="D85" s="96">
        <v>71.444664999999986</v>
      </c>
      <c r="E85" s="96">
        <v>7.1444664999999991E-2</v>
      </c>
      <c r="F85" s="96">
        <v>0</v>
      </c>
      <c r="G85" s="121">
        <v>0</v>
      </c>
    </row>
    <row r="86" spans="2:7" x14ac:dyDescent="0.25">
      <c r="B86" s="122" t="str">
        <v>Downer Hume Asphalt Manufacturing FacilityAC10 R20 Reconophalt</v>
      </c>
      <c r="C86" t="str">
        <v>tonne</v>
      </c>
      <c r="D86" s="96">
        <v>76.34668400000001</v>
      </c>
      <c r="E86" s="96">
        <v>7.6346683999999998E-2</v>
      </c>
      <c r="F86" s="96">
        <v>0</v>
      </c>
      <c r="G86" s="121">
        <v>0</v>
      </c>
    </row>
    <row r="87" spans="2:7" x14ac:dyDescent="0.25">
      <c r="B87" s="122" t="str">
        <v xml:space="preserve">Downer Bli Bli Asphalt Manufacturing FacilityAC14 R15 </v>
      </c>
      <c r="C87" t="str">
        <v>tonne</v>
      </c>
      <c r="D87" s="96">
        <v>75.944591000000003</v>
      </c>
      <c r="E87" s="96">
        <v>7.5944591000000006E-2</v>
      </c>
      <c r="F87" s="96">
        <v>0</v>
      </c>
      <c r="G87" s="121">
        <v>0</v>
      </c>
    </row>
    <row r="88" spans="2:7" x14ac:dyDescent="0.25">
      <c r="B88" s="122" t="str">
        <v>Fulton Hogan Kembla GrangeDG10 AR450 AS2150 R30% SLAG DUST</v>
      </c>
      <c r="C88" t="str">
        <v>tonne</v>
      </c>
      <c r="D88" s="96">
        <v>61.135390899999997</v>
      </c>
      <c r="E88" s="96">
        <v>6.1135390900000003E-2</v>
      </c>
      <c r="F88" s="96">
        <v>0</v>
      </c>
      <c r="G88" s="121">
        <v>0</v>
      </c>
    </row>
    <row r="89" spans="2:7" x14ac:dyDescent="0.25">
      <c r="B89" s="122" t="str">
        <v xml:space="preserve">Downer Bli Bli Asphalt Manufacturing FacilityAC20 R15 </v>
      </c>
      <c r="C89" t="str">
        <v>tonne</v>
      </c>
      <c r="D89" s="96">
        <v>72.742085200000005</v>
      </c>
      <c r="E89" s="96">
        <v>7.2742085200000001E-2</v>
      </c>
      <c r="F89" s="96">
        <v>0</v>
      </c>
      <c r="G89" s="121">
        <v>0</v>
      </c>
    </row>
    <row r="90" spans="2:7" x14ac:dyDescent="0.25">
      <c r="B90" s="122" t="str">
        <v>Fulton Hogan Kembla GrangeGG10 AR450 AS2510 R10%</v>
      </c>
      <c r="C90" t="str">
        <v>tonne</v>
      </c>
      <c r="D90" s="96">
        <v>80.044916999999998</v>
      </c>
      <c r="E90" s="96">
        <v>8.0044916999999993E-2</v>
      </c>
      <c r="F90" s="96">
        <v>0</v>
      </c>
      <c r="G90" s="121">
        <v>0</v>
      </c>
    </row>
    <row r="91" spans="2:7" x14ac:dyDescent="0.25">
      <c r="B91" s="122" t="str">
        <v>Fulton Hogan Bushells RidgeDG07 AR450 AS2150</v>
      </c>
      <c r="C91" t="str">
        <v>tonne</v>
      </c>
      <c r="D91" s="96">
        <v>71.937925000000007</v>
      </c>
      <c r="E91" s="96">
        <v>7.1937925000000014E-2</v>
      </c>
      <c r="F91" s="96">
        <v>0</v>
      </c>
      <c r="G91" s="121">
        <v>0</v>
      </c>
    </row>
    <row r="92" spans="2:7" x14ac:dyDescent="0.25">
      <c r="B92" s="122" t="str">
        <v>Fulton Hogan Bushells RidgeDG10 AR450 FINE AUSPEC</v>
      </c>
      <c r="C92" t="str">
        <v>tonne</v>
      </c>
      <c r="D92" s="96">
        <v>71.737121000000002</v>
      </c>
      <c r="E92" s="96">
        <v>7.1737121000000001E-2</v>
      </c>
      <c r="F92" s="96">
        <v>0</v>
      </c>
      <c r="G92" s="121">
        <v>0</v>
      </c>
    </row>
    <row r="93" spans="2:7" x14ac:dyDescent="0.25">
      <c r="B93" s="122" t="str">
        <v>Fulton Hogan Bushells RidgeDG10 AR450 AS2150 R10%</v>
      </c>
      <c r="C93" t="str">
        <v>tonne</v>
      </c>
      <c r="D93" s="96">
        <v>69.034213999999992</v>
      </c>
      <c r="E93" s="96">
        <v>6.9034213999999997E-2</v>
      </c>
      <c r="F93" s="96">
        <v>0</v>
      </c>
      <c r="G93" s="121">
        <v>0</v>
      </c>
    </row>
    <row r="94" spans="2:7" x14ac:dyDescent="0.25">
      <c r="B94" s="122" t="str">
        <v>Fulton Hogan DandenongSize 14mm GG CR</v>
      </c>
      <c r="C94" t="str">
        <v>tonne</v>
      </c>
      <c r="D94" s="96">
        <v>70.534925999999999</v>
      </c>
      <c r="E94" s="96">
        <v>7.0534925999999998E-2</v>
      </c>
      <c r="F94" s="96">
        <v>0</v>
      </c>
      <c r="G94" s="121">
        <v>0</v>
      </c>
    </row>
    <row r="95" spans="2:7" x14ac:dyDescent="0.25">
      <c r="B95" s="122" t="str">
        <v xml:space="preserve">Fulton Hogan Bushells RidgeEME2 </v>
      </c>
      <c r="C95" t="str">
        <v>tonne</v>
      </c>
      <c r="D95" s="96">
        <v>78.638513999999986</v>
      </c>
      <c r="E95" s="96">
        <v>7.8638513999999979E-2</v>
      </c>
      <c r="F95" s="96">
        <v>0</v>
      </c>
      <c r="G95" s="121">
        <v>0</v>
      </c>
    </row>
    <row r="96" spans="2:7" x14ac:dyDescent="0.25">
      <c r="B96" s="122" t="str">
        <v>Fulton Hogan LaraSize 20mm DGA Type SF</v>
      </c>
      <c r="C96" t="str">
        <v>tonne</v>
      </c>
      <c r="D96" s="96">
        <v>61.729751000000007</v>
      </c>
      <c r="E96" s="96">
        <v>6.1729750999999999E-2</v>
      </c>
      <c r="F96" s="96">
        <v>0</v>
      </c>
      <c r="G96" s="121">
        <v>0</v>
      </c>
    </row>
    <row r="97" spans="2:7" x14ac:dyDescent="0.25">
      <c r="B97" s="122" t="str">
        <v>Fulton Hogan DandenongSize 20mm DGA Type SF 20% RAP ≤5% Glass</v>
      </c>
      <c r="C97" t="str">
        <v>tonne</v>
      </c>
      <c r="D97" s="96">
        <v>59.628169</v>
      </c>
      <c r="E97" s="96">
        <v>5.9628169000000002E-2</v>
      </c>
      <c r="F97" s="96">
        <v>0</v>
      </c>
      <c r="G97" s="121">
        <v>0</v>
      </c>
    </row>
    <row r="98" spans="2:7" x14ac:dyDescent="0.25">
      <c r="B98" s="122" t="str">
        <v>Fulton Hogan Bushells RidgeDG14 AR450 AS2150 R15%</v>
      </c>
      <c r="C98" t="str">
        <v>tonne</v>
      </c>
      <c r="D98" s="96">
        <v>65.630897599999997</v>
      </c>
      <c r="E98" s="96">
        <v>6.5630897599999988E-2</v>
      </c>
      <c r="F98" s="96">
        <v>0</v>
      </c>
      <c r="G98" s="121">
        <v>0</v>
      </c>
    </row>
    <row r="99" spans="2:7" x14ac:dyDescent="0.25">
      <c r="B99" s="122" t="str">
        <v>Fulton Hogan LaraSize 20mm DGA Type SS</v>
      </c>
      <c r="C99" t="str">
        <v>tonne</v>
      </c>
      <c r="D99" s="96">
        <v>58.327434999999994</v>
      </c>
      <c r="E99" s="96">
        <v>5.8327434999999997E-2</v>
      </c>
      <c r="F99" s="96">
        <v>0</v>
      </c>
      <c r="G99" s="121">
        <v>0</v>
      </c>
    </row>
    <row r="100" spans="2:7" x14ac:dyDescent="0.25">
      <c r="B100" s="122" t="str">
        <v>Fulton Hogan LaraSize 14, 20mm DGA Type SI ≤10% RAP</v>
      </c>
      <c r="C100" t="str">
        <v>tonne</v>
      </c>
      <c r="D100" s="96">
        <v>59.027740000000001</v>
      </c>
      <c r="E100" s="96">
        <v>5.9027740000000002E-2</v>
      </c>
      <c r="F100" s="96">
        <v>0</v>
      </c>
      <c r="G100" s="121">
        <v>0</v>
      </c>
    </row>
    <row r="101" spans="2:7" x14ac:dyDescent="0.25">
      <c r="B101" s="122" t="str">
        <v>Fulton Hogan LaraSize 10, 14mm DGA Type H 10% RAP</v>
      </c>
      <c r="C101" t="str">
        <v>tonne</v>
      </c>
      <c r="D101" s="96">
        <v>58.226621999999999</v>
      </c>
      <c r="E101" s="96">
        <v>5.8226621999999999E-2</v>
      </c>
      <c r="F101" s="96">
        <v>0</v>
      </c>
      <c r="G101" s="121">
        <v>0</v>
      </c>
    </row>
    <row r="102" spans="2:7" x14ac:dyDescent="0.25">
      <c r="B102" s="122" t="str">
        <v>Fulton Hogan LaraSize 10, 14mm DGA Type V</v>
      </c>
      <c r="C102" t="str">
        <v>tonne</v>
      </c>
      <c r="D102" s="96">
        <v>60.127446999999997</v>
      </c>
      <c r="E102" s="96">
        <v>6.0127447000000001E-2</v>
      </c>
      <c r="F102" s="96">
        <v>0</v>
      </c>
      <c r="G102" s="121">
        <v>0</v>
      </c>
    </row>
    <row r="103" spans="2:7" x14ac:dyDescent="0.25">
      <c r="B103" s="122" t="str">
        <v>Fulton Hogan Bushells RidgeDG20 AR450 AS2150 R20%</v>
      </c>
      <c r="C103" t="str">
        <v>tonne</v>
      </c>
      <c r="D103" s="96">
        <v>63.328787699999999</v>
      </c>
      <c r="E103" s="96">
        <v>6.33287877E-2</v>
      </c>
      <c r="F103" s="96">
        <v>0</v>
      </c>
      <c r="G103" s="121">
        <v>0</v>
      </c>
    </row>
    <row r="104" spans="2:7" x14ac:dyDescent="0.25">
      <c r="B104" s="122" t="str">
        <v>Fulton Hogan LaraSize 14, 20mm DGA Type SI 10-20% RAP</v>
      </c>
      <c r="C104" t="str">
        <v>tonne</v>
      </c>
      <c r="D104" s="96">
        <v>55.225004000000006</v>
      </c>
      <c r="E104" s="96">
        <v>5.5225004000000008E-2</v>
      </c>
      <c r="F104" s="96">
        <v>0</v>
      </c>
      <c r="G104" s="121">
        <v>0</v>
      </c>
    </row>
    <row r="105" spans="2:7" x14ac:dyDescent="0.25">
      <c r="B105" s="122" t="str">
        <v>Fulton Hogan LaraSize 7, 10, 14mm DGA Type H</v>
      </c>
      <c r="C105" t="str">
        <v>tonne</v>
      </c>
      <c r="D105" s="96">
        <v>62.328158999999992</v>
      </c>
      <c r="E105" s="96">
        <v>6.2328158999999994E-2</v>
      </c>
      <c r="F105" s="96">
        <v>0</v>
      </c>
      <c r="G105" s="121">
        <v>0</v>
      </c>
    </row>
    <row r="106" spans="2:7" x14ac:dyDescent="0.25">
      <c r="B106" s="122" t="str">
        <v>Fulton Hogan Eastern CreekEME2</v>
      </c>
      <c r="C106" t="str">
        <v>tonne</v>
      </c>
      <c r="D106" s="96">
        <v>87.439118000000008</v>
      </c>
      <c r="E106" s="96">
        <v>8.7439117999999996E-2</v>
      </c>
      <c r="F106" s="96">
        <v>0</v>
      </c>
      <c r="G106" s="121">
        <v>0</v>
      </c>
    </row>
    <row r="107" spans="2:7" x14ac:dyDescent="0.25">
      <c r="B107" s="122" t="str">
        <v>Fulton Hogan Bushells RidgeDG14 AR450 R116 R15%</v>
      </c>
      <c r="C107" t="str">
        <v>tonne</v>
      </c>
      <c r="D107" s="96">
        <v>77.733002999999997</v>
      </c>
      <c r="E107" s="96">
        <v>7.7733003000000009E-2</v>
      </c>
      <c r="F107" s="96">
        <v>0</v>
      </c>
      <c r="G107" s="121">
        <v>0</v>
      </c>
    </row>
    <row r="108" spans="2:7" x14ac:dyDescent="0.25">
      <c r="B108" s="122" t="str">
        <v>Fulton Hogan Eastern CreekDG07 AR450 AS2150</v>
      </c>
      <c r="C108" t="str">
        <v>tonne</v>
      </c>
      <c r="D108" s="96">
        <v>92.238731000000001</v>
      </c>
      <c r="E108" s="96">
        <v>9.2238731000000004E-2</v>
      </c>
      <c r="F108" s="96">
        <v>0</v>
      </c>
      <c r="G108" s="121">
        <v>0</v>
      </c>
    </row>
    <row r="109" spans="2:7" x14ac:dyDescent="0.25">
      <c r="B109" s="122" t="str">
        <v>Fulton Hogan Bushells RidgeDG28 AR450 R116 R15%</v>
      </c>
      <c r="C109" t="str">
        <v>tonne</v>
      </c>
      <c r="D109" s="96">
        <v>72.729678100000001</v>
      </c>
      <c r="E109" s="96">
        <v>7.27296781E-2</v>
      </c>
      <c r="F109" s="96">
        <v>0</v>
      </c>
      <c r="G109" s="121">
        <v>0</v>
      </c>
    </row>
    <row r="110" spans="2:7" x14ac:dyDescent="0.25">
      <c r="B110" s="122" t="str">
        <v>Fulton Hogan Bushells RidgeDG20 AR450 R116 R20%</v>
      </c>
      <c r="C110" t="str">
        <v>tonne</v>
      </c>
      <c r="D110" s="96">
        <v>74.830189599999997</v>
      </c>
      <c r="E110" s="96">
        <v>7.4830189599999999E-2</v>
      </c>
      <c r="F110" s="96">
        <v>0</v>
      </c>
      <c r="G110" s="121">
        <v>0</v>
      </c>
    </row>
    <row r="111" spans="2:7" x14ac:dyDescent="0.25">
      <c r="B111" s="122" t="str">
        <v>Fulton Hogan Eastern CreekGG10 AR450 AS2150 R10%</v>
      </c>
      <c r="C111" t="str">
        <v>tonne</v>
      </c>
      <c r="D111" s="96">
        <v>89.234722000000005</v>
      </c>
      <c r="E111" s="96">
        <v>8.9234722000000002E-2</v>
      </c>
      <c r="F111" s="96">
        <v>0</v>
      </c>
      <c r="G111" s="121">
        <v>0</v>
      </c>
    </row>
    <row r="112" spans="2:7" x14ac:dyDescent="0.25">
      <c r="B112" s="122" t="str">
        <v>Fulton Hogan DandenongDoT - Section 422 Light Traffic Crumb Rubber Asphalt (LTCRA)</v>
      </c>
      <c r="C112" t="str">
        <v>tonne</v>
      </c>
      <c r="D112" s="96">
        <v>64.324176999999992</v>
      </c>
      <c r="E112" s="96">
        <v>6.4324176999999996E-2</v>
      </c>
      <c r="F112" s="96">
        <v>0</v>
      </c>
      <c r="G112" s="121">
        <v>0</v>
      </c>
    </row>
    <row r="113" spans="2:7" x14ac:dyDescent="0.25">
      <c r="B113" s="122" t="str">
        <v>Fulton Hogan Bushells RidgeDG14 AR450 R116 SLAG</v>
      </c>
      <c r="C113" t="str">
        <v>tonne</v>
      </c>
      <c r="D113" s="96">
        <v>77.928703999999996</v>
      </c>
      <c r="E113" s="96">
        <v>7.7928704000000015E-2</v>
      </c>
      <c r="F113" s="96">
        <v>0</v>
      </c>
      <c r="G113" s="121">
        <v>0</v>
      </c>
    </row>
    <row r="114" spans="2:7" x14ac:dyDescent="0.25">
      <c r="B114" s="122" t="str">
        <v>Fulton Hogan DandenongSize 7mm DGA Fine</v>
      </c>
      <c r="C114" t="str">
        <v>tonne</v>
      </c>
      <c r="D114" s="96">
        <v>63.522313000000004</v>
      </c>
      <c r="E114" s="96">
        <v>6.3522312999999997E-2</v>
      </c>
      <c r="F114" s="96">
        <v>0</v>
      </c>
      <c r="G114" s="121">
        <v>0</v>
      </c>
    </row>
    <row r="115" spans="2:7" x14ac:dyDescent="0.25">
      <c r="B115" s="122" t="str">
        <v>Fulton Hogan DandenongSize 7, 10mm DGA Type L</v>
      </c>
      <c r="C115" t="str">
        <v>tonne</v>
      </c>
      <c r="D115" s="96">
        <v>61.821621</v>
      </c>
      <c r="E115" s="96">
        <v>6.1821620999999993E-2</v>
      </c>
      <c r="F115" s="96">
        <v>0</v>
      </c>
      <c r="G115" s="121">
        <v>0</v>
      </c>
    </row>
    <row r="116" spans="2:7" x14ac:dyDescent="0.25">
      <c r="B116" s="122" t="str">
        <v>Fulton Hogan Eastern CreekDG20 Port_x0002_Phalt®</v>
      </c>
      <c r="C116" t="str">
        <v>tonne</v>
      </c>
      <c r="D116" s="96">
        <v>82.327688600000002</v>
      </c>
      <c r="E116" s="96">
        <v>8.2327688600000004E-2</v>
      </c>
      <c r="F116" s="96">
        <v>0</v>
      </c>
      <c r="G116" s="121">
        <v>0</v>
      </c>
    </row>
    <row r="117" spans="2:7" x14ac:dyDescent="0.25">
      <c r="B117" s="122" t="str">
        <v>Fulton Hogan DandenongSize 10mm DGA Type L 10-20% RAP</v>
      </c>
      <c r="C117" t="str">
        <v>tonne</v>
      </c>
      <c r="D117" s="96">
        <v>56.118777000000001</v>
      </c>
      <c r="E117" s="96">
        <v>5.6118777000000002E-2</v>
      </c>
      <c r="F117" s="96">
        <v>0</v>
      </c>
      <c r="G117" s="121">
        <v>0</v>
      </c>
    </row>
    <row r="118" spans="2:7" x14ac:dyDescent="0.25">
      <c r="B118" s="122" t="str">
        <v>Fulton Hogan DandenongSize 7, 10, 14mm DGA Type N</v>
      </c>
      <c r="C118" t="str">
        <v>tonne</v>
      </c>
      <c r="D118" s="96">
        <v>62.120511</v>
      </c>
      <c r="E118" s="96">
        <v>6.2120511000000003E-2</v>
      </c>
      <c r="F118" s="96">
        <v>0</v>
      </c>
      <c r="G118" s="121">
        <v>0</v>
      </c>
    </row>
    <row r="119" spans="2:7" x14ac:dyDescent="0.25">
      <c r="B119" s="122" t="str">
        <v>Fulton Hogan DandenongSize 7, 10, 14mm DGA Type H</v>
      </c>
      <c r="C119" t="str">
        <v>tonne</v>
      </c>
      <c r="D119" s="96">
        <v>64.820810999999992</v>
      </c>
      <c r="E119" s="96">
        <v>6.4820810999999992E-2</v>
      </c>
      <c r="F119" s="96">
        <v>0</v>
      </c>
      <c r="G119" s="121">
        <v>0</v>
      </c>
    </row>
    <row r="120" spans="2:7" x14ac:dyDescent="0.25">
      <c r="B120" s="122" t="str">
        <v>Downer Gosnells Asphalt Manufacturing FacilityAC14 A15E 4B1A00</v>
      </c>
      <c r="C120" t="str">
        <v>tonne</v>
      </c>
      <c r="D120" s="96">
        <v>79.32513800000001</v>
      </c>
      <c r="E120" s="96">
        <v>7.9325138000000003E-2</v>
      </c>
      <c r="F120" s="96">
        <v>0</v>
      </c>
      <c r="G120" s="121">
        <v>0</v>
      </c>
    </row>
    <row r="121" spans="2:7" x14ac:dyDescent="0.25">
      <c r="B121" s="122" t="str">
        <v>Downer Bayswater Asphalt Manufacturing FacilityAC14 A10E HP 302278</v>
      </c>
      <c r="C121" t="str">
        <v>tonne</v>
      </c>
      <c r="D121" s="96">
        <v>82.726163999999997</v>
      </c>
      <c r="E121" s="96">
        <v>8.2726163999999991E-2</v>
      </c>
      <c r="F121" s="96">
        <v>0</v>
      </c>
      <c r="G121" s="121">
        <v>0</v>
      </c>
    </row>
    <row r="122" spans="2:7" x14ac:dyDescent="0.25">
      <c r="B122" s="122" t="str">
        <v>Fulton Hogan DandenongSize 10, 14mm DGA Type V</v>
      </c>
      <c r="C122" t="str">
        <v>tonne</v>
      </c>
      <c r="D122" s="96">
        <v>61.219302000000006</v>
      </c>
      <c r="E122" s="96">
        <v>6.1219302000000003E-2</v>
      </c>
      <c r="F122" s="96">
        <v>0</v>
      </c>
      <c r="G122" s="121">
        <v>0</v>
      </c>
    </row>
    <row r="123" spans="2:7" x14ac:dyDescent="0.25">
      <c r="B123" s="122" t="str">
        <v>Fulton Hogan DandenongSize 20mm DGA Type SF</v>
      </c>
      <c r="C123" t="str">
        <v>tonne</v>
      </c>
      <c r="D123" s="96">
        <v>66.320708999999994</v>
      </c>
      <c r="E123" s="96">
        <v>6.6320709000000005E-2</v>
      </c>
      <c r="F123" s="96">
        <v>0</v>
      </c>
      <c r="G123" s="121">
        <v>0</v>
      </c>
    </row>
    <row r="124" spans="2:7" x14ac:dyDescent="0.25">
      <c r="B124" s="122" t="str">
        <v>Fulton Hogan Bushells RidgePortPhalt®*</v>
      </c>
      <c r="C124" t="str">
        <v>tonne</v>
      </c>
      <c r="D124" s="96">
        <v>82.225491000000005</v>
      </c>
      <c r="E124" s="96">
        <v>8.2225490999999998E-2</v>
      </c>
      <c r="F124" s="96">
        <v>0</v>
      </c>
      <c r="G124" s="121">
        <v>0</v>
      </c>
    </row>
    <row r="125" spans="2:7" x14ac:dyDescent="0.25">
      <c r="B125" s="122" t="str">
        <v>Fulton Hogan DandenongSize 14mm DGA Type SI 10% RAP</v>
      </c>
      <c r="C125" t="str">
        <v>tonne</v>
      </c>
      <c r="D125" s="96">
        <v>61.417976000000003</v>
      </c>
      <c r="E125" s="96">
        <v>6.1417975999999992E-2</v>
      </c>
      <c r="F125" s="96">
        <v>0</v>
      </c>
      <c r="G125" s="121">
        <v>0</v>
      </c>
    </row>
    <row r="126" spans="2:7" x14ac:dyDescent="0.25">
      <c r="B126" s="122" t="str">
        <v>Fulton Hogan DandenongSize 20mm DGA Type SS</v>
      </c>
      <c r="C126" t="str">
        <v>tonne</v>
      </c>
      <c r="D126" s="96">
        <v>62.918292999999998</v>
      </c>
      <c r="E126" s="96">
        <v>6.2918292999999986E-2</v>
      </c>
      <c r="F126" s="96">
        <v>0</v>
      </c>
      <c r="G126" s="121">
        <v>0</v>
      </c>
    </row>
    <row r="127" spans="2:7" x14ac:dyDescent="0.25">
      <c r="B127" s="122" t="str">
        <v>Downer Adelaide Sustainable Road Resource Centre, WingfieldAC10 A5E R10 M</v>
      </c>
      <c r="C127" t="str">
        <v>tonne</v>
      </c>
      <c r="D127" s="96">
        <v>83.424177999999998</v>
      </c>
      <c r="E127" s="96">
        <v>8.3424178000000002E-2</v>
      </c>
      <c r="F127" s="96">
        <v>0</v>
      </c>
      <c r="G127" s="121">
        <v>0</v>
      </c>
    </row>
    <row r="128" spans="2:7" x14ac:dyDescent="0.25">
      <c r="B128" s="122" t="str">
        <v>Fulton Hogan DandenongSize 14mm DGA Type H 10-20% RAP</v>
      </c>
      <c r="C128" t="str">
        <v>tonne</v>
      </c>
      <c r="D128" s="96">
        <v>60.517471</v>
      </c>
      <c r="E128" s="96">
        <v>6.0517470999999996E-2</v>
      </c>
      <c r="F128" s="96">
        <v>0</v>
      </c>
      <c r="G128" s="121">
        <v>0</v>
      </c>
    </row>
    <row r="129" spans="2:7" x14ac:dyDescent="0.25">
      <c r="B129" s="122" t="str">
        <v>Fulton Hogan DandenongSize 10mm PlastiPhalt ®</v>
      </c>
      <c r="C129" t="str">
        <v>tonne</v>
      </c>
      <c r="D129" s="96">
        <v>62.217872</v>
      </c>
      <c r="E129" s="96">
        <v>6.2217872000000007E-2</v>
      </c>
      <c r="F129" s="96">
        <v>0</v>
      </c>
      <c r="G129" s="121">
        <v>0</v>
      </c>
    </row>
    <row r="130" spans="2:7" x14ac:dyDescent="0.25">
      <c r="B130" s="122" t="str">
        <v>Fulton Hogan DandenongSize 14mm DGA Type N 10-20% RAP</v>
      </c>
      <c r="C130" t="str">
        <v>tonne</v>
      </c>
      <c r="D130" s="96">
        <v>59.016562</v>
      </c>
      <c r="E130" s="96">
        <v>5.9016561999999995E-2</v>
      </c>
      <c r="F130" s="96">
        <v>0</v>
      </c>
      <c r="G130" s="121">
        <v>0</v>
      </c>
    </row>
    <row r="131" spans="2:7" x14ac:dyDescent="0.25">
      <c r="B131" s="122" t="str">
        <v>Fulton Hogan Eastern CreekDG14 Port_x0002_Phalt®</v>
      </c>
      <c r="C131" t="str">
        <v>tonne</v>
      </c>
      <c r="D131" s="96">
        <v>86.923795800000008</v>
      </c>
      <c r="E131" s="96">
        <v>8.6923795800000009E-2</v>
      </c>
      <c r="F131" s="96">
        <v>0</v>
      </c>
      <c r="G131" s="121">
        <v>0</v>
      </c>
    </row>
    <row r="132" spans="2:7" x14ac:dyDescent="0.25">
      <c r="B132" s="122" t="str">
        <v>Fulton Hogan DandenongSize 20mm DGA Type SF 30-40% RAP</v>
      </c>
      <c r="C132" t="str">
        <v>tonne</v>
      </c>
      <c r="D132" s="96">
        <v>55.014237999999999</v>
      </c>
      <c r="E132" s="96">
        <v>5.5014238E-2</v>
      </c>
      <c r="F132" s="96">
        <v>0</v>
      </c>
      <c r="G132" s="121">
        <v>0</v>
      </c>
    </row>
    <row r="133" spans="2:7" x14ac:dyDescent="0.25">
      <c r="B133" s="122" t="str">
        <v>Fulton Hogan DandenongSize 20mm DGA Type SS 30% RAP</v>
      </c>
      <c r="C133" t="str">
        <v>tonne</v>
      </c>
      <c r="D133" s="96">
        <v>52.812826000000001</v>
      </c>
      <c r="E133" s="96">
        <v>5.2812826E-2</v>
      </c>
      <c r="F133" s="96">
        <v>0</v>
      </c>
      <c r="G133" s="121">
        <v>0</v>
      </c>
    </row>
    <row r="134" spans="2:7" x14ac:dyDescent="0.25">
      <c r="B134" s="122" t="str">
        <v>Fulton Hogan DandenongSize 20 mm DGA Type SI 30% RAP</v>
      </c>
      <c r="C134" t="str">
        <v>tonne</v>
      </c>
      <c r="D134" s="96">
        <v>52.712631000000009</v>
      </c>
      <c r="E134" s="96">
        <v>5.2712631000000003E-2</v>
      </c>
      <c r="F134" s="96">
        <v>0</v>
      </c>
      <c r="G134" s="121">
        <v>0</v>
      </c>
    </row>
    <row r="135" spans="2:7" x14ac:dyDescent="0.25">
      <c r="B135" s="122" t="str">
        <v>Downer Adelaide Sustainable Road Resource Centre, WingfieldAC10 A5E R20 M</v>
      </c>
      <c r="C135" t="str">
        <v>tonne</v>
      </c>
      <c r="D135" s="96">
        <v>79.718169999999986</v>
      </c>
      <c r="E135" s="96">
        <v>7.9718169999999977E-2</v>
      </c>
      <c r="F135" s="96">
        <v>0</v>
      </c>
      <c r="G135" s="121">
        <v>0</v>
      </c>
    </row>
    <row r="136" spans="2:7" x14ac:dyDescent="0.25">
      <c r="B136" s="122" t="str">
        <v>Fulton Hogan Eastern CreekDG14, DG20 and DG28 AR450 AS2150/AUSPEC/R117 R25% G≤10%*</v>
      </c>
      <c r="C136" t="str">
        <v>tonne</v>
      </c>
      <c r="D136" s="96">
        <v>63.613087399999998</v>
      </c>
      <c r="E136" s="96">
        <v>6.3613087400000004E-2</v>
      </c>
      <c r="F136" s="96">
        <v>0</v>
      </c>
      <c r="G136" s="121">
        <v>0</v>
      </c>
    </row>
    <row r="137" spans="2:7" x14ac:dyDescent="0.25">
      <c r="B137" s="122" t="str">
        <v>Fulton Hogan Eastern CreekDG20 AR450 R116 R25% G≤10%*</v>
      </c>
      <c r="C137" t="str">
        <v>tonne</v>
      </c>
      <c r="D137" s="96">
        <v>73.515088700000007</v>
      </c>
      <c r="E137" s="96">
        <v>7.3515088699999995E-2</v>
      </c>
      <c r="F137" s="96">
        <v>0</v>
      </c>
      <c r="G137" s="121">
        <v>0</v>
      </c>
    </row>
    <row r="138" spans="2:7" x14ac:dyDescent="0.25">
      <c r="B138" s="122" t="str">
        <v>Downer Bathurst Asphalt Manufacturing FacilityCM07 Cold Mix</v>
      </c>
      <c r="C138" t="str">
        <v>tonne</v>
      </c>
      <c r="D138" s="96">
        <v>58.210095799999998</v>
      </c>
      <c r="E138" s="96">
        <v>5.82100958E-2</v>
      </c>
      <c r="F138" s="96">
        <v>0</v>
      </c>
      <c r="G138" s="121">
        <v>0</v>
      </c>
    </row>
    <row r="139" spans="2:7" x14ac:dyDescent="0.25">
      <c r="B139" s="122" t="str">
        <v>Downer Adelaide Sustainable Road Resource Centre, WingfieldAC10 A5E R20 L</v>
      </c>
      <c r="C139" t="str">
        <v>tonne</v>
      </c>
      <c r="D139" s="96">
        <v>76.413157999999996</v>
      </c>
      <c r="E139" s="96">
        <v>7.6413157999999995E-2</v>
      </c>
      <c r="F139" s="96">
        <v>0</v>
      </c>
      <c r="G139" s="121">
        <v>0</v>
      </c>
    </row>
    <row r="140" spans="2:7" x14ac:dyDescent="0.25">
      <c r="B140" s="122" t="str">
        <v>Downer Sydney Sustainable Road Resource Centre, RosehillAC14 A15E R30 H</v>
      </c>
      <c r="C140" t="str">
        <v>tonne</v>
      </c>
      <c r="D140" s="96">
        <v>94.116155000000006</v>
      </c>
      <c r="E140" s="96">
        <v>9.4116155000000007E-2</v>
      </c>
      <c r="F140" s="96">
        <v>0</v>
      </c>
      <c r="G140" s="121">
        <v>0</v>
      </c>
    </row>
    <row r="141" spans="2:7" x14ac:dyDescent="0.25">
      <c r="B141" s="122" t="str">
        <v>Fulton Hogan Eastern CreekDG28 AR450 R116 R30% G≤10%*</v>
      </c>
      <c r="C141" t="str">
        <v>tonne</v>
      </c>
      <c r="D141" s="96">
        <v>70.512077000000005</v>
      </c>
      <c r="E141" s="96">
        <v>7.0512076999999992E-2</v>
      </c>
      <c r="F141" s="96">
        <v>0</v>
      </c>
      <c r="G141" s="121">
        <v>0</v>
      </c>
    </row>
    <row r="142" spans="2:7" x14ac:dyDescent="0.25">
      <c r="B142" s="122" t="str">
        <v>Downer Brisbane Sustainable Road Resource Centre, BrendaleAC14 R50 Reconophalt</v>
      </c>
      <c r="C142" t="str">
        <v>tonne</v>
      </c>
      <c r="D142" s="96">
        <v>48.407636000000004</v>
      </c>
      <c r="E142" s="96">
        <v>4.8407636000000004E-2</v>
      </c>
      <c r="F142" s="96">
        <v>0</v>
      </c>
      <c r="G142" s="121">
        <v>0</v>
      </c>
    </row>
    <row r="143" spans="2:7" x14ac:dyDescent="0.25">
      <c r="B143" s="122" t="str">
        <v xml:space="preserve">Fulton Hogan Bushells RidgeBC14 A10E AIRPORT </v>
      </c>
      <c r="C143" t="str">
        <v>tonne</v>
      </c>
      <c r="D143" s="96">
        <v>99.212217999999993</v>
      </c>
      <c r="E143" s="96">
        <v>9.9212217999999991E-2</v>
      </c>
      <c r="F143" s="96">
        <v>0</v>
      </c>
      <c r="G143" s="121">
        <v>0</v>
      </c>
    </row>
    <row r="144" spans="2:7" x14ac:dyDescent="0.25">
      <c r="B144" s="122" t="str">
        <v>Fulton Hogan Eastern CreekDG14 A15E R116 R10% G≤2.5%*</v>
      </c>
      <c r="C144" t="str">
        <v>tonne</v>
      </c>
      <c r="D144" s="96">
        <v>94.711176000000009</v>
      </c>
      <c r="E144" s="96">
        <v>9.4711176000000022E-2</v>
      </c>
      <c r="F144" s="96">
        <v>0</v>
      </c>
      <c r="G144" s="121">
        <v>0</v>
      </c>
    </row>
    <row r="145" spans="2:7" x14ac:dyDescent="0.25">
      <c r="B145" s="122" t="str">
        <v>Downer Hume Asphalt Manufacturing FacilityAC14 AE15 R10</v>
      </c>
      <c r="C145" t="str">
        <v>tonne</v>
      </c>
      <c r="D145" s="96">
        <v>90.708742000000001</v>
      </c>
      <c r="E145" s="96">
        <v>9.0708741999999995E-2</v>
      </c>
      <c r="F145" s="96">
        <v>0</v>
      </c>
      <c r="G145" s="121">
        <v>0</v>
      </c>
    </row>
    <row r="146" spans="2:7" x14ac:dyDescent="0.25">
      <c r="B146" s="122" t="str">
        <v>Fulton Hogan DandenongSize 14, 20mm PortPhalt®</v>
      </c>
      <c r="C146" t="str">
        <v>tonne</v>
      </c>
      <c r="D146" s="96">
        <v>69.506293999999997</v>
      </c>
      <c r="E146" s="96">
        <v>6.9506293999999996E-2</v>
      </c>
      <c r="F146" s="96">
        <v>0</v>
      </c>
      <c r="G146" s="121">
        <v>0</v>
      </c>
    </row>
    <row r="147" spans="2:7" x14ac:dyDescent="0.25">
      <c r="B147" s="122" t="str">
        <v>Downer Adelaide Sustainable Road Resource Centre, WingfieldAC10 A15E R10 M</v>
      </c>
      <c r="C147" t="str">
        <v>tonne</v>
      </c>
      <c r="D147" s="96">
        <v>77.606142999999989</v>
      </c>
      <c r="E147" s="96">
        <v>7.7606142999999989E-2</v>
      </c>
      <c r="F147" s="96">
        <v>0</v>
      </c>
      <c r="G147" s="121">
        <v>0</v>
      </c>
    </row>
    <row r="148" spans="2:7" x14ac:dyDescent="0.25">
      <c r="B148" s="122" t="str">
        <v>Downer Bathurst Asphalt Manufacturing FacilityAC14 A15E R10 H</v>
      </c>
      <c r="C148" t="str">
        <v>tonne</v>
      </c>
      <c r="D148" s="96">
        <v>99.206158999999985</v>
      </c>
      <c r="E148" s="96">
        <v>9.9206158999999988E-2</v>
      </c>
      <c r="F148" s="96">
        <v>0</v>
      </c>
      <c r="G148" s="121">
        <v>0</v>
      </c>
    </row>
    <row r="149" spans="2:7" x14ac:dyDescent="0.25">
      <c r="B149" s="122" t="str">
        <v xml:space="preserve">Downer Archerfield Asphalt Manufacturing FacilityAC10 A15E R20 BCC </v>
      </c>
      <c r="C149" t="str">
        <v>tonne</v>
      </c>
      <c r="D149" s="96">
        <v>87.805170000000004</v>
      </c>
      <c r="E149" s="96">
        <v>8.7805169999999988E-2</v>
      </c>
      <c r="F149" s="96">
        <v>0</v>
      </c>
      <c r="G149" s="121">
        <v>0</v>
      </c>
    </row>
    <row r="150" spans="2:7" x14ac:dyDescent="0.25">
      <c r="B150" s="122" t="str">
        <v>Downer Archerfield Asphalt Manufacturing FacilityAC15 A15E R15 A</v>
      </c>
      <c r="C150" t="str">
        <v>tonne</v>
      </c>
      <c r="D150" s="96">
        <v>90.202153999999993</v>
      </c>
      <c r="E150" s="96">
        <v>9.0202154000000007E-2</v>
      </c>
      <c r="F150" s="96">
        <v>0</v>
      </c>
      <c r="G150" s="121">
        <v>0</v>
      </c>
    </row>
    <row r="151" spans="2:7" x14ac:dyDescent="0.25">
      <c r="B151" s="122" t="str">
        <v>Fulton Hogan Kembla GrangeOG10 A15E R119</v>
      </c>
      <c r="C151" t="str">
        <v>tonne</v>
      </c>
      <c r="D151" s="96">
        <v>82.501172000000011</v>
      </c>
      <c r="E151" s="96">
        <v>8.2501172000000011E-2</v>
      </c>
      <c r="F151" s="96">
        <v>0</v>
      </c>
      <c r="G151" s="121">
        <v>0</v>
      </c>
    </row>
    <row r="152" spans="2:7" x14ac:dyDescent="0.25">
      <c r="B152" s="122" t="str">
        <v>Fulton Hogan DandenongDoT - Section 404 Stone Mastic Asphalt (SMA) or AS2150</v>
      </c>
      <c r="C152" t="str">
        <v>tonne</v>
      </c>
      <c r="D152" s="96">
        <v>79.000421000000003</v>
      </c>
      <c r="E152" s="96">
        <v>7.9000421000000001E-2</v>
      </c>
      <c r="F152" s="96">
        <v>0</v>
      </c>
      <c r="G152" s="121">
        <v>0</v>
      </c>
    </row>
    <row r="153" spans="2:7" x14ac:dyDescent="0.25">
      <c r="B153" s="122" t="str">
        <v>Fulton Hogan LaraSize 10mm SMA Type H/N</v>
      </c>
      <c r="C153" t="str">
        <v>tonne</v>
      </c>
      <c r="D153" s="96">
        <v>83.100347999999997</v>
      </c>
      <c r="E153" s="96">
        <v>8.3100347999999991E-2</v>
      </c>
      <c r="F153" s="96">
        <v>0</v>
      </c>
      <c r="G153" s="121">
        <v>0</v>
      </c>
    </row>
    <row r="154" spans="2:7" x14ac:dyDescent="0.25">
      <c r="B154" s="122" t="str">
        <v>Fulton Hogan Kembla GrangeTHTAS10</v>
      </c>
      <c r="C154" t="str">
        <v>tonne</v>
      </c>
      <c r="D154" s="96">
        <v>98.500341000000006</v>
      </c>
      <c r="E154" s="96">
        <v>9.8500341000000005E-2</v>
      </c>
      <c r="F154" s="96">
        <v>0</v>
      </c>
      <c r="G154" s="121">
        <v>0</v>
      </c>
    </row>
    <row r="155" spans="2:7" x14ac:dyDescent="0.25">
      <c r="B155" s="122" t="str">
        <v>Fulton Hogan Eastern CreekSMA07 A15E</v>
      </c>
      <c r="C155" t="str">
        <v>tonne</v>
      </c>
      <c r="D155" s="96">
        <v>107.00035099999999</v>
      </c>
      <c r="E155" s="96">
        <v>0.10700035099999999</v>
      </c>
      <c r="F155" s="96">
        <v>0</v>
      </c>
      <c r="G155" s="121">
        <v>0</v>
      </c>
    </row>
    <row r="156" spans="2:7" x14ac:dyDescent="0.25">
      <c r="B156" s="122" t="str">
        <v>Fulton Hogan Eastern CreekSMA10 A15E R121</v>
      </c>
      <c r="C156" t="str">
        <v>tonne</v>
      </c>
      <c r="D156" s="96">
        <v>108.00034599999999</v>
      </c>
      <c r="E156" s="96">
        <v>0.108000346</v>
      </c>
      <c r="F156" s="96">
        <v>0</v>
      </c>
      <c r="G156" s="121">
        <v>0</v>
      </c>
    </row>
    <row r="157" spans="2:7" x14ac:dyDescent="0.25">
      <c r="B157" s="122" t="str">
        <v xml:space="preserve">Downer Archerfield Asphalt Manufacturing FacilitySMA14 A15E </v>
      </c>
      <c r="C157" t="str">
        <v>tonne</v>
      </c>
      <c r="D157" s="96">
        <v>134.00033099999999</v>
      </c>
      <c r="E157" s="96">
        <v>0.134000331</v>
      </c>
      <c r="F157" s="96">
        <v>0</v>
      </c>
      <c r="G157" s="121">
        <v>0</v>
      </c>
    </row>
    <row r="158" spans="2:7" x14ac:dyDescent="0.25">
      <c r="B158" s="122" t="str">
        <v>Boral CanberraDG10 10% RAP</v>
      </c>
      <c r="C158" t="str">
        <v>tonne</v>
      </c>
      <c r="D158" s="96">
        <v>56.4</v>
      </c>
      <c r="E158" s="96">
        <v>5.6399999999999999E-2</v>
      </c>
      <c r="F158" s="96">
        <v>0</v>
      </c>
      <c r="G158" s="121">
        <v>0</v>
      </c>
    </row>
    <row r="159" spans="2:7" x14ac:dyDescent="0.25">
      <c r="B159" s="122" t="str">
        <v xml:space="preserve">Boral CanberraDG10 INNOVO </v>
      </c>
      <c r="C159" t="str">
        <v>tonne</v>
      </c>
      <c r="D159" s="96">
        <v>57.2</v>
      </c>
      <c r="E159" s="96">
        <v>5.7200000000000001E-2</v>
      </c>
      <c r="F159" s="96">
        <v>0</v>
      </c>
      <c r="G159" s="121">
        <v>0</v>
      </c>
    </row>
    <row r="160" spans="2:7" x14ac:dyDescent="0.25">
      <c r="B160" s="122" t="str">
        <v>Boral CanberraDG14</v>
      </c>
      <c r="C160" t="str">
        <v>tonne</v>
      </c>
      <c r="D160" s="96">
        <v>64.599999999999994</v>
      </c>
      <c r="E160" s="96">
        <v>6.4599999999999991E-2</v>
      </c>
      <c r="F160" s="96">
        <v>0</v>
      </c>
      <c r="G160" s="121">
        <v>0</v>
      </c>
    </row>
    <row r="161" spans="2:7" x14ac:dyDescent="0.25">
      <c r="B161" s="122" t="str">
        <v>Boral EnfieldDG14 C450 AUSP 30% RAP</v>
      </c>
      <c r="C161" t="str">
        <v>tonne</v>
      </c>
      <c r="D161" s="96">
        <v>56.4</v>
      </c>
      <c r="E161" s="96">
        <v>5.6399999999999999E-2</v>
      </c>
      <c r="F161" s="96">
        <v>0</v>
      </c>
      <c r="G161" s="121">
        <v>0</v>
      </c>
    </row>
    <row r="162" spans="2:7" x14ac:dyDescent="0.25">
      <c r="B162" s="122" t="str">
        <v>Boral EnfieldDG14 HD A15E HFA</v>
      </c>
      <c r="C162" t="str">
        <v>tonne</v>
      </c>
      <c r="D162" s="96">
        <v>81</v>
      </c>
      <c r="E162" s="96">
        <v>8.1000000000000003E-2</v>
      </c>
      <c r="F162" s="96">
        <v>0</v>
      </c>
      <c r="G162" s="121">
        <v>0</v>
      </c>
    </row>
    <row r="163" spans="2:7" x14ac:dyDescent="0.25">
      <c r="B163" s="122" t="str">
        <v>Boral Allens' Asphalt CabooltureAC10, AC14, AC20</v>
      </c>
      <c r="C163" t="str">
        <v>tonne</v>
      </c>
      <c r="D163" s="96">
        <v>63.8</v>
      </c>
      <c r="E163" s="96">
        <v>6.3799999999999996E-2</v>
      </c>
      <c r="F163" s="96">
        <v>0</v>
      </c>
      <c r="G163" s="121">
        <v>0</v>
      </c>
    </row>
    <row r="164" spans="2:7" x14ac:dyDescent="0.25">
      <c r="B164" s="122" t="str">
        <v>Boral Allens' Asphalt CabooltureCOUNCIL SPECIFIC MIX</v>
      </c>
      <c r="C164" t="str">
        <v>tonne</v>
      </c>
      <c r="D164" s="96">
        <v>54.4</v>
      </c>
      <c r="E164" s="96">
        <v>5.4399999999999997E-2</v>
      </c>
      <c r="F164" s="96">
        <v>0</v>
      </c>
      <c r="G164" s="121">
        <v>0</v>
      </c>
    </row>
    <row r="165" spans="2:7" x14ac:dyDescent="0.25">
      <c r="B165" s="122" t="str">
        <v>Boral Allens' Asphalt CabooltureEME2</v>
      </c>
      <c r="C165" t="str">
        <v>tonne</v>
      </c>
      <c r="D165" s="96">
        <v>54.4</v>
      </c>
      <c r="E165" s="96">
        <v>5.4399999999999997E-2</v>
      </c>
      <c r="F165" s="96">
        <v>0</v>
      </c>
      <c r="G165" s="121">
        <v>0</v>
      </c>
    </row>
    <row r="166" spans="2:7" x14ac:dyDescent="0.25">
      <c r="B166" s="125" t="str">
        <v>Boral Charlton2232.20.AC14H</v>
      </c>
      <c r="C166" s="126" t="str">
        <v>tonne</v>
      </c>
      <c r="D166" s="127">
        <v>70.5</v>
      </c>
      <c r="E166" s="127">
        <v>7.0499999999999993E-2</v>
      </c>
      <c r="F166" s="127">
        <v>0</v>
      </c>
      <c r="G166" s="128">
        <v>0</v>
      </c>
    </row>
    <row r="167" spans="2:7" x14ac:dyDescent="0.25">
      <c r="B167" t="str">
        <v>Boral Charlton2235.20.AC20H</v>
      </c>
      <c r="C167" t="str">
        <v>tonne</v>
      </c>
      <c r="D167" s="96">
        <v>69.400000000000006</v>
      </c>
      <c r="E167" s="96">
        <v>6.9400000000000003E-2</v>
      </c>
      <c r="F167" s="96">
        <v>0</v>
      </c>
      <c r="G167" s="96">
        <v>0</v>
      </c>
    </row>
    <row r="168" spans="2:7" x14ac:dyDescent="0.25">
      <c r="B168" t="str">
        <v>Boral CharltonEME2</v>
      </c>
      <c r="C168" t="str">
        <v>tonne</v>
      </c>
      <c r="D168" s="96">
        <v>62.7</v>
      </c>
      <c r="E168" s="96">
        <v>6.2700000000000006E-2</v>
      </c>
      <c r="F168" s="96">
        <v>0</v>
      </c>
      <c r="G168" s="96">
        <v>0</v>
      </c>
    </row>
    <row r="169" spans="2:7" x14ac:dyDescent="0.25">
      <c r="B169" t="str">
        <v>Boral Ispwich2143.19.EME2</v>
      </c>
      <c r="C169" t="str">
        <v>tonne</v>
      </c>
      <c r="D169" s="96">
        <v>72.5</v>
      </c>
      <c r="E169" s="96">
        <v>7.2499999999999995E-2</v>
      </c>
      <c r="F169" s="96">
        <v>0</v>
      </c>
      <c r="G169" s="96">
        <v>0</v>
      </c>
    </row>
    <row r="170" spans="2:7" x14ac:dyDescent="0.25">
      <c r="B170" t="str">
        <v>Boral Ispwich2179.19.AC14H</v>
      </c>
      <c r="C170" t="str">
        <v>tonne</v>
      </c>
      <c r="D170" s="96">
        <v>79.400000000000006</v>
      </c>
      <c r="E170" s="96">
        <v>7.9400000000000012E-2</v>
      </c>
      <c r="F170" s="96">
        <v>0</v>
      </c>
      <c r="G170" s="96">
        <v>0</v>
      </c>
    </row>
    <row r="171" spans="2:7" x14ac:dyDescent="0.25">
      <c r="B171" t="str">
        <v>Boral Ispwich2187.19.AC20H</v>
      </c>
      <c r="C171" t="str">
        <v>tonne</v>
      </c>
      <c r="D171" s="96">
        <v>77.599999999999994</v>
      </c>
      <c r="E171" s="96">
        <v>7.7599999999999988E-2</v>
      </c>
      <c r="F171" s="96">
        <v>0</v>
      </c>
      <c r="G171" s="96">
        <v>0</v>
      </c>
    </row>
    <row r="172" spans="2:7" x14ac:dyDescent="0.25">
      <c r="B172" t="str">
        <v>Boral West Burleigh10mm Cold Mix</v>
      </c>
      <c r="C172" t="str">
        <v>tonne</v>
      </c>
      <c r="D172" s="96">
        <v>55.8</v>
      </c>
      <c r="E172" s="96">
        <v>5.5799999999999995E-2</v>
      </c>
      <c r="F172" s="96">
        <v>0</v>
      </c>
      <c r="G172" s="96">
        <v>0</v>
      </c>
    </row>
    <row r="173" spans="2:7" x14ac:dyDescent="0.25">
      <c r="B173" t="str">
        <v>Boral West Burleigh2008.15. AC14H</v>
      </c>
      <c r="C173" t="str">
        <v>tonne</v>
      </c>
      <c r="D173" s="96">
        <v>67.900000000000006</v>
      </c>
      <c r="E173" s="96">
        <v>6.7900000000000002E-2</v>
      </c>
      <c r="F173" s="96">
        <v>0</v>
      </c>
      <c r="G173" s="96">
        <v>0</v>
      </c>
    </row>
    <row r="174" spans="2:7" x14ac:dyDescent="0.25">
      <c r="B174" t="str">
        <v>Boral West Burleigh2009.15. AC20H</v>
      </c>
      <c r="C174" t="str">
        <v>tonne</v>
      </c>
      <c r="D174" s="96">
        <v>66.7</v>
      </c>
      <c r="E174" s="96">
        <v>6.6700000000000009E-2</v>
      </c>
      <c r="F174" s="96">
        <v>0</v>
      </c>
      <c r="G174" s="96">
        <v>0</v>
      </c>
    </row>
    <row r="175" spans="2:7" x14ac:dyDescent="0.25">
      <c r="B175" t="str">
        <v>Boral West Burleigh2120.19. EME2</v>
      </c>
      <c r="C175" t="str">
        <v>tonne</v>
      </c>
      <c r="D175" s="96">
        <v>68.7</v>
      </c>
      <c r="E175" s="96">
        <v>6.8699999999999997E-2</v>
      </c>
      <c r="F175" s="96">
        <v>0</v>
      </c>
      <c r="G175" s="96">
        <v>0</v>
      </c>
    </row>
    <row r="176" spans="2:7" x14ac:dyDescent="0.25">
      <c r="B176" t="str">
        <v>Boral Gepps CrossA10E RAP10%</v>
      </c>
      <c r="C176" t="str">
        <v>tonne</v>
      </c>
      <c r="D176" s="96">
        <v>67.5</v>
      </c>
      <c r="E176" s="96">
        <v>6.7500000000000004E-2</v>
      </c>
      <c r="F176" s="96">
        <v>0</v>
      </c>
      <c r="G176" s="96">
        <v>0</v>
      </c>
    </row>
    <row r="177" spans="2:7" x14ac:dyDescent="0.25">
      <c r="B177" t="str">
        <v>Boral Gepps CrossDG10 RAP10%</v>
      </c>
      <c r="C177" t="str">
        <v>tonne</v>
      </c>
      <c r="D177" s="96">
        <v>52.5</v>
      </c>
      <c r="E177" s="96">
        <v>5.2499999999999998E-2</v>
      </c>
      <c r="F177" s="96">
        <v>0</v>
      </c>
      <c r="G177" s="96">
        <v>0</v>
      </c>
    </row>
    <row r="178" spans="2:7" x14ac:dyDescent="0.25">
      <c r="B178" t="str">
        <v>Boral Gepps CrossDG14 RAP15%</v>
      </c>
      <c r="C178" t="str">
        <v>tonne</v>
      </c>
      <c r="D178" s="96">
        <v>42.4</v>
      </c>
      <c r="E178" s="96">
        <v>4.24E-2</v>
      </c>
      <c r="F178" s="96">
        <v>0</v>
      </c>
      <c r="G178" s="96">
        <v>0</v>
      </c>
    </row>
    <row r="179" spans="2:7" x14ac:dyDescent="0.25">
      <c r="B179" t="str">
        <v>Boral Gepps CrossCold mix</v>
      </c>
      <c r="C179" t="str">
        <v>tonne</v>
      </c>
      <c r="D179" s="96">
        <v>41.1</v>
      </c>
      <c r="E179" s="96">
        <v>4.1100000000000005E-2</v>
      </c>
      <c r="F179" s="96">
        <v>0</v>
      </c>
      <c r="G179" s="96">
        <v>0</v>
      </c>
    </row>
    <row r="180" spans="2:7" x14ac:dyDescent="0.25">
      <c r="B180" t="str">
        <v>Boral Gepps CrossInnovo 2</v>
      </c>
      <c r="C180" t="str">
        <v>tonne</v>
      </c>
      <c r="D180" s="96">
        <v>46.1</v>
      </c>
      <c r="E180" s="96">
        <v>4.6100000000000002E-2</v>
      </c>
      <c r="F180" s="96">
        <v>0</v>
      </c>
      <c r="G180" s="96">
        <v>0</v>
      </c>
    </row>
    <row r="181" spans="2:7" x14ac:dyDescent="0.25">
      <c r="B181" t="str">
        <v>Boral Gepps CrossInnovo 3</v>
      </c>
      <c r="C181" t="str">
        <v>tonne</v>
      </c>
      <c r="D181" s="96">
        <v>51.4</v>
      </c>
      <c r="E181" s="96">
        <v>5.1400000000000001E-2</v>
      </c>
      <c r="F181" s="96">
        <v>0</v>
      </c>
      <c r="G181" s="96">
        <v>0</v>
      </c>
    </row>
    <row r="182" spans="2:7" x14ac:dyDescent="0.25">
      <c r="B182" t="str">
        <v>Boral BallaratBCRA</v>
      </c>
      <c r="C182" t="str">
        <v>tonne</v>
      </c>
      <c r="D182" s="96">
        <v>81.900000000000006</v>
      </c>
      <c r="E182" s="96">
        <v>8.1900000000000001E-2</v>
      </c>
      <c r="F182" s="96">
        <v>0</v>
      </c>
      <c r="G182" s="96">
        <v>0</v>
      </c>
    </row>
    <row r="183" spans="2:7" x14ac:dyDescent="0.25">
      <c r="B183" t="str">
        <v>Boral BallaratC320 20Si</v>
      </c>
      <c r="C183" t="str">
        <v>tonne</v>
      </c>
      <c r="D183" s="96">
        <v>59</v>
      </c>
      <c r="E183" s="96">
        <v>5.8999999999999997E-2</v>
      </c>
      <c r="F183" s="96">
        <v>0</v>
      </c>
      <c r="G183" s="96">
        <v>0</v>
      </c>
    </row>
    <row r="184" spans="2:7" x14ac:dyDescent="0.25">
      <c r="B184" t="str">
        <v>Boral BallaratC320 20Si 10% RAP</v>
      </c>
      <c r="C184" t="str">
        <v>tonne</v>
      </c>
      <c r="D184" s="96">
        <v>56.6</v>
      </c>
      <c r="E184" s="96">
        <v>5.6600000000000004E-2</v>
      </c>
      <c r="F184" s="96">
        <v>0</v>
      </c>
      <c r="G184" s="96">
        <v>0</v>
      </c>
    </row>
    <row r="185" spans="2:7" x14ac:dyDescent="0.25">
      <c r="B185" t="str">
        <v>Boral Deer ParkBCRA</v>
      </c>
      <c r="C185" t="str">
        <v>tonne</v>
      </c>
      <c r="D185" s="96">
        <v>67.400000000000006</v>
      </c>
      <c r="E185" s="96">
        <v>6.7400000000000002E-2</v>
      </c>
      <c r="F185" s="96">
        <v>0</v>
      </c>
      <c r="G185" s="96">
        <v>0</v>
      </c>
    </row>
    <row r="186" spans="2:7" x14ac:dyDescent="0.25">
      <c r="B186" t="str">
        <v>Boral Deer ParkC320 20Si</v>
      </c>
      <c r="C186" t="str">
        <v>tonne</v>
      </c>
      <c r="D186" s="96">
        <v>49.5</v>
      </c>
      <c r="E186" s="96">
        <v>4.9500000000000002E-2</v>
      </c>
      <c r="F186" s="96">
        <v>0</v>
      </c>
      <c r="G186" s="96">
        <v>0</v>
      </c>
    </row>
    <row r="187" spans="2:7" x14ac:dyDescent="0.25">
      <c r="B187" t="str">
        <v>Boral Deer ParkC320 20Si 10% RAP</v>
      </c>
      <c r="C187" t="str">
        <v>tonne</v>
      </c>
      <c r="D187" s="96">
        <v>46.9</v>
      </c>
      <c r="E187" s="96">
        <v>4.6899999999999997E-2</v>
      </c>
      <c r="F187" s="96">
        <v>0</v>
      </c>
      <c r="G187" s="96">
        <v>0</v>
      </c>
    </row>
    <row r="188" spans="2:7" x14ac:dyDescent="0.25">
      <c r="B188" t="str">
        <v>Boral MontroseBCRA</v>
      </c>
      <c r="C188" t="str">
        <v>tonne</v>
      </c>
      <c r="D188" s="96">
        <v>55.9</v>
      </c>
      <c r="E188" s="96">
        <v>5.5899999999999998E-2</v>
      </c>
      <c r="F188" s="96">
        <v>0</v>
      </c>
      <c r="G188" s="96">
        <v>0</v>
      </c>
    </row>
    <row r="189" spans="2:7" x14ac:dyDescent="0.25">
      <c r="B189" t="str">
        <v>Boral MontroseC320 20Si</v>
      </c>
      <c r="C189" t="str">
        <v>tonne</v>
      </c>
      <c r="D189" s="96">
        <v>45.2</v>
      </c>
      <c r="E189" s="96">
        <v>4.5200000000000004E-2</v>
      </c>
      <c r="F189" s="96">
        <v>0</v>
      </c>
      <c r="G189" s="96">
        <v>0</v>
      </c>
    </row>
    <row r="190" spans="2:7" x14ac:dyDescent="0.25">
      <c r="B190" t="str">
        <v>Boral MontroseC320 20Si 10% RAP</v>
      </c>
      <c r="C190" t="str">
        <v>tonne</v>
      </c>
      <c r="D190" s="96">
        <v>46.3</v>
      </c>
      <c r="E190" s="96">
        <v>4.6299999999999994E-2</v>
      </c>
      <c r="F190" s="96">
        <v>0</v>
      </c>
      <c r="G190" s="96">
        <v>0</v>
      </c>
    </row>
    <row r="191" spans="2:7" x14ac:dyDescent="0.25">
      <c r="B191" t="str">
        <v xml:space="preserve">Boral WelshpoolBitupack </v>
      </c>
      <c r="C191" t="str">
        <v>tonne</v>
      </c>
      <c r="D191" s="96">
        <v>11.3</v>
      </c>
      <c r="E191" s="96">
        <v>1.1300000000000001E-2</v>
      </c>
      <c r="F191" s="96">
        <v>0</v>
      </c>
      <c r="G191" s="96">
        <v>0</v>
      </c>
    </row>
    <row r="192" spans="2:7" x14ac:dyDescent="0.25">
      <c r="B192" t="str">
        <v xml:space="preserve">Boral WelshpoolDG14 JM45 </v>
      </c>
      <c r="C192" t="str">
        <v>tonne</v>
      </c>
      <c r="D192" s="96">
        <v>58.3</v>
      </c>
      <c r="E192" s="96">
        <v>5.8299999999999998E-2</v>
      </c>
      <c r="F192" s="96">
        <v>0</v>
      </c>
      <c r="G192" s="96">
        <v>0</v>
      </c>
    </row>
    <row r="193" spans="2:7" x14ac:dyDescent="0.25">
      <c r="B193" t="str">
        <v xml:space="preserve">Boral WelshpoolDG14 JM50 </v>
      </c>
      <c r="C193" t="str">
        <v>tonne</v>
      </c>
      <c r="D193" s="96">
        <v>74.8</v>
      </c>
      <c r="E193" s="96">
        <v>7.4799999999999991E-2</v>
      </c>
      <c r="F193" s="96">
        <v>0</v>
      </c>
      <c r="G193" s="96">
        <v>0</v>
      </c>
    </row>
    <row r="194" spans="2:7" x14ac:dyDescent="0.25">
      <c r="B194" t="str">
        <v>Boral WelshpoolDG20 JM49</v>
      </c>
      <c r="C194" t="str">
        <v>tonne</v>
      </c>
      <c r="D194" s="96">
        <v>58.2</v>
      </c>
      <c r="E194" s="96">
        <v>5.8200000000000002E-2</v>
      </c>
      <c r="F194" s="96">
        <v>0</v>
      </c>
      <c r="G194" s="96">
        <v>0</v>
      </c>
    </row>
    <row r="195" spans="2:7" x14ac:dyDescent="0.25">
      <c r="B195" t="str">
        <v xml:space="preserve">Downer Bli Bli Asphalt Manufacturing FacilityAC14 A15E </v>
      </c>
      <c r="C195" t="str">
        <v>tonne</v>
      </c>
      <c r="D195" s="96">
        <v>93.899957999999998</v>
      </c>
      <c r="E195" s="96">
        <v>9.3899957999999992E-2</v>
      </c>
      <c r="F195" s="96">
        <v>0</v>
      </c>
      <c r="G195" s="96">
        <v>0</v>
      </c>
    </row>
    <row r="196" spans="2:7" x14ac:dyDescent="0.25">
      <c r="B196" t="str">
        <v>Fulton Hogan Kembla GrangeDG14 A15E R116 R10%</v>
      </c>
      <c r="C196" t="str">
        <v>tonne</v>
      </c>
      <c r="D196" s="96">
        <v>76.09797300000001</v>
      </c>
      <c r="E196" s="96">
        <v>7.6097972999999999E-2</v>
      </c>
      <c r="F196" s="96">
        <v>0</v>
      </c>
      <c r="G196" s="96">
        <v>0</v>
      </c>
    </row>
    <row r="197" spans="2:7" x14ac:dyDescent="0.25">
      <c r="B197" t="str">
        <v xml:space="preserve">Downer Archerfield Asphalt Manufacturing FacilityAC20 A15E R15 </v>
      </c>
      <c r="C197" t="str">
        <v>tonne</v>
      </c>
      <c r="D197" s="96">
        <v>86.296542000000002</v>
      </c>
      <c r="E197" s="96">
        <v>8.629654199999999E-2</v>
      </c>
      <c r="F197" s="96">
        <v>0</v>
      </c>
      <c r="G197" s="96">
        <v>0</v>
      </c>
    </row>
    <row r="198" spans="2:7" x14ac:dyDescent="0.25">
      <c r="B198" t="str">
        <v>Downer Brisbane Sustainable Road Resource Centre, BrendaleAC10 A15E R20 BCC</v>
      </c>
      <c r="C198" t="str">
        <v>tonne</v>
      </c>
      <c r="D198" s="96">
        <v>77.895454999999998</v>
      </c>
      <c r="E198" s="96">
        <v>7.7895455000000002E-2</v>
      </c>
      <c r="F198" s="96">
        <v>0</v>
      </c>
      <c r="G198" s="96">
        <v>0</v>
      </c>
    </row>
    <row r="199" spans="2:7" x14ac:dyDescent="0.25">
      <c r="B199" t="str">
        <v>Downer Lindisfarne Asphalt Manufacturing FacilityAC14 Type H</v>
      </c>
      <c r="C199" t="str">
        <v>tonne</v>
      </c>
      <c r="D199" s="96">
        <v>61.8960887</v>
      </c>
      <c r="E199" s="96">
        <v>6.1896088700000004E-2</v>
      </c>
      <c r="F199" s="96">
        <v>0</v>
      </c>
      <c r="G199" s="96">
        <v>0</v>
      </c>
    </row>
    <row r="200" spans="2:7" x14ac:dyDescent="0.25">
      <c r="B200" t="str">
        <v>Downer Lindisfarne Asphalt Manufacturing FacilityAC10 Type L</v>
      </c>
      <c r="C200" t="str">
        <v>tonne</v>
      </c>
      <c r="D200" s="96">
        <v>60.3960966</v>
      </c>
      <c r="E200" s="96">
        <v>6.0396096600000004E-2</v>
      </c>
      <c r="F200" s="96">
        <v>0</v>
      </c>
      <c r="G200" s="96">
        <v>0</v>
      </c>
    </row>
    <row r="201" spans="2:7" x14ac:dyDescent="0.25">
      <c r="B201" t="str">
        <v>Downer Sydney Sustainable Road Resource Centre, RosehillAC14 A15E R10 H DG</v>
      </c>
      <c r="C201" t="str">
        <v>tonne</v>
      </c>
      <c r="D201" s="96">
        <v>93.993735000000001</v>
      </c>
      <c r="E201" s="96">
        <v>9.3993734999999995E-2</v>
      </c>
      <c r="F201" s="96">
        <v>0</v>
      </c>
      <c r="G201" s="96">
        <v>0</v>
      </c>
    </row>
    <row r="202" spans="2:7" x14ac:dyDescent="0.25">
      <c r="B202" t="str">
        <v>Fulton Hogan LaraSize 10mm OGA (A20E)</v>
      </c>
      <c r="C202" t="str">
        <v>tonne</v>
      </c>
      <c r="D202" s="96">
        <v>80.593913999999998</v>
      </c>
      <c r="E202" s="96">
        <v>8.0593914000000003E-2</v>
      </c>
      <c r="F202" s="96">
        <v>0</v>
      </c>
      <c r="G202" s="96">
        <v>0</v>
      </c>
    </row>
    <row r="203" spans="2:7" x14ac:dyDescent="0.25">
      <c r="B203" t="str">
        <v>Fulton Hogan Kembla GrangeDG14 A15E R116 SLAG</v>
      </c>
      <c r="C203" t="str">
        <v>tonne</v>
      </c>
      <c r="D203" s="96">
        <v>92.692380999999997</v>
      </c>
      <c r="E203" s="96">
        <v>9.269238099999999E-2</v>
      </c>
      <c r="F203" s="96">
        <v>0</v>
      </c>
      <c r="G203" s="96">
        <v>0</v>
      </c>
    </row>
    <row r="204" spans="2:7" x14ac:dyDescent="0.25">
      <c r="B204" t="str">
        <v>Downer Lindisfarne Asphalt Manufacturing FacilityAC14 Type L</v>
      </c>
      <c r="C204" t="str">
        <v>tonne</v>
      </c>
      <c r="D204" s="96">
        <v>58.095088099999998</v>
      </c>
      <c r="E204" s="96">
        <v>5.8095088099999997E-2</v>
      </c>
      <c r="F204" s="96">
        <v>0</v>
      </c>
      <c r="G204" s="96">
        <v>0</v>
      </c>
    </row>
    <row r="205" spans="2:7" x14ac:dyDescent="0.25">
      <c r="B205" t="str">
        <v xml:space="preserve">Fulton Hogan Bushells RidgeOG10 A15E R119 </v>
      </c>
      <c r="C205" t="str">
        <v>tonne</v>
      </c>
      <c r="D205" s="96">
        <v>92.091375999999997</v>
      </c>
      <c r="E205" s="96">
        <v>9.2091376000000003E-2</v>
      </c>
      <c r="F205" s="96">
        <v>0</v>
      </c>
      <c r="G205" s="96">
        <v>0</v>
      </c>
    </row>
    <row r="206" spans="2:7" x14ac:dyDescent="0.25">
      <c r="B206" t="str">
        <v>Fulton Hogan Bushells RidgeDG14 A15E R116 R10%</v>
      </c>
      <c r="C206" t="str">
        <v>tonne</v>
      </c>
      <c r="D206" s="96">
        <v>95.089979999999997</v>
      </c>
      <c r="E206" s="96">
        <v>9.5089980000000005E-2</v>
      </c>
      <c r="F206" s="96">
        <v>0</v>
      </c>
      <c r="G206" s="96">
        <v>0</v>
      </c>
    </row>
    <row r="207" spans="2:7" x14ac:dyDescent="0.25">
      <c r="B207" t="str">
        <v>Fulton Hogan Eastern CreekOG10 A15E R119</v>
      </c>
      <c r="C207" t="str">
        <v>tonne</v>
      </c>
      <c r="D207" s="96">
        <v>90.490276000000009</v>
      </c>
      <c r="E207" s="96">
        <v>9.0490276000000008E-2</v>
      </c>
      <c r="F207" s="96">
        <v>0</v>
      </c>
      <c r="G207" s="96">
        <v>0</v>
      </c>
    </row>
    <row r="208" spans="2:7" x14ac:dyDescent="0.25">
      <c r="B208" t="str">
        <v>Fulton Hogan Kembla GrangeOG10 A15E SLAG R119</v>
      </c>
      <c r="C208" t="str">
        <v>tonne</v>
      </c>
      <c r="D208" s="96">
        <v>96.989176</v>
      </c>
      <c r="E208" s="96">
        <v>9.698917600000001E-2</v>
      </c>
      <c r="F208" s="96">
        <v>0</v>
      </c>
      <c r="G208" s="96">
        <v>0</v>
      </c>
    </row>
    <row r="209" spans="2:7" x14ac:dyDescent="0.25">
      <c r="B209" t="str">
        <v xml:space="preserve">Downer Bli Bli Asphalt Manufacturing FacilityAC14 A15E R15 </v>
      </c>
      <c r="C209" t="str">
        <v>tonne</v>
      </c>
      <c r="D209" s="96">
        <v>87.490142000000006</v>
      </c>
      <c r="E209" s="96">
        <v>8.7490142000000007E-2</v>
      </c>
      <c r="F209" s="96">
        <v>0</v>
      </c>
      <c r="G209" s="96">
        <v>0</v>
      </c>
    </row>
    <row r="210" spans="2:7" x14ac:dyDescent="0.25">
      <c r="B210" t="str">
        <v>Downer Brisbane Sustainable Road Resource Centre, BrendaleAC14 A15E R15</v>
      </c>
      <c r="C210" t="str">
        <v>tonne</v>
      </c>
      <c r="D210" s="96">
        <v>78.190333999999993</v>
      </c>
      <c r="E210" s="96">
        <v>7.8190333999999986E-2</v>
      </c>
      <c r="F210" s="96">
        <v>0</v>
      </c>
      <c r="G210" s="96">
        <v>0</v>
      </c>
    </row>
    <row r="211" spans="2:7" x14ac:dyDescent="0.25">
      <c r="B211" t="str">
        <v>Fulton Hogan LaraSize 10, 14mm DGA Type HP</v>
      </c>
      <c r="C211" t="str">
        <v>tonne</v>
      </c>
      <c r="D211" s="96">
        <v>78.389038999999997</v>
      </c>
      <c r="E211" s="96">
        <v>7.8389038999999994E-2</v>
      </c>
      <c r="F211" s="96">
        <v>0</v>
      </c>
      <c r="G211" s="96">
        <v>0</v>
      </c>
    </row>
    <row r="212" spans="2:7" x14ac:dyDescent="0.25">
      <c r="B212" t="str">
        <v>Fulton Hogan Eastern CreekDG14 A15E R116 SLAG</v>
      </c>
      <c r="C212" t="str">
        <v>tonne</v>
      </c>
      <c r="D212" s="96">
        <v>95.384783999999996</v>
      </c>
      <c r="E212" s="96">
        <v>9.5384784E-2</v>
      </c>
      <c r="F212" s="96">
        <v>0</v>
      </c>
      <c r="G212" s="96">
        <v>0</v>
      </c>
    </row>
    <row r="213" spans="2:7" x14ac:dyDescent="0.25">
      <c r="B213" t="str">
        <v>Fulton Hogan Bushells RidgeDG14 A15E R116 SLAG</v>
      </c>
      <c r="C213" t="str">
        <v>tonne</v>
      </c>
      <c r="D213" s="96">
        <v>94.984581000000006</v>
      </c>
      <c r="E213" s="96">
        <v>9.4984581000000012E-2</v>
      </c>
      <c r="F213" s="96">
        <v>0</v>
      </c>
      <c r="G213" s="96">
        <v>0</v>
      </c>
    </row>
    <row r="214" spans="2:7" x14ac:dyDescent="0.25">
      <c r="B214" t="str">
        <v>Fulton Hogan Eastern CreekDG14 A15E AS2150 R15%</v>
      </c>
      <c r="C214" t="str">
        <v>tonne</v>
      </c>
      <c r="D214" s="96">
        <v>84.685973000000004</v>
      </c>
      <c r="E214" s="96">
        <v>8.4685972999999998E-2</v>
      </c>
      <c r="F214" s="96">
        <v>0</v>
      </c>
      <c r="G214" s="96">
        <v>0</v>
      </c>
    </row>
    <row r="215" spans="2:7" x14ac:dyDescent="0.25">
      <c r="B215" t="str">
        <v>Fulton Hogan DandenongDoT - Section 417 Open Graded Asphalt (OGA)</v>
      </c>
      <c r="C215" t="str">
        <v>tonne</v>
      </c>
      <c r="D215" s="96">
        <v>83.885619000000005</v>
      </c>
      <c r="E215" s="96">
        <v>8.3885618999999995E-2</v>
      </c>
      <c r="F215" s="96">
        <v>0</v>
      </c>
      <c r="G215" s="96">
        <v>0</v>
      </c>
    </row>
    <row r="216" spans="2:7" x14ac:dyDescent="0.25">
      <c r="B216" t="str">
        <v xml:space="preserve">Downer Bli Bli Asphalt Manufacturing FacilityAC20 A15E </v>
      </c>
      <c r="C216" t="str">
        <v>tonne</v>
      </c>
      <c r="D216" s="96">
        <v>83.484331999999995</v>
      </c>
      <c r="E216" s="96">
        <v>8.3484332000000008E-2</v>
      </c>
      <c r="F216" s="96">
        <v>0</v>
      </c>
      <c r="G216" s="96">
        <v>0</v>
      </c>
    </row>
    <row r="217" spans="2:7" x14ac:dyDescent="0.25">
      <c r="B217" t="str">
        <v>Fulton Hogan DandenongSize 10mm DGA Fine</v>
      </c>
      <c r="C217" t="str">
        <v>tonne</v>
      </c>
      <c r="D217" s="96">
        <v>87.183494999999994</v>
      </c>
      <c r="E217" s="96">
        <v>8.7183495E-2</v>
      </c>
      <c r="F217" s="96">
        <v>0</v>
      </c>
      <c r="G217" s="96">
        <v>0</v>
      </c>
    </row>
    <row r="218" spans="2:7" x14ac:dyDescent="0.25">
      <c r="B218" t="str">
        <v>Downer Brisbane Sustainable Road Resource Centre, BrendaleAC10 R40 Reconophalt</v>
      </c>
      <c r="C218" t="str">
        <v>tonne</v>
      </c>
      <c r="D218" s="96">
        <v>51.889219999999995</v>
      </c>
      <c r="E218" s="96">
        <v>5.188922E-2</v>
      </c>
      <c r="F218" s="96">
        <v>0</v>
      </c>
      <c r="G218" s="96">
        <v>0</v>
      </c>
    </row>
    <row r="219" spans="2:7" x14ac:dyDescent="0.25">
      <c r="B219" t="str">
        <v>Fulton Hogan DandenongSize 10, 14mm DGA Type HP</v>
      </c>
      <c r="C219" t="str">
        <v>tonne</v>
      </c>
      <c r="D219" s="96">
        <v>80.082596000000009</v>
      </c>
      <c r="E219" s="96">
        <v>8.0082595999999992E-2</v>
      </c>
      <c r="F219" s="96">
        <v>0</v>
      </c>
      <c r="G219" s="96">
        <v>0</v>
      </c>
    </row>
    <row r="220" spans="2:7" x14ac:dyDescent="0.25">
      <c r="B220" t="str">
        <v>Downer Brisbane Sustainable Road Resource Centre, BrendaleAC14 A15E R20 BCC</v>
      </c>
      <c r="C220" t="str">
        <v>tonne</v>
      </c>
      <c r="D220" s="96">
        <v>68.784027000000009</v>
      </c>
      <c r="E220" s="96">
        <v>6.8784026999999998E-2</v>
      </c>
      <c r="F220" s="96">
        <v>0</v>
      </c>
      <c r="G220" s="96">
        <v>0</v>
      </c>
    </row>
    <row r="221" spans="2:7" x14ac:dyDescent="0.25">
      <c r="B221" t="str">
        <v>Downer Shepparton Asphalt Manufacturing FacilityAC10 R10 NH</v>
      </c>
      <c r="C221" t="str">
        <v>tonne</v>
      </c>
      <c r="D221" s="96">
        <v>74.381095500000001</v>
      </c>
      <c r="E221" s="96">
        <v>7.4381095499999994E-2</v>
      </c>
      <c r="F221" s="96">
        <v>0</v>
      </c>
      <c r="G221" s="96">
        <v>0</v>
      </c>
    </row>
    <row r="222" spans="2:7" x14ac:dyDescent="0.25">
      <c r="B222" t="str">
        <v>Downer Shepparton Asphalt Manufacturing FacilityAC14 R10 H</v>
      </c>
      <c r="C222" t="str">
        <v>tonne</v>
      </c>
      <c r="D222" s="96">
        <v>73.781190800000005</v>
      </c>
      <c r="E222" s="96">
        <v>7.3781190800000007E-2</v>
      </c>
      <c r="F222" s="96">
        <v>0</v>
      </c>
      <c r="G222" s="96">
        <v>0</v>
      </c>
    </row>
    <row r="223" spans="2:7" x14ac:dyDescent="0.25">
      <c r="B223" t="str">
        <v>Fulton Hogan Kembla GrangeDG14 AR450 R118 CR</v>
      </c>
      <c r="C223" t="str">
        <v>tonne</v>
      </c>
      <c r="D223" s="96">
        <v>92.773347000000001</v>
      </c>
      <c r="E223" s="96">
        <v>9.2773347000000006E-2</v>
      </c>
      <c r="F223" s="96">
        <v>0</v>
      </c>
      <c r="G223" s="96">
        <v>0</v>
      </c>
    </row>
    <row r="224" spans="2:7" x14ac:dyDescent="0.25">
      <c r="B224" t="str">
        <v>Downer Hume Asphalt Manufacturing FacilityAC10 H</v>
      </c>
      <c r="C224" t="str">
        <v>tonne</v>
      </c>
      <c r="D224" s="96">
        <v>78.275803999999994</v>
      </c>
      <c r="E224" s="96">
        <v>7.8275804000000004E-2</v>
      </c>
      <c r="F224" s="96">
        <v>0</v>
      </c>
      <c r="G224" s="96">
        <v>0</v>
      </c>
    </row>
    <row r="225" spans="2:7" x14ac:dyDescent="0.25">
      <c r="B225" t="str">
        <v>Downer Hume Asphalt Manufacturing FacilityAC14 H</v>
      </c>
      <c r="C225" t="str">
        <v>tonne</v>
      </c>
      <c r="D225" s="96">
        <v>76.374797100000009</v>
      </c>
      <c r="E225" s="96">
        <v>7.6374797099999989E-2</v>
      </c>
      <c r="F225" s="96">
        <v>0</v>
      </c>
      <c r="G225" s="96">
        <v>0</v>
      </c>
    </row>
    <row r="226" spans="2:7" x14ac:dyDescent="0.25">
      <c r="B226" t="str">
        <v>Downer Teralba Asphalt Manufacturing FacilityAC14</v>
      </c>
      <c r="C226" t="str">
        <v>tonne</v>
      </c>
      <c r="D226" s="96">
        <v>82.072203000000002</v>
      </c>
      <c r="E226" s="96">
        <v>8.207220300000001E-2</v>
      </c>
      <c r="F226" s="96">
        <v>0</v>
      </c>
      <c r="G226" s="96">
        <v>0</v>
      </c>
    </row>
    <row r="227" spans="2:7" x14ac:dyDescent="0.25">
      <c r="B227" t="str">
        <v>Downer Hume Asphalt Manufacturing FacilityAC10 R15 H</v>
      </c>
      <c r="C227" t="str">
        <v>tonne</v>
      </c>
      <c r="D227" s="96">
        <v>77.372403999999989</v>
      </c>
      <c r="E227" s="96">
        <v>7.7372403999999992E-2</v>
      </c>
      <c r="F227" s="96">
        <v>0</v>
      </c>
      <c r="G227" s="96">
        <v>0</v>
      </c>
    </row>
    <row r="228" spans="2:7" x14ac:dyDescent="0.25">
      <c r="B228" t="str">
        <v xml:space="preserve">Downer Mackay Asphalt Manufacturing FacilityAC10 H 4098 </v>
      </c>
      <c r="C228" t="str">
        <v>tonne</v>
      </c>
      <c r="D228" s="96">
        <v>91.366024999999993</v>
      </c>
      <c r="E228" s="96">
        <v>9.136602499999999E-2</v>
      </c>
      <c r="F228" s="96">
        <v>0</v>
      </c>
      <c r="G228" s="96">
        <v>0</v>
      </c>
    </row>
    <row r="229" spans="2:7" x14ac:dyDescent="0.25">
      <c r="B229" t="str">
        <v>Fulton Hogan Bushells RidgeDG14 AR450 R118 CR</v>
      </c>
      <c r="C229" t="str">
        <v>tonne</v>
      </c>
      <c r="D229" s="96">
        <v>97.262847000000008</v>
      </c>
      <c r="E229" s="96">
        <v>9.7262847000000013E-2</v>
      </c>
      <c r="F229" s="96">
        <v>0</v>
      </c>
      <c r="G229" s="96">
        <v>0</v>
      </c>
    </row>
    <row r="230" spans="2:7" x14ac:dyDescent="0.25">
      <c r="B230" t="str">
        <v xml:space="preserve">Downer Mackay Asphalt Manufacturing FacilityAC10 </v>
      </c>
      <c r="C230" t="str">
        <v>tonne</v>
      </c>
      <c r="D230" s="96">
        <v>89.265630000000002</v>
      </c>
      <c r="E230" s="96">
        <v>8.9265629999999999E-2</v>
      </c>
      <c r="F230" s="96">
        <v>0</v>
      </c>
      <c r="G230" s="96">
        <v>0</v>
      </c>
    </row>
    <row r="231" spans="2:7" x14ac:dyDescent="0.25">
      <c r="B231" t="str">
        <v>Downer Albany Asphalt Manufacturing FacilityAC 07</v>
      </c>
      <c r="C231" t="str">
        <v>tonne</v>
      </c>
      <c r="D231" s="96">
        <v>70.972014000000001</v>
      </c>
      <c r="E231" s="96">
        <v>7.0972014E-2</v>
      </c>
      <c r="F231" s="96">
        <v>0</v>
      </c>
      <c r="G231" s="96">
        <v>0</v>
      </c>
    </row>
    <row r="232" spans="2:7" x14ac:dyDescent="0.25">
      <c r="B232" t="str">
        <v>Downer Hope Valley Asphalt Manufacturing FacilityEME2 14</v>
      </c>
      <c r="C232" t="str">
        <v>tonne</v>
      </c>
      <c r="D232" s="96">
        <v>72.371112999999994</v>
      </c>
      <c r="E232" s="96">
        <v>7.2371113000000001E-2</v>
      </c>
      <c r="F232" s="96">
        <v>0</v>
      </c>
      <c r="G232" s="96">
        <v>0</v>
      </c>
    </row>
    <row r="233" spans="2:7" x14ac:dyDescent="0.25">
      <c r="B233" t="str">
        <v>Downer Teralba Asphalt Manufacturing FacilityAC14 R10 H</v>
      </c>
      <c r="C233" t="str">
        <v>tonne</v>
      </c>
      <c r="D233" s="96">
        <v>78.967294300000006</v>
      </c>
      <c r="E233" s="96">
        <v>7.8967294300000018E-2</v>
      </c>
      <c r="F233" s="96">
        <v>0</v>
      </c>
      <c r="G233" s="96">
        <v>0</v>
      </c>
    </row>
    <row r="234" spans="2:7" x14ac:dyDescent="0.25">
      <c r="B234" t="str">
        <v xml:space="preserve">Downer Mackay Asphalt Manufacturing FacilityAC14 4906 </v>
      </c>
      <c r="C234" t="str">
        <v>tonne</v>
      </c>
      <c r="D234" s="96">
        <v>86.364110999999994</v>
      </c>
      <c r="E234" s="96">
        <v>8.6364110999999993E-2</v>
      </c>
      <c r="F234" s="96">
        <v>0</v>
      </c>
      <c r="G234" s="96">
        <v>0</v>
      </c>
    </row>
    <row r="235" spans="2:7" x14ac:dyDescent="0.25">
      <c r="B235" t="str">
        <v>Downer Teralba Asphalt Manufacturing FacilityAC10 R20</v>
      </c>
      <c r="C235" t="str">
        <v>tonne</v>
      </c>
      <c r="D235" s="96">
        <v>80.866202999999999</v>
      </c>
      <c r="E235" s="96">
        <v>8.0866202999999998E-2</v>
      </c>
      <c r="F235" s="96">
        <v>0</v>
      </c>
      <c r="G235" s="96">
        <v>0</v>
      </c>
    </row>
    <row r="236" spans="2:7" x14ac:dyDescent="0.25">
      <c r="B236" t="str">
        <v xml:space="preserve">Downer Mackay Asphalt Manufacturing FacilityAC14 </v>
      </c>
      <c r="C236" t="str">
        <v>tonne</v>
      </c>
      <c r="D236" s="96">
        <v>83.264213999999996</v>
      </c>
      <c r="E236" s="96">
        <v>8.3264213999999989E-2</v>
      </c>
      <c r="F236" s="96">
        <v>0</v>
      </c>
      <c r="G236" s="96">
        <v>0</v>
      </c>
    </row>
    <row r="237" spans="2:7" x14ac:dyDescent="0.25">
      <c r="B237" t="str">
        <v>Fulton Hogan DandenongSize 14mm PlastiPhalt ®</v>
      </c>
      <c r="C237" t="str">
        <v>tonne</v>
      </c>
      <c r="D237" s="96">
        <v>73.468236000000005</v>
      </c>
      <c r="E237" s="96">
        <v>7.3468236000000006E-2</v>
      </c>
      <c r="F237" s="96">
        <v>0</v>
      </c>
      <c r="G237" s="96">
        <v>0</v>
      </c>
    </row>
    <row r="238" spans="2:7" x14ac:dyDescent="0.25">
      <c r="B238" t="str">
        <v>Downer Teralba Asphalt Manufacturing FacilityAC14 R20 H</v>
      </c>
      <c r="C238" t="str">
        <v>tonne</v>
      </c>
      <c r="D238" s="96">
        <v>76.564487500000013</v>
      </c>
      <c r="E238" s="96">
        <v>7.65644875E-2</v>
      </c>
      <c r="F238" s="96">
        <v>0</v>
      </c>
      <c r="G238" s="96">
        <v>0</v>
      </c>
    </row>
    <row r="239" spans="2:7" x14ac:dyDescent="0.25">
      <c r="B239" t="str">
        <v>Downer Lismore Asphalt Manufacturing FacilityAC10 H</v>
      </c>
      <c r="C239" t="str">
        <v>tonne</v>
      </c>
      <c r="D239" s="96">
        <v>74.765012999999996</v>
      </c>
      <c r="E239" s="96">
        <v>7.4765013000000005E-2</v>
      </c>
      <c r="F239" s="96">
        <v>0</v>
      </c>
      <c r="G239" s="96">
        <v>0</v>
      </c>
    </row>
    <row r="240" spans="2:7" x14ac:dyDescent="0.25">
      <c r="B240" t="str">
        <v>Downer Gosnells Asphalt Manufacturing FacilityAC20 C600 R9 2C4B00</v>
      </c>
      <c r="C240" t="str">
        <v>tonne</v>
      </c>
      <c r="D240" s="96">
        <v>62.970272099999995</v>
      </c>
      <c r="E240" s="96">
        <v>6.2970272100000002E-2</v>
      </c>
      <c r="F240" s="96">
        <v>0</v>
      </c>
      <c r="G240" s="96">
        <v>0</v>
      </c>
    </row>
    <row r="241" spans="2:7" x14ac:dyDescent="0.25">
      <c r="B241" t="str">
        <v>Downer Albany Asphalt Manufacturing FacilityAC14</v>
      </c>
      <c r="C241" t="str">
        <v>tonne</v>
      </c>
      <c r="D241" s="96">
        <v>65.168694700000003</v>
      </c>
      <c r="E241" s="96">
        <v>6.5168694699999988E-2</v>
      </c>
      <c r="F241" s="96">
        <v>0</v>
      </c>
      <c r="G241" s="96">
        <v>0</v>
      </c>
    </row>
    <row r="242" spans="2:7" x14ac:dyDescent="0.25">
      <c r="B242" t="str">
        <v>Downer Wodonga Asphalt Manufacturing FacilityAC10 R10 Reconophalt</v>
      </c>
      <c r="C242" t="str">
        <v>tonne</v>
      </c>
      <c r="D242" s="96">
        <v>78.661805000000001</v>
      </c>
      <c r="E242" s="96">
        <v>7.8661804999999987E-2</v>
      </c>
      <c r="F242" s="96">
        <v>0</v>
      </c>
      <c r="G242" s="96">
        <v>0</v>
      </c>
    </row>
    <row r="243" spans="2:7" x14ac:dyDescent="0.25">
      <c r="B243" t="str">
        <v>Fulton Hogan LaraSize 10mm LTCRA ≤10% RAP ≤5% Glass</v>
      </c>
      <c r="C243" t="str">
        <v>tonne</v>
      </c>
      <c r="D243" s="96">
        <v>60.770132000000004</v>
      </c>
      <c r="E243" s="96">
        <v>6.0770132000000004E-2</v>
      </c>
      <c r="F243" s="96">
        <v>0</v>
      </c>
      <c r="G243" s="96">
        <v>0</v>
      </c>
    </row>
    <row r="244" spans="2:7" x14ac:dyDescent="0.25">
      <c r="B244" t="str">
        <v>Downer Lismore Asphalt Manufacturing FacilityAC10</v>
      </c>
      <c r="C244" t="str">
        <v>tonne</v>
      </c>
      <c r="D244" s="96">
        <v>67.765217000000007</v>
      </c>
      <c r="E244" s="96">
        <v>6.7765216999999989E-2</v>
      </c>
      <c r="F244" s="96">
        <v>0</v>
      </c>
      <c r="G244" s="96">
        <v>0</v>
      </c>
    </row>
    <row r="245" spans="2:7" x14ac:dyDescent="0.25">
      <c r="B245" t="str">
        <v>Downer Wodonga Asphalt Manufacturing FacilityAC14 R20 H</v>
      </c>
      <c r="C245" t="str">
        <v>tonne</v>
      </c>
      <c r="D245" s="96">
        <v>77.559905000000001</v>
      </c>
      <c r="E245" s="96">
        <v>7.7559904999999998E-2</v>
      </c>
      <c r="F245" s="96">
        <v>0</v>
      </c>
      <c r="G245" s="96">
        <v>0</v>
      </c>
    </row>
    <row r="246" spans="2:7" x14ac:dyDescent="0.25">
      <c r="B246" t="str">
        <v>Fulton Hogan Bushells RidgeDG14 AR450 R116 G2.5%</v>
      </c>
      <c r="C246" t="str">
        <v>tonne</v>
      </c>
      <c r="D246" s="96">
        <v>80.358109999999996</v>
      </c>
      <c r="E246" s="96">
        <v>8.0358109999999983E-2</v>
      </c>
      <c r="F246" s="96">
        <v>0</v>
      </c>
      <c r="G246" s="96">
        <v>0</v>
      </c>
    </row>
    <row r="247" spans="2:7" x14ac:dyDescent="0.25">
      <c r="B247" t="str">
        <v>Downer Teralba Asphalt Manufacturing FacilityAC20 R25 H</v>
      </c>
      <c r="C247" t="str">
        <v>tonne</v>
      </c>
      <c r="D247" s="96">
        <v>73.161578699999993</v>
      </c>
      <c r="E247" s="96">
        <v>7.3161578700000007E-2</v>
      </c>
      <c r="F247" s="96">
        <v>0</v>
      </c>
      <c r="G247" s="96">
        <v>0</v>
      </c>
    </row>
    <row r="248" spans="2:7" x14ac:dyDescent="0.25">
      <c r="B248" t="str">
        <v>Fulton Hogan Kembla GrangeDG14 AR450 R116 R15% G≤10%*</v>
      </c>
      <c r="C248" t="str">
        <v>tonne</v>
      </c>
      <c r="D248" s="96">
        <v>69.463091800000015</v>
      </c>
      <c r="E248" s="96">
        <v>6.9463091800000001E-2</v>
      </c>
      <c r="F248" s="96">
        <v>0</v>
      </c>
      <c r="G248" s="96">
        <v>0</v>
      </c>
    </row>
    <row r="249" spans="2:7" x14ac:dyDescent="0.25">
      <c r="B249" t="str">
        <v>Downer Swanbank Asphalt Manufacturing FacilityAC14</v>
      </c>
      <c r="C249" t="str">
        <v>tonne</v>
      </c>
      <c r="D249" s="96">
        <v>79.956705000000014</v>
      </c>
      <c r="E249" s="96">
        <v>7.9956705000000003E-2</v>
      </c>
      <c r="F249" s="96">
        <v>0</v>
      </c>
      <c r="G249" s="96">
        <v>0</v>
      </c>
    </row>
    <row r="250" spans="2:7" x14ac:dyDescent="0.25">
      <c r="B250" t="str">
        <v>Downer Gippsland Asphalt Manufacturing FacilityAC10</v>
      </c>
      <c r="C250" t="str">
        <v>tonne</v>
      </c>
      <c r="D250" s="96">
        <v>77.557811999999998</v>
      </c>
      <c r="E250" s="96">
        <v>7.755781199999999E-2</v>
      </c>
      <c r="F250" s="96">
        <v>0</v>
      </c>
      <c r="G250" s="96">
        <v>0</v>
      </c>
    </row>
    <row r="251" spans="2:7" x14ac:dyDescent="0.25">
      <c r="B251" t="str">
        <v>Downer Hope Valley Asphalt Manufacturing FacilityAC10 1E0A00</v>
      </c>
      <c r="C251" t="str">
        <v>tonne</v>
      </c>
      <c r="D251" s="96">
        <v>63.465297999999997</v>
      </c>
      <c r="E251" s="96">
        <v>6.3465298000000003E-2</v>
      </c>
      <c r="F251" s="96">
        <v>0</v>
      </c>
      <c r="G251" s="96">
        <v>0</v>
      </c>
    </row>
    <row r="252" spans="2:7" x14ac:dyDescent="0.25">
      <c r="B252" t="str">
        <v>Fulton Hogan Eastern CreekDG10 AR450 R116 R15% G≤2.5%*</v>
      </c>
      <c r="C252" t="str">
        <v>tonne</v>
      </c>
      <c r="D252" s="96">
        <v>81.655117000000004</v>
      </c>
      <c r="E252" s="96">
        <v>8.1655116999999999E-2</v>
      </c>
      <c r="F252" s="96">
        <v>0</v>
      </c>
      <c r="G252" s="96">
        <v>0</v>
      </c>
    </row>
    <row r="253" spans="2:7" x14ac:dyDescent="0.25">
      <c r="B253" t="str">
        <v>Downer Gosnells Asphalt Manufacturing FacilityAC20 R24 2C0E00</v>
      </c>
      <c r="C253" t="str">
        <v>tonne</v>
      </c>
      <c r="D253" s="96">
        <v>60.566167199999995</v>
      </c>
      <c r="E253" s="96">
        <v>6.05661672E-2</v>
      </c>
      <c r="F253" s="96">
        <v>0</v>
      </c>
      <c r="G253" s="96">
        <v>0</v>
      </c>
    </row>
    <row r="254" spans="2:7" x14ac:dyDescent="0.25">
      <c r="B254" t="str">
        <v>Downer Sydney Sustainable Road Resource Centre, RosehillAC14 R20 HD</v>
      </c>
      <c r="C254" t="str">
        <v>tonne</v>
      </c>
      <c r="D254" s="96">
        <v>75.657483200000001</v>
      </c>
      <c r="E254" s="96">
        <v>7.56574832E-2</v>
      </c>
      <c r="F254" s="96">
        <v>0</v>
      </c>
      <c r="G254" s="96">
        <v>0</v>
      </c>
    </row>
    <row r="255" spans="2:7" x14ac:dyDescent="0.25">
      <c r="B255" t="str">
        <v>Downer Swanbank Asphalt Manufacturing FacilityAC20</v>
      </c>
      <c r="C255" t="str">
        <v>tonne</v>
      </c>
      <c r="D255" s="96">
        <v>77.856099999999998</v>
      </c>
      <c r="E255" s="96">
        <v>7.7856099999999998E-2</v>
      </c>
      <c r="F255" s="96">
        <v>0</v>
      </c>
      <c r="G255" s="96">
        <v>0</v>
      </c>
    </row>
    <row r="256" spans="2:7" x14ac:dyDescent="0.25">
      <c r="B256" t="str">
        <v>Downer Adelaide Sustainable Road Resource Centre, WingfieldAC7 R10</v>
      </c>
      <c r="C256" t="str">
        <v>tonne</v>
      </c>
      <c r="D256" s="96">
        <v>72.257209000000003</v>
      </c>
      <c r="E256" s="96">
        <v>7.2257209000000003E-2</v>
      </c>
      <c r="F256" s="96">
        <v>0</v>
      </c>
      <c r="G256" s="96">
        <v>0</v>
      </c>
    </row>
    <row r="257" spans="2:7" x14ac:dyDescent="0.25">
      <c r="B257" t="str">
        <v>Fulton Hogan LaraSize 20mm DGA Type SF 10-20% RAP</v>
      </c>
      <c r="C257" t="str">
        <v>tonne</v>
      </c>
      <c r="D257" s="96">
        <v>56.466112999999993</v>
      </c>
      <c r="E257" s="96">
        <v>5.6466112999999998E-2</v>
      </c>
      <c r="F257" s="96">
        <v>0</v>
      </c>
      <c r="G257" s="96">
        <v>0</v>
      </c>
    </row>
    <row r="258" spans="2:7" x14ac:dyDescent="0.25">
      <c r="B258" t="str">
        <v>Downer Reconophalt NSWAC20 AR450 A</v>
      </c>
      <c r="C258" t="str">
        <v>tonne</v>
      </c>
      <c r="D258" s="96">
        <v>62.960511000000004</v>
      </c>
      <c r="E258" s="96">
        <v>6.2960510999999997E-2</v>
      </c>
      <c r="F258" s="96">
        <v>0</v>
      </c>
      <c r="G258" s="96">
        <v>0</v>
      </c>
    </row>
    <row r="259" spans="2:7" x14ac:dyDescent="0.25">
      <c r="B259" t="str">
        <v xml:space="preserve">Downer Bli Bli Asphalt Manufacturing FacilityAC14 </v>
      </c>
      <c r="C259" t="str">
        <v>tonne</v>
      </c>
      <c r="D259" s="96">
        <v>80.848900999999998</v>
      </c>
      <c r="E259" s="96">
        <v>8.0848901000000001E-2</v>
      </c>
      <c r="F259" s="96">
        <v>0</v>
      </c>
      <c r="G259" s="96">
        <v>0</v>
      </c>
    </row>
    <row r="260" spans="2:7" x14ac:dyDescent="0.25">
      <c r="B260" t="str">
        <v>Fulton Hogan Kembla GrangeDG07 AR450 AS2150</v>
      </c>
      <c r="C260" t="str">
        <v>tonne</v>
      </c>
      <c r="D260" s="96">
        <v>79.249724000000001</v>
      </c>
      <c r="E260" s="96">
        <v>7.9249724000000007E-2</v>
      </c>
      <c r="F260" s="96">
        <v>0</v>
      </c>
      <c r="G260" s="96">
        <v>0</v>
      </c>
    </row>
    <row r="261" spans="2:7" x14ac:dyDescent="0.25">
      <c r="B261" t="str">
        <v xml:space="preserve">Downer Archerfield Asphalt Manufacturing FacilityC14 R15 </v>
      </c>
      <c r="C261" t="str">
        <v>tonne</v>
      </c>
      <c r="D261" s="96">
        <v>77.150897499999985</v>
      </c>
      <c r="E261" s="96">
        <v>7.7150897499999996E-2</v>
      </c>
      <c r="F261" s="96">
        <v>0</v>
      </c>
      <c r="G261" s="96">
        <v>0</v>
      </c>
    </row>
    <row r="262" spans="2:7" x14ac:dyDescent="0.25">
      <c r="B262" t="str">
        <v>Fulton Hogan Eastern CreekDG10 AR450 AS2150/AUSPEC/R117 R20% G≤2.5%*</v>
      </c>
      <c r="C262" t="str">
        <v>tonne</v>
      </c>
      <c r="D262" s="96">
        <v>71.853118999999992</v>
      </c>
      <c r="E262" s="96">
        <v>7.1853119000000007E-2</v>
      </c>
      <c r="F262" s="96">
        <v>0</v>
      </c>
      <c r="G262" s="96">
        <v>0</v>
      </c>
    </row>
    <row r="263" spans="2:7" x14ac:dyDescent="0.25">
      <c r="B263" t="str">
        <v>Fulton Hogan Eastern CreekDG14 AR450 R116 R20% G≤2.5%*</v>
      </c>
      <c r="C263" t="str">
        <v>tonne</v>
      </c>
      <c r="D263" s="96">
        <v>74.75109040000001</v>
      </c>
      <c r="E263" s="96">
        <v>7.4751090399999998E-2</v>
      </c>
      <c r="F263" s="96">
        <v>0</v>
      </c>
      <c r="G263" s="96">
        <v>0</v>
      </c>
    </row>
    <row r="264" spans="2:7" x14ac:dyDescent="0.25">
      <c r="B264" t="str">
        <v>Downer Sydney Sustainable Road Resource Centre, RosehillAC20 R30</v>
      </c>
      <c r="C264" t="str">
        <v>tonne</v>
      </c>
      <c r="D264" s="96">
        <v>69.352870699999997</v>
      </c>
      <c r="E264" s="96">
        <v>6.9352870699999999E-2</v>
      </c>
      <c r="F264" s="96">
        <v>0</v>
      </c>
      <c r="G264" s="96">
        <v>0</v>
      </c>
    </row>
    <row r="265" spans="2:7" x14ac:dyDescent="0.25">
      <c r="B265" t="str">
        <v>Fulton Hogan Bushells RidgeDG07 AR450 R116</v>
      </c>
      <c r="C265" t="str">
        <v>tonne</v>
      </c>
      <c r="D265" s="96">
        <v>87.640128000000004</v>
      </c>
      <c r="E265" s="96">
        <v>8.7640127999999998E-2</v>
      </c>
      <c r="F265" s="96">
        <v>0</v>
      </c>
      <c r="G265" s="96">
        <v>0</v>
      </c>
    </row>
    <row r="266" spans="2:7" x14ac:dyDescent="0.25">
      <c r="B266" t="str">
        <v>Fulton Hogan Kembla GrangeEME2</v>
      </c>
      <c r="C266" t="str">
        <v>tonne</v>
      </c>
      <c r="D266" s="96">
        <v>70.948710000000005</v>
      </c>
      <c r="E266" s="96">
        <v>7.0948709999999998E-2</v>
      </c>
      <c r="F266" s="96">
        <v>0</v>
      </c>
      <c r="G266" s="96">
        <v>0</v>
      </c>
    </row>
    <row r="267" spans="2:7" x14ac:dyDescent="0.25">
      <c r="B267" t="str">
        <v>Downer Sydney Sustainable Road Resource Centre, RosehillAC28 R30</v>
      </c>
      <c r="C267" t="str">
        <v>tonne</v>
      </c>
      <c r="D267" s="96">
        <v>66.351762099999988</v>
      </c>
      <c r="E267" s="96">
        <v>6.6351762100000003E-2</v>
      </c>
      <c r="F267" s="96">
        <v>0</v>
      </c>
      <c r="G267" s="96">
        <v>0</v>
      </c>
    </row>
    <row r="268" spans="2:7" x14ac:dyDescent="0.25">
      <c r="B268" t="str">
        <v>Fulton Hogan DandenongSize 14, 20mm DGA Type SI 20% RAP ≤5% Glass</v>
      </c>
      <c r="C268" t="str">
        <v>tonne</v>
      </c>
      <c r="D268" s="96">
        <v>57.258157000000004</v>
      </c>
      <c r="E268" s="96">
        <v>5.7258156999999997E-2</v>
      </c>
      <c r="F268" s="96">
        <v>0</v>
      </c>
      <c r="G268" s="96">
        <v>0</v>
      </c>
    </row>
    <row r="269" spans="2:7" x14ac:dyDescent="0.25">
      <c r="B269" t="str">
        <v>Downer Hume Asphalt Manufacturing FacilityAC14 R20 HD</v>
      </c>
      <c r="C269" t="str">
        <v>tonne</v>
      </c>
      <c r="D269" s="96">
        <v>73.245671999999999</v>
      </c>
      <c r="E269" s="96">
        <v>7.3245671999999998E-2</v>
      </c>
      <c r="F269" s="96">
        <v>0</v>
      </c>
      <c r="G269" s="96">
        <v>0</v>
      </c>
    </row>
    <row r="270" spans="2:7" x14ac:dyDescent="0.25">
      <c r="B270" t="str">
        <v>Fulton Hogan Bushells RidgeGG10 AR450 AS2150 R10%</v>
      </c>
      <c r="C270" t="str">
        <v>tonne</v>
      </c>
      <c r="D270" s="96">
        <v>82.136022999999994</v>
      </c>
      <c r="E270" s="96">
        <v>8.2136023000000002E-2</v>
      </c>
      <c r="F270" s="96">
        <v>0</v>
      </c>
      <c r="G270" s="96">
        <v>0</v>
      </c>
    </row>
    <row r="271" spans="2:7" x14ac:dyDescent="0.25">
      <c r="B271" t="str">
        <v>Downer Bayswater Asphalt Manufacturing FacilityAC14 H N 302252</v>
      </c>
      <c r="C271" t="str">
        <v>tonne</v>
      </c>
      <c r="D271" s="96">
        <v>58.753772900000001</v>
      </c>
      <c r="E271" s="96">
        <v>5.8753772900000001E-2</v>
      </c>
      <c r="F271" s="96">
        <v>0</v>
      </c>
      <c r="G271" s="96">
        <v>0</v>
      </c>
    </row>
    <row r="272" spans="2:7" x14ac:dyDescent="0.25">
      <c r="B272" t="str">
        <v>Downer Bayswater Asphalt Manufacturing FacilityAC10 R19 H N 302151</v>
      </c>
      <c r="C272" t="str">
        <v>tonne</v>
      </c>
      <c r="D272" s="96">
        <v>58.953574499999995</v>
      </c>
      <c r="E272" s="96">
        <v>5.8953574500000001E-2</v>
      </c>
      <c r="F272" s="96">
        <v>0</v>
      </c>
      <c r="G272" s="96">
        <v>0</v>
      </c>
    </row>
    <row r="273" spans="2:7" x14ac:dyDescent="0.25">
      <c r="B273" t="str">
        <v>Fulton Hogan Kembla GrangeDG10 AR450 R116 R15%</v>
      </c>
      <c r="C273" t="str">
        <v>tonne</v>
      </c>
      <c r="D273" s="96">
        <v>71.942801000000003</v>
      </c>
      <c r="E273" s="96">
        <v>7.1942801000000015E-2</v>
      </c>
      <c r="F273" s="96">
        <v>0</v>
      </c>
      <c r="G273" s="96">
        <v>0</v>
      </c>
    </row>
    <row r="274" spans="2:7" x14ac:dyDescent="0.25">
      <c r="B274" t="str">
        <v>Downer Brisbane Sustainable Road Resource Centre, BrendaleEME14 R15</v>
      </c>
      <c r="C274" t="str">
        <v>tonne</v>
      </c>
      <c r="D274" s="96">
        <v>64.548196000000004</v>
      </c>
      <c r="E274" s="96">
        <v>6.4548196000000002E-2</v>
      </c>
      <c r="F274" s="96">
        <v>0</v>
      </c>
      <c r="G274" s="96">
        <v>0</v>
      </c>
    </row>
    <row r="275" spans="2:7" x14ac:dyDescent="0.25">
      <c r="B275" t="str">
        <v>Downer Brisbane Sustainable Road Resource Centre, BrendaleAC14 R15</v>
      </c>
      <c r="C275" t="str">
        <v>tonne</v>
      </c>
      <c r="D275" s="96">
        <v>66.845784399999999</v>
      </c>
      <c r="E275" s="96">
        <v>6.6845784399999997E-2</v>
      </c>
      <c r="F275" s="96">
        <v>0</v>
      </c>
      <c r="G275" s="96">
        <v>0</v>
      </c>
    </row>
    <row r="276" spans="2:7" x14ac:dyDescent="0.25">
      <c r="B276" t="str">
        <v>Downer Somerton Asphalt Manufacturing FacilityAC20 C600 SS 303316</v>
      </c>
      <c r="C276" t="str">
        <v>tonne</v>
      </c>
      <c r="D276" s="96">
        <v>56.4538808</v>
      </c>
      <c r="E276" s="96">
        <v>5.6453880800000002E-2</v>
      </c>
      <c r="F276" s="96">
        <v>0</v>
      </c>
      <c r="G276" s="96">
        <v>0</v>
      </c>
    </row>
    <row r="277" spans="2:7" x14ac:dyDescent="0.25">
      <c r="B277" t="str">
        <v>Fulton Hogan Bushells RidgeDG10 AR450 R116 R10%</v>
      </c>
      <c r="C277" t="str">
        <v>tonne</v>
      </c>
      <c r="D277" s="96">
        <v>79.234808999999998</v>
      </c>
      <c r="E277" s="96">
        <v>7.9234809000000003E-2</v>
      </c>
      <c r="F277" s="96">
        <v>0</v>
      </c>
      <c r="G277" s="96">
        <v>0</v>
      </c>
    </row>
    <row r="278" spans="2:7" x14ac:dyDescent="0.25">
      <c r="B278" t="str">
        <v>Fulton Hogan Kembla GrangeDG14 AR450 R116 SLAG</v>
      </c>
      <c r="C278" t="str">
        <v>tonne</v>
      </c>
      <c r="D278" s="96">
        <v>73.639302999999984</v>
      </c>
      <c r="E278" s="96">
        <v>7.3639303000000003E-2</v>
      </c>
      <c r="F278" s="96">
        <v>0</v>
      </c>
      <c r="G278" s="96">
        <v>0</v>
      </c>
    </row>
    <row r="279" spans="2:7" x14ac:dyDescent="0.25">
      <c r="B279" t="str">
        <v>Downer Somerton Asphalt Manufacturing FacilityAC14 R19 N H 303252</v>
      </c>
      <c r="C279" t="str">
        <v>tonne</v>
      </c>
      <c r="D279" s="96">
        <v>60.347870399999998</v>
      </c>
      <c r="E279" s="96">
        <v>6.0347870400000003E-2</v>
      </c>
      <c r="F279" s="96">
        <v>0</v>
      </c>
      <c r="G279" s="96">
        <v>0</v>
      </c>
    </row>
    <row r="280" spans="2:7" x14ac:dyDescent="0.25">
      <c r="B280" t="str">
        <v>Downer Mowbray Asphalt Manufacturing FacilityAC14 PSV 54 Type H</v>
      </c>
      <c r="C280" t="str">
        <v>tonne</v>
      </c>
      <c r="D280" s="96">
        <v>61.746089900000001</v>
      </c>
      <c r="E280" s="96">
        <v>6.1746089900000002E-2</v>
      </c>
      <c r="F280" s="96">
        <v>0</v>
      </c>
      <c r="G280" s="96">
        <v>0</v>
      </c>
    </row>
    <row r="281" spans="2:7" x14ac:dyDescent="0.25">
      <c r="B281" t="str">
        <v>Downer Mowbray Asphalt Manufacturing FacilityAC14 PSV54 Type N</v>
      </c>
      <c r="C281" t="str">
        <v>tonne</v>
      </c>
      <c r="D281" s="96">
        <v>61.746089900000001</v>
      </c>
      <c r="E281" s="96">
        <v>6.1746089900000002E-2</v>
      </c>
      <c r="F281" s="96">
        <v>0</v>
      </c>
      <c r="G281" s="96">
        <v>0</v>
      </c>
    </row>
    <row r="282" spans="2:7" x14ac:dyDescent="0.25">
      <c r="B282" t="str">
        <v>Downer Bayswater Asphalt Manufacturing FacilityAC20 R37 SF 302324</v>
      </c>
      <c r="C282" t="str">
        <v>tonne</v>
      </c>
      <c r="D282" s="96">
        <v>54.749170300000003</v>
      </c>
      <c r="E282" s="96">
        <v>5.4749170300000011E-2</v>
      </c>
      <c r="F282" s="96">
        <v>0</v>
      </c>
      <c r="G282" s="96">
        <v>0</v>
      </c>
    </row>
    <row r="283" spans="2:7" x14ac:dyDescent="0.25">
      <c r="B283" t="str">
        <v>Fulton Hogan Kembla GrangeDG10 AR450 AS2150 R15%</v>
      </c>
      <c r="C283" t="str">
        <v>tonne</v>
      </c>
      <c r="D283" s="96">
        <v>61.342000999999996</v>
      </c>
      <c r="E283" s="96">
        <v>6.1342001E-2</v>
      </c>
      <c r="F283" s="96">
        <v>0</v>
      </c>
      <c r="G283" s="96">
        <v>0</v>
      </c>
    </row>
    <row r="284" spans="2:7" x14ac:dyDescent="0.25">
      <c r="B284" t="str">
        <v>Fulton Hogan Kembla GrangeDG28 AR450 R116 R25%</v>
      </c>
      <c r="C284" t="str">
        <v>tonne</v>
      </c>
      <c r="D284" s="96">
        <v>64.537068300000001</v>
      </c>
      <c r="E284" s="96">
        <v>6.45370683E-2</v>
      </c>
      <c r="F284" s="96">
        <v>0</v>
      </c>
      <c r="G284" s="96">
        <v>0</v>
      </c>
    </row>
    <row r="285" spans="2:7" x14ac:dyDescent="0.25">
      <c r="B285" t="str">
        <v>Downer Brisbane Sustainable Road Resource Centre, BrendaleAC14 R20 BCC</v>
      </c>
      <c r="C285" t="str">
        <v>tonne</v>
      </c>
      <c r="D285" s="96">
        <v>57.941580099999996</v>
      </c>
      <c r="E285" s="96">
        <v>5.7941580100000001E-2</v>
      </c>
      <c r="F285" s="96">
        <v>0</v>
      </c>
      <c r="G285" s="96">
        <v>0</v>
      </c>
    </row>
    <row r="286" spans="2:7" x14ac:dyDescent="0.25">
      <c r="B286" t="str">
        <v>Fulton Hogan Kembla GrangeDG14 AR450 AS2150 R20%</v>
      </c>
      <c r="C286" t="str">
        <v>tonne</v>
      </c>
      <c r="D286" s="96">
        <v>57.9392864</v>
      </c>
      <c r="E286" s="96">
        <v>5.7939286400000005E-2</v>
      </c>
      <c r="F286" s="96">
        <v>0</v>
      </c>
      <c r="G286" s="96">
        <v>0</v>
      </c>
    </row>
    <row r="287" spans="2:7" x14ac:dyDescent="0.25">
      <c r="B287" t="str">
        <v>Downer Adelaide Sustainable Road Resource Centre, WingfieldAC10 R50 Reconophalt Fine</v>
      </c>
      <c r="C287" t="str">
        <v>tonne</v>
      </c>
      <c r="D287" s="96">
        <v>53.543171400000006</v>
      </c>
      <c r="E287" s="96">
        <v>5.3543171399999999E-2</v>
      </c>
      <c r="F287" s="96">
        <v>0</v>
      </c>
      <c r="G287" s="96">
        <v>0</v>
      </c>
    </row>
    <row r="288" spans="2:7" x14ac:dyDescent="0.25">
      <c r="B288" t="str">
        <v>Fulton Hogan LaraSize 7, 10mm DGA Type L</v>
      </c>
      <c r="C288" t="str">
        <v>tonne</v>
      </c>
      <c r="D288" s="96">
        <v>64.628970999999993</v>
      </c>
      <c r="E288" s="96">
        <v>6.462897099999998E-2</v>
      </c>
      <c r="F288" s="96">
        <v>0</v>
      </c>
      <c r="G288" s="96">
        <v>0</v>
      </c>
    </row>
    <row r="289" spans="2:7" x14ac:dyDescent="0.25">
      <c r="B289" t="str">
        <v>Fulton Hogan LaraSize 7, 10, 14mm DGA Type N</v>
      </c>
      <c r="C289" t="str">
        <v>tonne</v>
      </c>
      <c r="D289" s="96">
        <v>62.328158999999992</v>
      </c>
      <c r="E289" s="96">
        <v>6.2328158999999994E-2</v>
      </c>
      <c r="F289" s="96">
        <v>0</v>
      </c>
      <c r="G289" s="96">
        <v>0</v>
      </c>
    </row>
    <row r="290" spans="2:7" x14ac:dyDescent="0.25">
      <c r="B290" t="str">
        <v>Downer Lindisfarne Asphalt Manufacturing FacilityAC10 R10 Reconophalt</v>
      </c>
      <c r="C290" t="str">
        <v>tonne</v>
      </c>
      <c r="D290" s="96">
        <v>63.825209999999998</v>
      </c>
      <c r="E290" s="96">
        <v>6.3825210000000007E-2</v>
      </c>
      <c r="F290" s="96">
        <v>0</v>
      </c>
      <c r="G290" s="96">
        <v>0</v>
      </c>
    </row>
    <row r="291" spans="2:7" x14ac:dyDescent="0.25">
      <c r="B291" t="str">
        <v>Downer Somerton Asphalt Manufacturing FacilityAC20 R29 SI 303313</v>
      </c>
      <c r="C291" t="str">
        <v>tonne</v>
      </c>
      <c r="D291" s="96">
        <v>49.041158899999999</v>
      </c>
      <c r="E291" s="96">
        <v>4.9041158900000006E-2</v>
      </c>
      <c r="F291" s="96">
        <v>0</v>
      </c>
      <c r="G291" s="96">
        <v>0</v>
      </c>
    </row>
    <row r="292" spans="2:7" x14ac:dyDescent="0.25">
      <c r="B292" t="str">
        <v>Fulton Hogan LaraSize 10mm DGA Type L 10% RAP</v>
      </c>
      <c r="C292" t="str">
        <v>tonne</v>
      </c>
      <c r="D292" s="96">
        <v>60.127633000000003</v>
      </c>
      <c r="E292" s="96">
        <v>6.0127633E-2</v>
      </c>
      <c r="F292" s="96">
        <v>0</v>
      </c>
      <c r="G292" s="96">
        <v>0</v>
      </c>
    </row>
    <row r="293" spans="2:7" x14ac:dyDescent="0.25">
      <c r="B293" t="str">
        <v>Fulton Hogan DandenongSize 14, 20mm DGA Type SI</v>
      </c>
      <c r="C293" t="str">
        <v>tonne</v>
      </c>
      <c r="D293" s="96">
        <v>63.819096999999999</v>
      </c>
      <c r="E293" s="96">
        <v>6.3819096999999991E-2</v>
      </c>
      <c r="F293" s="96">
        <v>0</v>
      </c>
      <c r="G293" s="96">
        <v>0</v>
      </c>
    </row>
    <row r="294" spans="2:7" x14ac:dyDescent="0.25">
      <c r="B294" t="str">
        <v>Fulton Hogan DandenongSize 10mm DGA Type H 10-20% RAP</v>
      </c>
      <c r="C294" t="str">
        <v>tonne</v>
      </c>
      <c r="D294" s="96">
        <v>63.418875</v>
      </c>
      <c r="E294" s="96">
        <v>6.3418875E-2</v>
      </c>
      <c r="F294" s="96">
        <v>0</v>
      </c>
      <c r="G294" s="96">
        <v>0</v>
      </c>
    </row>
    <row r="295" spans="2:7" x14ac:dyDescent="0.25">
      <c r="B295" t="str">
        <v>Fulton Hogan DandenongDoT - Section 405 Regulation Gap Graded Asphalt (RGG)</v>
      </c>
      <c r="C295" t="str">
        <v>tonne</v>
      </c>
      <c r="D295" s="96">
        <v>60.720917999999998</v>
      </c>
      <c r="E295" s="96">
        <v>6.0720918000000006E-2</v>
      </c>
      <c r="F295" s="96">
        <v>0</v>
      </c>
      <c r="G295" s="96">
        <v>0</v>
      </c>
    </row>
    <row r="296" spans="2:7" x14ac:dyDescent="0.25">
      <c r="B296" t="str">
        <v>Fulton Hogan Kembla GrangeDG20 AR450 R116 R20% G≤10%*</v>
      </c>
      <c r="C296" t="str">
        <v>tonne</v>
      </c>
      <c r="D296" s="96">
        <v>68.109087000000002</v>
      </c>
      <c r="E296" s="96">
        <v>6.8109086999999999E-2</v>
      </c>
      <c r="F296" s="96">
        <v>0</v>
      </c>
      <c r="G296" s="96">
        <v>0</v>
      </c>
    </row>
    <row r="297" spans="2:7" x14ac:dyDescent="0.25">
      <c r="B297" t="str">
        <v>Downer Sydney Sustainable Road Resource Centre, RosehillAC20 R30 G10</v>
      </c>
      <c r="C297" t="str">
        <v>tonne</v>
      </c>
      <c r="D297" s="96">
        <v>69.162390000000002</v>
      </c>
      <c r="E297" s="96">
        <v>6.9162390000000004E-2</v>
      </c>
      <c r="F297" s="96">
        <v>0</v>
      </c>
      <c r="G297" s="96">
        <v>0</v>
      </c>
    </row>
    <row r="298" spans="2:7" x14ac:dyDescent="0.25">
      <c r="B298" t="str">
        <v>Fulton Hogan Eastern CreekDG10 A15E R116 R10%</v>
      </c>
      <c r="C298" t="str">
        <v>tonne</v>
      </c>
      <c r="D298" s="96">
        <v>100.095097</v>
      </c>
      <c r="E298" s="96">
        <v>0.10009509699999999</v>
      </c>
      <c r="F298" s="96">
        <v>0</v>
      </c>
      <c r="G298" s="96">
        <v>0</v>
      </c>
    </row>
  </sheetData>
  <dataValidations count="1">
    <dataValidation type="list" allowBlank="1" showInputMessage="1" showErrorMessage="1" sqref="B6:B9" xr:uid="{E156BADA-A95F-4F8F-87FA-90C3B6F5BE5D}">
      <formula1>"Tier 1,Tier 2,Tier 3,Tier 4"</formula1>
    </dataValidation>
  </dataValidation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F1CABF-E5B1-455A-AC6F-FD57DBF210A5}">
  <sheetPr codeName="Sheet17">
    <tabColor rgb="FF00CCFF"/>
  </sheetPr>
  <dimension ref="A1:G166"/>
  <sheetViews>
    <sheetView showGridLines="0" zoomScale="80" zoomScaleNormal="80" workbookViewId="0"/>
  </sheetViews>
  <sheetFormatPr defaultRowHeight="13.2" x14ac:dyDescent="0.25"/>
  <cols>
    <col min="1" max="1" width="26.109375" customWidth="1"/>
    <col min="2" max="2" width="109.109375" customWidth="1"/>
    <col min="3" max="3" width="21" customWidth="1"/>
    <col min="4" max="6" width="19.88671875" style="96" customWidth="1"/>
    <col min="7" max="7" width="23.5546875" style="96" customWidth="1"/>
  </cols>
  <sheetData>
    <row r="1" spans="1:7" x14ac:dyDescent="0.25">
      <c r="A1" s="4" t="str" cm="1">
        <f t="array" aca="1" ref="A1" ca="1">MID(CELL("filename",A1),FIND("]",CELL("filename",A1))+1,255)</f>
        <v>Concrete_bricks</v>
      </c>
    </row>
    <row r="2" spans="1:7" x14ac:dyDescent="0.25">
      <c r="A2" s="4"/>
    </row>
    <row r="3" spans="1:7" x14ac:dyDescent="0.25">
      <c r="A3" s="4" t="s">
        <v>4048</v>
      </c>
      <c r="B3" t="s">
        <v>4093</v>
      </c>
    </row>
    <row r="4" spans="1:7" x14ac:dyDescent="0.25">
      <c r="A4" s="26"/>
    </row>
    <row r="5" spans="1:7" ht="73.5" customHeight="1" x14ac:dyDescent="0.25">
      <c r="A5" s="26" t="s">
        <v>4050</v>
      </c>
      <c r="B5" s="14" t="s">
        <v>4094</v>
      </c>
    </row>
    <row r="6" spans="1:7" x14ac:dyDescent="0.25">
      <c r="A6" s="26" t="s">
        <v>4052</v>
      </c>
      <c r="B6" s="27" t="s">
        <v>69</v>
      </c>
    </row>
    <row r="7" spans="1:7" x14ac:dyDescent="0.25">
      <c r="A7" s="26" t="s">
        <v>4053</v>
      </c>
      <c r="B7" s="27" t="s">
        <v>68</v>
      </c>
    </row>
    <row r="8" spans="1:7" x14ac:dyDescent="0.25">
      <c r="A8" s="26" t="s">
        <v>4054</v>
      </c>
      <c r="B8" s="27" t="s">
        <v>70</v>
      </c>
    </row>
    <row r="9" spans="1:7" x14ac:dyDescent="0.25">
      <c r="A9" s="26" t="s">
        <v>4055</v>
      </c>
      <c r="B9" s="4" t="s">
        <v>70</v>
      </c>
    </row>
    <row r="10" spans="1:7" x14ac:dyDescent="0.25">
      <c r="A10" s="26"/>
      <c r="B10" s="4"/>
    </row>
    <row r="11" spans="1:7" x14ac:dyDescent="0.25">
      <c r="A11" s="26" t="s">
        <v>4056</v>
      </c>
      <c r="B11" s="14" t="s">
        <v>4095</v>
      </c>
    </row>
    <row r="12" spans="1:7" x14ac:dyDescent="0.25">
      <c r="A12" s="101"/>
    </row>
    <row r="13" spans="1:7" x14ac:dyDescent="0.25">
      <c r="A13" s="101"/>
    </row>
    <row r="14" spans="1:7" x14ac:dyDescent="0.25">
      <c r="A14" s="26" t="s">
        <v>4057</v>
      </c>
    </row>
    <row r="15" spans="1:7" x14ac:dyDescent="0.25">
      <c r="A15" s="26"/>
      <c r="D15" s="112" t="s">
        <v>4058</v>
      </c>
      <c r="E15" s="113"/>
      <c r="F15" s="114" t="s">
        <v>4059</v>
      </c>
      <c r="G15" s="113"/>
    </row>
    <row r="16" spans="1:7" ht="39.6" x14ac:dyDescent="0.25">
      <c r="B16" s="28" t="s">
        <v>2784</v>
      </c>
      <c r="C16" s="23" t="s">
        <v>23</v>
      </c>
      <c r="D16" s="24" t="s">
        <v>141</v>
      </c>
      <c r="E16" s="25" t="s">
        <v>148</v>
      </c>
      <c r="F16" s="24" t="s">
        <v>142</v>
      </c>
      <c r="G16" s="24" t="s">
        <v>149</v>
      </c>
    </row>
    <row r="17" spans="2:7" x14ac:dyDescent="0.25">
      <c r="B17" s="29"/>
      <c r="C17" s="30" t="s">
        <v>4060</v>
      </c>
      <c r="D17" s="118" t="str" cm="1">
        <f t="array" ref="D17">IF(AND(_xlfn.ANCHORARRAY(C23)=C23),C23,"Mixed")</f>
        <v>tonne</v>
      </c>
      <c r="E17" s="118" t="s">
        <v>219</v>
      </c>
      <c r="F17" s="118" t="str" cm="1">
        <f t="array" ref="F17">IF(AND(_xlfn.ANCHORARRAY(C23)=C23),C23,"Mixed")</f>
        <v>tonne</v>
      </c>
      <c r="G17" s="119" t="s">
        <v>219</v>
      </c>
    </row>
    <row r="18" spans="2:7" s="14" customFormat="1" x14ac:dyDescent="0.25">
      <c r="B18" s="31"/>
      <c r="C18" s="4" t="s">
        <v>4061</v>
      </c>
      <c r="D18" s="96">
        <f t="shared" ref="D18:G18" si="0">MAX(_xlfn.ANCHORARRAY(D23))</f>
        <v>240.39</v>
      </c>
      <c r="E18" s="96">
        <f t="shared" si="0"/>
        <v>0.24038999999999999</v>
      </c>
      <c r="F18" s="96">
        <f t="shared" si="0"/>
        <v>0</v>
      </c>
      <c r="G18" s="121">
        <f t="shared" si="0"/>
        <v>0</v>
      </c>
    </row>
    <row r="19" spans="2:7" x14ac:dyDescent="0.25">
      <c r="B19" s="122"/>
      <c r="C19" s="4" t="s">
        <v>4062</v>
      </c>
      <c r="D19" s="96">
        <f>MIN(_xlfn.ANCHORARRAY(D23))</f>
        <v>111.67</v>
      </c>
      <c r="E19" s="96">
        <f t="shared" ref="E19:G19" si="1">MIN(_xlfn.ANCHORARRAY(E23))</f>
        <v>0.11167000000000001</v>
      </c>
      <c r="F19" s="96">
        <f t="shared" si="1"/>
        <v>0</v>
      </c>
      <c r="G19" s="121">
        <f t="shared" si="1"/>
        <v>0</v>
      </c>
    </row>
    <row r="20" spans="2:7" x14ac:dyDescent="0.25">
      <c r="B20" s="122"/>
      <c r="C20" s="4" t="s">
        <v>4063</v>
      </c>
      <c r="D20" s="96">
        <f>AVERAGE(_xlfn.ANCHORARRAY(D23))</f>
        <v>158.68923076923076</v>
      </c>
      <c r="E20" s="96">
        <f t="shared" ref="E20:G20" si="2">AVERAGE(_xlfn.ANCHORARRAY(E23))</f>
        <v>0.1586892307692308</v>
      </c>
      <c r="F20" s="96">
        <f t="shared" si="2"/>
        <v>0</v>
      </c>
      <c r="G20" s="121">
        <f t="shared" si="2"/>
        <v>0</v>
      </c>
    </row>
    <row r="21" spans="2:7" x14ac:dyDescent="0.25">
      <c r="B21" s="122"/>
      <c r="C21" s="4"/>
      <c r="G21" s="121"/>
    </row>
    <row r="22" spans="2:7" x14ac:dyDescent="0.25">
      <c r="B22" s="32" t="s">
        <v>4064</v>
      </c>
      <c r="D22"/>
      <c r="E22"/>
      <c r="F22"/>
      <c r="G22" s="124"/>
    </row>
    <row r="23" spans="2:7" x14ac:dyDescent="0.25">
      <c r="B23" s="122" t="str" cm="1">
        <f t="array" ref="B23:B48">_xlfn.UNIQUE(_xlfn._xlws.FILTER('EPD List'!D:D,ISNUMBER(SEARCH(B16,'EPD List'!C:C)),0))</f>
        <v>Masonry (Concrete bricks), BLOCK Campbellfield (VIC) (Adbri)</v>
      </c>
      <c r="C23" t="str" cm="1">
        <f t="array" ref="C23:C48">_xlfn.IFNA(INDEX('EPD List'!$A:$AB,MATCH(_xlfn.ANCHORARRAY(B23),'EPD List'!$D:$D,0),MATCH(C$16,'EPD List'!$7:$7,0)),"")</f>
        <v>tonne</v>
      </c>
      <c r="D23" s="96" cm="1">
        <f t="array" ref="D23:D48">_xlfn.IFNA(VALUE((INDEX('EPD List'!$A:$AD,MATCH(_xlfn.ANCHORARRAY($B23),'EPD List'!$D:$D,0),MATCH(D$16,'EPD List'!$7:$7,0)))),"")</f>
        <v>111.67</v>
      </c>
      <c r="E23" s="96" cm="1">
        <f t="array" ref="E23:E48">_xlfn.IFNA(VALUE((INDEX('EPD List'!$A:$AD,MATCH(_xlfn.ANCHORARRAY($B23),'EPD List'!$D:$D,0),MATCH(E$16,'EPD List'!$7:$7,0)))),"")</f>
        <v>0.11167000000000001</v>
      </c>
      <c r="F23" s="96" cm="1">
        <f t="array" ref="F23:F48">_xlfn.IFNA(VALUE((INDEX('EPD List'!$A:$AD,MATCH(_xlfn.ANCHORARRAY($B23),'EPD List'!$D:$D,0),MATCH(F$16,'EPD List'!$7:$7,0)))),"")</f>
        <v>0</v>
      </c>
      <c r="G23" s="121" cm="1">
        <f t="array" ref="G23:G48">_xlfn.IFNA(VALUE((INDEX('EPD List'!$A:$AD,MATCH(_xlfn.ANCHORARRAY($B23),'EPD List'!$D:$D,0),MATCH(G$16,'EPD List'!$7:$7,0)))),"")</f>
        <v>0</v>
      </c>
    </row>
    <row r="24" spans="2:7" x14ac:dyDescent="0.25">
      <c r="B24" s="122" t="str">
        <v>Masonry (Concrete bricks), BLOCK Maroochydore (QLD) (Adbri)</v>
      </c>
      <c r="C24" t="str">
        <v>tonne</v>
      </c>
      <c r="D24" s="96">
        <v>182.86</v>
      </c>
      <c r="E24" s="96">
        <v>0.18286000000000002</v>
      </c>
      <c r="F24" s="96">
        <v>0</v>
      </c>
      <c r="G24" s="121">
        <v>0</v>
      </c>
    </row>
    <row r="25" spans="2:7" x14ac:dyDescent="0.25">
      <c r="B25" s="122" t="str">
        <v>Masonry (Concrete bricks), BLOCK Stapylton (QLD) (Adbri)</v>
      </c>
      <c r="C25" t="str">
        <v>tonne</v>
      </c>
      <c r="D25" s="96">
        <v>140.59</v>
      </c>
      <c r="E25" s="96">
        <v>0.14058999999999999</v>
      </c>
      <c r="F25" s="96">
        <v>0</v>
      </c>
      <c r="G25" s="121">
        <v>0</v>
      </c>
    </row>
    <row r="26" spans="2:7" x14ac:dyDescent="0.25">
      <c r="B26" s="122" t="str">
        <v>Masonry (Concrete bricks), BLOCK Ulverstone (TAS) (Adbri)</v>
      </c>
      <c r="C26" t="str">
        <v>tonne</v>
      </c>
      <c r="D26" s="96">
        <v>145.88999999999999</v>
      </c>
      <c r="E26" s="96">
        <v>0.14588999999999999</v>
      </c>
      <c r="F26" s="96">
        <v>0</v>
      </c>
      <c r="G26" s="121">
        <v>0</v>
      </c>
    </row>
    <row r="27" spans="2:7" x14ac:dyDescent="0.25">
      <c r="B27" s="122" t="str">
        <v>Masonry (Concrete bricks), BRICK Bendigo Smooth Shot Dark (VIC) (Adbri)</v>
      </c>
      <c r="C27" t="str">
        <v>tonne</v>
      </c>
      <c r="D27" s="96">
        <v>113.56</v>
      </c>
      <c r="E27" s="96">
        <v>0.11356000000000001</v>
      </c>
      <c r="F27" s="96">
        <v>0</v>
      </c>
      <c r="G27" s="121">
        <v>0</v>
      </c>
    </row>
    <row r="28" spans="2:7" x14ac:dyDescent="0.25">
      <c r="B28" s="122" t="str">
        <v>Masonry (Concrete bricks), BRICK Bendigo Honed Dark (VIC) (Adbri)</v>
      </c>
      <c r="C28" t="str">
        <v>tonne</v>
      </c>
      <c r="D28" s="96">
        <v>160.91999999999999</v>
      </c>
      <c r="E28" s="96">
        <v>0.16091999999999998</v>
      </c>
      <c r="F28" s="96">
        <v>0</v>
      </c>
      <c r="G28" s="121">
        <v>0</v>
      </c>
    </row>
    <row r="29" spans="2:7" x14ac:dyDescent="0.25">
      <c r="B29" s="122" t="str">
        <v>Masonry (Concrete bricks), BRICK Bendigo Smooth Shot Light (VIC) (Adbri)</v>
      </c>
      <c r="C29" t="str">
        <v>tonne</v>
      </c>
      <c r="D29" s="96">
        <v>138.43</v>
      </c>
      <c r="E29" s="96">
        <v>0.13843</v>
      </c>
      <c r="F29" s="96">
        <v>0</v>
      </c>
      <c r="G29" s="121">
        <v>0</v>
      </c>
    </row>
    <row r="30" spans="2:7" x14ac:dyDescent="0.25">
      <c r="B30" s="122" t="str">
        <v>Masonry (Concrete bricks), BRICK Bendigo Honed Light (VIC) (Adbri)</v>
      </c>
      <c r="C30" t="str">
        <v>tonne</v>
      </c>
      <c r="D30" s="96">
        <v>240.39</v>
      </c>
      <c r="E30" s="96">
        <v>0.24038999999999999</v>
      </c>
      <c r="F30" s="96">
        <v>0</v>
      </c>
      <c r="G30" s="121">
        <v>0</v>
      </c>
    </row>
    <row r="31" spans="2:7" x14ac:dyDescent="0.25">
      <c r="B31" s="122" t="str">
        <v>Masonry (Concrete bricks), BRICK Bendigo Cored Light (VIC) (Adbri)</v>
      </c>
      <c r="C31" t="str">
        <v>tonne</v>
      </c>
      <c r="D31" s="96">
        <v>152.26</v>
      </c>
      <c r="E31" s="96">
        <v>0.15225999999999998</v>
      </c>
      <c r="F31" s="96">
        <v>0</v>
      </c>
      <c r="G31" s="121">
        <v>0</v>
      </c>
    </row>
    <row r="32" spans="2:7" x14ac:dyDescent="0.25">
      <c r="B32" s="122" t="str">
        <v>Masonry (Concrete bricks), BRICK Maroochydore (QLD) (Adbri)</v>
      </c>
      <c r="C32" t="str">
        <v>tonne</v>
      </c>
      <c r="D32" s="96">
        <v>205.51</v>
      </c>
      <c r="E32" s="96">
        <v>0.20551</v>
      </c>
      <c r="F32" s="96">
        <v>0</v>
      </c>
      <c r="G32" s="121">
        <v>0</v>
      </c>
    </row>
    <row r="33" spans="2:7" x14ac:dyDescent="0.25">
      <c r="B33" s="122" t="str">
        <v>Masonry (Concrete bricks), BRICK Ulverstone (TAS) (Adbri)</v>
      </c>
      <c r="C33" t="str">
        <v>tonne</v>
      </c>
      <c r="D33" s="96">
        <v>139.84</v>
      </c>
      <c r="E33" s="96">
        <v>0.13983999999999999</v>
      </c>
      <c r="F33" s="96">
        <v>0</v>
      </c>
      <c r="G33" s="121">
        <v>0</v>
      </c>
    </row>
    <row r="34" spans="2:7" x14ac:dyDescent="0.25">
      <c r="B34" s="122" t="str">
        <v>Masonry (Concrete bricks), Aura Porcelain (Australia) (Austral)</v>
      </c>
      <c r="C34" t="str">
        <v>tonne</v>
      </c>
      <c r="D34" s="96">
        <v>147</v>
      </c>
      <c r="E34" s="96">
        <v>0.14699999999999999</v>
      </c>
      <c r="F34" s="96">
        <v>0</v>
      </c>
      <c r="G34" s="121">
        <v>0</v>
      </c>
    </row>
    <row r="35" spans="2:7" x14ac:dyDescent="0.25">
      <c r="B35" s="122" t="str">
        <v>Masonry (Concrete bricks), Aura Grey (Australia) (Austral)</v>
      </c>
      <c r="C35" t="str">
        <v>tonne</v>
      </c>
      <c r="D35" s="96">
        <v>160</v>
      </c>
      <c r="E35" s="96">
        <v>0.16</v>
      </c>
      <c r="F35" s="96">
        <v>0</v>
      </c>
      <c r="G35" s="121">
        <v>0</v>
      </c>
    </row>
    <row r="36" spans="2:7" x14ac:dyDescent="0.25">
      <c r="B36" s="122" t="str">
        <v>Masonry (Concrete bricks), Aura Oak (Australia) (Austral)</v>
      </c>
      <c r="C36" t="str">
        <v>tonne</v>
      </c>
      <c r="D36" s="96">
        <v>160</v>
      </c>
      <c r="E36" s="96">
        <v>0.16</v>
      </c>
      <c r="F36" s="96">
        <v>0</v>
      </c>
      <c r="G36" s="121">
        <v>0</v>
      </c>
    </row>
    <row r="37" spans="2:7" x14ac:dyDescent="0.25">
      <c r="B37" s="122" t="str">
        <v>Masonry (Concrete bricks), GB Sandstone Rock Face (Australia) (Austral)</v>
      </c>
      <c r="C37" t="str">
        <v>tonne</v>
      </c>
      <c r="D37" s="96">
        <v>170</v>
      </c>
      <c r="E37" s="96">
        <v>0.17</v>
      </c>
      <c r="F37" s="96">
        <v>0</v>
      </c>
      <c r="G37" s="121">
        <v>0</v>
      </c>
    </row>
    <row r="38" spans="2:7" x14ac:dyDescent="0.25">
      <c r="B38" s="122" t="str">
        <v>Masonry (Concrete bricks), GB Sandstone Split Face (Australia) (Austral)</v>
      </c>
      <c r="C38" t="str">
        <v>tonne</v>
      </c>
      <c r="D38" s="96">
        <v>162</v>
      </c>
      <c r="E38" s="96">
        <v>0.16200000000000001</v>
      </c>
      <c r="F38" s="96">
        <v>0</v>
      </c>
      <c r="G38" s="121">
        <v>0</v>
      </c>
    </row>
    <row r="39" spans="2:7" x14ac:dyDescent="0.25">
      <c r="B39" s="122" t="str">
        <v>Masonry (Concrete bricks), GB Sandstone Smooth (Australia) (Austral)</v>
      </c>
      <c r="C39" t="str">
        <v>tonne</v>
      </c>
      <c r="D39" s="96">
        <v>168</v>
      </c>
      <c r="E39" s="96">
        <v>0.16800000000000001</v>
      </c>
      <c r="F39" s="96">
        <v>0</v>
      </c>
      <c r="G39" s="121">
        <v>0</v>
      </c>
    </row>
    <row r="40" spans="2:7" x14ac:dyDescent="0.25">
      <c r="B40" s="122" t="str">
        <v>Masonry (Concrete bricks), GB Stone (Australia) (Austral)</v>
      </c>
      <c r="C40" t="str">
        <v>tonne</v>
      </c>
      <c r="D40" s="96">
        <v>160</v>
      </c>
      <c r="E40" s="96">
        <v>0.16</v>
      </c>
      <c r="F40" s="96">
        <v>0</v>
      </c>
      <c r="G40" s="121">
        <v>0</v>
      </c>
    </row>
    <row r="41" spans="2:7" x14ac:dyDescent="0.25">
      <c r="B41" s="122" t="str">
        <v>Masonry (Concrete bricks), GB Split Face (Australia) (Austral)</v>
      </c>
      <c r="C41" t="str">
        <v>tonne</v>
      </c>
      <c r="D41" s="96">
        <v>163</v>
      </c>
      <c r="E41" s="96">
        <v>0.16300000000000001</v>
      </c>
      <c r="F41" s="96">
        <v>0</v>
      </c>
      <c r="G41" s="121">
        <v>0</v>
      </c>
    </row>
    <row r="42" spans="2:7" x14ac:dyDescent="0.25">
      <c r="B42" s="122" t="str">
        <v>Masonry (Concrete bricks), GB Smooth (Australia) (Austral)</v>
      </c>
      <c r="C42" t="str">
        <v>tonne</v>
      </c>
      <c r="D42" s="96">
        <v>168</v>
      </c>
      <c r="E42" s="96">
        <v>0.16800000000000001</v>
      </c>
      <c r="F42" s="96">
        <v>0</v>
      </c>
      <c r="G42" s="121">
        <v>0</v>
      </c>
    </row>
    <row r="43" spans="2:7" x14ac:dyDescent="0.25">
      <c r="B43" s="122" t="str">
        <v>Masonry (Concrete bricks), GB Veneer (Australia) (Austral)</v>
      </c>
      <c r="C43" t="str">
        <v>tonne</v>
      </c>
      <c r="D43" s="96">
        <v>174</v>
      </c>
      <c r="E43" s="96">
        <v>0.17399999999999999</v>
      </c>
      <c r="F43" s="96">
        <v>0</v>
      </c>
      <c r="G43" s="121">
        <v>0</v>
      </c>
    </row>
    <row r="44" spans="2:7" x14ac:dyDescent="0.25">
      <c r="B44" s="122" t="str">
        <v>Masonry (Concrete bricks), Breeze Blocks (Australia) (Austral)</v>
      </c>
      <c r="C44" t="str">
        <v>tonne</v>
      </c>
      <c r="D44" s="96">
        <v>172</v>
      </c>
      <c r="E44" s="96">
        <v>0.17199999999999999</v>
      </c>
      <c r="F44" s="96">
        <v>0</v>
      </c>
      <c r="G44" s="121">
        <v>0</v>
      </c>
    </row>
    <row r="45" spans="2:7" x14ac:dyDescent="0.25">
      <c r="B45" s="122" t="str">
        <v>Masonry (Concrete bricks), GB Latitude (Australia) (Austral)</v>
      </c>
      <c r="C45" t="str">
        <v>tonne</v>
      </c>
      <c r="D45" s="96">
        <v>164</v>
      </c>
      <c r="E45" s="96">
        <v>0.16400000000000001</v>
      </c>
      <c r="F45" s="96">
        <v>0</v>
      </c>
      <c r="G45" s="121">
        <v>0</v>
      </c>
    </row>
    <row r="46" spans="2:7" x14ac:dyDescent="0.25">
      <c r="B46" s="122" t="str">
        <v>Masonry (Concrete bricks), 100MM Standard (Australia) (Austral)</v>
      </c>
      <c r="C46" t="str">
        <v>tonne</v>
      </c>
      <c r="D46" s="96">
        <v>142</v>
      </c>
      <c r="E46" s="96">
        <v>0.14199999999999999</v>
      </c>
      <c r="F46" s="96">
        <v>0</v>
      </c>
      <c r="G46" s="121">
        <v>0</v>
      </c>
    </row>
    <row r="47" spans="2:7" x14ac:dyDescent="0.25">
      <c r="B47" s="122" t="str">
        <v>Masonry (Concrete bricks), 200MM Standard (Australia) (Austral)</v>
      </c>
      <c r="C47" t="str">
        <v>tonne</v>
      </c>
      <c r="D47" s="96">
        <v>142</v>
      </c>
      <c r="E47" s="96">
        <v>0.14199999999999999</v>
      </c>
      <c r="F47" s="96">
        <v>0</v>
      </c>
      <c r="G47" s="121">
        <v>0</v>
      </c>
    </row>
    <row r="48" spans="2:7" x14ac:dyDescent="0.25">
      <c r="B48" s="122" t="str">
        <v>Masonry (Concrete bricks), 150MM Mortarless (Australia) (Austral)</v>
      </c>
      <c r="C48" t="str">
        <v>tonne</v>
      </c>
      <c r="D48" s="96">
        <v>142</v>
      </c>
      <c r="E48" s="96">
        <v>0.14199999999999999</v>
      </c>
      <c r="F48" s="96">
        <v>0</v>
      </c>
      <c r="G48" s="121">
        <v>0</v>
      </c>
    </row>
    <row r="49" spans="2:7" x14ac:dyDescent="0.25">
      <c r="B49" s="122"/>
      <c r="G49" s="121"/>
    </row>
    <row r="50" spans="2:7" x14ac:dyDescent="0.25">
      <c r="B50" s="122"/>
      <c r="G50" s="121"/>
    </row>
    <row r="51" spans="2:7" x14ac:dyDescent="0.25">
      <c r="B51" s="122"/>
      <c r="G51" s="121"/>
    </row>
    <row r="52" spans="2:7" x14ac:dyDescent="0.25">
      <c r="B52" s="122"/>
      <c r="G52" s="121"/>
    </row>
    <row r="53" spans="2:7" x14ac:dyDescent="0.25">
      <c r="B53" s="122"/>
      <c r="G53" s="121"/>
    </row>
    <row r="54" spans="2:7" x14ac:dyDescent="0.25">
      <c r="B54" s="122"/>
      <c r="G54" s="121"/>
    </row>
    <row r="55" spans="2:7" x14ac:dyDescent="0.25">
      <c r="B55" s="122"/>
      <c r="G55" s="121"/>
    </row>
    <row r="56" spans="2:7" x14ac:dyDescent="0.25">
      <c r="B56" s="122"/>
      <c r="G56" s="121"/>
    </row>
    <row r="57" spans="2:7" x14ac:dyDescent="0.25">
      <c r="B57" s="122"/>
      <c r="G57" s="121"/>
    </row>
    <row r="58" spans="2:7" x14ac:dyDescent="0.25">
      <c r="B58" s="122"/>
      <c r="G58" s="121"/>
    </row>
    <row r="59" spans="2:7" x14ac:dyDescent="0.25">
      <c r="B59" s="122"/>
      <c r="G59" s="121"/>
    </row>
    <row r="60" spans="2:7" x14ac:dyDescent="0.25">
      <c r="B60" s="122"/>
      <c r="G60" s="121"/>
    </row>
    <row r="61" spans="2:7" x14ac:dyDescent="0.25">
      <c r="B61" s="122"/>
      <c r="G61" s="121"/>
    </row>
    <row r="62" spans="2:7" x14ac:dyDescent="0.25">
      <c r="B62" s="122"/>
      <c r="G62" s="121"/>
    </row>
    <row r="63" spans="2:7" x14ac:dyDescent="0.25">
      <c r="B63" s="122"/>
      <c r="G63" s="121"/>
    </row>
    <row r="64" spans="2:7" x14ac:dyDescent="0.25">
      <c r="B64" s="122"/>
      <c r="G64" s="121"/>
    </row>
    <row r="65" spans="2:7" x14ac:dyDescent="0.25">
      <c r="B65" s="122"/>
      <c r="G65" s="121"/>
    </row>
    <row r="66" spans="2:7" x14ac:dyDescent="0.25">
      <c r="B66" s="122"/>
      <c r="G66" s="121"/>
    </row>
    <row r="67" spans="2:7" x14ac:dyDescent="0.25">
      <c r="B67" s="122"/>
      <c r="G67" s="121"/>
    </row>
    <row r="68" spans="2:7" x14ac:dyDescent="0.25">
      <c r="B68" s="122"/>
      <c r="G68" s="121"/>
    </row>
    <row r="69" spans="2:7" x14ac:dyDescent="0.25">
      <c r="B69" s="122"/>
      <c r="G69" s="121"/>
    </row>
    <row r="70" spans="2:7" x14ac:dyDescent="0.25">
      <c r="B70" s="122"/>
      <c r="G70" s="121"/>
    </row>
    <row r="71" spans="2:7" x14ac:dyDescent="0.25">
      <c r="B71" s="122"/>
      <c r="G71" s="121"/>
    </row>
    <row r="72" spans="2:7" x14ac:dyDescent="0.25">
      <c r="B72" s="122"/>
      <c r="G72" s="121"/>
    </row>
    <row r="73" spans="2:7" x14ac:dyDescent="0.25">
      <c r="B73" s="122"/>
      <c r="G73" s="121"/>
    </row>
    <row r="74" spans="2:7" x14ac:dyDescent="0.25">
      <c r="B74" s="122"/>
      <c r="G74" s="121"/>
    </row>
    <row r="75" spans="2:7" x14ac:dyDescent="0.25">
      <c r="B75" s="122"/>
      <c r="G75" s="121"/>
    </row>
    <row r="76" spans="2:7" x14ac:dyDescent="0.25">
      <c r="B76" s="122"/>
      <c r="G76" s="121"/>
    </row>
    <row r="77" spans="2:7" x14ac:dyDescent="0.25">
      <c r="B77" s="122"/>
      <c r="G77" s="121"/>
    </row>
    <row r="78" spans="2:7" x14ac:dyDescent="0.25">
      <c r="B78" s="122"/>
      <c r="G78" s="121"/>
    </row>
    <row r="79" spans="2:7" x14ac:dyDescent="0.25">
      <c r="B79" s="122"/>
      <c r="G79" s="121"/>
    </row>
    <row r="80" spans="2:7" x14ac:dyDescent="0.25">
      <c r="B80" s="122"/>
      <c r="G80" s="121"/>
    </row>
    <row r="81" spans="2:7" x14ac:dyDescent="0.25">
      <c r="B81" s="122"/>
      <c r="G81" s="121"/>
    </row>
    <row r="82" spans="2:7" x14ac:dyDescent="0.25">
      <c r="B82" s="122"/>
      <c r="G82" s="121"/>
    </row>
    <row r="83" spans="2:7" x14ac:dyDescent="0.25">
      <c r="B83" s="122"/>
      <c r="G83" s="121"/>
    </row>
    <row r="84" spans="2:7" x14ac:dyDescent="0.25">
      <c r="B84" s="122"/>
      <c r="G84" s="121"/>
    </row>
    <row r="85" spans="2:7" x14ac:dyDescent="0.25">
      <c r="B85" s="122"/>
      <c r="G85" s="121"/>
    </row>
    <row r="86" spans="2:7" x14ac:dyDescent="0.25">
      <c r="B86" s="122"/>
      <c r="G86" s="121"/>
    </row>
    <row r="87" spans="2:7" x14ac:dyDescent="0.25">
      <c r="B87" s="122"/>
      <c r="G87" s="121"/>
    </row>
    <row r="88" spans="2:7" x14ac:dyDescent="0.25">
      <c r="B88" s="122"/>
      <c r="G88" s="121"/>
    </row>
    <row r="89" spans="2:7" x14ac:dyDescent="0.25">
      <c r="B89" s="122"/>
      <c r="G89" s="121"/>
    </row>
    <row r="90" spans="2:7" x14ac:dyDescent="0.25">
      <c r="B90" s="122"/>
      <c r="G90" s="121"/>
    </row>
    <row r="91" spans="2:7" x14ac:dyDescent="0.25">
      <c r="B91" s="122"/>
      <c r="G91" s="121"/>
    </row>
    <row r="92" spans="2:7" x14ac:dyDescent="0.25">
      <c r="B92" s="122"/>
      <c r="G92" s="121"/>
    </row>
    <row r="93" spans="2:7" x14ac:dyDescent="0.25">
      <c r="B93" s="122"/>
      <c r="G93" s="121"/>
    </row>
    <row r="94" spans="2:7" x14ac:dyDescent="0.25">
      <c r="B94" s="122"/>
      <c r="G94" s="121"/>
    </row>
    <row r="95" spans="2:7" x14ac:dyDescent="0.25">
      <c r="B95" s="122"/>
      <c r="G95" s="121"/>
    </row>
    <row r="96" spans="2:7" x14ac:dyDescent="0.25">
      <c r="B96" s="122"/>
      <c r="G96" s="121"/>
    </row>
    <row r="97" spans="2:7" x14ac:dyDescent="0.25">
      <c r="B97" s="122"/>
      <c r="G97" s="121"/>
    </row>
    <row r="98" spans="2:7" x14ac:dyDescent="0.25">
      <c r="B98" s="122"/>
      <c r="G98" s="121"/>
    </row>
    <row r="99" spans="2:7" x14ac:dyDescent="0.25">
      <c r="B99" s="122"/>
      <c r="G99" s="121"/>
    </row>
    <row r="100" spans="2:7" x14ac:dyDescent="0.25">
      <c r="B100" s="122"/>
      <c r="G100" s="121"/>
    </row>
    <row r="101" spans="2:7" x14ac:dyDescent="0.25">
      <c r="B101" s="122"/>
      <c r="G101" s="121"/>
    </row>
    <row r="102" spans="2:7" x14ac:dyDescent="0.25">
      <c r="B102" s="122"/>
      <c r="G102" s="121"/>
    </row>
    <row r="103" spans="2:7" x14ac:dyDescent="0.25">
      <c r="B103" s="122"/>
      <c r="G103" s="121"/>
    </row>
    <row r="104" spans="2:7" x14ac:dyDescent="0.25">
      <c r="B104" s="122"/>
      <c r="G104" s="121"/>
    </row>
    <row r="105" spans="2:7" x14ac:dyDescent="0.25">
      <c r="B105" s="122"/>
      <c r="G105" s="121"/>
    </row>
    <row r="106" spans="2:7" x14ac:dyDescent="0.25">
      <c r="B106" s="122"/>
      <c r="G106" s="121"/>
    </row>
    <row r="107" spans="2:7" x14ac:dyDescent="0.25">
      <c r="B107" s="122"/>
      <c r="G107" s="121"/>
    </row>
    <row r="108" spans="2:7" x14ac:dyDescent="0.25">
      <c r="B108" s="122"/>
      <c r="G108" s="121"/>
    </row>
    <row r="109" spans="2:7" x14ac:dyDescent="0.25">
      <c r="B109" s="122"/>
      <c r="G109" s="121"/>
    </row>
    <row r="110" spans="2:7" x14ac:dyDescent="0.25">
      <c r="B110" s="122"/>
      <c r="G110" s="121"/>
    </row>
    <row r="111" spans="2:7" x14ac:dyDescent="0.25">
      <c r="B111" s="122"/>
      <c r="G111" s="121"/>
    </row>
    <row r="112" spans="2:7" x14ac:dyDescent="0.25">
      <c r="B112" s="122"/>
      <c r="G112" s="121"/>
    </row>
    <row r="113" spans="2:7" x14ac:dyDescent="0.25">
      <c r="B113" s="122"/>
      <c r="G113" s="121"/>
    </row>
    <row r="114" spans="2:7" x14ac:dyDescent="0.25">
      <c r="B114" s="122"/>
      <c r="G114" s="121"/>
    </row>
    <row r="115" spans="2:7" x14ac:dyDescent="0.25">
      <c r="B115" s="122"/>
      <c r="G115" s="121"/>
    </row>
    <row r="116" spans="2:7" x14ac:dyDescent="0.25">
      <c r="B116" s="122"/>
      <c r="G116" s="121"/>
    </row>
    <row r="117" spans="2:7" x14ac:dyDescent="0.25">
      <c r="B117" s="122"/>
      <c r="G117" s="121"/>
    </row>
    <row r="118" spans="2:7" x14ac:dyDescent="0.25">
      <c r="B118" s="122"/>
      <c r="G118" s="121"/>
    </row>
    <row r="119" spans="2:7" x14ac:dyDescent="0.25">
      <c r="B119" s="122"/>
      <c r="G119" s="121"/>
    </row>
    <row r="120" spans="2:7" x14ac:dyDescent="0.25">
      <c r="B120" s="122"/>
      <c r="G120" s="121"/>
    </row>
    <row r="121" spans="2:7" x14ac:dyDescent="0.25">
      <c r="B121" s="122"/>
      <c r="G121" s="121"/>
    </row>
    <row r="122" spans="2:7" x14ac:dyDescent="0.25">
      <c r="B122" s="122"/>
      <c r="G122" s="121"/>
    </row>
    <row r="123" spans="2:7" x14ac:dyDescent="0.25">
      <c r="B123" s="122"/>
      <c r="G123" s="121"/>
    </row>
    <row r="124" spans="2:7" x14ac:dyDescent="0.25">
      <c r="B124" s="122"/>
      <c r="G124" s="121"/>
    </row>
    <row r="125" spans="2:7" x14ac:dyDescent="0.25">
      <c r="B125" s="122"/>
      <c r="G125" s="121"/>
    </row>
    <row r="126" spans="2:7" x14ac:dyDescent="0.25">
      <c r="B126" s="122"/>
      <c r="G126" s="121"/>
    </row>
    <row r="127" spans="2:7" x14ac:dyDescent="0.25">
      <c r="B127" s="122"/>
      <c r="G127" s="121"/>
    </row>
    <row r="128" spans="2:7" x14ac:dyDescent="0.25">
      <c r="B128" s="122"/>
      <c r="G128" s="121"/>
    </row>
    <row r="129" spans="2:7" x14ac:dyDescent="0.25">
      <c r="B129" s="122"/>
      <c r="G129" s="121"/>
    </row>
    <row r="130" spans="2:7" x14ac:dyDescent="0.25">
      <c r="B130" s="122"/>
      <c r="G130" s="121"/>
    </row>
    <row r="131" spans="2:7" x14ac:dyDescent="0.25">
      <c r="B131" s="122"/>
      <c r="G131" s="121"/>
    </row>
    <row r="132" spans="2:7" x14ac:dyDescent="0.25">
      <c r="B132" s="122"/>
      <c r="G132" s="121"/>
    </row>
    <row r="133" spans="2:7" x14ac:dyDescent="0.25">
      <c r="B133" s="122"/>
      <c r="G133" s="121"/>
    </row>
    <row r="134" spans="2:7" x14ac:dyDescent="0.25">
      <c r="B134" s="122"/>
      <c r="G134" s="121"/>
    </row>
    <row r="135" spans="2:7" x14ac:dyDescent="0.25">
      <c r="B135" s="122"/>
      <c r="G135" s="121"/>
    </row>
    <row r="136" spans="2:7" x14ac:dyDescent="0.25">
      <c r="B136" s="122"/>
      <c r="G136" s="121"/>
    </row>
    <row r="137" spans="2:7" x14ac:dyDescent="0.25">
      <c r="B137" s="122"/>
      <c r="G137" s="121"/>
    </row>
    <row r="138" spans="2:7" x14ac:dyDescent="0.25">
      <c r="B138" s="122"/>
      <c r="G138" s="121"/>
    </row>
    <row r="139" spans="2:7" x14ac:dyDescent="0.25">
      <c r="B139" s="122"/>
      <c r="G139" s="121"/>
    </row>
    <row r="140" spans="2:7" x14ac:dyDescent="0.25">
      <c r="B140" s="122"/>
      <c r="G140" s="121"/>
    </row>
    <row r="141" spans="2:7" x14ac:dyDescent="0.25">
      <c r="B141" s="122"/>
      <c r="G141" s="121"/>
    </row>
    <row r="142" spans="2:7" x14ac:dyDescent="0.25">
      <c r="B142" s="122"/>
      <c r="G142" s="121"/>
    </row>
    <row r="143" spans="2:7" x14ac:dyDescent="0.25">
      <c r="B143" s="122"/>
      <c r="G143" s="121"/>
    </row>
    <row r="144" spans="2:7" x14ac:dyDescent="0.25">
      <c r="B144" s="122"/>
      <c r="G144" s="121"/>
    </row>
    <row r="145" spans="2:7" x14ac:dyDescent="0.25">
      <c r="B145" s="122"/>
      <c r="G145" s="121"/>
    </row>
    <row r="146" spans="2:7" x14ac:dyDescent="0.25">
      <c r="B146" s="122"/>
      <c r="G146" s="121"/>
    </row>
    <row r="147" spans="2:7" x14ac:dyDescent="0.25">
      <c r="B147" s="122"/>
      <c r="G147" s="121"/>
    </row>
    <row r="148" spans="2:7" x14ac:dyDescent="0.25">
      <c r="B148" s="122"/>
      <c r="G148" s="121"/>
    </row>
    <row r="149" spans="2:7" x14ac:dyDescent="0.25">
      <c r="B149" s="122"/>
      <c r="G149" s="121"/>
    </row>
    <row r="150" spans="2:7" x14ac:dyDescent="0.25">
      <c r="B150" s="122"/>
      <c r="G150" s="121"/>
    </row>
    <row r="151" spans="2:7" x14ac:dyDescent="0.25">
      <c r="B151" s="122"/>
      <c r="G151" s="121"/>
    </row>
    <row r="152" spans="2:7" x14ac:dyDescent="0.25">
      <c r="B152" s="122"/>
      <c r="G152" s="121"/>
    </row>
    <row r="153" spans="2:7" x14ac:dyDescent="0.25">
      <c r="B153" s="122"/>
      <c r="G153" s="121"/>
    </row>
    <row r="154" spans="2:7" x14ac:dyDescent="0.25">
      <c r="B154" s="122"/>
      <c r="G154" s="121"/>
    </row>
    <row r="155" spans="2:7" x14ac:dyDescent="0.25">
      <c r="B155" s="122"/>
      <c r="G155" s="121"/>
    </row>
    <row r="156" spans="2:7" x14ac:dyDescent="0.25">
      <c r="B156" s="122"/>
      <c r="G156" s="121"/>
    </row>
    <row r="157" spans="2:7" x14ac:dyDescent="0.25">
      <c r="B157" s="122"/>
      <c r="G157" s="121"/>
    </row>
    <row r="158" spans="2:7" x14ac:dyDescent="0.25">
      <c r="B158" s="122"/>
      <c r="G158" s="121"/>
    </row>
    <row r="159" spans="2:7" x14ac:dyDescent="0.25">
      <c r="B159" s="122"/>
      <c r="G159" s="121"/>
    </row>
    <row r="160" spans="2:7" x14ac:dyDescent="0.25">
      <c r="B160" s="122"/>
      <c r="G160" s="121"/>
    </row>
    <row r="161" spans="2:7" x14ac:dyDescent="0.25">
      <c r="B161" s="122"/>
      <c r="G161" s="121"/>
    </row>
    <row r="162" spans="2:7" x14ac:dyDescent="0.25">
      <c r="B162" s="122"/>
      <c r="G162" s="121"/>
    </row>
    <row r="163" spans="2:7" x14ac:dyDescent="0.25">
      <c r="B163" s="122"/>
      <c r="G163" s="121"/>
    </row>
    <row r="164" spans="2:7" x14ac:dyDescent="0.25">
      <c r="B164" s="122"/>
      <c r="G164" s="121"/>
    </row>
    <row r="165" spans="2:7" x14ac:dyDescent="0.25">
      <c r="B165" s="122"/>
      <c r="G165" s="121"/>
    </row>
    <row r="166" spans="2:7" x14ac:dyDescent="0.25">
      <c r="B166" s="125"/>
      <c r="C166" s="126"/>
      <c r="D166" s="127"/>
      <c r="E166" s="127"/>
      <c r="F166" s="127"/>
      <c r="G166" s="128"/>
    </row>
  </sheetData>
  <dataValidations count="1">
    <dataValidation type="list" allowBlank="1" showInputMessage="1" showErrorMessage="1" sqref="B6:B9" xr:uid="{F8583CA1-5D1A-4BFC-9019-B8616AD6168E}">
      <formula1>"Tier 1,Tier 2,Tier 3,Tier 4"</formula1>
    </dataValidation>
  </dataValidation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590A6D-56B6-4982-A308-FD9E65830ACB}">
  <sheetPr codeName="Sheet1">
    <tabColor rgb="FF0091B3"/>
    <pageSetUpPr autoPageBreaks="0"/>
  </sheetPr>
  <dimension ref="A1:M81"/>
  <sheetViews>
    <sheetView zoomScaleNormal="100" workbookViewId="0"/>
  </sheetViews>
  <sheetFormatPr defaultColWidth="9.109375" defaultRowHeight="13.2" x14ac:dyDescent="0.25"/>
  <cols>
    <col min="1" max="1" width="9.109375" style="181" customWidth="1"/>
    <col min="2" max="2" width="17.5546875" style="181" customWidth="1"/>
    <col min="3" max="3" width="41.5546875" style="181" customWidth="1"/>
    <col min="4" max="4" width="38.5546875" style="181" customWidth="1"/>
    <col min="5" max="5" width="65.5546875" style="181" customWidth="1"/>
    <col min="6" max="6" width="20.109375" style="181" customWidth="1"/>
    <col min="7" max="16384" width="9.109375" style="181"/>
  </cols>
  <sheetData>
    <row r="1" spans="1:13" x14ac:dyDescent="0.25">
      <c r="A1" s="271"/>
      <c r="B1" s="271"/>
      <c r="C1" s="271"/>
      <c r="D1" s="394"/>
      <c r="F1" s="324"/>
      <c r="G1" s="271"/>
      <c r="H1" s="271"/>
      <c r="I1" s="271"/>
      <c r="J1" s="271"/>
      <c r="M1" s="272"/>
    </row>
    <row r="2" spans="1:13" x14ac:dyDescent="0.25">
      <c r="A2" s="273"/>
      <c r="B2" s="273"/>
      <c r="C2" s="273"/>
      <c r="D2" s="273"/>
    </row>
    <row r="3" spans="1:13" ht="28.2" x14ac:dyDescent="0.25">
      <c r="A3" s="273"/>
      <c r="B3" s="387" t="s">
        <v>39</v>
      </c>
      <c r="C3" s="387"/>
      <c r="D3" s="273"/>
    </row>
    <row r="4" spans="1:13" x14ac:dyDescent="0.25">
      <c r="A4" s="273"/>
      <c r="B4" s="273"/>
      <c r="C4" s="273"/>
      <c r="D4" s="273"/>
    </row>
    <row r="5" spans="1:13" x14ac:dyDescent="0.25">
      <c r="A5" s="271"/>
      <c r="B5" s="271"/>
      <c r="C5" s="271"/>
      <c r="D5" s="271"/>
      <c r="E5" s="271"/>
      <c r="F5" s="271"/>
      <c r="G5" s="271"/>
      <c r="H5" s="271"/>
      <c r="I5" s="271"/>
      <c r="J5" s="271"/>
      <c r="K5" s="271"/>
      <c r="L5" s="271"/>
      <c r="M5" s="271"/>
    </row>
    <row r="6" spans="1:13" s="178" customFormat="1" x14ac:dyDescent="0.25"/>
    <row r="7" spans="1:13" s="179" customFormat="1" ht="20.100000000000001" customHeight="1" x14ac:dyDescent="0.25">
      <c r="A7" s="178"/>
      <c r="B7" s="325" t="s">
        <v>40</v>
      </c>
      <c r="C7" s="178"/>
    </row>
    <row r="8" spans="1:13" s="179" customFormat="1" ht="218.25" customHeight="1" x14ac:dyDescent="0.25">
      <c r="A8" s="178"/>
      <c r="B8" s="472" t="s">
        <v>41</v>
      </c>
      <c r="C8" s="473"/>
      <c r="D8" s="473"/>
    </row>
    <row r="9" spans="1:13" s="179" customFormat="1" ht="15" customHeight="1" x14ac:dyDescent="0.25">
      <c r="A9" s="178"/>
      <c r="B9" s="473"/>
      <c r="C9" s="473"/>
      <c r="D9" s="473"/>
      <c r="E9" s="473"/>
      <c r="F9" s="473"/>
    </row>
    <row r="10" spans="1:13" s="179" customFormat="1" x14ac:dyDescent="0.25">
      <c r="A10" s="178"/>
      <c r="B10" s="178"/>
      <c r="C10" s="178"/>
    </row>
    <row r="11" spans="1:13" s="179" customFormat="1" ht="20.100000000000001" customHeight="1" x14ac:dyDescent="0.25">
      <c r="A11" s="178"/>
      <c r="B11" s="325" t="s">
        <v>42</v>
      </c>
      <c r="C11" s="178"/>
    </row>
    <row r="12" spans="1:13" s="179" customFormat="1" ht="123" customHeight="1" x14ac:dyDescent="0.25">
      <c r="A12" s="178"/>
      <c r="B12" s="472" t="s">
        <v>43</v>
      </c>
      <c r="C12" s="472"/>
      <c r="D12" s="472"/>
      <c r="E12" s="274"/>
      <c r="F12" s="274"/>
      <c r="G12" s="274"/>
      <c r="H12" s="274"/>
      <c r="I12" s="274"/>
      <c r="J12" s="274"/>
      <c r="K12" s="274"/>
      <c r="L12" s="274"/>
      <c r="M12" s="274"/>
    </row>
    <row r="13" spans="1:13" s="179" customFormat="1" x14ac:dyDescent="0.25">
      <c r="A13" s="178"/>
      <c r="B13" s="395"/>
      <c r="C13" s="395"/>
      <c r="D13" s="395"/>
      <c r="E13" s="274"/>
      <c r="F13" s="274"/>
      <c r="G13" s="274"/>
      <c r="H13" s="274"/>
      <c r="I13" s="274"/>
      <c r="J13" s="274"/>
      <c r="K13" s="274"/>
      <c r="L13" s="274"/>
      <c r="M13" s="274"/>
    </row>
    <row r="14" spans="1:13" s="179" customFormat="1" x14ac:dyDescent="0.25">
      <c r="A14" s="178"/>
      <c r="B14" s="178"/>
      <c r="C14" s="178"/>
    </row>
    <row r="15" spans="1:13" s="179" customFormat="1" ht="20.100000000000001" customHeight="1" x14ac:dyDescent="0.25">
      <c r="A15" s="178"/>
      <c r="B15" s="325" t="s">
        <v>44</v>
      </c>
      <c r="C15" s="178"/>
    </row>
    <row r="16" spans="1:13" s="179" customFormat="1" ht="186" customHeight="1" x14ac:dyDescent="0.25">
      <c r="A16" s="178"/>
      <c r="B16" s="472" t="s">
        <v>45</v>
      </c>
      <c r="C16" s="472"/>
      <c r="D16" s="472"/>
      <c r="E16" s="274"/>
      <c r="F16" s="274"/>
      <c r="G16" s="274"/>
      <c r="H16" s="274"/>
      <c r="I16" s="274"/>
      <c r="J16" s="274"/>
      <c r="K16" s="274"/>
      <c r="L16" s="274"/>
      <c r="M16" s="274"/>
    </row>
    <row r="17" spans="1:12" x14ac:dyDescent="0.25">
      <c r="B17" s="22"/>
    </row>
    <row r="18" spans="1:12" ht="17.399999999999999" x14ac:dyDescent="0.25">
      <c r="B18" s="474" t="s">
        <v>46</v>
      </c>
      <c r="C18" s="465"/>
      <c r="D18" s="465"/>
      <c r="E18" s="465"/>
      <c r="F18" s="465"/>
      <c r="G18" s="465"/>
      <c r="H18" s="465"/>
      <c r="I18" s="465"/>
      <c r="J18" s="465"/>
      <c r="K18" s="465"/>
      <c r="L18" s="465"/>
    </row>
    <row r="19" spans="1:12" ht="20.100000000000001" customHeight="1" x14ac:dyDescent="0.25">
      <c r="B19" s="396" t="s">
        <v>47</v>
      </c>
      <c r="C19" s="397" t="s">
        <v>48</v>
      </c>
      <c r="D19" s="397" t="s">
        <v>49</v>
      </c>
      <c r="E19" s="397" t="s">
        <v>50</v>
      </c>
    </row>
    <row r="20" spans="1:12" ht="45" customHeight="1" thickTop="1" thickBot="1" x14ac:dyDescent="0.3">
      <c r="B20" s="388" t="s">
        <v>51</v>
      </c>
      <c r="C20" s="389" t="s">
        <v>52</v>
      </c>
      <c r="D20" s="390" t="s">
        <v>53</v>
      </c>
      <c r="E20" s="389" t="s">
        <v>54</v>
      </c>
    </row>
    <row r="21" spans="1:12" ht="60" customHeight="1" thickBot="1" x14ac:dyDescent="0.3">
      <c r="B21" s="391" t="s">
        <v>55</v>
      </c>
      <c r="C21" s="392" t="s">
        <v>56</v>
      </c>
      <c r="D21" s="392" t="s">
        <v>57</v>
      </c>
      <c r="E21" s="392" t="s">
        <v>58</v>
      </c>
    </row>
    <row r="22" spans="1:12" ht="45" customHeight="1" thickBot="1" x14ac:dyDescent="0.3">
      <c r="B22" s="391" t="s">
        <v>59</v>
      </c>
      <c r="C22" s="392" t="s">
        <v>60</v>
      </c>
      <c r="D22" s="475" t="s">
        <v>61</v>
      </c>
      <c r="E22" s="392" t="s">
        <v>62</v>
      </c>
    </row>
    <row r="23" spans="1:12" ht="60" customHeight="1" thickBot="1" x14ac:dyDescent="0.3">
      <c r="B23" s="391" t="s">
        <v>63</v>
      </c>
      <c r="C23" s="392" t="s">
        <v>64</v>
      </c>
      <c r="D23" s="476"/>
      <c r="E23" s="392" t="s">
        <v>65</v>
      </c>
    </row>
    <row r="25" spans="1:12" ht="17.399999999999999" x14ac:dyDescent="0.25">
      <c r="B25" s="474" t="s">
        <v>66</v>
      </c>
      <c r="C25" s="465"/>
      <c r="D25" s="465"/>
      <c r="E25" s="465"/>
      <c r="F25" s="465"/>
      <c r="G25" s="465"/>
      <c r="H25" s="465"/>
      <c r="I25" s="465"/>
      <c r="J25" s="465"/>
      <c r="K25" s="465"/>
      <c r="L25" s="465"/>
    </row>
    <row r="26" spans="1:12" ht="20.100000000000001" customHeight="1" x14ac:dyDescent="0.25">
      <c r="B26" s="396" t="s">
        <v>67</v>
      </c>
      <c r="C26" s="396" t="s">
        <v>29</v>
      </c>
      <c r="D26" s="396" t="s">
        <v>27</v>
      </c>
      <c r="E26" s="182"/>
    </row>
    <row r="27" spans="1:12" ht="15" customHeight="1" x14ac:dyDescent="0.25">
      <c r="B27" s="388" t="s">
        <v>68</v>
      </c>
      <c r="C27" s="393">
        <v>0.02</v>
      </c>
      <c r="D27" s="393">
        <f>1+C27</f>
        <v>1.02</v>
      </c>
      <c r="E27" s="182"/>
    </row>
    <row r="28" spans="1:12" ht="15" customHeight="1" x14ac:dyDescent="0.25">
      <c r="B28" s="388" t="s">
        <v>69</v>
      </c>
      <c r="C28" s="393">
        <v>0.05</v>
      </c>
      <c r="D28" s="393">
        <f>1+C28</f>
        <v>1.05</v>
      </c>
      <c r="E28" s="182"/>
    </row>
    <row r="29" spans="1:12" ht="15" customHeight="1" x14ac:dyDescent="0.25">
      <c r="B29" s="388" t="s">
        <v>70</v>
      </c>
      <c r="C29" s="393">
        <v>0.1</v>
      </c>
      <c r="D29" s="393">
        <f>1+C29</f>
        <v>1.1000000000000001</v>
      </c>
      <c r="E29" s="182"/>
      <c r="F29" s="22"/>
    </row>
    <row r="30" spans="1:12" ht="15" customHeight="1" x14ac:dyDescent="0.25">
      <c r="B30" s="388" t="s">
        <v>71</v>
      </c>
      <c r="C30" s="393">
        <v>0.2</v>
      </c>
      <c r="D30" s="393">
        <f>1+C30</f>
        <v>1.2</v>
      </c>
      <c r="E30" s="182"/>
    </row>
    <row r="31" spans="1:12" ht="15" customHeight="1" x14ac:dyDescent="0.25">
      <c r="B31" s="388" t="s">
        <v>72</v>
      </c>
      <c r="C31" s="393">
        <v>0</v>
      </c>
      <c r="D31" s="393">
        <f>1+C31</f>
        <v>1</v>
      </c>
      <c r="E31" s="182"/>
      <c r="F31" s="22"/>
    </row>
    <row r="32" spans="1:12" ht="15" customHeight="1" x14ac:dyDescent="0.25">
      <c r="A32" s="182"/>
      <c r="B32" s="182"/>
      <c r="C32" s="182"/>
      <c r="D32" s="182"/>
      <c r="E32" s="182"/>
      <c r="F32" s="22"/>
    </row>
    <row r="33" spans="1:12" ht="15" customHeight="1" x14ac:dyDescent="0.25">
      <c r="A33" s="182"/>
      <c r="B33" s="182"/>
      <c r="C33" s="182"/>
      <c r="D33" s="182"/>
      <c r="E33" s="182"/>
      <c r="F33" s="22"/>
    </row>
    <row r="34" spans="1:12" ht="17.399999999999999" x14ac:dyDescent="0.25">
      <c r="B34" s="465" t="s">
        <v>73</v>
      </c>
      <c r="C34" s="465"/>
      <c r="D34" s="465"/>
      <c r="E34" s="465"/>
      <c r="F34" s="465"/>
      <c r="G34" s="465"/>
      <c r="H34" s="465"/>
      <c r="I34" s="465"/>
      <c r="J34" s="465"/>
      <c r="K34" s="465"/>
      <c r="L34" s="465"/>
    </row>
    <row r="35" spans="1:12" ht="9.75" customHeight="1" x14ac:dyDescent="0.25">
      <c r="B35" s="180"/>
    </row>
    <row r="36" spans="1:12" ht="15" customHeight="1" x14ac:dyDescent="0.25">
      <c r="B36" s="474" t="s">
        <v>74</v>
      </c>
      <c r="C36" s="465"/>
      <c r="D36" s="465"/>
      <c r="E36" s="465"/>
      <c r="F36" s="465"/>
      <c r="G36" s="465"/>
      <c r="H36" s="465"/>
      <c r="I36" s="465"/>
      <c r="J36" s="465"/>
      <c r="K36" s="465"/>
      <c r="L36" s="465"/>
    </row>
    <row r="37" spans="1:12" ht="210.75" customHeight="1" x14ac:dyDescent="0.25">
      <c r="B37" s="472" t="s">
        <v>75</v>
      </c>
      <c r="C37" s="473"/>
      <c r="D37" s="473"/>
      <c r="E37" s="179"/>
      <c r="F37" s="179"/>
      <c r="G37" s="325"/>
      <c r="H37" s="325"/>
      <c r="I37" s="325"/>
      <c r="J37" s="325"/>
      <c r="K37" s="325"/>
      <c r="L37" s="325"/>
    </row>
    <row r="38" spans="1:12" ht="18.75" customHeight="1" x14ac:dyDescent="0.25">
      <c r="B38" s="473"/>
      <c r="C38" s="473"/>
      <c r="D38" s="473"/>
      <c r="E38" s="473"/>
      <c r="F38" s="473"/>
    </row>
    <row r="39" spans="1:12" ht="18.75" customHeight="1" x14ac:dyDescent="0.25">
      <c r="B39" s="396"/>
      <c r="C39" s="396" t="s">
        <v>76</v>
      </c>
      <c r="D39" s="396" t="s">
        <v>77</v>
      </c>
    </row>
    <row r="40" spans="1:12" ht="57.75" customHeight="1" x14ac:dyDescent="0.25">
      <c r="B40" s="388" t="s">
        <v>78</v>
      </c>
      <c r="C40" s="393" t="s">
        <v>79</v>
      </c>
      <c r="D40" s="393" t="s">
        <v>80</v>
      </c>
    </row>
    <row r="41" spans="1:12" ht="15" customHeight="1" x14ac:dyDescent="0.25">
      <c r="B41" s="388" t="s">
        <v>81</v>
      </c>
      <c r="C41" s="393" t="s">
        <v>82</v>
      </c>
      <c r="D41" s="393" t="s">
        <v>83</v>
      </c>
    </row>
    <row r="42" spans="1:12" x14ac:dyDescent="0.25">
      <c r="B42" s="388" t="s">
        <v>84</v>
      </c>
      <c r="C42" s="393" t="s">
        <v>85</v>
      </c>
      <c r="D42" s="393" t="s">
        <v>83</v>
      </c>
      <c r="E42" s="22"/>
    </row>
    <row r="43" spans="1:12" ht="57" customHeight="1" x14ac:dyDescent="0.25">
      <c r="B43" s="388" t="s">
        <v>86</v>
      </c>
      <c r="C43" s="393" t="s">
        <v>87</v>
      </c>
      <c r="D43" s="393" t="s">
        <v>88</v>
      </c>
      <c r="E43"/>
    </row>
    <row r="45" spans="1:12" ht="60" customHeight="1" x14ac:dyDescent="0.25">
      <c r="B45" s="473" t="s">
        <v>89</v>
      </c>
      <c r="C45" s="473"/>
      <c r="D45" s="473"/>
    </row>
    <row r="46" spans="1:12" ht="15" customHeight="1" x14ac:dyDescent="0.25">
      <c r="B46" s="473"/>
      <c r="C46" s="473"/>
      <c r="D46" s="473"/>
      <c r="E46" s="473"/>
      <c r="F46" s="473"/>
    </row>
    <row r="47" spans="1:12" ht="15" customHeight="1" x14ac:dyDescent="0.25">
      <c r="B47" s="473"/>
      <c r="C47" s="473"/>
      <c r="D47" s="473"/>
      <c r="E47" s="473"/>
      <c r="F47" s="473"/>
    </row>
    <row r="48" spans="1:12" ht="17.399999999999999" x14ac:dyDescent="0.25">
      <c r="B48" s="474" t="s">
        <v>90</v>
      </c>
      <c r="C48" s="465"/>
      <c r="D48" s="465"/>
      <c r="E48" s="465"/>
      <c r="F48" s="465"/>
      <c r="G48" s="465"/>
      <c r="H48" s="465"/>
      <c r="I48" s="465"/>
      <c r="J48" s="465"/>
      <c r="K48" s="465"/>
      <c r="L48" s="465"/>
    </row>
    <row r="49" spans="2:12" ht="21.75" customHeight="1" thickBot="1" x14ac:dyDescent="0.3">
      <c r="B49" s="473" t="s">
        <v>91</v>
      </c>
      <c r="C49" s="473"/>
      <c r="D49" s="473"/>
      <c r="E49" s="473"/>
      <c r="F49" s="473"/>
    </row>
    <row r="50" spans="2:12" ht="20.100000000000001" customHeight="1" x14ac:dyDescent="0.25">
      <c r="B50" s="396" t="s">
        <v>92</v>
      </c>
      <c r="C50" s="396" t="s">
        <v>93</v>
      </c>
      <c r="D50" s="396" t="s">
        <v>94</v>
      </c>
      <c r="E50" s="396" t="s">
        <v>95</v>
      </c>
    </row>
    <row r="51" spans="2:12" ht="92.4" x14ac:dyDescent="0.25">
      <c r="B51" s="388" t="s">
        <v>31</v>
      </c>
      <c r="C51" s="392" t="s">
        <v>96</v>
      </c>
      <c r="D51" s="392" t="s">
        <v>97</v>
      </c>
      <c r="E51" s="392" t="s">
        <v>98</v>
      </c>
    </row>
    <row r="52" spans="2:12" ht="52.8" x14ac:dyDescent="0.25">
      <c r="B52" s="388" t="s">
        <v>33</v>
      </c>
      <c r="C52" s="392" t="s">
        <v>99</v>
      </c>
      <c r="D52" s="392" t="s">
        <v>100</v>
      </c>
      <c r="E52" s="392" t="s">
        <v>101</v>
      </c>
    </row>
    <row r="53" spans="2:12" ht="106.8" thickTop="1" thickBot="1" x14ac:dyDescent="0.3">
      <c r="B53" s="388" t="s">
        <v>35</v>
      </c>
      <c r="C53" s="392" t="s">
        <v>102</v>
      </c>
      <c r="D53" s="392" t="s">
        <v>103</v>
      </c>
      <c r="E53" s="392" t="s">
        <v>104</v>
      </c>
      <c r="F53" s="22"/>
    </row>
    <row r="54" spans="2:12" ht="90.75" customHeight="1" thickTop="1" thickBot="1" x14ac:dyDescent="0.3">
      <c r="B54" s="388" t="s">
        <v>29</v>
      </c>
      <c r="C54" s="392" t="s">
        <v>105</v>
      </c>
      <c r="D54" s="392" t="s">
        <v>106</v>
      </c>
      <c r="E54" s="392" t="s">
        <v>107</v>
      </c>
      <c r="F54" s="22"/>
    </row>
    <row r="55" spans="2:12" ht="15" customHeight="1" x14ac:dyDescent="0.25">
      <c r="B55" s="182"/>
      <c r="C55" s="182"/>
      <c r="D55" s="182"/>
      <c r="E55" s="182"/>
      <c r="F55" s="22"/>
    </row>
    <row r="56" spans="2:12" ht="15" customHeight="1" x14ac:dyDescent="0.25">
      <c r="B56" s="474" t="s">
        <v>108</v>
      </c>
      <c r="C56" s="465"/>
      <c r="D56" s="465"/>
      <c r="E56" s="465"/>
      <c r="F56" s="465"/>
      <c r="G56" s="465"/>
      <c r="H56" s="465"/>
      <c r="I56" s="465"/>
      <c r="J56" s="465"/>
      <c r="K56" s="465"/>
      <c r="L56" s="465"/>
    </row>
    <row r="57" spans="2:12" ht="15" customHeight="1" x14ac:dyDescent="0.25">
      <c r="B57" s="473" t="s">
        <v>109</v>
      </c>
      <c r="C57" s="473"/>
      <c r="D57" s="473"/>
      <c r="E57" s="473"/>
      <c r="F57" s="473"/>
    </row>
    <row r="58" spans="2:12" ht="15" customHeight="1" x14ac:dyDescent="0.25">
      <c r="B58" s="312"/>
      <c r="C58" s="312"/>
      <c r="D58" s="312"/>
      <c r="E58" s="312"/>
      <c r="F58" s="312"/>
    </row>
    <row r="59" spans="2:12" ht="15" customHeight="1" x14ac:dyDescent="0.25">
      <c r="B59" s="312"/>
      <c r="C59" s="312"/>
      <c r="D59" s="312"/>
      <c r="E59" s="312"/>
      <c r="F59" s="312"/>
    </row>
    <row r="60" spans="2:12" ht="17.399999999999999" x14ac:dyDescent="0.25">
      <c r="B60" s="325" t="s">
        <v>110</v>
      </c>
      <c r="C60" s="325"/>
      <c r="D60" s="325"/>
      <c r="E60" s="325"/>
      <c r="F60" s="325"/>
      <c r="G60" s="325"/>
      <c r="H60" s="325"/>
      <c r="I60" s="325"/>
      <c r="J60" s="325"/>
      <c r="K60" s="325"/>
      <c r="L60" s="325"/>
    </row>
    <row r="61" spans="2:12" ht="157.5" customHeight="1" x14ac:dyDescent="0.25">
      <c r="B61" s="473" t="s">
        <v>111</v>
      </c>
      <c r="C61" s="473"/>
      <c r="D61" s="473"/>
      <c r="E61" s="179"/>
      <c r="F61" s="179"/>
      <c r="G61" s="325"/>
      <c r="H61" s="325"/>
      <c r="I61" s="325"/>
      <c r="J61" s="325"/>
      <c r="K61" s="325"/>
      <c r="L61" s="325"/>
    </row>
    <row r="62" spans="2:12" ht="15" customHeight="1" x14ac:dyDescent="0.25">
      <c r="B62" s="312"/>
      <c r="C62" s="312"/>
      <c r="D62" s="312"/>
      <c r="E62" s="312"/>
      <c r="F62" s="312"/>
    </row>
    <row r="64" spans="2:12" ht="19.5" customHeight="1" x14ac:dyDescent="0.25">
      <c r="B64" s="325" t="s">
        <v>112</v>
      </c>
      <c r="C64" s="325"/>
      <c r="D64" s="325"/>
      <c r="E64" s="325"/>
      <c r="F64" s="325"/>
      <c r="G64" s="325"/>
      <c r="H64" s="325"/>
      <c r="I64" s="325"/>
      <c r="J64" s="325"/>
      <c r="K64" s="325"/>
      <c r="L64" s="325"/>
    </row>
    <row r="65" spans="2:12" ht="193.5" customHeight="1" x14ac:dyDescent="0.25">
      <c r="B65" s="473" t="s">
        <v>113</v>
      </c>
      <c r="C65" s="473"/>
      <c r="D65" s="473"/>
      <c r="E65" s="179"/>
      <c r="F65" s="179"/>
      <c r="G65" s="325"/>
      <c r="H65" s="325"/>
      <c r="I65" s="325"/>
      <c r="J65" s="325"/>
      <c r="K65" s="325"/>
      <c r="L65" s="325"/>
    </row>
    <row r="68" spans="2:12" ht="17.399999999999999" x14ac:dyDescent="0.25">
      <c r="B68" s="325" t="s">
        <v>114</v>
      </c>
    </row>
    <row r="69" spans="2:12" ht="63" customHeight="1" x14ac:dyDescent="0.25">
      <c r="B69" s="473" t="s">
        <v>115</v>
      </c>
      <c r="C69" s="473"/>
      <c r="D69" s="473"/>
      <c r="E69" s="179"/>
      <c r="F69" s="179"/>
    </row>
    <row r="70" spans="2:12" x14ac:dyDescent="0.25">
      <c r="B70" s="473"/>
      <c r="C70" s="473"/>
      <c r="D70" s="473"/>
      <c r="E70" s="179"/>
      <c r="F70" s="179"/>
    </row>
    <row r="71" spans="2:12" ht="37.5" customHeight="1" x14ac:dyDescent="0.25">
      <c r="B71" s="478" t="s">
        <v>116</v>
      </c>
      <c r="C71" s="478"/>
      <c r="D71" s="478"/>
      <c r="E71" s="179"/>
      <c r="F71" s="179"/>
    </row>
    <row r="72" spans="2:12" ht="16.5" customHeight="1" x14ac:dyDescent="0.25">
      <c r="B72" s="480" t="s">
        <v>117</v>
      </c>
      <c r="C72" s="481"/>
      <c r="D72" s="481"/>
      <c r="E72" s="179"/>
      <c r="F72" s="179"/>
    </row>
    <row r="73" spans="2:12" ht="139.5" customHeight="1" x14ac:dyDescent="0.25">
      <c r="B73" s="479" t="s">
        <v>118</v>
      </c>
      <c r="C73" s="473"/>
      <c r="D73" s="473"/>
      <c r="E73" s="179"/>
      <c r="F73" s="179"/>
    </row>
    <row r="76" spans="2:12" ht="17.399999999999999" x14ac:dyDescent="0.25">
      <c r="B76" s="325" t="s">
        <v>119</v>
      </c>
    </row>
    <row r="77" spans="2:12" ht="36.75" customHeight="1" x14ac:dyDescent="0.25">
      <c r="B77" s="473" t="s">
        <v>120</v>
      </c>
      <c r="C77" s="473"/>
      <c r="D77" s="473"/>
      <c r="E77" s="179"/>
      <c r="F77" s="179"/>
    </row>
    <row r="79" spans="2:12" s="270" customFormat="1" ht="12" customHeight="1" x14ac:dyDescent="0.25">
      <c r="B79" s="477"/>
      <c r="C79" s="477"/>
      <c r="D79" s="477"/>
      <c r="E79" s="477"/>
      <c r="F79" s="477"/>
    </row>
    <row r="80" spans="2:12" s="270" customFormat="1" ht="104.25" customHeight="1" x14ac:dyDescent="0.25">
      <c r="B80" s="477"/>
      <c r="C80" s="477"/>
      <c r="D80" s="477"/>
      <c r="E80" s="477"/>
      <c r="F80" s="477"/>
    </row>
    <row r="81" ht="15" customHeight="1" x14ac:dyDescent="0.25"/>
  </sheetData>
  <mergeCells count="28">
    <mergeCell ref="B79:F79"/>
    <mergeCell ref="B80:F80"/>
    <mergeCell ref="B71:D71"/>
    <mergeCell ref="B73:D73"/>
    <mergeCell ref="B72:D72"/>
    <mergeCell ref="B70:D70"/>
    <mergeCell ref="B77:D77"/>
    <mergeCell ref="B34:L34"/>
    <mergeCell ref="B8:D8"/>
    <mergeCell ref="B12:D12"/>
    <mergeCell ref="B16:D16"/>
    <mergeCell ref="B18:L18"/>
    <mergeCell ref="B25:L25"/>
    <mergeCell ref="D22:D23"/>
    <mergeCell ref="B9:F9"/>
    <mergeCell ref="B61:D61"/>
    <mergeCell ref="B65:D65"/>
    <mergeCell ref="B69:D69"/>
    <mergeCell ref="B36:L36"/>
    <mergeCell ref="B48:L48"/>
    <mergeCell ref="B56:L56"/>
    <mergeCell ref="B37:D37"/>
    <mergeCell ref="B45:D45"/>
    <mergeCell ref="B57:F57"/>
    <mergeCell ref="B49:F49"/>
    <mergeCell ref="B47:F47"/>
    <mergeCell ref="B46:F46"/>
    <mergeCell ref="B38:F38"/>
  </mergeCells>
  <phoneticPr fontId="4" type="noConversion"/>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66D57A-2112-40EA-B76F-B617C5FCB558}">
  <sheetPr codeName="Sheet18">
    <tabColor rgb="FF00CCFF"/>
  </sheetPr>
  <dimension ref="A1:G166"/>
  <sheetViews>
    <sheetView showGridLines="0" zoomScale="80" zoomScaleNormal="80" workbookViewId="0"/>
  </sheetViews>
  <sheetFormatPr defaultRowHeight="13.2" x14ac:dyDescent="0.25"/>
  <cols>
    <col min="1" max="1" width="26.109375" customWidth="1"/>
    <col min="2" max="2" width="109.109375" customWidth="1"/>
    <col min="3" max="3" width="21" customWidth="1"/>
    <col min="4" max="6" width="19.88671875" style="96" customWidth="1"/>
    <col min="7" max="7" width="23.5546875" style="96" customWidth="1"/>
  </cols>
  <sheetData>
    <row r="1" spans="1:7" x14ac:dyDescent="0.25">
      <c r="A1" s="4" t="str" cm="1">
        <f t="array" aca="1" ref="A1" ca="1">MID(CELL("filename",A1),FIND("]",CELL("filename",A1))+1,255)</f>
        <v>AAC_block</v>
      </c>
    </row>
    <row r="2" spans="1:7" x14ac:dyDescent="0.25">
      <c r="A2" s="4"/>
    </row>
    <row r="3" spans="1:7" x14ac:dyDescent="0.25">
      <c r="A3" s="4" t="s">
        <v>4048</v>
      </c>
      <c r="B3" t="s">
        <v>4096</v>
      </c>
    </row>
    <row r="4" spans="1:7" x14ac:dyDescent="0.25">
      <c r="A4" s="26"/>
    </row>
    <row r="5" spans="1:7" ht="73.5" customHeight="1" x14ac:dyDescent="0.25">
      <c r="A5" s="26" t="s">
        <v>4050</v>
      </c>
      <c r="B5" s="14" t="s">
        <v>4097</v>
      </c>
    </row>
    <row r="6" spans="1:7" x14ac:dyDescent="0.25">
      <c r="A6" s="26" t="s">
        <v>4052</v>
      </c>
      <c r="B6" s="27" t="s">
        <v>71</v>
      </c>
    </row>
    <row r="7" spans="1:7" x14ac:dyDescent="0.25">
      <c r="A7" s="26" t="s">
        <v>4053</v>
      </c>
      <c r="B7" s="27" t="s">
        <v>68</v>
      </c>
    </row>
    <row r="8" spans="1:7" x14ac:dyDescent="0.25">
      <c r="A8" s="26" t="s">
        <v>4054</v>
      </c>
      <c r="B8" s="27" t="s">
        <v>71</v>
      </c>
    </row>
    <row r="9" spans="1:7" x14ac:dyDescent="0.25">
      <c r="A9" s="26" t="s">
        <v>4055</v>
      </c>
      <c r="B9" s="4" t="s">
        <v>71</v>
      </c>
    </row>
    <row r="10" spans="1:7" x14ac:dyDescent="0.25">
      <c r="A10" s="26"/>
      <c r="B10" s="4"/>
    </row>
    <row r="11" spans="1:7" x14ac:dyDescent="0.25">
      <c r="A11" s="26" t="s">
        <v>4056</v>
      </c>
      <c r="B11" s="14"/>
    </row>
    <row r="12" spans="1:7" x14ac:dyDescent="0.25">
      <c r="A12" s="101"/>
    </row>
    <row r="13" spans="1:7" x14ac:dyDescent="0.25">
      <c r="A13" s="101"/>
    </row>
    <row r="14" spans="1:7" x14ac:dyDescent="0.25">
      <c r="A14" s="26" t="s">
        <v>4057</v>
      </c>
    </row>
    <row r="15" spans="1:7" x14ac:dyDescent="0.25">
      <c r="A15" s="26"/>
      <c r="D15" s="112" t="s">
        <v>4058</v>
      </c>
      <c r="E15" s="113"/>
      <c r="F15" s="114" t="s">
        <v>4059</v>
      </c>
      <c r="G15" s="113"/>
    </row>
    <row r="16" spans="1:7" ht="39.6" x14ac:dyDescent="0.25">
      <c r="B16" s="28" t="s">
        <v>570</v>
      </c>
      <c r="C16" s="23" t="s">
        <v>23</v>
      </c>
      <c r="D16" s="24" t="s">
        <v>141</v>
      </c>
      <c r="E16" s="25" t="s">
        <v>148</v>
      </c>
      <c r="F16" s="24" t="s">
        <v>142</v>
      </c>
      <c r="G16" s="24" t="s">
        <v>149</v>
      </c>
    </row>
    <row r="17" spans="2:7" x14ac:dyDescent="0.25">
      <c r="B17" s="29"/>
      <c r="C17" s="30" t="s">
        <v>4060</v>
      </c>
      <c r="D17" s="118" t="str" cm="1">
        <f t="array" ref="D17">IF(AND(_xlfn.ANCHORARRAY(C23)=C23),C23,"Mixed")</f>
        <v>m³</v>
      </c>
      <c r="E17" s="118" t="s">
        <v>219</v>
      </c>
      <c r="F17" s="118" t="str" cm="1">
        <f t="array" ref="F17">IF(AND(_xlfn.ANCHORARRAY(C23)=C23),C23,"Mixed")</f>
        <v>m³</v>
      </c>
      <c r="G17" s="119" t="s">
        <v>219</v>
      </c>
    </row>
    <row r="18" spans="2:7" s="14" customFormat="1" x14ac:dyDescent="0.25">
      <c r="B18" s="31"/>
      <c r="C18" s="4" t="s">
        <v>4061</v>
      </c>
      <c r="D18" s="96">
        <f t="shared" ref="D18:G18" si="0">MAX(_xlfn.ANCHORARRAY(D23))</f>
        <v>232</v>
      </c>
      <c r="E18" s="96">
        <f t="shared" si="0"/>
        <v>0.60333333333333339</v>
      </c>
      <c r="F18" s="96">
        <f t="shared" si="0"/>
        <v>0</v>
      </c>
      <c r="G18" s="121">
        <f t="shared" si="0"/>
        <v>0</v>
      </c>
    </row>
    <row r="19" spans="2:7" x14ac:dyDescent="0.25">
      <c r="B19" s="122"/>
      <c r="C19" s="4" t="s">
        <v>4062</v>
      </c>
      <c r="D19" s="96">
        <f>MIN(_xlfn.ANCHORARRAY(D23))</f>
        <v>150.24699999999999</v>
      </c>
      <c r="E19" s="96">
        <f t="shared" ref="E19:G19" si="1">MIN(_xlfn.ANCHORARRAY(E23))</f>
        <v>0.33388222222222219</v>
      </c>
      <c r="F19" s="96">
        <f t="shared" si="1"/>
        <v>0</v>
      </c>
      <c r="G19" s="121">
        <f t="shared" si="1"/>
        <v>0</v>
      </c>
    </row>
    <row r="20" spans="2:7" x14ac:dyDescent="0.25">
      <c r="B20" s="122"/>
      <c r="C20" s="4" t="s">
        <v>4063</v>
      </c>
      <c r="D20" s="96">
        <f>AVERAGE(_xlfn.ANCHORARRAY(D23))</f>
        <v>190.06174999999999</v>
      </c>
      <c r="E20" s="96">
        <f t="shared" ref="E20:G20" si="2">AVERAGE(_xlfn.ANCHORARRAY(E23))</f>
        <v>0.43690805555555556</v>
      </c>
      <c r="F20" s="96">
        <f t="shared" si="2"/>
        <v>0</v>
      </c>
      <c r="G20" s="121">
        <f t="shared" si="2"/>
        <v>0</v>
      </c>
    </row>
    <row r="21" spans="2:7" x14ac:dyDescent="0.25">
      <c r="B21" s="122"/>
      <c r="C21" s="4"/>
      <c r="G21" s="121"/>
    </row>
    <row r="22" spans="2:7" x14ac:dyDescent="0.25">
      <c r="B22" s="32" t="s">
        <v>4064</v>
      </c>
      <c r="D22"/>
      <c r="E22"/>
      <c r="F22"/>
      <c r="G22" s="124"/>
    </row>
    <row r="23" spans="2:7" x14ac:dyDescent="0.25">
      <c r="B23" s="122" t="str" cm="1">
        <f t="array" ref="B23:B26">_xlfn.UNIQUE(_xlfn._xlws.FILTER('EPD List'!D:D,ISNUMBER(SEARCH(B16,'EPD List'!C:C)),0))</f>
        <v>AAC, , Autoclaved Aerated Concrete (Ytong) (Turkey)</v>
      </c>
      <c r="C23" t="str" cm="1">
        <f t="array" ref="C23:C26">_xlfn.IFNA(INDEX('EPD List'!$A:$AB,MATCH(_xlfn.ANCHORARRAY(B23),'EPD List'!$D:$D,0),MATCH(C$16,'EPD List'!$7:$7,0)),"")</f>
        <v>m³</v>
      </c>
      <c r="D23" s="96" cm="1">
        <f t="array" ref="D23:D26">_xlfn.IFNA(VALUE((INDEX('EPD List'!$A:$AD,MATCH(_xlfn.ANCHORARRAY($B23),'EPD List'!$D:$D,0),MATCH(D$16,'EPD List'!$7:$7,0)))),"")</f>
        <v>150.24699999999999</v>
      </c>
      <c r="E23" s="96" cm="1">
        <f t="array" ref="E23:E26">_xlfn.IFNA(VALUE((INDEX('EPD List'!$A:$AD,MATCH(_xlfn.ANCHORARRAY($B23),'EPD List'!$D:$D,0),MATCH(E$16,'EPD List'!$7:$7,0)))),"")</f>
        <v>0.33388222222222219</v>
      </c>
      <c r="F23" s="96" cm="1">
        <f t="array" ref="F23:F26">_xlfn.IFNA(VALUE((INDEX('EPD List'!$A:$AD,MATCH(_xlfn.ANCHORARRAY($B23),'EPD List'!$D:$D,0),MATCH(F$16,'EPD List'!$7:$7,0)))),"")</f>
        <v>0</v>
      </c>
      <c r="G23" s="121" cm="1">
        <f t="array" ref="G23:G26">_xlfn.IFNA(VALUE((INDEX('EPD List'!$A:$AD,MATCH(_xlfn.ANCHORARRAY($B23),'EPD List'!$D:$D,0),MATCH(G$16,'EPD List'!$7:$7,0)))),"")</f>
        <v>0</v>
      </c>
    </row>
    <row r="24" spans="2:7" x14ac:dyDescent="0.25">
      <c r="B24" s="122" t="str">
        <v>AAC, , Autoclaved Aerated Concrete blocks, Active (Gasbeton) (Italy)</v>
      </c>
      <c r="C24" t="str">
        <v>m³</v>
      </c>
      <c r="D24" s="96">
        <v>181</v>
      </c>
      <c r="E24" s="96">
        <v>0.60333333333333339</v>
      </c>
      <c r="F24" s="96">
        <v>0</v>
      </c>
      <c r="G24" s="121">
        <v>0</v>
      </c>
    </row>
    <row r="25" spans="2:7" x14ac:dyDescent="0.25">
      <c r="B25" s="122" t="str">
        <v>AAC, , Autoclaved Aerated Concrete blocks, Evolution (Gasbeton) (Italy)</v>
      </c>
      <c r="C25" t="str">
        <v>m³</v>
      </c>
      <c r="D25" s="96">
        <v>197</v>
      </c>
      <c r="E25" s="96">
        <v>0.41041666666666665</v>
      </c>
      <c r="F25" s="96">
        <v>0</v>
      </c>
      <c r="G25" s="121">
        <v>0</v>
      </c>
    </row>
    <row r="26" spans="2:7" x14ac:dyDescent="0.25">
      <c r="B26" s="122" t="str">
        <v>AAC, , Autoclaved Aerated Concrete blocks, Sysmic Idro (Gasbeton) (Italy)</v>
      </c>
      <c r="C26" t="str">
        <v>m³</v>
      </c>
      <c r="D26" s="96">
        <v>232</v>
      </c>
      <c r="E26" s="96">
        <v>0.4</v>
      </c>
      <c r="F26" s="96">
        <v>0</v>
      </c>
      <c r="G26" s="121">
        <v>0</v>
      </c>
    </row>
    <row r="27" spans="2:7" x14ac:dyDescent="0.25">
      <c r="B27" s="122"/>
      <c r="G27" s="121"/>
    </row>
    <row r="28" spans="2:7" x14ac:dyDescent="0.25">
      <c r="B28" s="122"/>
      <c r="G28" s="121"/>
    </row>
    <row r="29" spans="2:7" x14ac:dyDescent="0.25">
      <c r="B29" s="122"/>
      <c r="G29" s="121"/>
    </row>
    <row r="30" spans="2:7" x14ac:dyDescent="0.25">
      <c r="B30" s="122"/>
      <c r="G30" s="121"/>
    </row>
    <row r="31" spans="2:7" x14ac:dyDescent="0.25">
      <c r="B31" s="122"/>
      <c r="G31" s="121"/>
    </row>
    <row r="32" spans="2:7" x14ac:dyDescent="0.25">
      <c r="B32" s="122"/>
      <c r="G32" s="121"/>
    </row>
    <row r="33" spans="2:7" x14ac:dyDescent="0.25">
      <c r="B33" s="122"/>
      <c r="G33" s="121"/>
    </row>
    <row r="34" spans="2:7" x14ac:dyDescent="0.25">
      <c r="B34" s="122"/>
      <c r="G34" s="121"/>
    </row>
    <row r="35" spans="2:7" x14ac:dyDescent="0.25">
      <c r="B35" s="122"/>
      <c r="G35" s="121"/>
    </row>
    <row r="36" spans="2:7" x14ac:dyDescent="0.25">
      <c r="B36" s="122"/>
      <c r="G36" s="121"/>
    </row>
    <row r="37" spans="2:7" x14ac:dyDescent="0.25">
      <c r="B37" s="122"/>
      <c r="G37" s="121"/>
    </row>
    <row r="38" spans="2:7" x14ac:dyDescent="0.25">
      <c r="B38" s="122"/>
      <c r="G38" s="121"/>
    </row>
    <row r="39" spans="2:7" x14ac:dyDescent="0.25">
      <c r="B39" s="122"/>
      <c r="G39" s="121"/>
    </row>
    <row r="40" spans="2:7" x14ac:dyDescent="0.25">
      <c r="B40" s="122"/>
      <c r="G40" s="121"/>
    </row>
    <row r="41" spans="2:7" x14ac:dyDescent="0.25">
      <c r="B41" s="122"/>
      <c r="G41" s="121"/>
    </row>
    <row r="42" spans="2:7" x14ac:dyDescent="0.25">
      <c r="B42" s="122"/>
      <c r="G42" s="121"/>
    </row>
    <row r="43" spans="2:7" x14ac:dyDescent="0.25">
      <c r="B43" s="122"/>
      <c r="G43" s="121"/>
    </row>
    <row r="44" spans="2:7" x14ac:dyDescent="0.25">
      <c r="B44" s="122"/>
      <c r="G44" s="121"/>
    </row>
    <row r="45" spans="2:7" x14ac:dyDescent="0.25">
      <c r="B45" s="122"/>
      <c r="G45" s="121"/>
    </row>
    <row r="46" spans="2:7" x14ac:dyDescent="0.25">
      <c r="B46" s="122"/>
      <c r="G46" s="121"/>
    </row>
    <row r="47" spans="2:7" x14ac:dyDescent="0.25">
      <c r="B47" s="122"/>
      <c r="G47" s="121"/>
    </row>
    <row r="48" spans="2:7" x14ac:dyDescent="0.25">
      <c r="B48" s="122"/>
      <c r="G48" s="121"/>
    </row>
    <row r="49" spans="2:7" x14ac:dyDescent="0.25">
      <c r="B49" s="122"/>
      <c r="G49" s="121"/>
    </row>
    <row r="50" spans="2:7" x14ac:dyDescent="0.25">
      <c r="B50" s="122"/>
      <c r="G50" s="121"/>
    </row>
    <row r="51" spans="2:7" x14ac:dyDescent="0.25">
      <c r="B51" s="122"/>
      <c r="G51" s="121"/>
    </row>
    <row r="52" spans="2:7" x14ac:dyDescent="0.25">
      <c r="B52" s="122"/>
      <c r="G52" s="121"/>
    </row>
    <row r="53" spans="2:7" x14ac:dyDescent="0.25">
      <c r="B53" s="122"/>
      <c r="G53" s="121"/>
    </row>
    <row r="54" spans="2:7" x14ac:dyDescent="0.25">
      <c r="B54" s="122"/>
      <c r="G54" s="121"/>
    </row>
    <row r="55" spans="2:7" x14ac:dyDescent="0.25">
      <c r="B55" s="122"/>
      <c r="G55" s="121"/>
    </row>
    <row r="56" spans="2:7" x14ac:dyDescent="0.25">
      <c r="B56" s="122"/>
      <c r="G56" s="121"/>
    </row>
    <row r="57" spans="2:7" x14ac:dyDescent="0.25">
      <c r="B57" s="122"/>
      <c r="G57" s="121"/>
    </row>
    <row r="58" spans="2:7" x14ac:dyDescent="0.25">
      <c r="B58" s="122"/>
      <c r="G58" s="121"/>
    </row>
    <row r="59" spans="2:7" x14ac:dyDescent="0.25">
      <c r="B59" s="122"/>
      <c r="G59" s="121"/>
    </row>
    <row r="60" spans="2:7" x14ac:dyDescent="0.25">
      <c r="B60" s="122"/>
      <c r="G60" s="121"/>
    </row>
    <row r="61" spans="2:7" x14ac:dyDescent="0.25">
      <c r="B61" s="122"/>
      <c r="G61" s="121"/>
    </row>
    <row r="62" spans="2:7" x14ac:dyDescent="0.25">
      <c r="B62" s="122"/>
      <c r="G62" s="121"/>
    </row>
    <row r="63" spans="2:7" x14ac:dyDescent="0.25">
      <c r="B63" s="122"/>
      <c r="G63" s="121"/>
    </row>
    <row r="64" spans="2:7" x14ac:dyDescent="0.25">
      <c r="B64" s="122"/>
      <c r="G64" s="121"/>
    </row>
    <row r="65" spans="2:7" x14ac:dyDescent="0.25">
      <c r="B65" s="122"/>
      <c r="G65" s="121"/>
    </row>
    <row r="66" spans="2:7" x14ac:dyDescent="0.25">
      <c r="B66" s="122"/>
      <c r="G66" s="121"/>
    </row>
    <row r="67" spans="2:7" x14ac:dyDescent="0.25">
      <c r="B67" s="122"/>
      <c r="G67" s="121"/>
    </row>
    <row r="68" spans="2:7" x14ac:dyDescent="0.25">
      <c r="B68" s="122"/>
      <c r="G68" s="121"/>
    </row>
    <row r="69" spans="2:7" x14ac:dyDescent="0.25">
      <c r="B69" s="122"/>
      <c r="G69" s="121"/>
    </row>
    <row r="70" spans="2:7" x14ac:dyDescent="0.25">
      <c r="B70" s="122"/>
      <c r="G70" s="121"/>
    </row>
    <row r="71" spans="2:7" x14ac:dyDescent="0.25">
      <c r="B71" s="122"/>
      <c r="G71" s="121"/>
    </row>
    <row r="72" spans="2:7" x14ac:dyDescent="0.25">
      <c r="B72" s="122"/>
      <c r="G72" s="121"/>
    </row>
    <row r="73" spans="2:7" x14ac:dyDescent="0.25">
      <c r="B73" s="122"/>
      <c r="G73" s="121"/>
    </row>
    <row r="74" spans="2:7" x14ac:dyDescent="0.25">
      <c r="B74" s="122"/>
      <c r="G74" s="121"/>
    </row>
    <row r="75" spans="2:7" x14ac:dyDescent="0.25">
      <c r="B75" s="122"/>
      <c r="G75" s="121"/>
    </row>
    <row r="76" spans="2:7" x14ac:dyDescent="0.25">
      <c r="B76" s="122"/>
      <c r="G76" s="121"/>
    </row>
    <row r="77" spans="2:7" x14ac:dyDescent="0.25">
      <c r="B77" s="122"/>
      <c r="G77" s="121"/>
    </row>
    <row r="78" spans="2:7" x14ac:dyDescent="0.25">
      <c r="B78" s="122"/>
      <c r="G78" s="121"/>
    </row>
    <row r="79" spans="2:7" x14ac:dyDescent="0.25">
      <c r="B79" s="122"/>
      <c r="G79" s="121"/>
    </row>
    <row r="80" spans="2:7" x14ac:dyDescent="0.25">
      <c r="B80" s="122"/>
      <c r="G80" s="121"/>
    </row>
    <row r="81" spans="2:7" x14ac:dyDescent="0.25">
      <c r="B81" s="122"/>
      <c r="G81" s="121"/>
    </row>
    <row r="82" spans="2:7" x14ac:dyDescent="0.25">
      <c r="B82" s="122"/>
      <c r="G82" s="121"/>
    </row>
    <row r="83" spans="2:7" x14ac:dyDescent="0.25">
      <c r="B83" s="122"/>
      <c r="G83" s="121"/>
    </row>
    <row r="84" spans="2:7" x14ac:dyDescent="0.25">
      <c r="B84" s="122"/>
      <c r="G84" s="121"/>
    </row>
    <row r="85" spans="2:7" x14ac:dyDescent="0.25">
      <c r="B85" s="122"/>
      <c r="G85" s="121"/>
    </row>
    <row r="86" spans="2:7" x14ac:dyDescent="0.25">
      <c r="B86" s="122"/>
      <c r="G86" s="121"/>
    </row>
    <row r="87" spans="2:7" x14ac:dyDescent="0.25">
      <c r="B87" s="122"/>
      <c r="G87" s="121"/>
    </row>
    <row r="88" spans="2:7" x14ac:dyDescent="0.25">
      <c r="B88" s="122"/>
      <c r="G88" s="121"/>
    </row>
    <row r="89" spans="2:7" x14ac:dyDescent="0.25">
      <c r="B89" s="122"/>
      <c r="G89" s="121"/>
    </row>
    <row r="90" spans="2:7" x14ac:dyDescent="0.25">
      <c r="B90" s="122"/>
      <c r="G90" s="121"/>
    </row>
    <row r="91" spans="2:7" x14ac:dyDescent="0.25">
      <c r="B91" s="122"/>
      <c r="G91" s="121"/>
    </row>
    <row r="92" spans="2:7" x14ac:dyDescent="0.25">
      <c r="B92" s="122"/>
      <c r="G92" s="121"/>
    </row>
    <row r="93" spans="2:7" x14ac:dyDescent="0.25">
      <c r="B93" s="122"/>
      <c r="G93" s="121"/>
    </row>
    <row r="94" spans="2:7" x14ac:dyDescent="0.25">
      <c r="B94" s="122"/>
      <c r="G94" s="121"/>
    </row>
    <row r="95" spans="2:7" x14ac:dyDescent="0.25">
      <c r="B95" s="122"/>
      <c r="G95" s="121"/>
    </row>
    <row r="96" spans="2:7" x14ac:dyDescent="0.25">
      <c r="B96" s="122"/>
      <c r="G96" s="121"/>
    </row>
    <row r="97" spans="2:7" x14ac:dyDescent="0.25">
      <c r="B97" s="122"/>
      <c r="G97" s="121"/>
    </row>
    <row r="98" spans="2:7" x14ac:dyDescent="0.25">
      <c r="B98" s="122"/>
      <c r="G98" s="121"/>
    </row>
    <row r="99" spans="2:7" x14ac:dyDescent="0.25">
      <c r="B99" s="122"/>
      <c r="G99" s="121"/>
    </row>
    <row r="100" spans="2:7" x14ac:dyDescent="0.25">
      <c r="B100" s="122"/>
      <c r="G100" s="121"/>
    </row>
    <row r="101" spans="2:7" x14ac:dyDescent="0.25">
      <c r="B101" s="122"/>
      <c r="G101" s="121"/>
    </row>
    <row r="102" spans="2:7" x14ac:dyDescent="0.25">
      <c r="B102" s="122"/>
      <c r="G102" s="121"/>
    </row>
    <row r="103" spans="2:7" x14ac:dyDescent="0.25">
      <c r="B103" s="122"/>
      <c r="G103" s="121"/>
    </row>
    <row r="104" spans="2:7" x14ac:dyDescent="0.25">
      <c r="B104" s="122"/>
      <c r="G104" s="121"/>
    </row>
    <row r="105" spans="2:7" x14ac:dyDescent="0.25">
      <c r="B105" s="122"/>
      <c r="G105" s="121"/>
    </row>
    <row r="106" spans="2:7" x14ac:dyDescent="0.25">
      <c r="B106" s="122"/>
      <c r="G106" s="121"/>
    </row>
    <row r="107" spans="2:7" x14ac:dyDescent="0.25">
      <c r="B107" s="122"/>
      <c r="G107" s="121"/>
    </row>
    <row r="108" spans="2:7" x14ac:dyDescent="0.25">
      <c r="B108" s="122"/>
      <c r="G108" s="121"/>
    </row>
    <row r="109" spans="2:7" x14ac:dyDescent="0.25">
      <c r="B109" s="122"/>
      <c r="G109" s="121"/>
    </row>
    <row r="110" spans="2:7" x14ac:dyDescent="0.25">
      <c r="B110" s="122"/>
      <c r="G110" s="121"/>
    </row>
    <row r="111" spans="2:7" x14ac:dyDescent="0.25">
      <c r="B111" s="122"/>
      <c r="G111" s="121"/>
    </row>
    <row r="112" spans="2:7" x14ac:dyDescent="0.25">
      <c r="B112" s="122"/>
      <c r="G112" s="121"/>
    </row>
    <row r="113" spans="2:7" x14ac:dyDescent="0.25">
      <c r="B113" s="122"/>
      <c r="G113" s="121"/>
    </row>
    <row r="114" spans="2:7" x14ac:dyDescent="0.25">
      <c r="B114" s="122"/>
      <c r="G114" s="121"/>
    </row>
    <row r="115" spans="2:7" x14ac:dyDescent="0.25">
      <c r="B115" s="122"/>
      <c r="G115" s="121"/>
    </row>
    <row r="116" spans="2:7" x14ac:dyDescent="0.25">
      <c r="B116" s="122"/>
      <c r="G116" s="121"/>
    </row>
    <row r="117" spans="2:7" x14ac:dyDescent="0.25">
      <c r="B117" s="122"/>
      <c r="G117" s="121"/>
    </row>
    <row r="118" spans="2:7" x14ac:dyDescent="0.25">
      <c r="B118" s="122"/>
      <c r="G118" s="121"/>
    </row>
    <row r="119" spans="2:7" x14ac:dyDescent="0.25">
      <c r="B119" s="122"/>
      <c r="G119" s="121"/>
    </row>
    <row r="120" spans="2:7" x14ac:dyDescent="0.25">
      <c r="B120" s="122"/>
      <c r="G120" s="121"/>
    </row>
    <row r="121" spans="2:7" x14ac:dyDescent="0.25">
      <c r="B121" s="122"/>
      <c r="G121" s="121"/>
    </row>
    <row r="122" spans="2:7" x14ac:dyDescent="0.25">
      <c r="B122" s="122"/>
      <c r="G122" s="121"/>
    </row>
    <row r="123" spans="2:7" x14ac:dyDescent="0.25">
      <c r="B123" s="122"/>
      <c r="G123" s="121"/>
    </row>
    <row r="124" spans="2:7" x14ac:dyDescent="0.25">
      <c r="B124" s="122"/>
      <c r="G124" s="121"/>
    </row>
    <row r="125" spans="2:7" x14ac:dyDescent="0.25">
      <c r="B125" s="122"/>
      <c r="G125" s="121"/>
    </row>
    <row r="126" spans="2:7" x14ac:dyDescent="0.25">
      <c r="B126" s="122"/>
      <c r="G126" s="121"/>
    </row>
    <row r="127" spans="2:7" x14ac:dyDescent="0.25">
      <c r="B127" s="122"/>
      <c r="G127" s="121"/>
    </row>
    <row r="128" spans="2:7" x14ac:dyDescent="0.25">
      <c r="B128" s="122"/>
      <c r="G128" s="121"/>
    </row>
    <row r="129" spans="2:7" x14ac:dyDescent="0.25">
      <c r="B129" s="122"/>
      <c r="G129" s="121"/>
    </row>
    <row r="130" spans="2:7" x14ac:dyDescent="0.25">
      <c r="B130" s="122"/>
      <c r="G130" s="121"/>
    </row>
    <row r="131" spans="2:7" x14ac:dyDescent="0.25">
      <c r="B131" s="122"/>
      <c r="G131" s="121"/>
    </row>
    <row r="132" spans="2:7" x14ac:dyDescent="0.25">
      <c r="B132" s="122"/>
      <c r="G132" s="121"/>
    </row>
    <row r="133" spans="2:7" x14ac:dyDescent="0.25">
      <c r="B133" s="122"/>
      <c r="G133" s="121"/>
    </row>
    <row r="134" spans="2:7" x14ac:dyDescent="0.25">
      <c r="B134" s="122"/>
      <c r="G134" s="121"/>
    </row>
    <row r="135" spans="2:7" x14ac:dyDescent="0.25">
      <c r="B135" s="122"/>
      <c r="G135" s="121"/>
    </row>
    <row r="136" spans="2:7" x14ac:dyDescent="0.25">
      <c r="B136" s="122"/>
      <c r="G136" s="121"/>
    </row>
    <row r="137" spans="2:7" x14ac:dyDescent="0.25">
      <c r="B137" s="122"/>
      <c r="G137" s="121"/>
    </row>
    <row r="138" spans="2:7" x14ac:dyDescent="0.25">
      <c r="B138" s="122"/>
      <c r="G138" s="121"/>
    </row>
    <row r="139" spans="2:7" x14ac:dyDescent="0.25">
      <c r="B139" s="122"/>
      <c r="G139" s="121"/>
    </row>
    <row r="140" spans="2:7" x14ac:dyDescent="0.25">
      <c r="B140" s="122"/>
      <c r="G140" s="121"/>
    </row>
    <row r="141" spans="2:7" x14ac:dyDescent="0.25">
      <c r="B141" s="122"/>
      <c r="G141" s="121"/>
    </row>
    <row r="142" spans="2:7" x14ac:dyDescent="0.25">
      <c r="B142" s="122"/>
      <c r="G142" s="121"/>
    </row>
    <row r="143" spans="2:7" x14ac:dyDescent="0.25">
      <c r="B143" s="122"/>
      <c r="G143" s="121"/>
    </row>
    <row r="144" spans="2:7" x14ac:dyDescent="0.25">
      <c r="B144" s="122"/>
      <c r="G144" s="121"/>
    </row>
    <row r="145" spans="2:7" x14ac:dyDescent="0.25">
      <c r="B145" s="122"/>
      <c r="G145" s="121"/>
    </row>
    <row r="146" spans="2:7" x14ac:dyDescent="0.25">
      <c r="B146" s="122"/>
      <c r="G146" s="121"/>
    </row>
    <row r="147" spans="2:7" x14ac:dyDescent="0.25">
      <c r="B147" s="122"/>
      <c r="G147" s="121"/>
    </row>
    <row r="148" spans="2:7" x14ac:dyDescent="0.25">
      <c r="B148" s="122"/>
      <c r="G148" s="121"/>
    </row>
    <row r="149" spans="2:7" x14ac:dyDescent="0.25">
      <c r="B149" s="122"/>
      <c r="G149" s="121"/>
    </row>
    <row r="150" spans="2:7" x14ac:dyDescent="0.25">
      <c r="B150" s="122"/>
      <c r="G150" s="121"/>
    </row>
    <row r="151" spans="2:7" x14ac:dyDescent="0.25">
      <c r="B151" s="122"/>
      <c r="G151" s="121"/>
    </row>
    <row r="152" spans="2:7" x14ac:dyDescent="0.25">
      <c r="B152" s="122"/>
      <c r="G152" s="121"/>
    </row>
    <row r="153" spans="2:7" x14ac:dyDescent="0.25">
      <c r="B153" s="122"/>
      <c r="G153" s="121"/>
    </row>
    <row r="154" spans="2:7" x14ac:dyDescent="0.25">
      <c r="B154" s="122"/>
      <c r="G154" s="121"/>
    </row>
    <row r="155" spans="2:7" x14ac:dyDescent="0.25">
      <c r="B155" s="122"/>
      <c r="G155" s="121"/>
    </row>
    <row r="156" spans="2:7" x14ac:dyDescent="0.25">
      <c r="B156" s="122"/>
      <c r="G156" s="121"/>
    </row>
    <row r="157" spans="2:7" x14ac:dyDescent="0.25">
      <c r="B157" s="122"/>
      <c r="G157" s="121"/>
    </row>
    <row r="158" spans="2:7" x14ac:dyDescent="0.25">
      <c r="B158" s="122"/>
      <c r="G158" s="121"/>
    </row>
    <row r="159" spans="2:7" x14ac:dyDescent="0.25">
      <c r="B159" s="122"/>
      <c r="G159" s="121"/>
    </row>
    <row r="160" spans="2:7" x14ac:dyDescent="0.25">
      <c r="B160" s="122"/>
      <c r="G160" s="121"/>
    </row>
    <row r="161" spans="2:7" x14ac:dyDescent="0.25">
      <c r="B161" s="122"/>
      <c r="G161" s="121"/>
    </row>
    <row r="162" spans="2:7" x14ac:dyDescent="0.25">
      <c r="B162" s="122"/>
      <c r="G162" s="121"/>
    </row>
    <row r="163" spans="2:7" x14ac:dyDescent="0.25">
      <c r="B163" s="122"/>
      <c r="G163" s="121"/>
    </row>
    <row r="164" spans="2:7" x14ac:dyDescent="0.25">
      <c r="B164" s="122"/>
      <c r="G164" s="121"/>
    </row>
    <row r="165" spans="2:7" x14ac:dyDescent="0.25">
      <c r="B165" s="122"/>
      <c r="G165" s="121"/>
    </row>
    <row r="166" spans="2:7" x14ac:dyDescent="0.25">
      <c r="B166" s="125"/>
      <c r="C166" s="126"/>
      <c r="D166" s="127"/>
      <c r="E166" s="127"/>
      <c r="F166" s="127"/>
      <c r="G166" s="128"/>
    </row>
  </sheetData>
  <dataValidations count="1">
    <dataValidation type="list" allowBlank="1" showInputMessage="1" showErrorMessage="1" sqref="B6:B9" xr:uid="{B602B1AD-123B-42C8-A0B3-E270AB403358}">
      <formula1>"Tier 1,Tier 2,Tier 3,Tier 4"</formula1>
    </dataValidation>
  </dataValidation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8A0D80-7DA6-4996-A2DA-EA8FB014C8CB}">
  <sheetPr codeName="Sheet19">
    <tabColor rgb="FF00CCFF"/>
  </sheetPr>
  <dimension ref="A1:G166"/>
  <sheetViews>
    <sheetView showGridLines="0" zoomScale="80" zoomScaleNormal="80" workbookViewId="0"/>
  </sheetViews>
  <sheetFormatPr defaultRowHeight="13.2" x14ac:dyDescent="0.25"/>
  <cols>
    <col min="1" max="1" width="26.109375" customWidth="1"/>
    <col min="2" max="2" width="109.109375" customWidth="1"/>
    <col min="3" max="3" width="21" customWidth="1"/>
    <col min="4" max="6" width="19.88671875" style="96" customWidth="1"/>
    <col min="7" max="7" width="23.5546875" style="96" customWidth="1"/>
  </cols>
  <sheetData>
    <row r="1" spans="1:7" x14ac:dyDescent="0.25">
      <c r="A1" s="4" t="str" cm="1">
        <f t="array" aca="1" ref="A1" ca="1">MID(CELL("filename",A1),FIND("]",CELL("filename",A1))+1,255)</f>
        <v>Stainless_steel</v>
      </c>
    </row>
    <row r="2" spans="1:7" x14ac:dyDescent="0.25">
      <c r="A2" s="4"/>
    </row>
    <row r="3" spans="1:7" x14ac:dyDescent="0.25">
      <c r="A3" s="4" t="s">
        <v>4048</v>
      </c>
      <c r="B3" t="s">
        <v>4098</v>
      </c>
    </row>
    <row r="4" spans="1:7" x14ac:dyDescent="0.25">
      <c r="A4" s="26"/>
    </row>
    <row r="5" spans="1:7" ht="73.5" customHeight="1" x14ac:dyDescent="0.25">
      <c r="A5" s="26" t="s">
        <v>4050</v>
      </c>
      <c r="B5" s="14" t="s">
        <v>4099</v>
      </c>
    </row>
    <row r="6" spans="1:7" x14ac:dyDescent="0.25">
      <c r="A6" s="26" t="s">
        <v>4052</v>
      </c>
      <c r="B6" s="27" t="s">
        <v>71</v>
      </c>
    </row>
    <row r="7" spans="1:7" x14ac:dyDescent="0.25">
      <c r="A7" s="26" t="s">
        <v>4053</v>
      </c>
      <c r="B7" s="27" t="s">
        <v>68</v>
      </c>
    </row>
    <row r="8" spans="1:7" x14ac:dyDescent="0.25">
      <c r="A8" s="26" t="s">
        <v>4054</v>
      </c>
      <c r="B8" s="27" t="s">
        <v>71</v>
      </c>
    </row>
    <row r="9" spans="1:7" x14ac:dyDescent="0.25">
      <c r="A9" s="26" t="s">
        <v>4055</v>
      </c>
      <c r="B9" s="4" t="s">
        <v>71</v>
      </c>
    </row>
    <row r="10" spans="1:7" x14ac:dyDescent="0.25">
      <c r="A10" s="26"/>
      <c r="B10" s="4"/>
    </row>
    <row r="11" spans="1:7" x14ac:dyDescent="0.25">
      <c r="A11" s="26" t="s">
        <v>4056</v>
      </c>
      <c r="B11" s="14"/>
    </row>
    <row r="12" spans="1:7" x14ac:dyDescent="0.25">
      <c r="A12" s="101"/>
    </row>
    <row r="13" spans="1:7" x14ac:dyDescent="0.25">
      <c r="A13" s="101"/>
    </row>
    <row r="14" spans="1:7" x14ac:dyDescent="0.25">
      <c r="A14" s="26" t="s">
        <v>4057</v>
      </c>
    </row>
    <row r="15" spans="1:7" x14ac:dyDescent="0.25">
      <c r="A15" s="26"/>
      <c r="D15" s="112" t="s">
        <v>4058</v>
      </c>
      <c r="E15" s="113"/>
      <c r="F15" s="114" t="s">
        <v>4059</v>
      </c>
      <c r="G15" s="113"/>
    </row>
    <row r="16" spans="1:7" ht="39.6" x14ac:dyDescent="0.25">
      <c r="B16" s="28" t="s">
        <v>4100</v>
      </c>
      <c r="C16" s="23" t="s">
        <v>23</v>
      </c>
      <c r="D16" s="24" t="s">
        <v>141</v>
      </c>
      <c r="E16" s="25" t="s">
        <v>148</v>
      </c>
      <c r="F16" s="24" t="s">
        <v>142</v>
      </c>
      <c r="G16" s="24" t="s">
        <v>149</v>
      </c>
    </row>
    <row r="17" spans="2:7" x14ac:dyDescent="0.25">
      <c r="B17" s="29"/>
      <c r="C17" s="30" t="s">
        <v>4060</v>
      </c>
      <c r="D17" s="118" t="str" cm="1">
        <f t="array" ref="D17">IF(AND(_xlfn.ANCHORARRAY(C23)=C23),C23,"Mixed")</f>
        <v>tonne</v>
      </c>
      <c r="E17" s="118" t="s">
        <v>219</v>
      </c>
      <c r="F17" s="118" t="str" cm="1">
        <f t="array" ref="F17">IF(AND(_xlfn.ANCHORARRAY(C23)=C23),C23,"Mixed")</f>
        <v>tonne</v>
      </c>
      <c r="G17" s="119" t="s">
        <v>219</v>
      </c>
    </row>
    <row r="18" spans="2:7" s="14" customFormat="1" x14ac:dyDescent="0.25">
      <c r="B18" s="31"/>
      <c r="C18" s="4" t="s">
        <v>4061</v>
      </c>
      <c r="D18" s="96">
        <f t="shared" ref="D18:G18" si="0">MAX(_xlfn.ANCHORARRAY(D23))</f>
        <v>4990</v>
      </c>
      <c r="E18" s="96">
        <f t="shared" si="0"/>
        <v>4.99</v>
      </c>
      <c r="F18" s="96">
        <f t="shared" si="0"/>
        <v>0</v>
      </c>
      <c r="G18" s="121">
        <f t="shared" si="0"/>
        <v>0</v>
      </c>
    </row>
    <row r="19" spans="2:7" x14ac:dyDescent="0.25">
      <c r="B19" s="122"/>
      <c r="C19" s="4" t="s">
        <v>4062</v>
      </c>
      <c r="D19" s="96">
        <f>MIN(_xlfn.ANCHORARRAY(D23))</f>
        <v>2740</v>
      </c>
      <c r="E19" s="96">
        <f t="shared" ref="E19:G19" si="1">MIN(_xlfn.ANCHORARRAY(E23))</f>
        <v>2.74</v>
      </c>
      <c r="F19" s="96">
        <f t="shared" si="1"/>
        <v>0</v>
      </c>
      <c r="G19" s="121">
        <f t="shared" si="1"/>
        <v>0</v>
      </c>
    </row>
    <row r="20" spans="2:7" x14ac:dyDescent="0.25">
      <c r="B20" s="122"/>
      <c r="C20" s="4" t="s">
        <v>4063</v>
      </c>
      <c r="D20" s="96">
        <f>AVERAGE(_xlfn.ANCHORARRAY(D23))</f>
        <v>3521.500833333333</v>
      </c>
      <c r="E20" s="96">
        <f t="shared" ref="E20:G20" si="2">AVERAGE(_xlfn.ANCHORARRAY(E23))</f>
        <v>3.5215008333333331</v>
      </c>
      <c r="F20" s="96">
        <f t="shared" si="2"/>
        <v>0</v>
      </c>
      <c r="G20" s="121">
        <f t="shared" si="2"/>
        <v>0</v>
      </c>
    </row>
    <row r="21" spans="2:7" x14ac:dyDescent="0.25">
      <c r="B21" s="122"/>
      <c r="C21" s="4"/>
      <c r="G21" s="121"/>
    </row>
    <row r="22" spans="2:7" x14ac:dyDescent="0.25">
      <c r="B22" s="32" t="s">
        <v>4064</v>
      </c>
      <c r="D22"/>
      <c r="E22"/>
      <c r="F22"/>
      <c r="G22" s="124"/>
    </row>
    <row r="23" spans="2:7" x14ac:dyDescent="0.25">
      <c r="B23" s="122" t="str" cm="1">
        <f t="array" ref="B23:B34">_xlfn.UNIQUE(_xlfn._xlws.FILTER('EPD List'!D:D,ISNUMBER(SEARCH(B16,'EPD List'!C:C)),0))</f>
        <v>Stainless steel, , Stainless steel long and tube products (BE group) (Global)</v>
      </c>
      <c r="C23" t="str" cm="1">
        <f t="array" ref="C23:C34">_xlfn.IFNA(INDEX('EPD List'!$A:$AB,MATCH(_xlfn.ANCHORARRAY(B23),'EPD List'!$D:$D,0),MATCH(C$16,'EPD List'!$7:$7,0)),"")</f>
        <v>tonne</v>
      </c>
      <c r="D23" s="96" cm="1">
        <f t="array" ref="D23:D34">_xlfn.IFNA(VALUE((INDEX('EPD List'!$A:$AD,MATCH(_xlfn.ANCHORARRAY($B23),'EPD List'!$D:$D,0),MATCH(D$16,'EPD List'!$7:$7,0)))),"")</f>
        <v>3706.5</v>
      </c>
      <c r="E23" s="96" cm="1">
        <f t="array" ref="E23:E34">_xlfn.IFNA(VALUE((INDEX('EPD List'!$A:$AD,MATCH(_xlfn.ANCHORARRAY($B23),'EPD List'!$D:$D,0),MATCH(E$16,'EPD List'!$7:$7,0)))),"")</f>
        <v>3.7065000000000001</v>
      </c>
      <c r="F23" s="96" cm="1">
        <f t="array" ref="F23:F34">_xlfn.IFNA(VALUE((INDEX('EPD List'!$A:$AD,MATCH(_xlfn.ANCHORARRAY($B23),'EPD List'!$D:$D,0),MATCH(F$16,'EPD List'!$7:$7,0)))),"")</f>
        <v>0</v>
      </c>
      <c r="G23" s="121" cm="1">
        <f t="array" ref="G23:G34">_xlfn.IFNA(VALUE((INDEX('EPD List'!$A:$AD,MATCH(_xlfn.ANCHORARRAY($B23),'EPD List'!$D:$D,0),MATCH(G$16,'EPD List'!$7:$7,0)))),"")</f>
        <v>0</v>
      </c>
    </row>
    <row r="24" spans="2:7" x14ac:dyDescent="0.25">
      <c r="B24" s="122" t="str">
        <v>Stainless steel, , Stainless steel long and tube products (BE group) (Europe)</v>
      </c>
      <c r="C24" t="str">
        <v>tonne</v>
      </c>
      <c r="D24" s="96">
        <v>3706.5</v>
      </c>
      <c r="E24" s="96">
        <v>3.7065000000000001</v>
      </c>
      <c r="F24" s="96">
        <v>0</v>
      </c>
      <c r="G24" s="121">
        <v>0</v>
      </c>
    </row>
    <row r="25" spans="2:7" x14ac:dyDescent="0.25">
      <c r="B25" s="122" t="str">
        <v>Stainless steel, Flat, Stainless steel - Cold rolled (Acerinox) (Europe)</v>
      </c>
      <c r="C25" t="str">
        <v>tonne</v>
      </c>
      <c r="D25" s="96">
        <v>2802.48</v>
      </c>
      <c r="E25" s="96">
        <v>2.8024800000000001</v>
      </c>
      <c r="F25" s="96">
        <v>0</v>
      </c>
      <c r="G25" s="121">
        <v>0</v>
      </c>
    </row>
    <row r="26" spans="2:7" x14ac:dyDescent="0.25">
      <c r="B26" s="122" t="str">
        <v>Stainless steel, Flat, Stainless steel - Hot rolled austenitic stainless steel (Acerinox ) (Europe)</v>
      </c>
      <c r="C26" t="str">
        <v>tonne</v>
      </c>
      <c r="D26" s="96">
        <v>2832.35</v>
      </c>
      <c r="E26" s="96">
        <v>2.8323499999999999</v>
      </c>
      <c r="F26" s="96">
        <v>0</v>
      </c>
      <c r="G26" s="121">
        <v>0</v>
      </c>
    </row>
    <row r="27" spans="2:7" x14ac:dyDescent="0.25">
      <c r="B27" s="122" t="str">
        <v>Stainless steel, Flat, Stainless steel - ferritic stainless steel hot rolling (Acerinox ) (Europe)</v>
      </c>
      <c r="C27" t="str">
        <v>tonne</v>
      </c>
      <c r="D27" s="96">
        <v>2810.37</v>
      </c>
      <c r="E27" s="96">
        <v>2.8103699999999998</v>
      </c>
      <c r="F27" s="96">
        <v>0</v>
      </c>
      <c r="G27" s="121">
        <v>0</v>
      </c>
    </row>
    <row r="28" spans="2:7" x14ac:dyDescent="0.25">
      <c r="B28" s="122" t="str">
        <v>Stainless steel, , Stainless steel reinforcing bar (Rebarinox) (Europe)</v>
      </c>
      <c r="C28" t="str">
        <v>tonne</v>
      </c>
      <c r="D28" s="96">
        <v>4990</v>
      </c>
      <c r="E28" s="96">
        <v>4.99</v>
      </c>
      <c r="F28" s="96">
        <v>0</v>
      </c>
      <c r="G28" s="121">
        <v>0</v>
      </c>
    </row>
    <row r="29" spans="2:7" x14ac:dyDescent="0.25">
      <c r="B29" s="122" t="str">
        <v>Stainless steel, Flat, Stainless steel - Hot rolled (Marcegaglia Specialties S.p.A.) (Europe)</v>
      </c>
      <c r="C29" t="str">
        <v>tonne</v>
      </c>
      <c r="D29" s="96">
        <v>3860</v>
      </c>
      <c r="E29" s="96">
        <v>3.86</v>
      </c>
      <c r="F29" s="96">
        <v>0</v>
      </c>
      <c r="G29" s="121">
        <v>0</v>
      </c>
    </row>
    <row r="30" spans="2:7" x14ac:dyDescent="0.25">
      <c r="B30" s="122" t="str">
        <v>Stainless steel, Flat, Stainless steel - Cold rolled (Marcegaglia Specialties S.p.A.) (Europe)</v>
      </c>
      <c r="C30" t="str">
        <v>tonne</v>
      </c>
      <c r="D30" s="96">
        <v>4750</v>
      </c>
      <c r="E30" s="96">
        <v>4.75</v>
      </c>
      <c r="F30" s="96">
        <v>0</v>
      </c>
      <c r="G30" s="121">
        <v>0</v>
      </c>
    </row>
    <row r="31" spans="2:7" x14ac:dyDescent="0.25">
      <c r="B31" s="122" t="str">
        <v>Stainless steel, Flat, Cold rolled Stainless Steel  (Outokumpu Oyj) (Global)</v>
      </c>
      <c r="C31" t="str">
        <v>tonne</v>
      </c>
      <c r="D31" s="96">
        <v>3390</v>
      </c>
      <c r="E31" s="96">
        <v>3.39</v>
      </c>
      <c r="F31" s="96">
        <v>0</v>
      </c>
      <c r="G31" s="121">
        <v>0</v>
      </c>
    </row>
    <row r="32" spans="2:7" x14ac:dyDescent="0.25">
      <c r="B32" s="122" t="str">
        <v>Stainless steel, Flat, Hot rolled Stainless Steel  (Outokumpu Oyj) (Global)</v>
      </c>
      <c r="C32" t="str">
        <v>tonne</v>
      </c>
      <c r="D32" s="96">
        <v>2740</v>
      </c>
      <c r="E32" s="96">
        <v>2.74</v>
      </c>
      <c r="F32" s="96">
        <v>0</v>
      </c>
      <c r="G32" s="121">
        <v>0</v>
      </c>
    </row>
    <row r="33" spans="2:7" x14ac:dyDescent="0.25">
      <c r="B33" s="122" t="str">
        <v>Stainless steel, Flat, Stainless steel flat products (BE group) (Europe)</v>
      </c>
      <c r="C33" t="str">
        <v>tonne</v>
      </c>
      <c r="D33" s="96">
        <v>3868.93</v>
      </c>
      <c r="E33" s="96">
        <v>3.8689299999999998</v>
      </c>
      <c r="F33" s="96">
        <v>0</v>
      </c>
      <c r="G33" s="121">
        <v>0</v>
      </c>
    </row>
    <row r="34" spans="2:7" x14ac:dyDescent="0.25">
      <c r="B34" s="122" t="str">
        <v>Stainless steel, Flat, Cold-rolled Ferritic stainless steel (Acerinox ) (Europe)</v>
      </c>
      <c r="C34" t="str">
        <v>tonne</v>
      </c>
      <c r="D34" s="96">
        <v>2800.88</v>
      </c>
      <c r="E34" s="96">
        <v>2.8008799999999998</v>
      </c>
      <c r="F34" s="96">
        <v>0</v>
      </c>
      <c r="G34" s="121">
        <v>0</v>
      </c>
    </row>
    <row r="35" spans="2:7" x14ac:dyDescent="0.25">
      <c r="B35" s="122"/>
      <c r="G35" s="121"/>
    </row>
    <row r="36" spans="2:7" x14ac:dyDescent="0.25">
      <c r="B36" s="122"/>
      <c r="G36" s="121"/>
    </row>
    <row r="37" spans="2:7" x14ac:dyDescent="0.25">
      <c r="B37" s="122"/>
      <c r="G37" s="121"/>
    </row>
    <row r="38" spans="2:7" x14ac:dyDescent="0.25">
      <c r="B38" s="122"/>
      <c r="G38" s="121"/>
    </row>
    <row r="39" spans="2:7" x14ac:dyDescent="0.25">
      <c r="B39" s="122"/>
      <c r="G39" s="121"/>
    </row>
    <row r="40" spans="2:7" x14ac:dyDescent="0.25">
      <c r="B40" s="122"/>
      <c r="G40" s="121"/>
    </row>
    <row r="41" spans="2:7" x14ac:dyDescent="0.25">
      <c r="B41" s="122"/>
      <c r="G41" s="121"/>
    </row>
    <row r="42" spans="2:7" x14ac:dyDescent="0.25">
      <c r="B42" s="122"/>
      <c r="G42" s="121"/>
    </row>
    <row r="43" spans="2:7" x14ac:dyDescent="0.25">
      <c r="B43" s="122"/>
      <c r="G43" s="121"/>
    </row>
    <row r="44" spans="2:7" x14ac:dyDescent="0.25">
      <c r="B44" s="122"/>
      <c r="G44" s="121"/>
    </row>
    <row r="45" spans="2:7" x14ac:dyDescent="0.25">
      <c r="B45" s="122"/>
      <c r="G45" s="121"/>
    </row>
    <row r="46" spans="2:7" x14ac:dyDescent="0.25">
      <c r="B46" s="122"/>
      <c r="G46" s="121"/>
    </row>
    <row r="47" spans="2:7" x14ac:dyDescent="0.25">
      <c r="B47" s="122"/>
      <c r="G47" s="121"/>
    </row>
    <row r="48" spans="2:7" x14ac:dyDescent="0.25">
      <c r="B48" s="122"/>
      <c r="G48" s="121"/>
    </row>
    <row r="49" spans="2:7" x14ac:dyDescent="0.25">
      <c r="B49" s="122"/>
      <c r="G49" s="121"/>
    </row>
    <row r="50" spans="2:7" x14ac:dyDescent="0.25">
      <c r="B50" s="122"/>
      <c r="G50" s="121"/>
    </row>
    <row r="51" spans="2:7" x14ac:dyDescent="0.25">
      <c r="B51" s="122"/>
      <c r="G51" s="121"/>
    </row>
    <row r="52" spans="2:7" x14ac:dyDescent="0.25">
      <c r="B52" s="122"/>
      <c r="G52" s="121"/>
    </row>
    <row r="53" spans="2:7" x14ac:dyDescent="0.25">
      <c r="B53" s="122"/>
      <c r="G53" s="121"/>
    </row>
    <row r="54" spans="2:7" x14ac:dyDescent="0.25">
      <c r="B54" s="122"/>
      <c r="G54" s="121"/>
    </row>
    <row r="55" spans="2:7" x14ac:dyDescent="0.25">
      <c r="B55" s="122"/>
      <c r="G55" s="121"/>
    </row>
    <row r="56" spans="2:7" x14ac:dyDescent="0.25">
      <c r="B56" s="122"/>
      <c r="G56" s="121"/>
    </row>
    <row r="57" spans="2:7" x14ac:dyDescent="0.25">
      <c r="B57" s="122"/>
      <c r="G57" s="121"/>
    </row>
    <row r="58" spans="2:7" x14ac:dyDescent="0.25">
      <c r="B58" s="122"/>
      <c r="G58" s="121"/>
    </row>
    <row r="59" spans="2:7" x14ac:dyDescent="0.25">
      <c r="B59" s="122"/>
      <c r="G59" s="121"/>
    </row>
    <row r="60" spans="2:7" x14ac:dyDescent="0.25">
      <c r="B60" s="122"/>
      <c r="G60" s="121"/>
    </row>
    <row r="61" spans="2:7" x14ac:dyDescent="0.25">
      <c r="B61" s="122"/>
      <c r="G61" s="121"/>
    </row>
    <row r="62" spans="2:7" x14ac:dyDescent="0.25">
      <c r="B62" s="122"/>
      <c r="G62" s="121"/>
    </row>
    <row r="63" spans="2:7" x14ac:dyDescent="0.25">
      <c r="B63" s="122"/>
      <c r="G63" s="121"/>
    </row>
    <row r="64" spans="2:7" x14ac:dyDescent="0.25">
      <c r="B64" s="122"/>
      <c r="G64" s="121"/>
    </row>
    <row r="65" spans="2:7" x14ac:dyDescent="0.25">
      <c r="B65" s="122"/>
      <c r="G65" s="121"/>
    </row>
    <row r="66" spans="2:7" x14ac:dyDescent="0.25">
      <c r="B66" s="122"/>
      <c r="G66" s="121"/>
    </row>
    <row r="67" spans="2:7" x14ac:dyDescent="0.25">
      <c r="B67" s="122"/>
      <c r="G67" s="121"/>
    </row>
    <row r="68" spans="2:7" x14ac:dyDescent="0.25">
      <c r="B68" s="122"/>
      <c r="G68" s="121"/>
    </row>
    <row r="69" spans="2:7" x14ac:dyDescent="0.25">
      <c r="B69" s="122"/>
      <c r="G69" s="121"/>
    </row>
    <row r="70" spans="2:7" x14ac:dyDescent="0.25">
      <c r="B70" s="122"/>
      <c r="G70" s="121"/>
    </row>
    <row r="71" spans="2:7" x14ac:dyDescent="0.25">
      <c r="B71" s="122"/>
      <c r="G71" s="121"/>
    </row>
    <row r="72" spans="2:7" x14ac:dyDescent="0.25">
      <c r="B72" s="122"/>
      <c r="G72" s="121"/>
    </row>
    <row r="73" spans="2:7" x14ac:dyDescent="0.25">
      <c r="B73" s="122"/>
      <c r="G73" s="121"/>
    </row>
    <row r="74" spans="2:7" x14ac:dyDescent="0.25">
      <c r="B74" s="122"/>
      <c r="G74" s="121"/>
    </row>
    <row r="75" spans="2:7" x14ac:dyDescent="0.25">
      <c r="B75" s="122"/>
      <c r="G75" s="121"/>
    </row>
    <row r="76" spans="2:7" x14ac:dyDescent="0.25">
      <c r="B76" s="122"/>
      <c r="G76" s="121"/>
    </row>
    <row r="77" spans="2:7" x14ac:dyDescent="0.25">
      <c r="B77" s="122"/>
      <c r="G77" s="121"/>
    </row>
    <row r="78" spans="2:7" x14ac:dyDescent="0.25">
      <c r="B78" s="122"/>
      <c r="G78" s="121"/>
    </row>
    <row r="79" spans="2:7" x14ac:dyDescent="0.25">
      <c r="B79" s="122"/>
      <c r="G79" s="121"/>
    </row>
    <row r="80" spans="2:7" x14ac:dyDescent="0.25">
      <c r="B80" s="122"/>
      <c r="G80" s="121"/>
    </row>
    <row r="81" spans="2:7" x14ac:dyDescent="0.25">
      <c r="B81" s="122"/>
      <c r="G81" s="121"/>
    </row>
    <row r="82" spans="2:7" x14ac:dyDescent="0.25">
      <c r="B82" s="122"/>
      <c r="G82" s="121"/>
    </row>
    <row r="83" spans="2:7" x14ac:dyDescent="0.25">
      <c r="B83" s="122"/>
      <c r="G83" s="121"/>
    </row>
    <row r="84" spans="2:7" x14ac:dyDescent="0.25">
      <c r="B84" s="122"/>
      <c r="G84" s="121"/>
    </row>
    <row r="85" spans="2:7" x14ac:dyDescent="0.25">
      <c r="B85" s="122"/>
      <c r="G85" s="121"/>
    </row>
    <row r="86" spans="2:7" x14ac:dyDescent="0.25">
      <c r="B86" s="122"/>
      <c r="G86" s="121"/>
    </row>
    <row r="87" spans="2:7" x14ac:dyDescent="0.25">
      <c r="B87" s="122"/>
      <c r="G87" s="121"/>
    </row>
    <row r="88" spans="2:7" x14ac:dyDescent="0.25">
      <c r="B88" s="122"/>
      <c r="G88" s="121"/>
    </row>
    <row r="89" spans="2:7" x14ac:dyDescent="0.25">
      <c r="B89" s="122"/>
      <c r="G89" s="121"/>
    </row>
    <row r="90" spans="2:7" x14ac:dyDescent="0.25">
      <c r="B90" s="122"/>
      <c r="G90" s="121"/>
    </row>
    <row r="91" spans="2:7" x14ac:dyDescent="0.25">
      <c r="B91" s="122"/>
      <c r="G91" s="121"/>
    </row>
    <row r="92" spans="2:7" x14ac:dyDescent="0.25">
      <c r="B92" s="122"/>
      <c r="G92" s="121"/>
    </row>
    <row r="93" spans="2:7" x14ac:dyDescent="0.25">
      <c r="B93" s="122"/>
      <c r="G93" s="121"/>
    </row>
    <row r="94" spans="2:7" x14ac:dyDescent="0.25">
      <c r="B94" s="122"/>
      <c r="G94" s="121"/>
    </row>
    <row r="95" spans="2:7" x14ac:dyDescent="0.25">
      <c r="B95" s="122"/>
      <c r="G95" s="121"/>
    </row>
    <row r="96" spans="2:7" x14ac:dyDescent="0.25">
      <c r="B96" s="122"/>
      <c r="G96" s="121"/>
    </row>
    <row r="97" spans="2:7" x14ac:dyDescent="0.25">
      <c r="B97" s="122"/>
      <c r="G97" s="121"/>
    </row>
    <row r="98" spans="2:7" x14ac:dyDescent="0.25">
      <c r="B98" s="122"/>
      <c r="G98" s="121"/>
    </row>
    <row r="99" spans="2:7" x14ac:dyDescent="0.25">
      <c r="B99" s="122"/>
      <c r="G99" s="121"/>
    </row>
    <row r="100" spans="2:7" x14ac:dyDescent="0.25">
      <c r="B100" s="122"/>
      <c r="G100" s="121"/>
    </row>
    <row r="101" spans="2:7" x14ac:dyDescent="0.25">
      <c r="B101" s="122"/>
      <c r="G101" s="121"/>
    </row>
    <row r="102" spans="2:7" x14ac:dyDescent="0.25">
      <c r="B102" s="122"/>
      <c r="G102" s="121"/>
    </row>
    <row r="103" spans="2:7" x14ac:dyDescent="0.25">
      <c r="B103" s="122"/>
      <c r="G103" s="121"/>
    </row>
    <row r="104" spans="2:7" x14ac:dyDescent="0.25">
      <c r="B104" s="122"/>
      <c r="G104" s="121"/>
    </row>
    <row r="105" spans="2:7" x14ac:dyDescent="0.25">
      <c r="B105" s="122"/>
      <c r="G105" s="121"/>
    </row>
    <row r="106" spans="2:7" x14ac:dyDescent="0.25">
      <c r="B106" s="122"/>
      <c r="G106" s="121"/>
    </row>
    <row r="107" spans="2:7" x14ac:dyDescent="0.25">
      <c r="B107" s="122"/>
      <c r="G107" s="121"/>
    </row>
    <row r="108" spans="2:7" x14ac:dyDescent="0.25">
      <c r="B108" s="122"/>
      <c r="G108" s="121"/>
    </row>
    <row r="109" spans="2:7" x14ac:dyDescent="0.25">
      <c r="B109" s="122"/>
      <c r="G109" s="121"/>
    </row>
    <row r="110" spans="2:7" x14ac:dyDescent="0.25">
      <c r="B110" s="122"/>
      <c r="G110" s="121"/>
    </row>
    <row r="111" spans="2:7" x14ac:dyDescent="0.25">
      <c r="B111" s="122"/>
      <c r="G111" s="121"/>
    </row>
    <row r="112" spans="2:7" x14ac:dyDescent="0.25">
      <c r="B112" s="122"/>
      <c r="G112" s="121"/>
    </row>
    <row r="113" spans="2:7" x14ac:dyDescent="0.25">
      <c r="B113" s="122"/>
      <c r="G113" s="121"/>
    </row>
    <row r="114" spans="2:7" x14ac:dyDescent="0.25">
      <c r="B114" s="122"/>
      <c r="G114" s="121"/>
    </row>
    <row r="115" spans="2:7" x14ac:dyDescent="0.25">
      <c r="B115" s="122"/>
      <c r="G115" s="121"/>
    </row>
    <row r="116" spans="2:7" x14ac:dyDescent="0.25">
      <c r="B116" s="122"/>
      <c r="G116" s="121"/>
    </row>
    <row r="117" spans="2:7" x14ac:dyDescent="0.25">
      <c r="B117" s="122"/>
      <c r="G117" s="121"/>
    </row>
    <row r="118" spans="2:7" x14ac:dyDescent="0.25">
      <c r="B118" s="122"/>
      <c r="G118" s="121"/>
    </row>
    <row r="119" spans="2:7" x14ac:dyDescent="0.25">
      <c r="B119" s="122"/>
      <c r="G119" s="121"/>
    </row>
    <row r="120" spans="2:7" x14ac:dyDescent="0.25">
      <c r="B120" s="122"/>
      <c r="G120" s="121"/>
    </row>
    <row r="121" spans="2:7" x14ac:dyDescent="0.25">
      <c r="B121" s="122"/>
      <c r="G121" s="121"/>
    </row>
    <row r="122" spans="2:7" x14ac:dyDescent="0.25">
      <c r="B122" s="122"/>
      <c r="G122" s="121"/>
    </row>
    <row r="123" spans="2:7" x14ac:dyDescent="0.25">
      <c r="B123" s="122"/>
      <c r="G123" s="121"/>
    </row>
    <row r="124" spans="2:7" x14ac:dyDescent="0.25">
      <c r="B124" s="122"/>
      <c r="G124" s="121"/>
    </row>
    <row r="125" spans="2:7" x14ac:dyDescent="0.25">
      <c r="B125" s="122"/>
      <c r="G125" s="121"/>
    </row>
    <row r="126" spans="2:7" x14ac:dyDescent="0.25">
      <c r="B126" s="122"/>
      <c r="G126" s="121"/>
    </row>
    <row r="127" spans="2:7" x14ac:dyDescent="0.25">
      <c r="B127" s="122"/>
      <c r="G127" s="121"/>
    </row>
    <row r="128" spans="2:7" x14ac:dyDescent="0.25">
      <c r="B128" s="122"/>
      <c r="G128" s="121"/>
    </row>
    <row r="129" spans="2:7" x14ac:dyDescent="0.25">
      <c r="B129" s="122"/>
      <c r="G129" s="121"/>
    </row>
    <row r="130" spans="2:7" x14ac:dyDescent="0.25">
      <c r="B130" s="122"/>
      <c r="G130" s="121"/>
    </row>
    <row r="131" spans="2:7" x14ac:dyDescent="0.25">
      <c r="B131" s="122"/>
      <c r="G131" s="121"/>
    </row>
    <row r="132" spans="2:7" x14ac:dyDescent="0.25">
      <c r="B132" s="122"/>
      <c r="G132" s="121"/>
    </row>
    <row r="133" spans="2:7" x14ac:dyDescent="0.25">
      <c r="B133" s="122"/>
      <c r="G133" s="121"/>
    </row>
    <row r="134" spans="2:7" x14ac:dyDescent="0.25">
      <c r="B134" s="122"/>
      <c r="G134" s="121"/>
    </row>
    <row r="135" spans="2:7" x14ac:dyDescent="0.25">
      <c r="B135" s="122"/>
      <c r="G135" s="121"/>
    </row>
    <row r="136" spans="2:7" x14ac:dyDescent="0.25">
      <c r="B136" s="122"/>
      <c r="G136" s="121"/>
    </row>
    <row r="137" spans="2:7" x14ac:dyDescent="0.25">
      <c r="B137" s="122"/>
      <c r="G137" s="121"/>
    </row>
    <row r="138" spans="2:7" x14ac:dyDescent="0.25">
      <c r="B138" s="122"/>
      <c r="G138" s="121"/>
    </row>
    <row r="139" spans="2:7" x14ac:dyDescent="0.25">
      <c r="B139" s="122"/>
      <c r="G139" s="121"/>
    </row>
    <row r="140" spans="2:7" x14ac:dyDescent="0.25">
      <c r="B140" s="122"/>
      <c r="G140" s="121"/>
    </row>
    <row r="141" spans="2:7" x14ac:dyDescent="0.25">
      <c r="B141" s="122"/>
      <c r="G141" s="121"/>
    </row>
    <row r="142" spans="2:7" x14ac:dyDescent="0.25">
      <c r="B142" s="122"/>
      <c r="G142" s="121"/>
    </row>
    <row r="143" spans="2:7" x14ac:dyDescent="0.25">
      <c r="B143" s="122"/>
      <c r="G143" s="121"/>
    </row>
    <row r="144" spans="2:7" x14ac:dyDescent="0.25">
      <c r="B144" s="122"/>
      <c r="G144" s="121"/>
    </row>
    <row r="145" spans="2:7" x14ac:dyDescent="0.25">
      <c r="B145" s="122"/>
      <c r="G145" s="121"/>
    </row>
    <row r="146" spans="2:7" x14ac:dyDescent="0.25">
      <c r="B146" s="122"/>
      <c r="G146" s="121"/>
    </row>
    <row r="147" spans="2:7" x14ac:dyDescent="0.25">
      <c r="B147" s="122"/>
      <c r="G147" s="121"/>
    </row>
    <row r="148" spans="2:7" x14ac:dyDescent="0.25">
      <c r="B148" s="122"/>
      <c r="G148" s="121"/>
    </row>
    <row r="149" spans="2:7" x14ac:dyDescent="0.25">
      <c r="B149" s="122"/>
      <c r="G149" s="121"/>
    </row>
    <row r="150" spans="2:7" x14ac:dyDescent="0.25">
      <c r="B150" s="122"/>
      <c r="G150" s="121"/>
    </row>
    <row r="151" spans="2:7" x14ac:dyDescent="0.25">
      <c r="B151" s="122"/>
      <c r="G151" s="121"/>
    </row>
    <row r="152" spans="2:7" x14ac:dyDescent="0.25">
      <c r="B152" s="122"/>
      <c r="G152" s="121"/>
    </row>
    <row r="153" spans="2:7" x14ac:dyDescent="0.25">
      <c r="B153" s="122"/>
      <c r="G153" s="121"/>
    </row>
    <row r="154" spans="2:7" x14ac:dyDescent="0.25">
      <c r="B154" s="122"/>
      <c r="G154" s="121"/>
    </row>
    <row r="155" spans="2:7" x14ac:dyDescent="0.25">
      <c r="B155" s="122"/>
      <c r="G155" s="121"/>
    </row>
    <row r="156" spans="2:7" x14ac:dyDescent="0.25">
      <c r="B156" s="122"/>
      <c r="G156" s="121"/>
    </row>
    <row r="157" spans="2:7" x14ac:dyDescent="0.25">
      <c r="B157" s="122"/>
      <c r="G157" s="121"/>
    </row>
    <row r="158" spans="2:7" x14ac:dyDescent="0.25">
      <c r="B158" s="122"/>
      <c r="G158" s="121"/>
    </row>
    <row r="159" spans="2:7" x14ac:dyDescent="0.25">
      <c r="B159" s="122"/>
      <c r="G159" s="121"/>
    </row>
    <row r="160" spans="2:7" x14ac:dyDescent="0.25">
      <c r="B160" s="122"/>
      <c r="G160" s="121"/>
    </row>
    <row r="161" spans="2:7" x14ac:dyDescent="0.25">
      <c r="B161" s="122"/>
      <c r="G161" s="121"/>
    </row>
    <row r="162" spans="2:7" x14ac:dyDescent="0.25">
      <c r="B162" s="122"/>
      <c r="G162" s="121"/>
    </row>
    <row r="163" spans="2:7" x14ac:dyDescent="0.25">
      <c r="B163" s="122"/>
      <c r="G163" s="121"/>
    </row>
    <row r="164" spans="2:7" x14ac:dyDescent="0.25">
      <c r="B164" s="122"/>
      <c r="G164" s="121"/>
    </row>
    <row r="165" spans="2:7" x14ac:dyDescent="0.25">
      <c r="B165" s="122"/>
      <c r="G165" s="121"/>
    </row>
    <row r="166" spans="2:7" x14ac:dyDescent="0.25">
      <c r="B166" s="125"/>
      <c r="C166" s="126"/>
      <c r="D166" s="127"/>
      <c r="E166" s="127"/>
      <c r="F166" s="127"/>
      <c r="G166" s="128"/>
    </row>
  </sheetData>
  <dataValidations count="1">
    <dataValidation type="list" allowBlank="1" showInputMessage="1" showErrorMessage="1" sqref="B6:B9" xr:uid="{31015C4F-1C0B-4DE4-AC6F-3EBC34EE8865}">
      <formula1>"Tier 1,Tier 2,Tier 3,Tier 4"</formula1>
    </dataValidation>
  </dataValidation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94E161-0BD7-4D49-9452-2FA0E228B969}">
  <sheetPr codeName="Sheet20">
    <tabColor rgb="FF00CCFF"/>
  </sheetPr>
  <dimension ref="A1:P166"/>
  <sheetViews>
    <sheetView showGridLines="0" zoomScale="80" zoomScaleNormal="80" workbookViewId="0"/>
  </sheetViews>
  <sheetFormatPr defaultRowHeight="13.2" x14ac:dyDescent="0.25"/>
  <cols>
    <col min="1" max="1" width="26.109375" customWidth="1"/>
    <col min="2" max="2" width="109.109375" customWidth="1"/>
    <col min="3" max="3" width="21" customWidth="1"/>
    <col min="4" max="6" width="19.88671875" style="96" customWidth="1"/>
    <col min="7" max="7" width="23.5546875" style="96" customWidth="1"/>
    <col min="11" max="11" width="25.109375" customWidth="1"/>
    <col min="12" max="12" width="14.44140625" customWidth="1"/>
    <col min="13" max="13" width="8.88671875" customWidth="1"/>
    <col min="14" max="14" width="10.109375" customWidth="1"/>
    <col min="15" max="15" width="26.5546875" customWidth="1"/>
    <col min="16" max="16" width="109.44140625" customWidth="1"/>
  </cols>
  <sheetData>
    <row r="1" spans="1:16" x14ac:dyDescent="0.25">
      <c r="A1" s="4" t="str" cm="1">
        <f t="array" aca="1" ref="A1" ca="1">MID(CELL("filename",A1),FIND("]",CELL("filename",A1))+1,255)</f>
        <v>Reinforcing_steel</v>
      </c>
      <c r="J1" s="4" t="s">
        <v>4101</v>
      </c>
    </row>
    <row r="2" spans="1:16" x14ac:dyDescent="0.25">
      <c r="A2" s="4"/>
    </row>
    <row r="3" spans="1:16" x14ac:dyDescent="0.25">
      <c r="A3" s="4" t="s">
        <v>4048</v>
      </c>
      <c r="B3" t="s">
        <v>4102</v>
      </c>
      <c r="K3" s="129"/>
      <c r="L3" s="67" t="s">
        <v>4103</v>
      </c>
      <c r="M3" s="67" t="s">
        <v>4104</v>
      </c>
      <c r="N3" s="67" t="s">
        <v>4105</v>
      </c>
      <c r="O3" s="67" t="s">
        <v>4106</v>
      </c>
      <c r="P3" s="130" t="s">
        <v>4107</v>
      </c>
    </row>
    <row r="4" spans="1:16" x14ac:dyDescent="0.25">
      <c r="A4" s="26"/>
      <c r="K4" s="122" t="s">
        <v>4108</v>
      </c>
      <c r="L4">
        <v>6.09</v>
      </c>
      <c r="M4" t="s">
        <v>4109</v>
      </c>
      <c r="N4" s="17">
        <f>L4/$L$6</f>
        <v>0.82520325203252032</v>
      </c>
      <c r="O4" t="s">
        <v>4110</v>
      </c>
      <c r="P4" s="34" t="s">
        <v>4111</v>
      </c>
    </row>
    <row r="5" spans="1:16" ht="66" x14ac:dyDescent="0.25">
      <c r="A5" s="26" t="s">
        <v>4050</v>
      </c>
      <c r="B5" s="14" t="s">
        <v>4112</v>
      </c>
      <c r="K5" s="122" t="s">
        <v>4113</v>
      </c>
      <c r="L5">
        <v>1.29</v>
      </c>
      <c r="M5" t="s">
        <v>4109</v>
      </c>
      <c r="N5" s="17">
        <f>L5/$L$6</f>
        <v>0.17479674796747968</v>
      </c>
      <c r="O5" t="s">
        <v>4110</v>
      </c>
      <c r="P5" s="34" t="s">
        <v>4111</v>
      </c>
    </row>
    <row r="6" spans="1:16" x14ac:dyDescent="0.25">
      <c r="A6" s="26" t="s">
        <v>4052</v>
      </c>
      <c r="B6" s="27" t="s">
        <v>69</v>
      </c>
      <c r="K6" s="125"/>
      <c r="L6" s="126">
        <f>SUM(L4:L5)</f>
        <v>7.38</v>
      </c>
      <c r="M6" s="126" t="s">
        <v>4109</v>
      </c>
      <c r="N6" s="126"/>
      <c r="O6" s="126"/>
      <c r="P6" s="142"/>
    </row>
    <row r="7" spans="1:16" x14ac:dyDescent="0.25">
      <c r="A7" s="26" t="s">
        <v>4053</v>
      </c>
      <c r="B7" s="27" t="s">
        <v>68</v>
      </c>
    </row>
    <row r="8" spans="1:16" x14ac:dyDescent="0.25">
      <c r="A8" s="26" t="s">
        <v>4054</v>
      </c>
      <c r="B8" s="27" t="s">
        <v>68</v>
      </c>
      <c r="K8" s="173" t="s">
        <v>4114</v>
      </c>
      <c r="L8" s="174">
        <f>SUMIF(_xlfn.ANCHORARRAY($B$23),"*"&amp;"Australia"&amp;"*",_xlfn.ANCHORARRAY(D23))/COUNTIF(_xlfn.ANCHORARRAY($B$23),"*"&amp;"Australia"&amp;"*")</f>
        <v>1765</v>
      </c>
      <c r="M8" s="174">
        <f t="shared" ref="M8:O8" si="0">SUMIF(_xlfn.ANCHORARRAY($B$23),"*"&amp;"Australia"&amp;"*",_xlfn.ANCHORARRAY(E23))/COUNTIF(_xlfn.ANCHORARRAY($B$23),"*"&amp;"Australia"&amp;"*")</f>
        <v>1.7650000000000001</v>
      </c>
      <c r="N8" s="174">
        <f t="shared" si="0"/>
        <v>0</v>
      </c>
      <c r="O8" s="175">
        <f t="shared" si="0"/>
        <v>0</v>
      </c>
    </row>
    <row r="9" spans="1:16" x14ac:dyDescent="0.25">
      <c r="A9" s="26" t="s">
        <v>4055</v>
      </c>
      <c r="B9" s="4" t="s">
        <v>69</v>
      </c>
      <c r="K9" s="176" t="s">
        <v>4115</v>
      </c>
      <c r="L9" s="109">
        <f>SUMIF(_xlfn.ANCHORARRAY($B$23),"*"&amp;"Global"&amp;"*",_xlfn.ANCHORARRAY(D23))/COUNTIF(_xlfn.ANCHORARRAY($B$23),"*"&amp;"Global"&amp;"*")</f>
        <v>1663.7217777777778</v>
      </c>
      <c r="M9" s="109">
        <f t="shared" ref="M9:O9" si="1">SUMIF(_xlfn.ANCHORARRAY($B$23),"*"&amp;"Global"&amp;"*",_xlfn.ANCHORARRAY(E23))/COUNTIF(_xlfn.ANCHORARRAY($B$23),"*"&amp;"Global"&amp;"*")</f>
        <v>1.6637217777777777</v>
      </c>
      <c r="N9" s="109">
        <f t="shared" si="1"/>
        <v>0</v>
      </c>
      <c r="O9" s="177">
        <f t="shared" si="1"/>
        <v>0</v>
      </c>
    </row>
    <row r="10" spans="1:16" x14ac:dyDescent="0.25">
      <c r="A10" s="26"/>
      <c r="B10" s="4"/>
      <c r="K10" s="125" t="s">
        <v>4116</v>
      </c>
      <c r="L10" s="126">
        <f>SUMPRODUCT(L8:L9,$N$4:$N$5)</f>
        <v>1747.296896115628</v>
      </c>
      <c r="M10" s="126">
        <f t="shared" ref="M10:O10" si="2">SUMPRODUCT(M8:M9,$N$4:$N$5)</f>
        <v>1.7472968961156279</v>
      </c>
      <c r="N10" s="126">
        <f t="shared" si="2"/>
        <v>0</v>
      </c>
      <c r="O10" s="142">
        <f t="shared" si="2"/>
        <v>0</v>
      </c>
    </row>
    <row r="11" spans="1:16" x14ac:dyDescent="0.25">
      <c r="A11" s="26" t="s">
        <v>4056</v>
      </c>
      <c r="B11" s="14"/>
    </row>
    <row r="12" spans="1:16" x14ac:dyDescent="0.25">
      <c r="A12" s="101"/>
    </row>
    <row r="13" spans="1:16" x14ac:dyDescent="0.25">
      <c r="A13" s="101"/>
    </row>
    <row r="14" spans="1:16" x14ac:dyDescent="0.25">
      <c r="A14" s="26" t="s">
        <v>4057</v>
      </c>
    </row>
    <row r="15" spans="1:16" x14ac:dyDescent="0.25">
      <c r="A15" s="26"/>
      <c r="D15" s="112" t="s">
        <v>4058</v>
      </c>
      <c r="E15" s="113"/>
      <c r="F15" s="114" t="s">
        <v>4059</v>
      </c>
      <c r="G15" s="113"/>
    </row>
    <row r="16" spans="1:16" ht="39.6" x14ac:dyDescent="0.25">
      <c r="B16" s="28" t="s">
        <v>3120</v>
      </c>
      <c r="C16" s="23" t="s">
        <v>23</v>
      </c>
      <c r="D16" s="24" t="s">
        <v>141</v>
      </c>
      <c r="E16" s="25" t="s">
        <v>148</v>
      </c>
      <c r="F16" s="24" t="s">
        <v>142</v>
      </c>
      <c r="G16" s="24" t="s">
        <v>149</v>
      </c>
    </row>
    <row r="17" spans="2:7" x14ac:dyDescent="0.25">
      <c r="B17" s="29"/>
      <c r="C17" s="30" t="s">
        <v>4060</v>
      </c>
      <c r="D17" s="118" t="str" cm="1">
        <f t="array" ref="D17">IF(AND(_xlfn.ANCHORARRAY(C23)=C23),C23,"Mixed")</f>
        <v>tonne</v>
      </c>
      <c r="E17" s="118" t="s">
        <v>219</v>
      </c>
      <c r="F17" s="118" t="str" cm="1">
        <f t="array" ref="F17">IF(AND(_xlfn.ANCHORARRAY(C23)=C23),C23,"Mixed")</f>
        <v>tonne</v>
      </c>
      <c r="G17" s="119" t="s">
        <v>219</v>
      </c>
    </row>
    <row r="18" spans="2:7" s="14" customFormat="1" x14ac:dyDescent="0.25">
      <c r="B18" s="31"/>
      <c r="C18" s="4" t="s">
        <v>4061</v>
      </c>
      <c r="D18" s="96">
        <f t="shared" ref="D18:G18" si="3">MAX(_xlfn.ANCHORARRAY(D23))</f>
        <v>3480.3890000000001</v>
      </c>
      <c r="E18" s="96">
        <f t="shared" si="3"/>
        <v>3.4803890000000002</v>
      </c>
      <c r="F18" s="96">
        <f t="shared" si="3"/>
        <v>0</v>
      </c>
      <c r="G18" s="121">
        <f t="shared" si="3"/>
        <v>0</v>
      </c>
    </row>
    <row r="19" spans="2:7" x14ac:dyDescent="0.25">
      <c r="B19" s="122"/>
      <c r="C19" s="4" t="s">
        <v>4062</v>
      </c>
      <c r="D19" s="96">
        <f>MIN(_xlfn.ANCHORARRAY(D23))</f>
        <v>309</v>
      </c>
      <c r="E19" s="96">
        <f t="shared" ref="E19:G19" si="4">MIN(_xlfn.ANCHORARRAY(E23))</f>
        <v>0.309</v>
      </c>
      <c r="F19" s="96">
        <f t="shared" si="4"/>
        <v>0</v>
      </c>
      <c r="G19" s="121">
        <f t="shared" si="4"/>
        <v>0</v>
      </c>
    </row>
    <row r="20" spans="2:7" x14ac:dyDescent="0.25">
      <c r="B20" s="122"/>
      <c r="C20" s="35" t="s">
        <v>4117</v>
      </c>
      <c r="D20" s="96">
        <f>L10</f>
        <v>1747.296896115628</v>
      </c>
      <c r="E20" s="96">
        <f t="shared" ref="E20:G20" si="5">M10</f>
        <v>1.7472968961156279</v>
      </c>
      <c r="F20" s="96">
        <f t="shared" si="5"/>
        <v>0</v>
      </c>
      <c r="G20" s="121">
        <f t="shared" si="5"/>
        <v>0</v>
      </c>
    </row>
    <row r="21" spans="2:7" x14ac:dyDescent="0.25">
      <c r="B21" s="122"/>
      <c r="C21" s="4" t="s">
        <v>4063</v>
      </c>
      <c r="D21" s="96">
        <f>AVERAGE(D23)</f>
        <v>1670</v>
      </c>
      <c r="E21" s="96">
        <f t="shared" ref="E21:G21" si="6">AVERAGE(E23)</f>
        <v>1.67</v>
      </c>
      <c r="F21" s="96">
        <f t="shared" si="6"/>
        <v>0</v>
      </c>
      <c r="G21" s="121">
        <f t="shared" si="6"/>
        <v>0</v>
      </c>
    </row>
    <row r="22" spans="2:7" x14ac:dyDescent="0.25">
      <c r="B22" s="32" t="s">
        <v>4064</v>
      </c>
      <c r="D22"/>
      <c r="E22"/>
      <c r="F22"/>
      <c r="G22" s="124"/>
    </row>
    <row r="23" spans="2:7" x14ac:dyDescent="0.25">
      <c r="B23" s="122" t="str" cm="1">
        <f t="array" ref="B23:B39">_xlfn.UNIQUE(_xlfn._xlws.FILTER('EPD List'!D:D,ISNUMBER(SEARCH(B16,'EPD List'!C:C)),0))</f>
        <v>Steel, Reinforcing bar, Steel reinforcement, recycled, bar (ARC), Australia</v>
      </c>
      <c r="C23" t="str" cm="1">
        <f t="array" ref="C23:C39">_xlfn.IFNA(INDEX('EPD List'!$A:$AB,MATCH(_xlfn.ANCHORARRAY(B23),'EPD List'!$D:$D,0),MATCH(C$16,'EPD List'!$7:$7,0)),"")</f>
        <v>tonne</v>
      </c>
      <c r="D23" s="96" cm="1">
        <f t="array" ref="D23:D39">_xlfn.IFNA(VALUE((INDEX('EPD List'!$A:$AD,MATCH(_xlfn.ANCHORARRAY($B23),'EPD List'!$D:$D,0),MATCH(D$16,'EPD List'!$7:$7,0)))),"")</f>
        <v>1670</v>
      </c>
      <c r="E23" s="96" cm="1">
        <f t="array" ref="E23:E39">_xlfn.IFNA(VALUE((INDEX('EPD List'!$A:$AD,MATCH(_xlfn.ANCHORARRAY($B23),'EPD List'!$D:$D,0),MATCH(E$16,'EPD List'!$7:$7,0)))),"")</f>
        <v>1.67</v>
      </c>
      <c r="F23" s="96" cm="1">
        <f t="array" ref="F23:F39">_xlfn.IFNA(VALUE((INDEX('EPD List'!$A:$AD,MATCH(_xlfn.ANCHORARRAY($B23),'EPD List'!$D:$D,0),MATCH(F$16,'EPD List'!$7:$7,0)))),"")</f>
        <v>0</v>
      </c>
      <c r="G23" s="121" cm="1">
        <f t="array" ref="G23:G39">_xlfn.IFNA(VALUE((INDEX('EPD List'!$A:$AD,MATCH(_xlfn.ANCHORARRAY($B23),'EPD List'!$D:$D,0),MATCH(G$16,'EPD List'!$7:$7,0)))),"")</f>
        <v>0</v>
      </c>
    </row>
    <row r="24" spans="2:7" x14ac:dyDescent="0.25">
      <c r="B24" s="122" t="str">
        <v>Steel, Reinforcing mesh, Steel reinforcement, recycled, mesh (ARC)  , Australia</v>
      </c>
      <c r="C24" t="str">
        <v>tonne</v>
      </c>
      <c r="D24" s="96">
        <v>2060</v>
      </c>
      <c r="E24" s="96">
        <v>2.06</v>
      </c>
      <c r="F24" s="96">
        <v>0</v>
      </c>
      <c r="G24" s="121">
        <v>0</v>
      </c>
    </row>
    <row r="25" spans="2:7" x14ac:dyDescent="0.25">
      <c r="B25" s="122" t="str">
        <v>Steel, Reinforcing bar, Steel, Reinforcing bar, 10 mm to 50 mm,  (InfraBuild, Australia), Australia</v>
      </c>
      <c r="C25" t="str">
        <v>tonne</v>
      </c>
      <c r="D25" s="96">
        <v>1670</v>
      </c>
      <c r="E25" s="96">
        <v>1.67</v>
      </c>
      <c r="F25" s="96">
        <v>0</v>
      </c>
      <c r="G25" s="121">
        <v>0</v>
      </c>
    </row>
    <row r="26" spans="2:7" x14ac:dyDescent="0.25">
      <c r="B26" s="122" t="str">
        <v>Steel, Reinforcing bar, Steel, reinforcing component of (piles, ground beams, pad footings, columns, beams, arches and lattice girders), (InfraBuild, Australia), Australia</v>
      </c>
      <c r="C26" t="str">
        <v>tonne</v>
      </c>
      <c r="D26" s="96">
        <v>1670</v>
      </c>
      <c r="E26" s="96">
        <v>1.67</v>
      </c>
      <c r="F26" s="96">
        <v>0</v>
      </c>
      <c r="G26" s="121">
        <v>0</v>
      </c>
    </row>
    <row r="27" spans="2:7" x14ac:dyDescent="0.25">
      <c r="B27" s="122" t="str">
        <v>Steel, Reinforcing mesh, Steel, Reinforcing carpets (BAMTEC®) (InfraBuild, Australia), Australia</v>
      </c>
      <c r="C27" t="str">
        <v>tonne</v>
      </c>
      <c r="D27" s="96">
        <v>1670</v>
      </c>
      <c r="E27" s="96">
        <v>1.67</v>
      </c>
      <c r="F27" s="96">
        <v>0</v>
      </c>
      <c r="G27" s="121">
        <v>0</v>
      </c>
    </row>
    <row r="28" spans="2:7" x14ac:dyDescent="0.25">
      <c r="B28" s="122" t="str">
        <v>Steel, Reinforcing mesh, Steel, Reinforcing Mesh - SL53 to SL81, RL718 to RL1218 (mm) (InfraBuild, Australia), Australia</v>
      </c>
      <c r="C28" t="str">
        <v>tonne</v>
      </c>
      <c r="D28" s="96">
        <v>2060</v>
      </c>
      <c r="E28" s="96">
        <v>2.06</v>
      </c>
      <c r="F28" s="96">
        <v>0</v>
      </c>
      <c r="G28" s="121">
        <v>0</v>
      </c>
    </row>
    <row r="29" spans="2:7" x14ac:dyDescent="0.25">
      <c r="B29" s="122" t="str">
        <v>Steel, Reinforcing Prefabricated cages , Steel, Prefabricated cages,  (Ausreo), Australia</v>
      </c>
      <c r="C29" t="str">
        <v>tonne</v>
      </c>
      <c r="D29" s="96">
        <v>1660</v>
      </c>
      <c r="E29" s="96">
        <v>1.66</v>
      </c>
      <c r="F29" s="96">
        <v>0</v>
      </c>
      <c r="G29" s="121">
        <v>0</v>
      </c>
    </row>
    <row r="30" spans="2:7" x14ac:dyDescent="0.25">
      <c r="B30" s="122" t="str">
        <v>Steel, Reinforcing bar, Steel, Bars,  (Ausreo), Australia</v>
      </c>
      <c r="C30" t="str">
        <v>tonne</v>
      </c>
      <c r="D30" s="96">
        <v>1660</v>
      </c>
      <c r="E30" s="96">
        <v>1.66</v>
      </c>
      <c r="F30" s="96">
        <v>0</v>
      </c>
      <c r="G30" s="121">
        <v>0</v>
      </c>
    </row>
    <row r="31" spans="2:7" x14ac:dyDescent="0.25">
      <c r="B31" s="122" t="str">
        <v>Steel, reinforcing, Steel reinforcing bar/coil (NatSteel) (Global)</v>
      </c>
      <c r="C31" t="str">
        <v>tonne</v>
      </c>
      <c r="D31" s="96">
        <v>490</v>
      </c>
      <c r="E31" s="96">
        <v>0.49</v>
      </c>
      <c r="F31" s="96">
        <v>0</v>
      </c>
      <c r="G31" s="121">
        <v>0</v>
      </c>
    </row>
    <row r="32" spans="2:7" x14ac:dyDescent="0.25">
      <c r="B32" s="122" t="str">
        <v>Steel, Reinforcing, Carbon steel reinforcing bar (sector average) - maximum (Carbon steel reinforcing bar) (Global)</v>
      </c>
      <c r="C32" t="str">
        <v>tonne</v>
      </c>
      <c r="D32" s="96">
        <v>951</v>
      </c>
      <c r="E32" s="96">
        <v>0.95099999999999996</v>
      </c>
      <c r="F32" s="96">
        <v>0</v>
      </c>
      <c r="G32" s="121">
        <v>0</v>
      </c>
    </row>
    <row r="33" spans="2:7" x14ac:dyDescent="0.25">
      <c r="B33" s="122" t="str">
        <v>Steel, Reinforcing, Carbon steel reinforcing bar (sector average) - minimum (Carbon steel reinforcing bar) (Global)</v>
      </c>
      <c r="C33" t="str">
        <v>tonne</v>
      </c>
      <c r="D33" s="96">
        <v>309</v>
      </c>
      <c r="E33" s="96">
        <v>0.309</v>
      </c>
      <c r="F33" s="96">
        <v>0</v>
      </c>
      <c r="G33" s="121">
        <v>0</v>
      </c>
    </row>
    <row r="34" spans="2:7" x14ac:dyDescent="0.25">
      <c r="B34" s="122" t="str">
        <v>Steel, Reinforcing wire, Prestressed Concrete Steel Wire Strand (Siam Industrial Wire Co. Ltd) (Global)</v>
      </c>
      <c r="C34" t="str">
        <v>tonne</v>
      </c>
      <c r="D34" s="96">
        <v>2210.4789999999998</v>
      </c>
      <c r="E34" s="96">
        <v>2.2104789999999999</v>
      </c>
      <c r="F34" s="96">
        <v>0</v>
      </c>
      <c r="G34" s="121">
        <v>0</v>
      </c>
    </row>
    <row r="35" spans="2:7" x14ac:dyDescent="0.25">
      <c r="B35" s="122" t="str">
        <v>Steel, Reinforcing, Average reinforcement steel bars (Jindal) (India, Global)</v>
      </c>
      <c r="C35" t="str">
        <v>tonne</v>
      </c>
      <c r="D35" s="96">
        <v>3480.3890000000001</v>
      </c>
      <c r="E35" s="96">
        <v>3.4803890000000002</v>
      </c>
      <c r="F35" s="96">
        <v>0</v>
      </c>
      <c r="G35" s="121">
        <v>0</v>
      </c>
    </row>
    <row r="36" spans="2:7" x14ac:dyDescent="0.25">
      <c r="B36" s="122" t="str">
        <v>Steel, Reinforcing, Steel Rebar (Raajratna) (India, Global)</v>
      </c>
      <c r="C36" t="str">
        <v>tonne</v>
      </c>
      <c r="D36" s="96">
        <v>2786.37</v>
      </c>
      <c r="E36" s="96">
        <v>2.7863700000000002</v>
      </c>
      <c r="F36" s="96">
        <v>0</v>
      </c>
      <c r="G36" s="121">
        <v>0</v>
      </c>
    </row>
    <row r="37" spans="2:7" x14ac:dyDescent="0.25">
      <c r="B37" s="122" t="str">
        <v>Steel, Reinforcing strand, PC Strand (Galcore) (Global)</v>
      </c>
      <c r="C37" t="str">
        <v>tonne</v>
      </c>
      <c r="D37" s="96">
        <v>1847.3799999999999</v>
      </c>
      <c r="E37" s="96">
        <v>1.84738</v>
      </c>
      <c r="F37" s="96">
        <v>0</v>
      </c>
      <c r="G37" s="121">
        <v>0</v>
      </c>
    </row>
    <row r="38" spans="2:7" x14ac:dyDescent="0.25">
      <c r="B38" s="122" t="str">
        <v>Steel, Reinforcing strand, Multi-strand post-tensioning system anchorage Type GC (VSL International Ltd.) (Global)</v>
      </c>
      <c r="C38" t="str">
        <v>tonne</v>
      </c>
      <c r="D38" s="96">
        <v>2240.1</v>
      </c>
      <c r="E38" s="96">
        <v>2.2401</v>
      </c>
      <c r="F38" s="96">
        <v>0</v>
      </c>
      <c r="G38" s="121">
        <v>0</v>
      </c>
    </row>
    <row r="39" spans="2:7" x14ac:dyDescent="0.25">
      <c r="B39" s="122" t="str">
        <v>Steel, Reinforcing, Reinforcing steel in bars and coils (Sidenor) (Greece, Global)</v>
      </c>
      <c r="C39" t="str">
        <v>tonne</v>
      </c>
      <c r="D39" s="96">
        <v>658.77800000000002</v>
      </c>
      <c r="E39" s="96">
        <v>0.65877799999999997</v>
      </c>
      <c r="F39" s="96">
        <v>0</v>
      </c>
      <c r="G39" s="121">
        <v>0</v>
      </c>
    </row>
    <row r="40" spans="2:7" x14ac:dyDescent="0.25">
      <c r="B40" s="122"/>
      <c r="G40" s="121"/>
    </row>
    <row r="41" spans="2:7" x14ac:dyDescent="0.25">
      <c r="B41" s="122"/>
      <c r="G41" s="121"/>
    </row>
    <row r="42" spans="2:7" x14ac:dyDescent="0.25">
      <c r="B42" s="122"/>
      <c r="G42" s="121"/>
    </row>
    <row r="43" spans="2:7" x14ac:dyDescent="0.25">
      <c r="B43" s="122"/>
      <c r="G43" s="121"/>
    </row>
    <row r="44" spans="2:7" x14ac:dyDescent="0.25">
      <c r="B44" s="122"/>
      <c r="G44" s="121"/>
    </row>
    <row r="45" spans="2:7" x14ac:dyDescent="0.25">
      <c r="B45" s="122"/>
      <c r="G45" s="121"/>
    </row>
    <row r="46" spans="2:7" x14ac:dyDescent="0.25">
      <c r="B46" s="122"/>
      <c r="G46" s="121"/>
    </row>
    <row r="47" spans="2:7" x14ac:dyDescent="0.25">
      <c r="B47" s="122"/>
      <c r="G47" s="121"/>
    </row>
    <row r="48" spans="2:7" x14ac:dyDescent="0.25">
      <c r="B48" s="122"/>
      <c r="G48" s="121"/>
    </row>
    <row r="49" spans="2:7" x14ac:dyDescent="0.25">
      <c r="B49" s="122"/>
      <c r="G49" s="121"/>
    </row>
    <row r="50" spans="2:7" x14ac:dyDescent="0.25">
      <c r="B50" s="122"/>
      <c r="G50" s="121"/>
    </row>
    <row r="51" spans="2:7" x14ac:dyDescent="0.25">
      <c r="B51" s="122"/>
      <c r="G51" s="121"/>
    </row>
    <row r="52" spans="2:7" x14ac:dyDescent="0.25">
      <c r="B52" s="122"/>
      <c r="G52" s="121"/>
    </row>
    <row r="53" spans="2:7" x14ac:dyDescent="0.25">
      <c r="B53" s="122"/>
      <c r="G53" s="121"/>
    </row>
    <row r="54" spans="2:7" x14ac:dyDescent="0.25">
      <c r="B54" s="122"/>
      <c r="G54" s="121"/>
    </row>
    <row r="55" spans="2:7" x14ac:dyDescent="0.25">
      <c r="B55" s="122"/>
      <c r="G55" s="121"/>
    </row>
    <row r="56" spans="2:7" x14ac:dyDescent="0.25">
      <c r="B56" s="122"/>
      <c r="G56" s="121"/>
    </row>
    <row r="57" spans="2:7" x14ac:dyDescent="0.25">
      <c r="B57" s="122"/>
      <c r="G57" s="121"/>
    </row>
    <row r="58" spans="2:7" x14ac:dyDescent="0.25">
      <c r="B58" s="122"/>
      <c r="G58" s="121"/>
    </row>
    <row r="59" spans="2:7" x14ac:dyDescent="0.25">
      <c r="B59" s="122"/>
      <c r="G59" s="121"/>
    </row>
    <row r="60" spans="2:7" x14ac:dyDescent="0.25">
      <c r="B60" s="122"/>
      <c r="G60" s="121"/>
    </row>
    <row r="61" spans="2:7" x14ac:dyDescent="0.25">
      <c r="B61" s="122"/>
      <c r="G61" s="121"/>
    </row>
    <row r="62" spans="2:7" x14ac:dyDescent="0.25">
      <c r="B62" s="122"/>
      <c r="G62" s="121"/>
    </row>
    <row r="63" spans="2:7" x14ac:dyDescent="0.25">
      <c r="B63" s="122"/>
      <c r="G63" s="121"/>
    </row>
    <row r="64" spans="2:7" x14ac:dyDescent="0.25">
      <c r="B64" s="122"/>
      <c r="G64" s="121"/>
    </row>
    <row r="65" spans="2:7" x14ac:dyDescent="0.25">
      <c r="B65" s="122"/>
      <c r="G65" s="121"/>
    </row>
    <row r="66" spans="2:7" x14ac:dyDescent="0.25">
      <c r="B66" s="122"/>
      <c r="G66" s="121"/>
    </row>
    <row r="67" spans="2:7" x14ac:dyDescent="0.25">
      <c r="B67" s="122"/>
      <c r="G67" s="121"/>
    </row>
    <row r="68" spans="2:7" x14ac:dyDescent="0.25">
      <c r="B68" s="122"/>
      <c r="G68" s="121"/>
    </row>
    <row r="69" spans="2:7" x14ac:dyDescent="0.25">
      <c r="B69" s="122"/>
      <c r="G69" s="121"/>
    </row>
    <row r="70" spans="2:7" x14ac:dyDescent="0.25">
      <c r="B70" s="122"/>
      <c r="G70" s="121"/>
    </row>
    <row r="71" spans="2:7" x14ac:dyDescent="0.25">
      <c r="B71" s="122"/>
      <c r="G71" s="121"/>
    </row>
    <row r="72" spans="2:7" x14ac:dyDescent="0.25">
      <c r="B72" s="122"/>
      <c r="G72" s="121"/>
    </row>
    <row r="73" spans="2:7" x14ac:dyDescent="0.25">
      <c r="B73" s="122"/>
      <c r="G73" s="121"/>
    </row>
    <row r="74" spans="2:7" x14ac:dyDescent="0.25">
      <c r="B74" s="122"/>
      <c r="G74" s="121"/>
    </row>
    <row r="75" spans="2:7" x14ac:dyDescent="0.25">
      <c r="B75" s="122"/>
      <c r="G75" s="121"/>
    </row>
    <row r="76" spans="2:7" x14ac:dyDescent="0.25">
      <c r="B76" s="122"/>
      <c r="G76" s="121"/>
    </row>
    <row r="77" spans="2:7" x14ac:dyDescent="0.25">
      <c r="B77" s="122"/>
      <c r="G77" s="121"/>
    </row>
    <row r="78" spans="2:7" x14ac:dyDescent="0.25">
      <c r="B78" s="122"/>
      <c r="G78" s="121"/>
    </row>
    <row r="79" spans="2:7" x14ac:dyDescent="0.25">
      <c r="B79" s="122"/>
      <c r="G79" s="121"/>
    </row>
    <row r="80" spans="2:7" x14ac:dyDescent="0.25">
      <c r="B80" s="122"/>
      <c r="G80" s="121"/>
    </row>
    <row r="81" spans="2:7" x14ac:dyDescent="0.25">
      <c r="B81" s="122"/>
      <c r="G81" s="121"/>
    </row>
    <row r="82" spans="2:7" x14ac:dyDescent="0.25">
      <c r="B82" s="122"/>
      <c r="G82" s="121"/>
    </row>
    <row r="83" spans="2:7" x14ac:dyDescent="0.25">
      <c r="B83" s="122"/>
      <c r="G83" s="121"/>
    </row>
    <row r="84" spans="2:7" x14ac:dyDescent="0.25">
      <c r="B84" s="122"/>
      <c r="G84" s="121"/>
    </row>
    <row r="85" spans="2:7" x14ac:dyDescent="0.25">
      <c r="B85" s="122"/>
      <c r="G85" s="121"/>
    </row>
    <row r="86" spans="2:7" x14ac:dyDescent="0.25">
      <c r="B86" s="122"/>
      <c r="G86" s="121"/>
    </row>
    <row r="87" spans="2:7" x14ac:dyDescent="0.25">
      <c r="B87" s="122"/>
      <c r="G87" s="121"/>
    </row>
    <row r="88" spans="2:7" x14ac:dyDescent="0.25">
      <c r="B88" s="122"/>
      <c r="G88" s="121"/>
    </row>
    <row r="89" spans="2:7" x14ac:dyDescent="0.25">
      <c r="B89" s="122"/>
      <c r="G89" s="121"/>
    </row>
    <row r="90" spans="2:7" x14ac:dyDescent="0.25">
      <c r="B90" s="122"/>
      <c r="G90" s="121"/>
    </row>
    <row r="91" spans="2:7" x14ac:dyDescent="0.25">
      <c r="B91" s="122"/>
      <c r="G91" s="121"/>
    </row>
    <row r="92" spans="2:7" x14ac:dyDescent="0.25">
      <c r="B92" s="122"/>
      <c r="G92" s="121"/>
    </row>
    <row r="93" spans="2:7" x14ac:dyDescent="0.25">
      <c r="B93" s="122"/>
      <c r="G93" s="121"/>
    </row>
    <row r="94" spans="2:7" x14ac:dyDescent="0.25">
      <c r="B94" s="122"/>
      <c r="G94" s="121"/>
    </row>
    <row r="95" spans="2:7" x14ac:dyDescent="0.25">
      <c r="B95" s="122"/>
      <c r="G95" s="121"/>
    </row>
    <row r="96" spans="2:7" x14ac:dyDescent="0.25">
      <c r="B96" s="122"/>
      <c r="G96" s="121"/>
    </row>
    <row r="97" spans="2:7" x14ac:dyDescent="0.25">
      <c r="B97" s="122"/>
      <c r="G97" s="121"/>
    </row>
    <row r="98" spans="2:7" x14ac:dyDescent="0.25">
      <c r="B98" s="122"/>
      <c r="G98" s="121"/>
    </row>
    <row r="99" spans="2:7" x14ac:dyDescent="0.25">
      <c r="B99" s="122"/>
      <c r="G99" s="121"/>
    </row>
    <row r="100" spans="2:7" x14ac:dyDescent="0.25">
      <c r="B100" s="122"/>
      <c r="G100" s="121"/>
    </row>
    <row r="101" spans="2:7" x14ac:dyDescent="0.25">
      <c r="B101" s="122"/>
      <c r="G101" s="121"/>
    </row>
    <row r="102" spans="2:7" x14ac:dyDescent="0.25">
      <c r="B102" s="122"/>
      <c r="G102" s="121"/>
    </row>
    <row r="103" spans="2:7" x14ac:dyDescent="0.25">
      <c r="B103" s="122"/>
      <c r="G103" s="121"/>
    </row>
    <row r="104" spans="2:7" x14ac:dyDescent="0.25">
      <c r="B104" s="122"/>
      <c r="G104" s="121"/>
    </row>
    <row r="105" spans="2:7" x14ac:dyDescent="0.25">
      <c r="B105" s="122"/>
      <c r="G105" s="121"/>
    </row>
    <row r="106" spans="2:7" x14ac:dyDescent="0.25">
      <c r="B106" s="122"/>
      <c r="G106" s="121"/>
    </row>
    <row r="107" spans="2:7" x14ac:dyDescent="0.25">
      <c r="B107" s="122"/>
      <c r="G107" s="121"/>
    </row>
    <row r="108" spans="2:7" x14ac:dyDescent="0.25">
      <c r="B108" s="122"/>
      <c r="G108" s="121"/>
    </row>
    <row r="109" spans="2:7" x14ac:dyDescent="0.25">
      <c r="B109" s="122"/>
      <c r="G109" s="121"/>
    </row>
    <row r="110" spans="2:7" x14ac:dyDescent="0.25">
      <c r="B110" s="122"/>
      <c r="G110" s="121"/>
    </row>
    <row r="111" spans="2:7" x14ac:dyDescent="0.25">
      <c r="B111" s="122"/>
      <c r="G111" s="121"/>
    </row>
    <row r="112" spans="2:7" x14ac:dyDescent="0.25">
      <c r="B112" s="122"/>
      <c r="G112" s="121"/>
    </row>
    <row r="113" spans="2:7" x14ac:dyDescent="0.25">
      <c r="B113" s="122"/>
      <c r="G113" s="121"/>
    </row>
    <row r="114" spans="2:7" x14ac:dyDescent="0.25">
      <c r="B114" s="122"/>
      <c r="G114" s="121"/>
    </row>
    <row r="115" spans="2:7" x14ac:dyDescent="0.25">
      <c r="B115" s="122"/>
      <c r="G115" s="121"/>
    </row>
    <row r="116" spans="2:7" x14ac:dyDescent="0.25">
      <c r="B116" s="122"/>
      <c r="G116" s="121"/>
    </row>
    <row r="117" spans="2:7" x14ac:dyDescent="0.25">
      <c r="B117" s="122"/>
      <c r="G117" s="121"/>
    </row>
    <row r="118" spans="2:7" x14ac:dyDescent="0.25">
      <c r="B118" s="122"/>
      <c r="G118" s="121"/>
    </row>
    <row r="119" spans="2:7" x14ac:dyDescent="0.25">
      <c r="B119" s="122"/>
      <c r="G119" s="121"/>
    </row>
    <row r="120" spans="2:7" x14ac:dyDescent="0.25">
      <c r="B120" s="122"/>
      <c r="G120" s="121"/>
    </row>
    <row r="121" spans="2:7" x14ac:dyDescent="0.25">
      <c r="B121" s="122"/>
      <c r="G121" s="121"/>
    </row>
    <row r="122" spans="2:7" x14ac:dyDescent="0.25">
      <c r="B122" s="122"/>
      <c r="G122" s="121"/>
    </row>
    <row r="123" spans="2:7" x14ac:dyDescent="0.25">
      <c r="B123" s="122"/>
      <c r="G123" s="121"/>
    </row>
    <row r="124" spans="2:7" x14ac:dyDescent="0.25">
      <c r="B124" s="122"/>
      <c r="G124" s="121"/>
    </row>
    <row r="125" spans="2:7" x14ac:dyDescent="0.25">
      <c r="B125" s="122"/>
      <c r="G125" s="121"/>
    </row>
    <row r="126" spans="2:7" x14ac:dyDescent="0.25">
      <c r="B126" s="122"/>
      <c r="G126" s="121"/>
    </row>
    <row r="127" spans="2:7" x14ac:dyDescent="0.25">
      <c r="B127" s="122"/>
      <c r="G127" s="121"/>
    </row>
    <row r="128" spans="2:7" x14ac:dyDescent="0.25">
      <c r="B128" s="122"/>
      <c r="G128" s="121"/>
    </row>
    <row r="129" spans="2:7" x14ac:dyDescent="0.25">
      <c r="B129" s="122"/>
      <c r="G129" s="121"/>
    </row>
    <row r="130" spans="2:7" x14ac:dyDescent="0.25">
      <c r="B130" s="122"/>
      <c r="G130" s="121"/>
    </row>
    <row r="131" spans="2:7" x14ac:dyDescent="0.25">
      <c r="B131" s="122"/>
      <c r="G131" s="121"/>
    </row>
    <row r="132" spans="2:7" x14ac:dyDescent="0.25">
      <c r="B132" s="122"/>
      <c r="G132" s="121"/>
    </row>
    <row r="133" spans="2:7" x14ac:dyDescent="0.25">
      <c r="B133" s="122"/>
      <c r="G133" s="121"/>
    </row>
    <row r="134" spans="2:7" x14ac:dyDescent="0.25">
      <c r="B134" s="122"/>
      <c r="G134" s="121"/>
    </row>
    <row r="135" spans="2:7" x14ac:dyDescent="0.25">
      <c r="B135" s="122"/>
      <c r="G135" s="121"/>
    </row>
    <row r="136" spans="2:7" x14ac:dyDescent="0.25">
      <c r="B136" s="122"/>
      <c r="G136" s="121"/>
    </row>
    <row r="137" spans="2:7" x14ac:dyDescent="0.25">
      <c r="B137" s="122"/>
      <c r="G137" s="121"/>
    </row>
    <row r="138" spans="2:7" x14ac:dyDescent="0.25">
      <c r="B138" s="122"/>
      <c r="G138" s="121"/>
    </row>
    <row r="139" spans="2:7" x14ac:dyDescent="0.25">
      <c r="B139" s="122"/>
      <c r="G139" s="121"/>
    </row>
    <row r="140" spans="2:7" x14ac:dyDescent="0.25">
      <c r="B140" s="122"/>
      <c r="G140" s="121"/>
    </row>
    <row r="141" spans="2:7" x14ac:dyDescent="0.25">
      <c r="B141" s="122"/>
      <c r="G141" s="121"/>
    </row>
    <row r="142" spans="2:7" x14ac:dyDescent="0.25">
      <c r="B142" s="122"/>
      <c r="G142" s="121"/>
    </row>
    <row r="143" spans="2:7" x14ac:dyDescent="0.25">
      <c r="B143" s="122"/>
      <c r="G143" s="121"/>
    </row>
    <row r="144" spans="2:7" x14ac:dyDescent="0.25">
      <c r="B144" s="122"/>
      <c r="G144" s="121"/>
    </row>
    <row r="145" spans="2:7" x14ac:dyDescent="0.25">
      <c r="B145" s="122"/>
      <c r="G145" s="121"/>
    </row>
    <row r="146" spans="2:7" x14ac:dyDescent="0.25">
      <c r="B146" s="122"/>
      <c r="G146" s="121"/>
    </row>
    <row r="147" spans="2:7" x14ac:dyDescent="0.25">
      <c r="B147" s="122"/>
      <c r="G147" s="121"/>
    </row>
    <row r="148" spans="2:7" x14ac:dyDescent="0.25">
      <c r="B148" s="122"/>
      <c r="G148" s="121"/>
    </row>
    <row r="149" spans="2:7" x14ac:dyDescent="0.25">
      <c r="B149" s="122"/>
      <c r="G149" s="121"/>
    </row>
    <row r="150" spans="2:7" x14ac:dyDescent="0.25">
      <c r="B150" s="122"/>
      <c r="G150" s="121"/>
    </row>
    <row r="151" spans="2:7" x14ac:dyDescent="0.25">
      <c r="B151" s="122"/>
      <c r="G151" s="121"/>
    </row>
    <row r="152" spans="2:7" x14ac:dyDescent="0.25">
      <c r="B152" s="122"/>
      <c r="G152" s="121"/>
    </row>
    <row r="153" spans="2:7" x14ac:dyDescent="0.25">
      <c r="B153" s="122"/>
      <c r="G153" s="121"/>
    </row>
    <row r="154" spans="2:7" x14ac:dyDescent="0.25">
      <c r="B154" s="122"/>
      <c r="G154" s="121"/>
    </row>
    <row r="155" spans="2:7" x14ac:dyDescent="0.25">
      <c r="B155" s="122"/>
      <c r="G155" s="121"/>
    </row>
    <row r="156" spans="2:7" x14ac:dyDescent="0.25">
      <c r="B156" s="122"/>
      <c r="G156" s="121"/>
    </row>
    <row r="157" spans="2:7" x14ac:dyDescent="0.25">
      <c r="B157" s="122"/>
      <c r="G157" s="121"/>
    </row>
    <row r="158" spans="2:7" x14ac:dyDescent="0.25">
      <c r="B158" s="122"/>
      <c r="G158" s="121"/>
    </row>
    <row r="159" spans="2:7" x14ac:dyDescent="0.25">
      <c r="B159" s="122"/>
      <c r="G159" s="121"/>
    </row>
    <row r="160" spans="2:7" x14ac:dyDescent="0.25">
      <c r="B160" s="122"/>
      <c r="G160" s="121"/>
    </row>
    <row r="161" spans="2:7" x14ac:dyDescent="0.25">
      <c r="B161" s="122"/>
      <c r="G161" s="121"/>
    </row>
    <row r="162" spans="2:7" x14ac:dyDescent="0.25">
      <c r="B162" s="122"/>
      <c r="G162" s="121"/>
    </row>
    <row r="163" spans="2:7" x14ac:dyDescent="0.25">
      <c r="B163" s="122"/>
      <c r="G163" s="121"/>
    </row>
    <row r="164" spans="2:7" x14ac:dyDescent="0.25">
      <c r="B164" s="122"/>
      <c r="G164" s="121"/>
    </row>
    <row r="165" spans="2:7" x14ac:dyDescent="0.25">
      <c r="B165" s="122"/>
      <c r="G165" s="121"/>
    </row>
    <row r="166" spans="2:7" x14ac:dyDescent="0.25">
      <c r="B166" s="125"/>
      <c r="C166" s="126"/>
      <c r="D166" s="127"/>
      <c r="E166" s="127"/>
      <c r="F166" s="127"/>
      <c r="G166" s="128"/>
    </row>
  </sheetData>
  <dataValidations count="1">
    <dataValidation type="list" allowBlank="1" showInputMessage="1" showErrorMessage="1" sqref="B6:B9" xr:uid="{15C3E438-D00C-4770-9286-E34D13C50E26}">
      <formula1>"Tier 1,Tier 2,Tier 3,Tier 4"</formula1>
    </dataValidation>
  </dataValidations>
  <hyperlinks>
    <hyperlink ref="O4" r:id="rId1" display="https://www.steel.org.au/Membership/media/Australian-Steel-Institute/PDFs/Steel-Industry-Capability-document-050623.pdf" xr:uid="{3FB314EB-A656-4518-9230-F5A787E73B35}"/>
    <hyperlink ref="O5" r:id="rId2" display="https://www.steel.org.au/Membership/media/Australian-Steel-Institute/PDFs/Steel-Industry-Capability-document-050623.pdf" xr:uid="{990C7741-4F63-42EA-9A52-4D1FA77D0BB9}"/>
    <hyperlink ref="P5" r:id="rId3" xr:uid="{6C9B2DB8-74EA-4A31-887E-CDF22C1F371D}"/>
    <hyperlink ref="P4" r:id="rId4" xr:uid="{D2DF6DB4-4DCC-47EF-B411-3CFA135A43AE}"/>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AB223A-2EC9-4949-84A6-C1EA6BE6A4E0}">
  <sheetPr codeName="Sheet21">
    <tabColor rgb="FF00CCFF"/>
  </sheetPr>
  <dimension ref="A1:P166"/>
  <sheetViews>
    <sheetView showGridLines="0" zoomScale="80" zoomScaleNormal="80" workbookViewId="0"/>
  </sheetViews>
  <sheetFormatPr defaultRowHeight="13.2" x14ac:dyDescent="0.25"/>
  <cols>
    <col min="1" max="1" width="26.109375" customWidth="1"/>
    <col min="2" max="2" width="174.88671875" customWidth="1"/>
    <col min="3" max="3" width="21" customWidth="1"/>
    <col min="4" max="6" width="19.88671875" style="96" customWidth="1"/>
    <col min="7" max="7" width="23.5546875" style="96" customWidth="1"/>
    <col min="8" max="8" width="9.109375" customWidth="1"/>
    <col min="11" max="11" width="25.109375" customWidth="1"/>
    <col min="12" max="12" width="14.44140625" customWidth="1"/>
    <col min="13" max="13" width="8.88671875" customWidth="1"/>
    <col min="14" max="14" width="10.109375" customWidth="1"/>
    <col min="15" max="15" width="26.5546875" customWidth="1"/>
    <col min="16" max="16" width="109.44140625" customWidth="1"/>
  </cols>
  <sheetData>
    <row r="1" spans="1:16" x14ac:dyDescent="0.25">
      <c r="A1" s="4" t="str" cm="1">
        <f t="array" aca="1" ref="A1" ca="1">MID(CELL("filename",A1),FIND("]",CELL("filename",A1))+1,255)</f>
        <v>Structural_steel_hot</v>
      </c>
      <c r="J1" s="4" t="s">
        <v>4101</v>
      </c>
    </row>
    <row r="2" spans="1:16" x14ac:dyDescent="0.25">
      <c r="A2" s="4"/>
      <c r="L2" t="s">
        <v>4103</v>
      </c>
      <c r="M2" t="s">
        <v>4104</v>
      </c>
      <c r="N2" t="s">
        <v>4105</v>
      </c>
      <c r="O2" t="s">
        <v>4118</v>
      </c>
      <c r="P2" t="s">
        <v>4107</v>
      </c>
    </row>
    <row r="3" spans="1:16" x14ac:dyDescent="0.25">
      <c r="A3" s="4" t="s">
        <v>4048</v>
      </c>
      <c r="B3" t="s">
        <v>4119</v>
      </c>
      <c r="K3" t="s">
        <v>4120</v>
      </c>
      <c r="L3">
        <f>1.2+0.475</f>
        <v>1.6749999999999998</v>
      </c>
      <c r="M3" t="s">
        <v>4109</v>
      </c>
      <c r="N3" s="156">
        <f>L3/$L$6</f>
        <v>0.26942255106964774</v>
      </c>
      <c r="O3">
        <f>L3/(L3+L4)</f>
        <v>0.35828877005347592</v>
      </c>
      <c r="P3" s="36" t="s">
        <v>4121</v>
      </c>
    </row>
    <row r="4" spans="1:16" x14ac:dyDescent="0.25">
      <c r="A4" s="26"/>
      <c r="K4" t="s">
        <v>4122</v>
      </c>
      <c r="L4">
        <v>3</v>
      </c>
      <c r="M4" t="s">
        <v>4109</v>
      </c>
      <c r="N4" s="156">
        <f t="shared" ref="N4:N5" si="0">L4/$L$6</f>
        <v>0.48254785266205569</v>
      </c>
      <c r="O4">
        <f>L4/(L4+L5)</f>
        <v>0.66050198150594452</v>
      </c>
      <c r="P4" s="36" t="s">
        <v>4123</v>
      </c>
    </row>
    <row r="5" spans="1:16" ht="73.5" customHeight="1" x14ac:dyDescent="0.25">
      <c r="A5" s="26" t="s">
        <v>4050</v>
      </c>
      <c r="B5" s="14" t="s">
        <v>4124</v>
      </c>
      <c r="K5" t="s">
        <v>4125</v>
      </c>
      <c r="L5">
        <v>1.542</v>
      </c>
      <c r="M5" t="s">
        <v>4109</v>
      </c>
      <c r="N5" s="156">
        <f t="shared" si="0"/>
        <v>0.24802959626829663</v>
      </c>
    </row>
    <row r="6" spans="1:16" x14ac:dyDescent="0.25">
      <c r="A6" s="26" t="s">
        <v>4052</v>
      </c>
      <c r="B6" s="27" t="s">
        <v>69</v>
      </c>
      <c r="L6">
        <f>SUM(L3:L5)</f>
        <v>6.2169999999999996</v>
      </c>
      <c r="M6" t="s">
        <v>4109</v>
      </c>
      <c r="N6" s="37"/>
    </row>
    <row r="7" spans="1:16" x14ac:dyDescent="0.25">
      <c r="A7" s="26" t="s">
        <v>4053</v>
      </c>
      <c r="B7" s="27" t="s">
        <v>68</v>
      </c>
    </row>
    <row r="8" spans="1:16" x14ac:dyDescent="0.25">
      <c r="A8" s="26" t="s">
        <v>4054</v>
      </c>
      <c r="B8" s="27" t="s">
        <v>69</v>
      </c>
      <c r="K8" s="129" t="s">
        <v>4126</v>
      </c>
      <c r="L8" s="118">
        <f>SUMIF(_xlfn.ANCHORARRAY($B$23),"*"&amp;"Australia"&amp;"*",_xlfn.ANCHORARRAY(D23))/COUNTIF(_xlfn.ANCHORARRAY($B$23),"*"&amp;"Australia"&amp;"*")</f>
        <v>3520</v>
      </c>
      <c r="M8" s="118">
        <f t="shared" ref="M8:O8" si="1">SUMIF(_xlfn.ANCHORARRAY($B$23),"*"&amp;"Australia"&amp;"*",_xlfn.ANCHORARRAY(E23))/COUNTIF(_xlfn.ANCHORARRAY($B$23),"*"&amp;"Australia"&amp;"*")</f>
        <v>3.52</v>
      </c>
      <c r="N8" s="118">
        <f t="shared" si="1"/>
        <v>0</v>
      </c>
      <c r="O8" s="119">
        <f t="shared" si="1"/>
        <v>0</v>
      </c>
    </row>
    <row r="9" spans="1:16" x14ac:dyDescent="0.25">
      <c r="A9" s="26" t="s">
        <v>4055</v>
      </c>
      <c r="B9" s="4" t="s">
        <v>69</v>
      </c>
      <c r="K9" s="122" t="s">
        <v>4127</v>
      </c>
      <c r="L9" s="96">
        <f>SUMIF(_xlfn.ANCHORARRAY($B$23),"*"&amp;"Bluescope"&amp;"*",_xlfn.ANCHORARRAY(D23))/COUNTIF(_xlfn.ANCHORARRAY($B$23),"*"&amp;"Bluescope"&amp;"*")</f>
        <v>2612.8571428571427</v>
      </c>
      <c r="M9" s="96">
        <f t="shared" ref="M9:O9" si="2">SUMIF(_xlfn.ANCHORARRAY($B$23),"*"&amp;"Bluescope"&amp;"*",_xlfn.ANCHORARRAY(E23))/COUNTIF(_xlfn.ANCHORARRAY($B$23),"*"&amp;"Bluescope"&amp;"*")</f>
        <v>2.6128571428571425</v>
      </c>
      <c r="N9" s="96">
        <f t="shared" si="2"/>
        <v>0</v>
      </c>
      <c r="O9" s="121">
        <f t="shared" si="2"/>
        <v>0</v>
      </c>
    </row>
    <row r="10" spans="1:16" x14ac:dyDescent="0.25">
      <c r="A10" s="26"/>
      <c r="B10" s="4"/>
      <c r="K10" s="122" t="s">
        <v>4128</v>
      </c>
      <c r="L10" s="96">
        <f>SUMIF(_xlfn.ANCHORARRAY($B$23),"*"&amp;"Global"&amp;"*",_xlfn.ANCHORARRAY(D23))/COUNTIF(_xlfn.ANCHORARRAY($B$23),"*"&amp;"Global"&amp;"*")</f>
        <v>3335.5299999999997</v>
      </c>
      <c r="M10" s="96">
        <f t="shared" ref="M10:O10" si="3">SUMIF(_xlfn.ANCHORARRAY($B$23),"*"&amp;"Global"&amp;"*",_xlfn.ANCHORARRAY(E23))/COUNTIF(_xlfn.ANCHORARRAY($B$23),"*"&amp;"Global"&amp;"*")</f>
        <v>3.3355299999999999</v>
      </c>
      <c r="N10" s="96">
        <f t="shared" si="3"/>
        <v>0</v>
      </c>
      <c r="O10" s="121">
        <f t="shared" si="3"/>
        <v>0</v>
      </c>
    </row>
    <row r="11" spans="1:16" x14ac:dyDescent="0.25">
      <c r="A11" s="26" t="s">
        <v>4056</v>
      </c>
      <c r="B11" s="14"/>
      <c r="K11" s="125" t="s">
        <v>4116</v>
      </c>
      <c r="L11" s="126">
        <f>SUMPRODUCT(L8:L10,N3:N5)</f>
        <v>3036.5061426043794</v>
      </c>
      <c r="M11" s="126">
        <f>SUMPRODUCT(M8:M10,N3:N5)</f>
        <v>3.0365061426043796</v>
      </c>
      <c r="N11" s="126">
        <f t="shared" ref="N11:O11" si="4">SUMPRODUCT(N8:N10,O3:O5)</f>
        <v>0</v>
      </c>
      <c r="O11" s="142">
        <f t="shared" si="4"/>
        <v>0</v>
      </c>
    </row>
    <row r="12" spans="1:16" x14ac:dyDescent="0.25">
      <c r="A12" s="101"/>
    </row>
    <row r="13" spans="1:16" x14ac:dyDescent="0.25">
      <c r="A13" s="101"/>
    </row>
    <row r="14" spans="1:16" x14ac:dyDescent="0.25">
      <c r="A14" s="26" t="s">
        <v>4057</v>
      </c>
      <c r="N14" s="156"/>
      <c r="P14" s="36"/>
    </row>
    <row r="15" spans="1:16" x14ac:dyDescent="0.25">
      <c r="A15" s="26"/>
      <c r="D15" s="112" t="s">
        <v>4058</v>
      </c>
      <c r="E15" s="113"/>
      <c r="F15" s="114" t="s">
        <v>4059</v>
      </c>
      <c r="G15" s="113"/>
      <c r="N15" s="156"/>
      <c r="P15" s="36"/>
    </row>
    <row r="16" spans="1:16" ht="39.6" x14ac:dyDescent="0.25">
      <c r="B16" s="28" t="s">
        <v>2998</v>
      </c>
      <c r="C16" s="23" t="s">
        <v>23</v>
      </c>
      <c r="D16" s="24" t="s">
        <v>141</v>
      </c>
      <c r="E16" s="25" t="s">
        <v>148</v>
      </c>
      <c r="F16" s="24" t="s">
        <v>142</v>
      </c>
      <c r="G16" s="24" t="s">
        <v>149</v>
      </c>
      <c r="N16" s="156"/>
    </row>
    <row r="17" spans="2:16" x14ac:dyDescent="0.25">
      <c r="B17" s="29"/>
      <c r="C17" s="30" t="s">
        <v>4060</v>
      </c>
      <c r="D17" s="118" t="str" cm="1">
        <f t="array" ref="D17">IF(AND(_xlfn.ANCHORARRAY(C23)=C23),C23,"Mixed")</f>
        <v>tonne</v>
      </c>
      <c r="E17" s="118" t="s">
        <v>219</v>
      </c>
      <c r="F17" s="118" t="str" cm="1">
        <f t="array" ref="F17">IF(AND(_xlfn.ANCHORARRAY(C23)=C23),C23,"Mixed")</f>
        <v>tonne</v>
      </c>
      <c r="G17" s="119" t="s">
        <v>219</v>
      </c>
      <c r="N17" s="37"/>
    </row>
    <row r="18" spans="2:16" s="14" customFormat="1" x14ac:dyDescent="0.25">
      <c r="B18" s="31"/>
      <c r="C18" s="4" t="s">
        <v>4061</v>
      </c>
      <c r="D18" s="96">
        <f t="shared" ref="D18:G18" si="5">MAX(_xlfn.ANCHORARRAY(D23))</f>
        <v>3720</v>
      </c>
      <c r="E18" s="96">
        <f t="shared" si="5"/>
        <v>3.72</v>
      </c>
      <c r="F18" s="96">
        <f t="shared" si="5"/>
        <v>0</v>
      </c>
      <c r="G18" s="121">
        <f t="shared" si="5"/>
        <v>0</v>
      </c>
      <c r="H18"/>
      <c r="K18"/>
      <c r="L18"/>
      <c r="M18"/>
      <c r="N18"/>
      <c r="O18"/>
      <c r="P18"/>
    </row>
    <row r="19" spans="2:16" x14ac:dyDescent="0.25">
      <c r="B19" s="122"/>
      <c r="C19" s="4" t="s">
        <v>4062</v>
      </c>
      <c r="D19" s="96">
        <f>MIN(_xlfn.ANCHORARRAY(D23))</f>
        <v>2410</v>
      </c>
      <c r="E19" s="96">
        <f t="shared" ref="E19:G19" si="6">MIN(_xlfn.ANCHORARRAY(E23))</f>
        <v>2.41</v>
      </c>
      <c r="F19" s="96">
        <f t="shared" si="6"/>
        <v>0</v>
      </c>
      <c r="G19" s="121">
        <f t="shared" si="6"/>
        <v>0</v>
      </c>
    </row>
    <row r="20" spans="2:16" x14ac:dyDescent="0.25">
      <c r="B20" s="122"/>
      <c r="C20" s="35" t="s">
        <v>4117</v>
      </c>
      <c r="D20" s="96">
        <f>L11</f>
        <v>3036.5061426043794</v>
      </c>
      <c r="E20" s="96">
        <f t="shared" ref="E20:G20" si="7">M11</f>
        <v>3.0365061426043796</v>
      </c>
      <c r="F20" s="96">
        <f t="shared" si="7"/>
        <v>0</v>
      </c>
      <c r="G20" s="121">
        <f t="shared" si="7"/>
        <v>0</v>
      </c>
    </row>
    <row r="21" spans="2:16" x14ac:dyDescent="0.25">
      <c r="B21" s="122"/>
      <c r="C21" s="4" t="s">
        <v>4063</v>
      </c>
      <c r="D21" s="96">
        <f>AVERAGE(_xlfn.ANCHORARRAY(D23))</f>
        <v>3124.7682352941179</v>
      </c>
      <c r="E21" s="96">
        <f>AVERAGE(_xlfn.ANCHORARRAY(E23))</f>
        <v>3.1247682352941171</v>
      </c>
      <c r="F21" s="96">
        <f t="shared" ref="F21:G21" si="8">AVERAGE(_xlfn.ANCHORARRAY(F23))</f>
        <v>0</v>
      </c>
      <c r="G21" s="121">
        <f t="shared" si="8"/>
        <v>0</v>
      </c>
    </row>
    <row r="22" spans="2:16" x14ac:dyDescent="0.25">
      <c r="B22" s="32" t="s">
        <v>4064</v>
      </c>
      <c r="D22"/>
      <c r="E22"/>
      <c r="F22"/>
      <c r="G22" s="124"/>
    </row>
    <row r="23" spans="2:16" x14ac:dyDescent="0.25">
      <c r="B23" s="122" t="str" cm="1">
        <f t="array" ref="B23:B39">_xlfn.UNIQUE(_xlfn._xlws.FILTER('EPD List'!D:D,ISNUMBER(SEARCH(B16,'EPD List'!C:C)),0))</f>
        <v>Steel, Structural sections (hot - rolled), XLERPLATE® steel – Low Carbon Steel (Bluescope)</v>
      </c>
      <c r="C23" t="str" cm="1">
        <f t="array" ref="C23:C39">_xlfn.IFNA(INDEX('EPD List'!$A:$AB,MATCH(_xlfn.ANCHORARRAY(B23),'EPD List'!$D:$D,0),MATCH(C$16,'EPD List'!$7:$7,0)),"")</f>
        <v>tonne</v>
      </c>
      <c r="D23" s="96" cm="1">
        <f t="array" ref="D23:D39">_xlfn.IFNA(VALUE((INDEX('EPD List'!$A:$AD,MATCH(_xlfn.ANCHORARRAY($B23),'EPD List'!$D:$D,0),MATCH(D$16,'EPD List'!$7:$7,0)))),"")</f>
        <v>2590</v>
      </c>
      <c r="E23" s="96" cm="1">
        <f t="array" ref="E23:E39">_xlfn.IFNA(VALUE((INDEX('EPD List'!$A:$AD,MATCH(_xlfn.ANCHORARRAY($B23),'EPD List'!$D:$D,0),MATCH(E$16,'EPD List'!$7:$7,0)))),"")</f>
        <v>2.59</v>
      </c>
      <c r="F23" s="96" cm="1">
        <f t="array" ref="F23:F39">_xlfn.IFNA(VALUE((INDEX('EPD List'!$A:$AD,MATCH(_xlfn.ANCHORARRAY($B23),'EPD List'!$D:$D,0),MATCH(F$16,'EPD List'!$7:$7,0)))),"")</f>
        <v>0</v>
      </c>
      <c r="G23" s="121" cm="1">
        <f t="array" ref="G23:G39">_xlfn.IFNA(VALUE((INDEX('EPD List'!$A:$AD,MATCH(_xlfn.ANCHORARRAY($B23),'EPD List'!$D:$D,0),MATCH(G$16,'EPD List'!$7:$7,0)))),"")</f>
        <v>0</v>
      </c>
    </row>
    <row r="24" spans="2:16" x14ac:dyDescent="0.25">
      <c r="B24" s="122" t="str">
        <v>Steel, Structural sections (hot - rolled), XLERPLATE® steel – Medium Carbon Steel (Bluescope)</v>
      </c>
      <c r="C24" t="str">
        <v>tonne</v>
      </c>
      <c r="D24" s="96">
        <v>2640</v>
      </c>
      <c r="E24" s="96">
        <v>2.64</v>
      </c>
      <c r="F24" s="96">
        <v>0</v>
      </c>
      <c r="G24" s="121">
        <v>0</v>
      </c>
    </row>
    <row r="25" spans="2:16" x14ac:dyDescent="0.25">
      <c r="B25" s="122" t="str">
        <v>Steel, Structural sections (hot - rolled), XLERPLATE® steel – Alloyed Steel (Bluescope)</v>
      </c>
      <c r="C25" t="str">
        <v>tonne</v>
      </c>
      <c r="D25" s="96">
        <v>2760</v>
      </c>
      <c r="E25" s="96">
        <v>2.76</v>
      </c>
      <c r="F25" s="96">
        <v>0</v>
      </c>
      <c r="G25" s="121">
        <v>0</v>
      </c>
    </row>
    <row r="26" spans="2:16" x14ac:dyDescent="0.25">
      <c r="B26" s="122" t="str">
        <v>Steel, Structural sections (hot - rolled), Steel – Welded Beams and Columns (Bluescope)</v>
      </c>
      <c r="C26" t="str">
        <v>tonne</v>
      </c>
      <c r="D26" s="96">
        <v>2860</v>
      </c>
      <c r="E26" s="96">
        <v>2.86</v>
      </c>
      <c r="F26" s="96">
        <v>0</v>
      </c>
      <c r="G26" s="121">
        <v>0</v>
      </c>
    </row>
    <row r="27" spans="2:16" x14ac:dyDescent="0.25">
      <c r="B27" s="122" t="str">
        <v>Steel, Structural sections (hot - rolled), Hot Rolled Coil – Low Carbon Steel (Bluescope)</v>
      </c>
      <c r="C27" t="str">
        <v>tonne</v>
      </c>
      <c r="D27" s="96">
        <v>2410</v>
      </c>
      <c r="E27" s="96">
        <v>2.41</v>
      </c>
      <c r="F27" s="96">
        <v>0</v>
      </c>
      <c r="G27" s="121">
        <v>0</v>
      </c>
    </row>
    <row r="28" spans="2:16" x14ac:dyDescent="0.25">
      <c r="B28" s="122" t="str">
        <v>Steel, Structural sections (hot - rolled), Hot Rolled Coil – Medium Carbon Steel (Bluescope)</v>
      </c>
      <c r="C28" t="str">
        <v>tonne</v>
      </c>
      <c r="D28" s="96">
        <v>2460</v>
      </c>
      <c r="E28" s="96">
        <v>2.46</v>
      </c>
      <c r="F28" s="96">
        <v>0</v>
      </c>
      <c r="G28" s="121">
        <v>0</v>
      </c>
    </row>
    <row r="29" spans="2:16" x14ac:dyDescent="0.25">
      <c r="B29" s="122" t="str">
        <v>Steel, Structural sections (hot - rolled), Hot Rolled Coil – Alloyed Steel (Bluescope)</v>
      </c>
      <c r="C29" t="str">
        <v>tonne</v>
      </c>
      <c r="D29" s="96">
        <v>2570</v>
      </c>
      <c r="E29" s="96">
        <v>2.57</v>
      </c>
      <c r="F29" s="96">
        <v>0</v>
      </c>
      <c r="G29" s="121">
        <v>0</v>
      </c>
    </row>
    <row r="30" spans="2:16" x14ac:dyDescent="0.25">
      <c r="B30" s="122" t="str">
        <v>Steel, Structural sections (hot - rolled), Steel, equal angle (EA), structural section, unpainted, 125 x 125 x 8 mm to 200 x 200 x 26 mm,  (InfraBuild via Distributor IBSC), Australia</v>
      </c>
      <c r="C30" t="str">
        <v>tonne</v>
      </c>
      <c r="D30" s="96">
        <v>3720</v>
      </c>
      <c r="E30" s="96">
        <v>3.72</v>
      </c>
      <c r="F30" s="96">
        <v>0</v>
      </c>
      <c r="G30" s="121">
        <v>0</v>
      </c>
    </row>
    <row r="31" spans="2:16" x14ac:dyDescent="0.25">
      <c r="B31" s="122" t="str">
        <v>Steel, Structural sections (hot - rolled), Steel, parallel flange channel (PFC), structural section, unpainted, 180 x 75 mm to 380 x 100 mm,  (InfraBuild via Distributor IBSC), Australia</v>
      </c>
      <c r="C31" t="str">
        <v>tonne</v>
      </c>
      <c r="D31" s="96">
        <v>3720</v>
      </c>
      <c r="E31" s="96">
        <v>3.72</v>
      </c>
      <c r="F31" s="96">
        <v>0</v>
      </c>
      <c r="G31" s="121">
        <v>0</v>
      </c>
    </row>
    <row r="32" spans="2:16" x14ac:dyDescent="0.25">
      <c r="B32" s="122" t="str">
        <v>Steel, Structural sections (hot - rolled), Steel, universal beam (UB),  structural section, unpainted, 150 x 75 mm to 612 x 229 mm,  (InfraBuild via Distributor IBSC), Australia</v>
      </c>
      <c r="C32" t="str">
        <v>tonne</v>
      </c>
      <c r="D32" s="96">
        <v>3720</v>
      </c>
      <c r="E32" s="96">
        <v>3.72</v>
      </c>
      <c r="F32" s="96">
        <v>0</v>
      </c>
      <c r="G32" s="121">
        <v>0</v>
      </c>
    </row>
    <row r="33" spans="2:7" x14ac:dyDescent="0.25">
      <c r="B33" s="122" t="str">
        <v>Steel, Structural sections (hot - rolled), Steel, universal column (UC), structural section, unpainted, 97 x 99 mm to 327 x 311 mm,  (InfraBuild via Distributor IBSC), Australia</v>
      </c>
      <c r="C33" t="str">
        <v>tonne</v>
      </c>
      <c r="D33" s="96">
        <v>3720</v>
      </c>
      <c r="E33" s="96">
        <v>3.72</v>
      </c>
      <c r="F33" s="96">
        <v>0</v>
      </c>
      <c r="G33" s="121">
        <v>0</v>
      </c>
    </row>
    <row r="34" spans="2:7" x14ac:dyDescent="0.25">
      <c r="B34" s="122" t="str">
        <v>Steel, Structural sections (hot - rolled), Steel, equal angle (EA), structural section, unpainted, 125 x 125 x 8 mm to 200 x 200 x 26 mm,  (Liberty Primary Steel, Australia), Australia</v>
      </c>
      <c r="C34" t="str">
        <v>tonne</v>
      </c>
      <c r="D34" s="96">
        <v>3320</v>
      </c>
      <c r="E34" s="96">
        <v>3.32</v>
      </c>
      <c r="F34" s="96">
        <v>0</v>
      </c>
      <c r="G34" s="121">
        <v>0</v>
      </c>
    </row>
    <row r="35" spans="2:7" x14ac:dyDescent="0.25">
      <c r="B35" s="122" t="str">
        <v>Steel, Structural sections (hot - rolled), Steel, parallel flange channel (PFC), structural section, unpainted, 180 x 75 mm to 380 x 100 mm,  (Liberty Primary Steel, Australia), Australia</v>
      </c>
      <c r="C35" t="str">
        <v>tonne</v>
      </c>
      <c r="D35" s="96">
        <v>3320</v>
      </c>
      <c r="E35" s="96">
        <v>3.32</v>
      </c>
      <c r="F35" s="96">
        <v>0</v>
      </c>
      <c r="G35" s="121">
        <v>0</v>
      </c>
    </row>
    <row r="36" spans="2:7" x14ac:dyDescent="0.25">
      <c r="B36" s="122" t="str">
        <v>Steel, Structural sections (hot - rolled), Steel, universal beam (UB),  structural section, unpainted, 150 x 75 mm to 612 x 229 mm,  (Liberty Primary Steel, Australia), Australia</v>
      </c>
      <c r="C36" t="str">
        <v>tonne</v>
      </c>
      <c r="D36" s="96">
        <v>3320</v>
      </c>
      <c r="E36" s="96">
        <v>3.32</v>
      </c>
      <c r="F36" s="96">
        <v>0</v>
      </c>
      <c r="G36" s="121">
        <v>0</v>
      </c>
    </row>
    <row r="37" spans="2:7" x14ac:dyDescent="0.25">
      <c r="B37" s="122" t="str">
        <v>Steel, Structural sections (hot - rolled), Steel, universal columns (UC),  structural section, unpainted, 97 x 99 mm to 327 x 311 mm,  (Liberty Primary Steel, Australia), Australia</v>
      </c>
      <c r="C37" t="str">
        <v>tonne</v>
      </c>
      <c r="D37" s="96">
        <v>3320</v>
      </c>
      <c r="E37" s="96">
        <v>3.32</v>
      </c>
      <c r="F37" s="96">
        <v>0</v>
      </c>
      <c r="G37" s="121">
        <v>0</v>
      </c>
    </row>
    <row r="38" spans="2:7" x14ac:dyDescent="0.25">
      <c r="B38" s="122" t="str">
        <v>Steel, Structural steel (hot - rolled), Steel structural hollow sections (Tata) (India, Global)</v>
      </c>
      <c r="C38" t="str">
        <v>tonne</v>
      </c>
      <c r="D38" s="96">
        <v>3000.5520000000001</v>
      </c>
      <c r="E38" s="96">
        <v>3.0005519999999999</v>
      </c>
      <c r="F38" s="96">
        <v>0</v>
      </c>
      <c r="G38" s="121">
        <v>0</v>
      </c>
    </row>
    <row r="39" spans="2:7" x14ac:dyDescent="0.25">
      <c r="B39" s="122" t="str">
        <v>Steel, Structural steel (hot - rolled), Average structural steel product (Jindal) (India, Global)</v>
      </c>
      <c r="C39" t="str">
        <v>tonne</v>
      </c>
      <c r="D39" s="96">
        <v>3670.5079999999998</v>
      </c>
      <c r="E39" s="96">
        <v>3.6705079999999999</v>
      </c>
      <c r="F39" s="96">
        <v>0</v>
      </c>
      <c r="G39" s="121">
        <v>0</v>
      </c>
    </row>
    <row r="40" spans="2:7" x14ac:dyDescent="0.25">
      <c r="B40" s="122"/>
      <c r="G40" s="121"/>
    </row>
    <row r="41" spans="2:7" x14ac:dyDescent="0.25">
      <c r="B41" s="122"/>
      <c r="G41" s="121"/>
    </row>
    <row r="42" spans="2:7" x14ac:dyDescent="0.25">
      <c r="B42" s="122"/>
      <c r="G42" s="121"/>
    </row>
    <row r="43" spans="2:7" x14ac:dyDescent="0.25">
      <c r="B43" s="122"/>
      <c r="G43" s="121"/>
    </row>
    <row r="44" spans="2:7" x14ac:dyDescent="0.25">
      <c r="B44" s="122"/>
      <c r="G44" s="121"/>
    </row>
    <row r="45" spans="2:7" x14ac:dyDescent="0.25">
      <c r="B45" s="122"/>
      <c r="G45" s="121"/>
    </row>
    <row r="46" spans="2:7" x14ac:dyDescent="0.25">
      <c r="B46" s="122"/>
      <c r="G46" s="121"/>
    </row>
    <row r="47" spans="2:7" x14ac:dyDescent="0.25">
      <c r="B47" s="122"/>
      <c r="G47" s="121"/>
    </row>
    <row r="48" spans="2:7" x14ac:dyDescent="0.25">
      <c r="B48" s="122"/>
      <c r="G48" s="121"/>
    </row>
    <row r="49" spans="2:7" x14ac:dyDescent="0.25">
      <c r="B49" s="122"/>
      <c r="G49" s="121"/>
    </row>
    <row r="50" spans="2:7" x14ac:dyDescent="0.25">
      <c r="B50" s="122"/>
      <c r="G50" s="121"/>
    </row>
    <row r="51" spans="2:7" x14ac:dyDescent="0.25">
      <c r="B51" s="122"/>
      <c r="G51" s="121"/>
    </row>
    <row r="52" spans="2:7" x14ac:dyDescent="0.25">
      <c r="B52" s="122"/>
      <c r="G52" s="121"/>
    </row>
    <row r="53" spans="2:7" x14ac:dyDescent="0.25">
      <c r="B53" s="122"/>
      <c r="G53" s="121"/>
    </row>
    <row r="54" spans="2:7" x14ac:dyDescent="0.25">
      <c r="B54" s="122"/>
      <c r="G54" s="121"/>
    </row>
    <row r="55" spans="2:7" x14ac:dyDescent="0.25">
      <c r="B55" s="122"/>
      <c r="G55" s="121"/>
    </row>
    <row r="56" spans="2:7" x14ac:dyDescent="0.25">
      <c r="B56" s="122"/>
      <c r="G56" s="121"/>
    </row>
    <row r="57" spans="2:7" x14ac:dyDescent="0.25">
      <c r="B57" s="122"/>
      <c r="G57" s="121"/>
    </row>
    <row r="58" spans="2:7" x14ac:dyDescent="0.25">
      <c r="B58" s="122"/>
      <c r="G58" s="121"/>
    </row>
    <row r="59" spans="2:7" x14ac:dyDescent="0.25">
      <c r="B59" s="122"/>
      <c r="G59" s="121"/>
    </row>
    <row r="60" spans="2:7" x14ac:dyDescent="0.25">
      <c r="B60" s="122"/>
      <c r="G60" s="121"/>
    </row>
    <row r="61" spans="2:7" x14ac:dyDescent="0.25">
      <c r="B61" s="122"/>
      <c r="G61" s="121"/>
    </row>
    <row r="62" spans="2:7" x14ac:dyDescent="0.25">
      <c r="B62" s="122"/>
      <c r="G62" s="121"/>
    </row>
    <row r="63" spans="2:7" x14ac:dyDescent="0.25">
      <c r="B63" s="122"/>
      <c r="G63" s="121"/>
    </row>
    <row r="64" spans="2:7" x14ac:dyDescent="0.25">
      <c r="B64" s="122"/>
      <c r="G64" s="121"/>
    </row>
    <row r="65" spans="2:7" x14ac:dyDescent="0.25">
      <c r="B65" s="122"/>
      <c r="G65" s="121"/>
    </row>
    <row r="66" spans="2:7" x14ac:dyDescent="0.25">
      <c r="B66" s="122"/>
      <c r="G66" s="121"/>
    </row>
    <row r="67" spans="2:7" x14ac:dyDescent="0.25">
      <c r="B67" s="122"/>
      <c r="G67" s="121"/>
    </row>
    <row r="68" spans="2:7" x14ac:dyDescent="0.25">
      <c r="B68" s="122"/>
      <c r="G68" s="121"/>
    </row>
    <row r="69" spans="2:7" x14ac:dyDescent="0.25">
      <c r="B69" s="122"/>
      <c r="G69" s="121"/>
    </row>
    <row r="70" spans="2:7" x14ac:dyDescent="0.25">
      <c r="B70" s="122"/>
      <c r="G70" s="121"/>
    </row>
    <row r="71" spans="2:7" x14ac:dyDescent="0.25">
      <c r="B71" s="122"/>
      <c r="G71" s="121"/>
    </row>
    <row r="72" spans="2:7" x14ac:dyDescent="0.25">
      <c r="B72" s="122"/>
      <c r="G72" s="121"/>
    </row>
    <row r="73" spans="2:7" x14ac:dyDescent="0.25">
      <c r="B73" s="122"/>
      <c r="G73" s="121"/>
    </row>
    <row r="74" spans="2:7" x14ac:dyDescent="0.25">
      <c r="B74" s="122"/>
      <c r="G74" s="121"/>
    </row>
    <row r="75" spans="2:7" x14ac:dyDescent="0.25">
      <c r="B75" s="122"/>
      <c r="G75" s="121"/>
    </row>
    <row r="76" spans="2:7" x14ac:dyDescent="0.25">
      <c r="B76" s="122"/>
      <c r="G76" s="121"/>
    </row>
    <row r="77" spans="2:7" x14ac:dyDescent="0.25">
      <c r="B77" s="122"/>
      <c r="G77" s="121"/>
    </row>
    <row r="78" spans="2:7" x14ac:dyDescent="0.25">
      <c r="B78" s="122"/>
      <c r="G78" s="121"/>
    </row>
    <row r="79" spans="2:7" x14ac:dyDescent="0.25">
      <c r="B79" s="122"/>
      <c r="G79" s="121"/>
    </row>
    <row r="80" spans="2:7" x14ac:dyDescent="0.25">
      <c r="B80" s="122"/>
      <c r="G80" s="121"/>
    </row>
    <row r="81" spans="2:7" x14ac:dyDescent="0.25">
      <c r="B81" s="122"/>
      <c r="G81" s="121"/>
    </row>
    <row r="82" spans="2:7" x14ac:dyDescent="0.25">
      <c r="B82" s="122"/>
      <c r="G82" s="121"/>
    </row>
    <row r="83" spans="2:7" x14ac:dyDescent="0.25">
      <c r="B83" s="122"/>
      <c r="G83" s="121"/>
    </row>
    <row r="84" spans="2:7" x14ac:dyDescent="0.25">
      <c r="B84" s="122"/>
      <c r="G84" s="121"/>
    </row>
    <row r="85" spans="2:7" x14ac:dyDescent="0.25">
      <c r="B85" s="122"/>
      <c r="G85" s="121"/>
    </row>
    <row r="86" spans="2:7" x14ac:dyDescent="0.25">
      <c r="B86" s="122"/>
      <c r="G86" s="121"/>
    </row>
    <row r="87" spans="2:7" x14ac:dyDescent="0.25">
      <c r="B87" s="122"/>
      <c r="G87" s="121"/>
    </row>
    <row r="88" spans="2:7" x14ac:dyDescent="0.25">
      <c r="B88" s="122"/>
      <c r="G88" s="121"/>
    </row>
    <row r="89" spans="2:7" x14ac:dyDescent="0.25">
      <c r="B89" s="122"/>
      <c r="G89" s="121"/>
    </row>
    <row r="90" spans="2:7" x14ac:dyDescent="0.25">
      <c r="B90" s="122"/>
      <c r="G90" s="121"/>
    </row>
    <row r="91" spans="2:7" x14ac:dyDescent="0.25">
      <c r="B91" s="122"/>
      <c r="G91" s="121"/>
    </row>
    <row r="92" spans="2:7" x14ac:dyDescent="0.25">
      <c r="B92" s="122"/>
      <c r="G92" s="121"/>
    </row>
    <row r="93" spans="2:7" x14ac:dyDescent="0.25">
      <c r="B93" s="122"/>
      <c r="G93" s="121"/>
    </row>
    <row r="94" spans="2:7" x14ac:dyDescent="0.25">
      <c r="B94" s="122"/>
      <c r="G94" s="121"/>
    </row>
    <row r="95" spans="2:7" x14ac:dyDescent="0.25">
      <c r="B95" s="122"/>
      <c r="G95" s="121"/>
    </row>
    <row r="96" spans="2:7" x14ac:dyDescent="0.25">
      <c r="B96" s="122"/>
      <c r="G96" s="121"/>
    </row>
    <row r="97" spans="2:7" x14ac:dyDescent="0.25">
      <c r="B97" s="122"/>
      <c r="G97" s="121"/>
    </row>
    <row r="98" spans="2:7" x14ac:dyDescent="0.25">
      <c r="B98" s="122"/>
      <c r="G98" s="121"/>
    </row>
    <row r="99" spans="2:7" x14ac:dyDescent="0.25">
      <c r="B99" s="122"/>
      <c r="G99" s="121"/>
    </row>
    <row r="100" spans="2:7" x14ac:dyDescent="0.25">
      <c r="B100" s="122"/>
      <c r="G100" s="121"/>
    </row>
    <row r="101" spans="2:7" x14ac:dyDescent="0.25">
      <c r="B101" s="122"/>
      <c r="G101" s="121"/>
    </row>
    <row r="102" spans="2:7" x14ac:dyDescent="0.25">
      <c r="B102" s="122"/>
      <c r="G102" s="121"/>
    </row>
    <row r="103" spans="2:7" x14ac:dyDescent="0.25">
      <c r="B103" s="122"/>
      <c r="G103" s="121"/>
    </row>
    <row r="104" spans="2:7" x14ac:dyDescent="0.25">
      <c r="B104" s="122"/>
      <c r="G104" s="121"/>
    </row>
    <row r="105" spans="2:7" x14ac:dyDescent="0.25">
      <c r="B105" s="122"/>
      <c r="G105" s="121"/>
    </row>
    <row r="106" spans="2:7" x14ac:dyDescent="0.25">
      <c r="B106" s="122"/>
      <c r="G106" s="121"/>
    </row>
    <row r="107" spans="2:7" x14ac:dyDescent="0.25">
      <c r="B107" s="122"/>
      <c r="G107" s="121"/>
    </row>
    <row r="108" spans="2:7" x14ac:dyDescent="0.25">
      <c r="B108" s="122"/>
      <c r="G108" s="121"/>
    </row>
    <row r="109" spans="2:7" x14ac:dyDescent="0.25">
      <c r="B109" s="122"/>
      <c r="G109" s="121"/>
    </row>
    <row r="110" spans="2:7" x14ac:dyDescent="0.25">
      <c r="B110" s="122"/>
      <c r="G110" s="121"/>
    </row>
    <row r="111" spans="2:7" x14ac:dyDescent="0.25">
      <c r="B111" s="122"/>
      <c r="G111" s="121"/>
    </row>
    <row r="112" spans="2:7" x14ac:dyDescent="0.25">
      <c r="B112" s="122"/>
      <c r="G112" s="121"/>
    </row>
    <row r="113" spans="2:7" x14ac:dyDescent="0.25">
      <c r="B113" s="122"/>
      <c r="G113" s="121"/>
    </row>
    <row r="114" spans="2:7" x14ac:dyDescent="0.25">
      <c r="B114" s="122"/>
      <c r="G114" s="121"/>
    </row>
    <row r="115" spans="2:7" x14ac:dyDescent="0.25">
      <c r="B115" s="122"/>
      <c r="G115" s="121"/>
    </row>
    <row r="116" spans="2:7" x14ac:dyDescent="0.25">
      <c r="B116" s="122"/>
      <c r="G116" s="121"/>
    </row>
    <row r="117" spans="2:7" x14ac:dyDescent="0.25">
      <c r="B117" s="122"/>
      <c r="G117" s="121"/>
    </row>
    <row r="118" spans="2:7" x14ac:dyDescent="0.25">
      <c r="B118" s="122"/>
      <c r="G118" s="121"/>
    </row>
    <row r="119" spans="2:7" x14ac:dyDescent="0.25">
      <c r="B119" s="122"/>
      <c r="G119" s="121"/>
    </row>
    <row r="120" spans="2:7" x14ac:dyDescent="0.25">
      <c r="B120" s="122"/>
      <c r="G120" s="121"/>
    </row>
    <row r="121" spans="2:7" x14ac:dyDescent="0.25">
      <c r="B121" s="122"/>
      <c r="G121" s="121"/>
    </row>
    <row r="122" spans="2:7" x14ac:dyDescent="0.25">
      <c r="B122" s="122"/>
      <c r="G122" s="121"/>
    </row>
    <row r="123" spans="2:7" x14ac:dyDescent="0.25">
      <c r="B123" s="122"/>
      <c r="G123" s="121"/>
    </row>
    <row r="124" spans="2:7" x14ac:dyDescent="0.25">
      <c r="B124" s="122"/>
      <c r="G124" s="121"/>
    </row>
    <row r="125" spans="2:7" x14ac:dyDescent="0.25">
      <c r="B125" s="122"/>
      <c r="G125" s="121"/>
    </row>
    <row r="126" spans="2:7" x14ac:dyDescent="0.25">
      <c r="B126" s="122"/>
      <c r="G126" s="121"/>
    </row>
    <row r="127" spans="2:7" x14ac:dyDescent="0.25">
      <c r="B127" s="122"/>
      <c r="G127" s="121"/>
    </row>
    <row r="128" spans="2:7" x14ac:dyDescent="0.25">
      <c r="B128" s="122"/>
      <c r="G128" s="121"/>
    </row>
    <row r="129" spans="2:7" x14ac:dyDescent="0.25">
      <c r="B129" s="122"/>
      <c r="G129" s="121"/>
    </row>
    <row r="130" spans="2:7" x14ac:dyDescent="0.25">
      <c r="B130" s="122"/>
      <c r="G130" s="121"/>
    </row>
    <row r="131" spans="2:7" x14ac:dyDescent="0.25">
      <c r="B131" s="122"/>
      <c r="G131" s="121"/>
    </row>
    <row r="132" spans="2:7" x14ac:dyDescent="0.25">
      <c r="B132" s="122"/>
      <c r="G132" s="121"/>
    </row>
    <row r="133" spans="2:7" x14ac:dyDescent="0.25">
      <c r="B133" s="122"/>
      <c r="G133" s="121"/>
    </row>
    <row r="134" spans="2:7" x14ac:dyDescent="0.25">
      <c r="B134" s="122"/>
      <c r="G134" s="121"/>
    </row>
    <row r="135" spans="2:7" x14ac:dyDescent="0.25">
      <c r="B135" s="122"/>
      <c r="G135" s="121"/>
    </row>
    <row r="136" spans="2:7" x14ac:dyDescent="0.25">
      <c r="B136" s="122"/>
      <c r="G136" s="121"/>
    </row>
    <row r="137" spans="2:7" x14ac:dyDescent="0.25">
      <c r="B137" s="122"/>
      <c r="G137" s="121"/>
    </row>
    <row r="138" spans="2:7" x14ac:dyDescent="0.25">
      <c r="B138" s="122"/>
      <c r="G138" s="121"/>
    </row>
    <row r="139" spans="2:7" x14ac:dyDescent="0.25">
      <c r="B139" s="122"/>
      <c r="G139" s="121"/>
    </row>
    <row r="140" spans="2:7" x14ac:dyDescent="0.25">
      <c r="B140" s="122"/>
      <c r="G140" s="121"/>
    </row>
    <row r="141" spans="2:7" x14ac:dyDescent="0.25">
      <c r="B141" s="122"/>
      <c r="G141" s="121"/>
    </row>
    <row r="142" spans="2:7" x14ac:dyDescent="0.25">
      <c r="B142" s="122"/>
      <c r="G142" s="121"/>
    </row>
    <row r="143" spans="2:7" x14ac:dyDescent="0.25">
      <c r="B143" s="122"/>
      <c r="G143" s="121"/>
    </row>
    <row r="144" spans="2:7" x14ac:dyDescent="0.25">
      <c r="B144" s="122"/>
      <c r="G144" s="121"/>
    </row>
    <row r="145" spans="2:7" x14ac:dyDescent="0.25">
      <c r="B145" s="122"/>
      <c r="G145" s="121"/>
    </row>
    <row r="146" spans="2:7" x14ac:dyDescent="0.25">
      <c r="B146" s="122"/>
      <c r="G146" s="121"/>
    </row>
    <row r="147" spans="2:7" x14ac:dyDescent="0.25">
      <c r="B147" s="122"/>
      <c r="G147" s="121"/>
    </row>
    <row r="148" spans="2:7" x14ac:dyDescent="0.25">
      <c r="B148" s="122"/>
      <c r="G148" s="121"/>
    </row>
    <row r="149" spans="2:7" x14ac:dyDescent="0.25">
      <c r="B149" s="122"/>
      <c r="G149" s="121"/>
    </row>
    <row r="150" spans="2:7" x14ac:dyDescent="0.25">
      <c r="B150" s="122"/>
      <c r="G150" s="121"/>
    </row>
    <row r="151" spans="2:7" x14ac:dyDescent="0.25">
      <c r="B151" s="122"/>
      <c r="G151" s="121"/>
    </row>
    <row r="152" spans="2:7" x14ac:dyDescent="0.25">
      <c r="B152" s="122"/>
      <c r="G152" s="121"/>
    </row>
    <row r="153" spans="2:7" x14ac:dyDescent="0.25">
      <c r="B153" s="122"/>
      <c r="G153" s="121"/>
    </row>
    <row r="154" spans="2:7" x14ac:dyDescent="0.25">
      <c r="B154" s="122"/>
      <c r="G154" s="121"/>
    </row>
    <row r="155" spans="2:7" x14ac:dyDescent="0.25">
      <c r="B155" s="122"/>
      <c r="G155" s="121"/>
    </row>
    <row r="156" spans="2:7" x14ac:dyDescent="0.25">
      <c r="B156" s="122"/>
      <c r="G156" s="121"/>
    </row>
    <row r="157" spans="2:7" x14ac:dyDescent="0.25">
      <c r="B157" s="122"/>
      <c r="G157" s="121"/>
    </row>
    <row r="158" spans="2:7" x14ac:dyDescent="0.25">
      <c r="B158" s="122"/>
      <c r="G158" s="121"/>
    </row>
    <row r="159" spans="2:7" x14ac:dyDescent="0.25">
      <c r="B159" s="122"/>
      <c r="G159" s="121"/>
    </row>
    <row r="160" spans="2:7" x14ac:dyDescent="0.25">
      <c r="B160" s="122"/>
      <c r="G160" s="121"/>
    </row>
    <row r="161" spans="2:7" x14ac:dyDescent="0.25">
      <c r="B161" s="122"/>
      <c r="G161" s="121"/>
    </row>
    <row r="162" spans="2:7" x14ac:dyDescent="0.25">
      <c r="B162" s="122"/>
      <c r="G162" s="121"/>
    </row>
    <row r="163" spans="2:7" x14ac:dyDescent="0.25">
      <c r="B163" s="122"/>
      <c r="G163" s="121"/>
    </row>
    <row r="164" spans="2:7" x14ac:dyDescent="0.25">
      <c r="B164" s="122"/>
      <c r="G164" s="121"/>
    </row>
    <row r="165" spans="2:7" x14ac:dyDescent="0.25">
      <c r="B165" s="122"/>
      <c r="G165" s="121"/>
    </row>
    <row r="166" spans="2:7" x14ac:dyDescent="0.25">
      <c r="B166" s="125"/>
      <c r="C166" s="126"/>
      <c r="D166" s="127"/>
      <c r="E166" s="127"/>
      <c r="F166" s="127"/>
      <c r="G166" s="128"/>
    </row>
  </sheetData>
  <dataValidations disablePrompts="1" count="1">
    <dataValidation type="list" allowBlank="1" showInputMessage="1" showErrorMessage="1" sqref="B6:B9" xr:uid="{59ED074F-F43B-4DC2-9368-1BF0573079D9}">
      <formula1>"Tier 1,Tier 2,Tier 3,Tier 4"</formula1>
    </dataValidation>
  </dataValidations>
  <hyperlinks>
    <hyperlink ref="P4" r:id="rId1" xr:uid="{87BEEE87-3148-43A6-8F20-E7390627EFAB}"/>
    <hyperlink ref="P3" r:id="rId2" display="https://www.gfgalliance.com/whyalla-transformation/about-the-steelworks/" xr:uid="{96E00E60-7DCE-4BBB-87B5-2EB1C8EA13CC}"/>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FDDE20-5BF8-4888-A702-35161B803106}">
  <sheetPr codeName="Sheet22">
    <tabColor rgb="FF00CCFF"/>
  </sheetPr>
  <dimension ref="A1:AC166"/>
  <sheetViews>
    <sheetView showGridLines="0" zoomScale="80" zoomScaleNormal="80" workbookViewId="0"/>
  </sheetViews>
  <sheetFormatPr defaultRowHeight="13.2" x14ac:dyDescent="0.25"/>
  <cols>
    <col min="1" max="1" width="26.109375" customWidth="1"/>
    <col min="2" max="2" width="109.109375" customWidth="1"/>
    <col min="3" max="3" width="21" customWidth="1"/>
    <col min="4" max="6" width="19.88671875" style="96" customWidth="1"/>
    <col min="7" max="7" width="23.5546875" style="96" customWidth="1"/>
    <col min="8" max="8" width="9.109375" customWidth="1"/>
    <col min="11" max="11" width="25.109375" customWidth="1"/>
    <col min="12" max="12" width="14.5546875" customWidth="1"/>
    <col min="13" max="13" width="8.88671875" customWidth="1"/>
    <col min="14" max="14" width="10.44140625" customWidth="1"/>
    <col min="15" max="15" width="26.88671875" customWidth="1"/>
    <col min="16" max="16" width="109.5546875" customWidth="1"/>
    <col min="17" max="22" width="9.109375" customWidth="1"/>
    <col min="24" max="26" width="9.109375" customWidth="1"/>
    <col min="27" max="27" width="14.109375" customWidth="1"/>
    <col min="29" max="29" width="171.88671875" customWidth="1"/>
  </cols>
  <sheetData>
    <row r="1" spans="1:29" x14ac:dyDescent="0.25">
      <c r="A1" s="4" t="str" cm="1">
        <f t="array" aca="1" ref="A1" ca="1">MID(CELL("filename",A1),FIND("]",CELL("filename",A1))+1,255)</f>
        <v>Structural_steel_hot_painted</v>
      </c>
      <c r="J1" s="4" t="s">
        <v>4101</v>
      </c>
    </row>
    <row r="2" spans="1:29" x14ac:dyDescent="0.25">
      <c r="A2" s="4"/>
      <c r="L2" t="s">
        <v>4103</v>
      </c>
      <c r="M2" t="s">
        <v>4104</v>
      </c>
      <c r="N2" t="s">
        <v>4105</v>
      </c>
      <c r="O2" t="s">
        <v>4118</v>
      </c>
      <c r="P2" t="s">
        <v>4107</v>
      </c>
    </row>
    <row r="3" spans="1:29" x14ac:dyDescent="0.25">
      <c r="A3" s="4" t="s">
        <v>4048</v>
      </c>
      <c r="B3" t="s">
        <v>4129</v>
      </c>
      <c r="K3" t="s">
        <v>4120</v>
      </c>
      <c r="L3">
        <f>1.2+0.475</f>
        <v>1.6749999999999998</v>
      </c>
      <c r="M3" t="s">
        <v>4109</v>
      </c>
      <c r="N3" s="156">
        <f>L3/$L$6</f>
        <v>0.26942255106964774</v>
      </c>
      <c r="O3">
        <f>L3/(L3+L4)</f>
        <v>0.35828877005347592</v>
      </c>
      <c r="P3" s="36" t="s">
        <v>4121</v>
      </c>
    </row>
    <row r="4" spans="1:29" x14ac:dyDescent="0.25">
      <c r="A4" s="4"/>
      <c r="K4" t="s">
        <v>4122</v>
      </c>
      <c r="L4">
        <v>3</v>
      </c>
      <c r="M4" t="s">
        <v>4109</v>
      </c>
      <c r="N4" s="156">
        <f t="shared" ref="N4:N5" si="0">L4/$L$6</f>
        <v>0.48254785266205569</v>
      </c>
      <c r="O4">
        <f>L4/(L4+L5)</f>
        <v>0.66050198150594452</v>
      </c>
      <c r="P4" s="36" t="s">
        <v>4123</v>
      </c>
    </row>
    <row r="5" spans="1:29" ht="73.5" customHeight="1" x14ac:dyDescent="0.25">
      <c r="A5" s="26" t="s">
        <v>4050</v>
      </c>
      <c r="B5" s="14" t="s">
        <v>4124</v>
      </c>
      <c r="K5" t="s">
        <v>4125</v>
      </c>
      <c r="L5">
        <v>1.542</v>
      </c>
      <c r="M5" t="s">
        <v>4109</v>
      </c>
      <c r="N5" s="156">
        <f t="shared" si="0"/>
        <v>0.24802959626829663</v>
      </c>
    </row>
    <row r="6" spans="1:29" x14ac:dyDescent="0.25">
      <c r="A6" s="26" t="s">
        <v>4052</v>
      </c>
      <c r="B6" s="27" t="s">
        <v>69</v>
      </c>
      <c r="L6">
        <f>SUM(L3:L5)</f>
        <v>6.2169999999999996</v>
      </c>
      <c r="M6" t="s">
        <v>4109</v>
      </c>
      <c r="N6" s="37"/>
    </row>
    <row r="7" spans="1:29" x14ac:dyDescent="0.25">
      <c r="A7" s="26" t="s">
        <v>4053</v>
      </c>
      <c r="B7" s="27" t="s">
        <v>68</v>
      </c>
    </row>
    <row r="8" spans="1:29" x14ac:dyDescent="0.25">
      <c r="A8" s="26" t="s">
        <v>4054</v>
      </c>
      <c r="B8" s="27" t="s">
        <v>69</v>
      </c>
      <c r="K8" s="129" t="s">
        <v>4126</v>
      </c>
      <c r="L8" s="118">
        <f>SUMIF(_xlfn.ANCHORARRAY($B$23),"*"&amp;"Australia"&amp;"*",_xlfn.ANCHORARRAY(D23))/COUNTIF(_xlfn.ANCHORARRAY($B$23),"*"&amp;"Australia"&amp;"*")</f>
        <v>3520</v>
      </c>
      <c r="M8" s="118">
        <f t="shared" ref="M8:O8" si="1">SUMIF(_xlfn.ANCHORARRAY($B$23),"*"&amp;"Australia"&amp;"*",_xlfn.ANCHORARRAY(E23))/COUNTIF(_xlfn.ANCHORARRAY($B$23),"*"&amp;"Australia"&amp;"*")</f>
        <v>3.52</v>
      </c>
      <c r="N8" s="118">
        <f t="shared" si="1"/>
        <v>0</v>
      </c>
      <c r="O8" s="119">
        <f t="shared" si="1"/>
        <v>0</v>
      </c>
    </row>
    <row r="9" spans="1:29" x14ac:dyDescent="0.25">
      <c r="A9" s="26" t="s">
        <v>4055</v>
      </c>
      <c r="B9" s="4" t="s">
        <v>69</v>
      </c>
      <c r="K9" s="122" t="s">
        <v>4127</v>
      </c>
      <c r="L9" s="96">
        <f>SUMIF(_xlfn.ANCHORARRAY($B$23),"*"&amp;"Bluescope"&amp;"*",_xlfn.ANCHORARRAY(D23))/COUNTIF(_xlfn.ANCHORARRAY($B$23),"*"&amp;"Bluescope"&amp;"*")</f>
        <v>2612.8571428571427</v>
      </c>
      <c r="M9" s="96">
        <f t="shared" ref="M9:O9" si="2">SUMIF(_xlfn.ANCHORARRAY($B$23),"*"&amp;"Bluescope"&amp;"*",_xlfn.ANCHORARRAY(E23))/COUNTIF(_xlfn.ANCHORARRAY($B$23),"*"&amp;"Bluescope"&amp;"*")</f>
        <v>2.6128571428571425</v>
      </c>
      <c r="N9" s="96">
        <f t="shared" si="2"/>
        <v>0</v>
      </c>
      <c r="O9" s="121">
        <f t="shared" si="2"/>
        <v>0</v>
      </c>
    </row>
    <row r="10" spans="1:29" x14ac:dyDescent="0.25">
      <c r="A10" s="26"/>
      <c r="B10" s="4"/>
      <c r="K10" s="122" t="s">
        <v>4128</v>
      </c>
      <c r="L10" s="96">
        <f>SUMIF(_xlfn.ANCHORARRAY($B$23),"*"&amp;"Global"&amp;"*",_xlfn.ANCHORARRAY(D23))/COUNTIF(_xlfn.ANCHORARRAY($B$23),"*"&amp;"Global"&amp;"*")</f>
        <v>3335.5299999999997</v>
      </c>
      <c r="M10" s="96">
        <f t="shared" ref="M10:O10" si="3">SUMIF(_xlfn.ANCHORARRAY($B$23),"*"&amp;"Global"&amp;"*",_xlfn.ANCHORARRAY(E23))/COUNTIF(_xlfn.ANCHORARRAY($B$23),"*"&amp;"Global"&amp;"*")</f>
        <v>3.3355299999999999</v>
      </c>
      <c r="N10" s="96">
        <f t="shared" si="3"/>
        <v>0</v>
      </c>
      <c r="O10" s="121">
        <f t="shared" si="3"/>
        <v>0</v>
      </c>
    </row>
    <row r="11" spans="1:29" ht="26.4" x14ac:dyDescent="0.25">
      <c r="A11" s="26" t="s">
        <v>4056</v>
      </c>
      <c r="B11" s="14" t="s">
        <v>4130</v>
      </c>
      <c r="K11" s="125" t="s">
        <v>4116</v>
      </c>
      <c r="L11" s="126">
        <f>SUMPRODUCT(L8:L10,$N$3:$N$5)</f>
        <v>3036.5061426043794</v>
      </c>
      <c r="M11" s="126">
        <f t="shared" ref="M11:O11" si="4">SUMPRODUCT(M8:M10,$N$3:$N$5)</f>
        <v>3.0365061426043796</v>
      </c>
      <c r="N11" s="126">
        <f t="shared" si="4"/>
        <v>0</v>
      </c>
      <c r="O11" s="142">
        <f t="shared" si="4"/>
        <v>0</v>
      </c>
    </row>
    <row r="12" spans="1:29" x14ac:dyDescent="0.25">
      <c r="A12" s="101"/>
    </row>
    <row r="13" spans="1:29" x14ac:dyDescent="0.25">
      <c r="A13" s="101"/>
    </row>
    <row r="14" spans="1:29" x14ac:dyDescent="0.25">
      <c r="A14" s="26" t="s">
        <v>4057</v>
      </c>
      <c r="K14" s="129" t="s">
        <v>4131</v>
      </c>
      <c r="L14" s="67"/>
      <c r="M14" s="67"/>
      <c r="N14" s="172"/>
      <c r="O14" s="67"/>
      <c r="P14" s="38"/>
      <c r="Q14" s="67"/>
      <c r="R14" s="67"/>
      <c r="S14" s="67"/>
      <c r="T14" s="67"/>
      <c r="U14" s="67"/>
      <c r="V14" s="67"/>
      <c r="W14" s="67"/>
      <c r="X14" s="67"/>
      <c r="Y14" s="67"/>
      <c r="Z14" s="67"/>
      <c r="AA14" s="67"/>
      <c r="AB14" s="67"/>
      <c r="AC14" s="130"/>
    </row>
    <row r="15" spans="1:29" x14ac:dyDescent="0.25">
      <c r="A15" s="26"/>
      <c r="D15" s="112" t="s">
        <v>4058</v>
      </c>
      <c r="E15" s="113"/>
      <c r="F15" s="114" t="s">
        <v>4059</v>
      </c>
      <c r="G15" s="113"/>
      <c r="K15" s="169">
        <v>1.42</v>
      </c>
      <c r="L15" t="s">
        <v>4132</v>
      </c>
      <c r="M15" t="s">
        <v>4133</v>
      </c>
      <c r="N15" s="17"/>
      <c r="P15" s="39"/>
      <c r="AC15" s="124"/>
    </row>
    <row r="16" spans="1:29" ht="39.6" x14ac:dyDescent="0.25">
      <c r="B16" s="28" t="s">
        <v>2998</v>
      </c>
      <c r="C16" s="23" t="s">
        <v>23</v>
      </c>
      <c r="D16" s="24" t="s">
        <v>141</v>
      </c>
      <c r="E16" s="25" t="s">
        <v>148</v>
      </c>
      <c r="F16" s="24" t="s">
        <v>142</v>
      </c>
      <c r="G16" s="24" t="s">
        <v>149</v>
      </c>
      <c r="K16" s="122"/>
      <c r="N16" s="17"/>
      <c r="AC16" s="124"/>
    </row>
    <row r="17" spans="2:29" x14ac:dyDescent="0.25">
      <c r="B17" s="29"/>
      <c r="C17" s="30" t="s">
        <v>4060</v>
      </c>
      <c r="D17" s="118" t="str" cm="1">
        <f t="array" ref="D17">IF(AND(_xlfn.ANCHORARRAY(C23)=C23),C23,"Mixed")</f>
        <v>tonne</v>
      </c>
      <c r="E17" s="118" t="s">
        <v>219</v>
      </c>
      <c r="F17" s="118" t="str" cm="1">
        <f t="array" ref="F17">IF(AND(_xlfn.ANCHORARRAY(C23)=C23),C23,"Mixed")</f>
        <v>tonne</v>
      </c>
      <c r="G17" s="119" t="s">
        <v>219</v>
      </c>
      <c r="K17" s="122" t="s">
        <v>4134</v>
      </c>
      <c r="N17" s="37"/>
      <c r="Z17" t="s">
        <v>4061</v>
      </c>
      <c r="AA17">
        <v>2.373629312650441E-2</v>
      </c>
      <c r="AC17" s="124"/>
    </row>
    <row r="18" spans="2:29" s="14" customFormat="1" x14ac:dyDescent="0.25">
      <c r="B18" s="31"/>
      <c r="C18" s="35" t="s">
        <v>4061</v>
      </c>
      <c r="D18" s="162">
        <f>MAX(_xlfn.ANCHORARRAY(D23))*(1+$AA$17)</f>
        <v>3808.2990104305964</v>
      </c>
      <c r="E18" s="162">
        <f t="shared" ref="E18:G18" si="5">MAX(_xlfn.ANCHORARRAY(E23))*(1+$AA$17)</f>
        <v>3.8082990104305967</v>
      </c>
      <c r="F18" s="162">
        <f t="shared" si="5"/>
        <v>0</v>
      </c>
      <c r="G18" s="168">
        <f t="shared" si="5"/>
        <v>0</v>
      </c>
      <c r="H18"/>
      <c r="K18" s="122"/>
      <c r="L18"/>
      <c r="M18"/>
      <c r="N18"/>
      <c r="O18"/>
      <c r="P18"/>
      <c r="U18" s="14" t="s">
        <v>4135</v>
      </c>
      <c r="Z18" s="14" t="s">
        <v>4136</v>
      </c>
      <c r="AA18" s="14">
        <v>9.2499981080875308E-3</v>
      </c>
      <c r="AC18" s="132"/>
    </row>
    <row r="19" spans="2:29" x14ac:dyDescent="0.25">
      <c r="B19" s="122"/>
      <c r="C19" s="4" t="s">
        <v>4062</v>
      </c>
      <c r="D19" s="96">
        <f>MIN(_xlfn.ANCHORARRAY(D23))</f>
        <v>2410</v>
      </c>
      <c r="E19" s="96">
        <f t="shared" ref="E19:G19" si="6">MIN(_xlfn.ANCHORARRAY(E23))</f>
        <v>2.41</v>
      </c>
      <c r="F19" s="96">
        <f t="shared" si="6"/>
        <v>0</v>
      </c>
      <c r="G19" s="121">
        <f t="shared" si="6"/>
        <v>0</v>
      </c>
      <c r="K19" s="122" t="s">
        <v>4137</v>
      </c>
      <c r="L19" t="s">
        <v>4138</v>
      </c>
      <c r="M19" t="s">
        <v>4139</v>
      </c>
      <c r="N19" t="s">
        <v>4137</v>
      </c>
      <c r="O19" t="s">
        <v>4138</v>
      </c>
      <c r="P19" t="s">
        <v>4139</v>
      </c>
      <c r="Q19" t="s">
        <v>4140</v>
      </c>
      <c r="R19" t="s">
        <v>4141</v>
      </c>
      <c r="S19" t="s">
        <v>4142</v>
      </c>
      <c r="T19" t="s">
        <v>4143</v>
      </c>
      <c r="U19" t="s">
        <v>4144</v>
      </c>
      <c r="V19" t="s">
        <v>4145</v>
      </c>
      <c r="X19" t="s">
        <v>4146</v>
      </c>
      <c r="Y19" t="s">
        <v>4147</v>
      </c>
      <c r="Z19" t="s">
        <v>4148</v>
      </c>
      <c r="AA19" t="s">
        <v>4149</v>
      </c>
      <c r="AC19" s="124"/>
    </row>
    <row r="20" spans="2:29" x14ac:dyDescent="0.25">
      <c r="B20" s="122"/>
      <c r="C20" s="35" t="s">
        <v>4117</v>
      </c>
      <c r="D20" s="162">
        <f>L11*(1+$AA$17)</f>
        <v>3108.5815424856683</v>
      </c>
      <c r="E20" s="162">
        <f t="shared" ref="E20:G20" si="7">M11*(1+$AA$17)</f>
        <v>3.1085815424856684</v>
      </c>
      <c r="F20" s="162">
        <f t="shared" si="7"/>
        <v>0</v>
      </c>
      <c r="G20" s="162">
        <f t="shared" si="7"/>
        <v>0</v>
      </c>
      <c r="K20" s="122">
        <v>200</v>
      </c>
      <c r="L20">
        <v>200</v>
      </c>
      <c r="M20">
        <v>26</v>
      </c>
      <c r="N20">
        <v>0.2</v>
      </c>
      <c r="O20">
        <v>0.2</v>
      </c>
      <c r="P20">
        <v>2.5999999999999999E-2</v>
      </c>
      <c r="Q20">
        <v>0.4</v>
      </c>
      <c r="R20">
        <v>0.8</v>
      </c>
      <c r="S20">
        <v>2.0799999999999999E-2</v>
      </c>
      <c r="T20">
        <v>163.28</v>
      </c>
      <c r="U20">
        <v>7850</v>
      </c>
      <c r="V20">
        <v>3.72</v>
      </c>
      <c r="X20">
        <v>607.40160000000003</v>
      </c>
      <c r="Y20">
        <v>1.1359999999999999</v>
      </c>
      <c r="Z20">
        <v>608.5376</v>
      </c>
      <c r="AA20">
        <v>1.8667704345631229E-3</v>
      </c>
      <c r="AC20" s="124" t="s">
        <v>3067</v>
      </c>
    </row>
    <row r="21" spans="2:29" x14ac:dyDescent="0.25">
      <c r="B21" s="122"/>
      <c r="C21" s="4" t="s">
        <v>4063</v>
      </c>
      <c r="D21" s="96">
        <f>AVERAGE(_xlfn.ANCHORARRAY(D23))</f>
        <v>3124.7682352941179</v>
      </c>
      <c r="E21" s="96">
        <f t="shared" ref="E21:G21" si="8">AVERAGE(_xlfn.ANCHORARRAY(E23))</f>
        <v>3.1247682352941171</v>
      </c>
      <c r="F21" s="96">
        <f t="shared" si="8"/>
        <v>0</v>
      </c>
      <c r="G21" s="121">
        <f t="shared" si="8"/>
        <v>0</v>
      </c>
      <c r="K21" s="122">
        <v>380</v>
      </c>
      <c r="L21">
        <v>100</v>
      </c>
      <c r="M21">
        <v>25</v>
      </c>
      <c r="N21">
        <v>0.38</v>
      </c>
      <c r="O21">
        <v>0.1</v>
      </c>
      <c r="P21">
        <v>2.5000000000000001E-2</v>
      </c>
      <c r="Q21">
        <v>0.57999999999999996</v>
      </c>
      <c r="R21">
        <v>1.1599999999999999</v>
      </c>
      <c r="S21">
        <v>2.8999999999999998E-2</v>
      </c>
      <c r="T21">
        <v>227.64999999999998</v>
      </c>
      <c r="U21">
        <v>7850</v>
      </c>
      <c r="V21">
        <v>3.72</v>
      </c>
      <c r="X21">
        <v>846.85799999999995</v>
      </c>
      <c r="Y21">
        <v>1.6471999999999998</v>
      </c>
      <c r="Z21">
        <v>848.50519999999995</v>
      </c>
      <c r="AA21">
        <v>1.9412962937646109E-3</v>
      </c>
      <c r="AC21" s="124" t="s">
        <v>3070</v>
      </c>
    </row>
    <row r="22" spans="2:29" x14ac:dyDescent="0.25">
      <c r="B22" s="32" t="s">
        <v>4064</v>
      </c>
      <c r="D22"/>
      <c r="E22"/>
      <c r="F22"/>
      <c r="G22" s="124"/>
      <c r="K22" s="122">
        <v>612</v>
      </c>
      <c r="L22">
        <v>229</v>
      </c>
      <c r="M22">
        <v>25</v>
      </c>
      <c r="N22">
        <v>0.61199999999999999</v>
      </c>
      <c r="O22">
        <v>0.22900000000000001</v>
      </c>
      <c r="P22">
        <v>2.5000000000000001E-2</v>
      </c>
      <c r="Q22">
        <v>1.07</v>
      </c>
      <c r="R22">
        <v>2.14</v>
      </c>
      <c r="S22">
        <v>5.3500000000000006E-2</v>
      </c>
      <c r="T22">
        <v>419.97500000000002</v>
      </c>
      <c r="U22">
        <v>7850</v>
      </c>
      <c r="V22">
        <v>3.72</v>
      </c>
      <c r="X22">
        <v>1562.3070000000002</v>
      </c>
      <c r="Y22">
        <v>3.0388000000000002</v>
      </c>
      <c r="Z22">
        <v>1565.3458000000003</v>
      </c>
      <c r="AA22">
        <v>1.9412962937646109E-3</v>
      </c>
      <c r="AC22" s="124" t="s">
        <v>3072</v>
      </c>
    </row>
    <row r="23" spans="2:29" x14ac:dyDescent="0.25">
      <c r="B23" s="122" t="str" cm="1">
        <f t="array" ref="B23:B39">_xlfn.UNIQUE(_xlfn._xlws.FILTER('EPD List'!D:D,ISNUMBER(SEARCH(B16,'EPD List'!C:C)),0))</f>
        <v>Steel, Structural sections (hot - rolled), XLERPLATE® steel – Low Carbon Steel (Bluescope)</v>
      </c>
      <c r="C23" t="str" cm="1">
        <f t="array" ref="C23:C39">_xlfn.IFNA(INDEX('EPD List'!$A:$AB,MATCH(_xlfn.ANCHORARRAY(B23),'EPD List'!$D:$D,0),MATCH(C$16,'EPD List'!$7:$7,0)),"")</f>
        <v>tonne</v>
      </c>
      <c r="D23" s="96" cm="1">
        <f t="array" ref="D23:D39">_xlfn.IFNA(VALUE((INDEX('EPD List'!$A:$AD,MATCH(_xlfn.ANCHORARRAY($B23),'EPD List'!$D:$D,0),MATCH(D$16,'EPD List'!$7:$7,0)))),"")</f>
        <v>2590</v>
      </c>
      <c r="E23" s="96" cm="1">
        <f t="array" ref="E23:E39">_xlfn.IFNA(VALUE((INDEX('EPD List'!$A:$AD,MATCH(_xlfn.ANCHORARRAY($B23),'EPD List'!$D:$D,0),MATCH(E$16,'EPD List'!$7:$7,0)))),"")</f>
        <v>2.59</v>
      </c>
      <c r="F23" s="96" cm="1">
        <f t="array" ref="F23:F39">_xlfn.IFNA(VALUE((INDEX('EPD List'!$A:$AD,MATCH(_xlfn.ANCHORARRAY($B23),'EPD List'!$D:$D,0),MATCH(F$16,'EPD List'!$7:$7,0)))),"")</f>
        <v>0</v>
      </c>
      <c r="G23" s="121" cm="1">
        <f t="array" ref="G23:G39">_xlfn.IFNA(VALUE((INDEX('EPD List'!$A:$AD,MATCH(_xlfn.ANCHORARRAY($B23),'EPD List'!$D:$D,0),MATCH(G$16,'EPD List'!$7:$7,0)))),"")</f>
        <v>0</v>
      </c>
      <c r="K23" s="122">
        <v>327</v>
      </c>
      <c r="L23">
        <v>311</v>
      </c>
      <c r="M23">
        <v>25</v>
      </c>
      <c r="N23">
        <v>0.32700000000000001</v>
      </c>
      <c r="O23">
        <v>0.311</v>
      </c>
      <c r="P23">
        <v>2.5000000000000001E-2</v>
      </c>
      <c r="Q23">
        <v>0.94900000000000007</v>
      </c>
      <c r="R23">
        <v>1.8980000000000001</v>
      </c>
      <c r="S23">
        <v>4.7450000000000006E-2</v>
      </c>
      <c r="T23">
        <v>372.48250000000007</v>
      </c>
      <c r="U23">
        <v>7850</v>
      </c>
      <c r="V23">
        <v>3.72</v>
      </c>
      <c r="X23">
        <v>1385.6349000000002</v>
      </c>
      <c r="Y23">
        <v>2.69516</v>
      </c>
      <c r="Z23">
        <v>1388.3300600000002</v>
      </c>
      <c r="AA23">
        <v>1.9412962937646106E-3</v>
      </c>
      <c r="AC23" s="124" t="s">
        <v>3073</v>
      </c>
    </row>
    <row r="24" spans="2:29" x14ac:dyDescent="0.25">
      <c r="B24" s="122" t="str">
        <v>Steel, Structural sections (hot - rolled), XLERPLATE® steel – Medium Carbon Steel (Bluescope)</v>
      </c>
      <c r="C24" t="str">
        <v>tonne</v>
      </c>
      <c r="D24" s="96">
        <v>2640</v>
      </c>
      <c r="E24" s="96">
        <v>2.64</v>
      </c>
      <c r="F24" s="96">
        <v>0</v>
      </c>
      <c r="G24" s="121">
        <v>0</v>
      </c>
      <c r="K24" s="122">
        <v>100</v>
      </c>
      <c r="L24">
        <v>100</v>
      </c>
      <c r="M24">
        <v>12</v>
      </c>
      <c r="N24">
        <v>0.1</v>
      </c>
      <c r="O24">
        <v>0.1</v>
      </c>
      <c r="P24">
        <v>1.2E-2</v>
      </c>
      <c r="Q24">
        <v>0.2</v>
      </c>
      <c r="R24">
        <v>0.4</v>
      </c>
      <c r="S24">
        <v>4.8000000000000004E-3</v>
      </c>
      <c r="T24">
        <v>37.680000000000007</v>
      </c>
      <c r="U24">
        <v>7850</v>
      </c>
      <c r="V24">
        <v>1.52</v>
      </c>
      <c r="X24">
        <v>57.273600000000009</v>
      </c>
      <c r="Y24">
        <v>0.56799999999999995</v>
      </c>
      <c r="Z24">
        <v>57.841600000000007</v>
      </c>
      <c r="AA24">
        <v>9.8199219938590893E-3</v>
      </c>
      <c r="AC24" s="124" t="s">
        <v>3075</v>
      </c>
    </row>
    <row r="25" spans="2:29" x14ac:dyDescent="0.25">
      <c r="B25" s="122" t="str">
        <v>Steel, Structural sections (hot - rolled), XLERPLATE® steel – Alloyed Steel (Bluescope)</v>
      </c>
      <c r="C25" t="str">
        <v>tonne</v>
      </c>
      <c r="D25" s="96">
        <v>2760</v>
      </c>
      <c r="E25" s="96">
        <v>2.76</v>
      </c>
      <c r="F25" s="96">
        <v>0</v>
      </c>
      <c r="G25" s="121">
        <v>0</v>
      </c>
      <c r="K25" s="122">
        <v>125</v>
      </c>
      <c r="L25">
        <v>75</v>
      </c>
      <c r="M25">
        <v>12</v>
      </c>
      <c r="N25">
        <v>0.125</v>
      </c>
      <c r="O25">
        <v>7.4999999999999997E-2</v>
      </c>
      <c r="P25">
        <v>1.2E-2</v>
      </c>
      <c r="Q25">
        <v>0.2</v>
      </c>
      <c r="R25">
        <v>0.4</v>
      </c>
      <c r="S25">
        <v>4.8000000000000004E-3</v>
      </c>
      <c r="T25">
        <v>37.680000000000007</v>
      </c>
      <c r="U25">
        <v>7850</v>
      </c>
      <c r="V25">
        <v>1.52</v>
      </c>
      <c r="X25">
        <v>57.273600000000009</v>
      </c>
      <c r="Y25">
        <v>0.56799999999999995</v>
      </c>
      <c r="Z25">
        <v>57.841600000000007</v>
      </c>
      <c r="AA25">
        <v>9.8199219938590893E-3</v>
      </c>
      <c r="AC25" s="124" t="s">
        <v>3077</v>
      </c>
    </row>
    <row r="26" spans="2:29" x14ac:dyDescent="0.25">
      <c r="B26" s="122" t="str">
        <v>Steel, Structural sections (hot - rolled), Steel – Welded Beams and Columns (Bluescope)</v>
      </c>
      <c r="C26" t="str">
        <v>tonne</v>
      </c>
      <c r="D26" s="96">
        <v>2860</v>
      </c>
      <c r="E26" s="96">
        <v>2.86</v>
      </c>
      <c r="F26" s="96">
        <v>0</v>
      </c>
      <c r="G26" s="121">
        <v>0</v>
      </c>
      <c r="K26" s="122">
        <v>380</v>
      </c>
      <c r="L26">
        <v>100</v>
      </c>
      <c r="M26">
        <v>25</v>
      </c>
      <c r="N26">
        <v>0.38</v>
      </c>
      <c r="O26">
        <v>0.1</v>
      </c>
      <c r="P26">
        <v>2.5000000000000001E-2</v>
      </c>
      <c r="Q26">
        <v>0.57999999999999996</v>
      </c>
      <c r="R26">
        <v>1.1599999999999999</v>
      </c>
      <c r="S26">
        <v>2.8999999999999998E-2</v>
      </c>
      <c r="T26">
        <v>227.64999999999998</v>
      </c>
      <c r="U26">
        <v>7850</v>
      </c>
      <c r="V26">
        <v>1.52</v>
      </c>
      <c r="X26">
        <v>346.02799999999996</v>
      </c>
      <c r="Y26">
        <v>1.6471999999999998</v>
      </c>
      <c r="Z26">
        <v>347.67519999999996</v>
      </c>
      <c r="AA26">
        <v>4.7377552382223409E-3</v>
      </c>
      <c r="AC26" s="124" t="s">
        <v>3079</v>
      </c>
    </row>
    <row r="27" spans="2:29" x14ac:dyDescent="0.25">
      <c r="B27" s="122" t="str">
        <v>Steel, Structural sections (hot - rolled), Hot Rolled Coil – Low Carbon Steel (Bluescope)</v>
      </c>
      <c r="C27" t="str">
        <v>tonne</v>
      </c>
      <c r="D27" s="96">
        <v>2410</v>
      </c>
      <c r="E27" s="96">
        <v>2.41</v>
      </c>
      <c r="F27" s="96">
        <v>0</v>
      </c>
      <c r="G27" s="121">
        <v>0</v>
      </c>
      <c r="K27" s="122">
        <v>150</v>
      </c>
      <c r="L27">
        <v>25</v>
      </c>
      <c r="M27">
        <v>12</v>
      </c>
      <c r="N27">
        <v>0.15</v>
      </c>
      <c r="O27">
        <v>2.5000000000000001E-2</v>
      </c>
      <c r="P27">
        <v>1.2E-2</v>
      </c>
      <c r="Q27">
        <v>0.17499999999999999</v>
      </c>
      <c r="R27">
        <v>0.35</v>
      </c>
      <c r="S27">
        <v>4.1999999999999997E-3</v>
      </c>
      <c r="T27">
        <v>32.97</v>
      </c>
      <c r="U27">
        <v>7850</v>
      </c>
      <c r="V27">
        <v>1.52</v>
      </c>
      <c r="X27">
        <v>50.114399999999996</v>
      </c>
      <c r="Y27">
        <v>0.49699999999999994</v>
      </c>
      <c r="Z27">
        <v>50.611399999999996</v>
      </c>
      <c r="AA27">
        <v>9.8199219938590911E-3</v>
      </c>
      <c r="AC27" s="124" t="s">
        <v>3081</v>
      </c>
    </row>
    <row r="28" spans="2:29" x14ac:dyDescent="0.25">
      <c r="B28" s="122" t="str">
        <v>Steel, Structural sections (hot - rolled), Hot Rolled Coil – Medium Carbon Steel (Bluescope)</v>
      </c>
      <c r="C28" t="str">
        <v>tonne</v>
      </c>
      <c r="D28" s="96">
        <v>2460</v>
      </c>
      <c r="E28" s="96">
        <v>2.46</v>
      </c>
      <c r="F28" s="96">
        <v>0</v>
      </c>
      <c r="G28" s="121">
        <v>0</v>
      </c>
      <c r="K28" s="122">
        <v>10</v>
      </c>
      <c r="L28">
        <v>40</v>
      </c>
      <c r="M28">
        <v>6</v>
      </c>
      <c r="N28">
        <v>0.01</v>
      </c>
      <c r="O28">
        <v>0.04</v>
      </c>
      <c r="P28">
        <v>6.0000000000000001E-3</v>
      </c>
      <c r="Q28">
        <v>0.05</v>
      </c>
      <c r="R28">
        <v>0.1</v>
      </c>
      <c r="S28">
        <v>6.0000000000000006E-4</v>
      </c>
      <c r="T28">
        <v>4.7100000000000009</v>
      </c>
      <c r="U28">
        <v>7850</v>
      </c>
      <c r="V28">
        <v>1.52</v>
      </c>
      <c r="X28">
        <v>7.1592000000000011</v>
      </c>
      <c r="Y28">
        <v>0.14199999999999999</v>
      </c>
      <c r="Z28">
        <v>7.3012000000000015</v>
      </c>
      <c r="AA28">
        <v>1.9448857722018292E-2</v>
      </c>
      <c r="AC28" s="124" t="s">
        <v>3083</v>
      </c>
    </row>
    <row r="29" spans="2:29" x14ac:dyDescent="0.25">
      <c r="B29" s="122" t="str">
        <v>Steel, Structural sections (hot - rolled), Hot Rolled Coil – Alloyed Steel (Bluescope)</v>
      </c>
      <c r="C29" t="str">
        <v>tonne</v>
      </c>
      <c r="D29" s="96">
        <v>2570</v>
      </c>
      <c r="E29" s="96">
        <v>2.57</v>
      </c>
      <c r="F29" s="96">
        <v>0</v>
      </c>
      <c r="G29" s="121">
        <v>0</v>
      </c>
      <c r="K29" s="122">
        <v>10</v>
      </c>
      <c r="L29">
        <v>90</v>
      </c>
      <c r="M29">
        <v>6</v>
      </c>
      <c r="N29">
        <v>0.01</v>
      </c>
      <c r="O29">
        <v>0.09</v>
      </c>
      <c r="P29">
        <v>6.0000000000000001E-3</v>
      </c>
      <c r="Q29">
        <v>9.9999999999999992E-2</v>
      </c>
      <c r="R29">
        <v>0.19999999999999998</v>
      </c>
      <c r="S29">
        <v>1.1999999999999999E-3</v>
      </c>
      <c r="T29">
        <v>9.42</v>
      </c>
      <c r="U29">
        <v>7850</v>
      </c>
      <c r="V29">
        <v>1.52</v>
      </c>
      <c r="X29">
        <v>14.3184</v>
      </c>
      <c r="Y29">
        <v>0.28399999999999997</v>
      </c>
      <c r="Z29">
        <v>14.602400000000001</v>
      </c>
      <c r="AA29">
        <v>1.9448857722018296E-2</v>
      </c>
      <c r="AC29" s="124" t="s">
        <v>3085</v>
      </c>
    </row>
    <row r="30" spans="2:29" x14ac:dyDescent="0.25">
      <c r="B30" s="122" t="str">
        <v>Steel, Structural sections (hot - rolled), Steel, equal angle (EA), structural section, unpainted, 125 x 125 x 8 mm to 200 x 200 x 26 mm,  (InfraBuild via Distributor IBSC), Australia</v>
      </c>
      <c r="C30" t="str">
        <v>tonne</v>
      </c>
      <c r="D30" s="96">
        <v>3720</v>
      </c>
      <c r="E30" s="96">
        <v>3.72</v>
      </c>
      <c r="F30" s="96">
        <v>0</v>
      </c>
      <c r="G30" s="121">
        <v>0</v>
      </c>
      <c r="K30" s="122">
        <v>100</v>
      </c>
      <c r="L30">
        <v>100</v>
      </c>
      <c r="M30">
        <v>12</v>
      </c>
      <c r="N30">
        <v>0.1</v>
      </c>
      <c r="O30">
        <v>0.1</v>
      </c>
      <c r="P30">
        <v>1.2E-2</v>
      </c>
      <c r="Q30">
        <v>0.2</v>
      </c>
      <c r="R30">
        <v>0.4</v>
      </c>
      <c r="S30">
        <v>4.8000000000000004E-3</v>
      </c>
      <c r="T30">
        <v>37.680000000000007</v>
      </c>
      <c r="U30">
        <v>7850</v>
      </c>
      <c r="V30">
        <v>1.24</v>
      </c>
      <c r="X30">
        <v>46.723200000000006</v>
      </c>
      <c r="Y30">
        <v>0.56799999999999995</v>
      </c>
      <c r="Z30">
        <v>47.291200000000003</v>
      </c>
      <c r="AA30">
        <v>1.2010691206820717E-2</v>
      </c>
      <c r="AC30" s="124" t="s">
        <v>3087</v>
      </c>
    </row>
    <row r="31" spans="2:29" x14ac:dyDescent="0.25">
      <c r="B31" s="122" t="str">
        <v>Steel, Structural sections (hot - rolled), Steel, parallel flange channel (PFC), structural section, unpainted, 180 x 75 mm to 380 x 100 mm,  (InfraBuild via Distributor IBSC), Australia</v>
      </c>
      <c r="C31" t="str">
        <v>tonne</v>
      </c>
      <c r="D31" s="96">
        <v>3720</v>
      </c>
      <c r="E31" s="96">
        <v>3.72</v>
      </c>
      <c r="F31" s="96">
        <v>0</v>
      </c>
      <c r="G31" s="121">
        <v>0</v>
      </c>
      <c r="K31" s="122">
        <v>100</v>
      </c>
      <c r="L31">
        <v>100</v>
      </c>
      <c r="M31">
        <v>12</v>
      </c>
      <c r="N31">
        <v>0.1</v>
      </c>
      <c r="O31">
        <v>0.1</v>
      </c>
      <c r="P31">
        <v>1.2E-2</v>
      </c>
      <c r="Q31">
        <v>0.2</v>
      </c>
      <c r="R31">
        <v>0.4</v>
      </c>
      <c r="S31">
        <v>4.8000000000000004E-3</v>
      </c>
      <c r="T31">
        <v>37.680000000000007</v>
      </c>
      <c r="U31">
        <v>7850</v>
      </c>
      <c r="V31">
        <v>1.24</v>
      </c>
      <c r="X31">
        <v>46.723200000000006</v>
      </c>
      <c r="Y31">
        <v>0.56799999999999995</v>
      </c>
      <c r="Z31">
        <v>47.291200000000003</v>
      </c>
      <c r="AA31">
        <v>1.2010691206820717E-2</v>
      </c>
      <c r="AC31" s="124" t="s">
        <v>3087</v>
      </c>
    </row>
    <row r="32" spans="2:29" x14ac:dyDescent="0.25">
      <c r="B32" s="122" t="str">
        <v>Steel, Structural sections (hot - rolled), Steel, universal beam (UB),  structural section, unpainted, 150 x 75 mm to 612 x 229 mm,  (InfraBuild via Distributor IBSC), Australia</v>
      </c>
      <c r="C32" t="str">
        <v>tonne</v>
      </c>
      <c r="D32" s="96">
        <v>3720</v>
      </c>
      <c r="E32" s="96">
        <v>3.72</v>
      </c>
      <c r="F32" s="96">
        <v>0</v>
      </c>
      <c r="G32" s="121">
        <v>0</v>
      </c>
      <c r="K32" s="122">
        <v>125</v>
      </c>
      <c r="L32">
        <v>75</v>
      </c>
      <c r="M32">
        <v>12</v>
      </c>
      <c r="N32">
        <v>0.125</v>
      </c>
      <c r="O32">
        <v>7.4999999999999997E-2</v>
      </c>
      <c r="P32">
        <v>1.2E-2</v>
      </c>
      <c r="Q32">
        <v>0.2</v>
      </c>
      <c r="R32">
        <v>0.4</v>
      </c>
      <c r="S32">
        <v>4.8000000000000004E-3</v>
      </c>
      <c r="T32">
        <v>37.680000000000007</v>
      </c>
      <c r="U32">
        <v>7850</v>
      </c>
      <c r="V32">
        <v>1.24</v>
      </c>
      <c r="X32">
        <v>46.723200000000006</v>
      </c>
      <c r="Y32">
        <v>0.56799999999999995</v>
      </c>
      <c r="Z32">
        <v>47.291200000000003</v>
      </c>
      <c r="AA32">
        <v>1.2010691206820717E-2</v>
      </c>
      <c r="AC32" s="124" t="s">
        <v>3091</v>
      </c>
    </row>
    <row r="33" spans="2:29" x14ac:dyDescent="0.25">
      <c r="B33" s="122" t="str">
        <v>Steel, Structural sections (hot - rolled), Steel, universal column (UC), structural section, unpainted, 97 x 99 mm to 327 x 311 mm,  (InfraBuild via Distributor IBSC), Australia</v>
      </c>
      <c r="C33" t="str">
        <v>tonne</v>
      </c>
      <c r="D33" s="96">
        <v>3720</v>
      </c>
      <c r="E33" s="96">
        <v>3.72</v>
      </c>
      <c r="F33" s="96">
        <v>0</v>
      </c>
      <c r="G33" s="121">
        <v>0</v>
      </c>
      <c r="K33" s="122">
        <v>150</v>
      </c>
      <c r="L33">
        <v>25</v>
      </c>
      <c r="M33">
        <v>12</v>
      </c>
      <c r="N33">
        <v>0.15</v>
      </c>
      <c r="O33">
        <v>2.5000000000000001E-2</v>
      </c>
      <c r="P33">
        <v>1.2E-2</v>
      </c>
      <c r="Q33">
        <v>0.17499999999999999</v>
      </c>
      <c r="R33">
        <v>0.35</v>
      </c>
      <c r="S33">
        <v>4.1999999999999997E-3</v>
      </c>
      <c r="T33">
        <v>32.97</v>
      </c>
      <c r="U33">
        <v>7850</v>
      </c>
      <c r="V33">
        <v>1.24</v>
      </c>
      <c r="X33">
        <v>40.882799999999996</v>
      </c>
      <c r="Y33">
        <v>0.49699999999999994</v>
      </c>
      <c r="Z33">
        <v>41.379799999999996</v>
      </c>
      <c r="AA33">
        <v>1.2010691206820719E-2</v>
      </c>
      <c r="AC33" s="124" t="s">
        <v>3093</v>
      </c>
    </row>
    <row r="34" spans="2:29" x14ac:dyDescent="0.25">
      <c r="B34" s="122" t="str">
        <v>Steel, Structural sections (hot - rolled), Steel, equal angle (EA), structural section, unpainted, 125 x 125 x 8 mm to 200 x 200 x 26 mm,  (Liberty Primary Steel, Australia), Australia</v>
      </c>
      <c r="C34" t="str">
        <v>tonne</v>
      </c>
      <c r="D34" s="96">
        <v>3320</v>
      </c>
      <c r="E34" s="96">
        <v>3.32</v>
      </c>
      <c r="F34" s="96">
        <v>0</v>
      </c>
      <c r="G34" s="121">
        <v>0</v>
      </c>
      <c r="K34" s="122">
        <v>10</v>
      </c>
      <c r="L34">
        <v>40</v>
      </c>
      <c r="M34">
        <v>6</v>
      </c>
      <c r="N34">
        <v>0.01</v>
      </c>
      <c r="O34">
        <v>0.04</v>
      </c>
      <c r="P34">
        <v>6.0000000000000001E-3</v>
      </c>
      <c r="Q34">
        <v>0.05</v>
      </c>
      <c r="R34">
        <v>0.1</v>
      </c>
      <c r="S34">
        <v>6.0000000000000006E-4</v>
      </c>
      <c r="T34">
        <v>4.7100000000000009</v>
      </c>
      <c r="U34">
        <v>7850</v>
      </c>
      <c r="V34">
        <v>1.24</v>
      </c>
      <c r="X34">
        <v>5.8404000000000007</v>
      </c>
      <c r="Y34">
        <v>0.14199999999999999</v>
      </c>
      <c r="Z34">
        <v>5.9824000000000011</v>
      </c>
      <c r="AA34">
        <v>2.3736293126504406E-2</v>
      </c>
      <c r="AC34" s="124" t="s">
        <v>3095</v>
      </c>
    </row>
    <row r="35" spans="2:29" x14ac:dyDescent="0.25">
      <c r="B35" s="122" t="str">
        <v>Steel, Structural sections (hot - rolled), Steel, parallel flange channel (PFC), structural section, unpainted, 180 x 75 mm to 380 x 100 mm,  (Liberty Primary Steel, Australia), Australia</v>
      </c>
      <c r="C35" t="str">
        <v>tonne</v>
      </c>
      <c r="D35" s="96">
        <v>3320</v>
      </c>
      <c r="E35" s="96">
        <v>3.32</v>
      </c>
      <c r="F35" s="96">
        <v>0</v>
      </c>
      <c r="G35" s="121">
        <v>0</v>
      </c>
      <c r="K35" s="122">
        <v>10</v>
      </c>
      <c r="L35">
        <v>90</v>
      </c>
      <c r="M35">
        <v>6</v>
      </c>
      <c r="N35">
        <v>0.01</v>
      </c>
      <c r="O35">
        <v>0.09</v>
      </c>
      <c r="P35">
        <v>6.0000000000000001E-3</v>
      </c>
      <c r="Q35">
        <v>9.9999999999999992E-2</v>
      </c>
      <c r="R35">
        <v>0.19999999999999998</v>
      </c>
      <c r="S35">
        <v>1.1999999999999999E-3</v>
      </c>
      <c r="T35">
        <v>9.42</v>
      </c>
      <c r="U35">
        <v>7850</v>
      </c>
      <c r="V35">
        <v>1.24</v>
      </c>
      <c r="X35">
        <v>11.6808</v>
      </c>
      <c r="Y35">
        <v>0.28399999999999997</v>
      </c>
      <c r="Z35">
        <v>11.9648</v>
      </c>
      <c r="AA35">
        <v>2.373629312650441E-2</v>
      </c>
      <c r="AC35" s="124" t="s">
        <v>3097</v>
      </c>
    </row>
    <row r="36" spans="2:29" x14ac:dyDescent="0.25">
      <c r="B36" s="122" t="str">
        <v>Steel, Structural sections (hot - rolled), Steel, universal beam (UB),  structural section, unpainted, 150 x 75 mm to 612 x 229 mm,  (Liberty Primary Steel, Australia), Australia</v>
      </c>
      <c r="C36" t="str">
        <v>tonne</v>
      </c>
      <c r="D36" s="96">
        <v>3320</v>
      </c>
      <c r="E36" s="96">
        <v>3.32</v>
      </c>
      <c r="F36" s="96">
        <v>0</v>
      </c>
      <c r="G36" s="121">
        <v>0</v>
      </c>
      <c r="K36" s="122">
        <v>200</v>
      </c>
      <c r="L36">
        <v>200</v>
      </c>
      <c r="M36">
        <v>25</v>
      </c>
      <c r="N36">
        <v>0.2</v>
      </c>
      <c r="O36">
        <v>0.2</v>
      </c>
      <c r="P36">
        <v>2.5000000000000001E-2</v>
      </c>
      <c r="Q36">
        <v>0.4</v>
      </c>
      <c r="R36">
        <v>0.8</v>
      </c>
      <c r="S36">
        <v>2.0000000000000004E-2</v>
      </c>
      <c r="T36">
        <v>157.00000000000003</v>
      </c>
      <c r="U36">
        <v>7850</v>
      </c>
      <c r="V36">
        <v>3.32</v>
      </c>
      <c r="X36">
        <v>521.24000000000012</v>
      </c>
      <c r="Y36">
        <v>1.1359999999999999</v>
      </c>
      <c r="Z36">
        <v>522.37600000000009</v>
      </c>
      <c r="AA36">
        <v>2.1746787754414439E-3</v>
      </c>
      <c r="AC36" s="124" t="s">
        <v>3104</v>
      </c>
    </row>
    <row r="37" spans="2:29" x14ac:dyDescent="0.25">
      <c r="B37" s="122" t="str">
        <v>Steel, Structural sections (hot - rolled), Steel, universal columns (UC),  structural section, unpainted, 97 x 99 mm to 327 x 311 mm,  (Liberty Primary Steel, Australia), Australia</v>
      </c>
      <c r="C37" t="str">
        <v>tonne</v>
      </c>
      <c r="D37" s="96">
        <v>3320</v>
      </c>
      <c r="E37" s="96">
        <v>3.32</v>
      </c>
      <c r="F37" s="96">
        <v>0</v>
      </c>
      <c r="G37" s="121">
        <v>0</v>
      </c>
      <c r="K37" s="122">
        <v>380</v>
      </c>
      <c r="L37">
        <v>100</v>
      </c>
      <c r="M37">
        <v>25</v>
      </c>
      <c r="N37">
        <v>0.38</v>
      </c>
      <c r="O37">
        <v>0.1</v>
      </c>
      <c r="P37">
        <v>2.5000000000000001E-2</v>
      </c>
      <c r="Q37">
        <v>0.57999999999999996</v>
      </c>
      <c r="R37">
        <v>1.1599999999999999</v>
      </c>
      <c r="S37">
        <v>2.8999999999999998E-2</v>
      </c>
      <c r="T37">
        <v>227.64999999999998</v>
      </c>
      <c r="U37">
        <v>7850</v>
      </c>
      <c r="V37">
        <v>3.32</v>
      </c>
      <c r="X37">
        <v>755.79799999999989</v>
      </c>
      <c r="Y37">
        <v>1.6471999999999998</v>
      </c>
      <c r="Z37">
        <v>757.44519999999989</v>
      </c>
      <c r="AA37">
        <v>2.1746787754414443E-3</v>
      </c>
      <c r="AC37" s="124" t="s">
        <v>3107</v>
      </c>
    </row>
    <row r="38" spans="2:29" x14ac:dyDescent="0.25">
      <c r="B38" s="122" t="str">
        <v>Steel, Structural steel (hot - rolled), Steel structural hollow sections (Tata) (India, Global)</v>
      </c>
      <c r="C38" t="str">
        <v>tonne</v>
      </c>
      <c r="D38" s="96">
        <v>3000.5520000000001</v>
      </c>
      <c r="E38" s="96">
        <v>3.0005519999999999</v>
      </c>
      <c r="F38" s="96">
        <v>0</v>
      </c>
      <c r="G38" s="121">
        <v>0</v>
      </c>
      <c r="K38" s="122">
        <v>612</v>
      </c>
      <c r="L38">
        <v>229</v>
      </c>
      <c r="M38">
        <v>25</v>
      </c>
      <c r="N38">
        <v>0.61199999999999999</v>
      </c>
      <c r="O38">
        <v>0.22900000000000001</v>
      </c>
      <c r="P38">
        <v>2.5000000000000001E-2</v>
      </c>
      <c r="Q38">
        <v>1.07</v>
      </c>
      <c r="R38">
        <v>2.14</v>
      </c>
      <c r="S38">
        <v>5.3500000000000006E-2</v>
      </c>
      <c r="T38">
        <v>419.97500000000002</v>
      </c>
      <c r="U38">
        <v>7850</v>
      </c>
      <c r="V38">
        <v>3.32</v>
      </c>
      <c r="X38">
        <v>1394.317</v>
      </c>
      <c r="Y38">
        <v>3.0388000000000002</v>
      </c>
      <c r="Z38">
        <v>1397.3558</v>
      </c>
      <c r="AA38">
        <v>2.1746787754414443E-3</v>
      </c>
      <c r="AC38" s="124" t="s">
        <v>3108</v>
      </c>
    </row>
    <row r="39" spans="2:29" x14ac:dyDescent="0.25">
      <c r="B39" s="122" t="str">
        <v>Steel, Structural steel (hot - rolled), Average structural steel product (Jindal) (India, Global)</v>
      </c>
      <c r="C39" t="str">
        <v>tonne</v>
      </c>
      <c r="D39" s="96">
        <v>3670.5079999999998</v>
      </c>
      <c r="E39" s="96">
        <v>3.6705079999999999</v>
      </c>
      <c r="F39" s="96">
        <v>0</v>
      </c>
      <c r="G39" s="121">
        <v>0</v>
      </c>
      <c r="K39" s="125">
        <v>327</v>
      </c>
      <c r="L39" s="126">
        <v>311</v>
      </c>
      <c r="M39" s="126">
        <v>25</v>
      </c>
      <c r="N39" s="126">
        <v>0.32700000000000001</v>
      </c>
      <c r="O39" s="126">
        <v>0.311</v>
      </c>
      <c r="P39" s="126">
        <v>2.5000000000000001E-2</v>
      </c>
      <c r="Q39" s="126">
        <v>0.94900000000000007</v>
      </c>
      <c r="R39" s="126">
        <v>1.8980000000000001</v>
      </c>
      <c r="S39" s="126">
        <v>4.7450000000000006E-2</v>
      </c>
      <c r="T39" s="126">
        <v>372.48250000000007</v>
      </c>
      <c r="U39" s="126">
        <v>7850</v>
      </c>
      <c r="V39" s="126">
        <v>3.32</v>
      </c>
      <c r="W39" s="126"/>
      <c r="X39" s="126">
        <v>1236.6419000000001</v>
      </c>
      <c r="Y39" s="126">
        <v>2.69516</v>
      </c>
      <c r="Z39" s="126">
        <v>1239.3370600000001</v>
      </c>
      <c r="AA39" s="126">
        <v>2.1746787754414443E-3</v>
      </c>
      <c r="AB39" s="126"/>
      <c r="AC39" s="142" t="s">
        <v>3109</v>
      </c>
    </row>
    <row r="40" spans="2:29" x14ac:dyDescent="0.25">
      <c r="B40" s="122"/>
      <c r="G40" s="121"/>
    </row>
    <row r="41" spans="2:29" x14ac:dyDescent="0.25">
      <c r="B41" s="122"/>
      <c r="G41" s="121"/>
    </row>
    <row r="42" spans="2:29" x14ac:dyDescent="0.25">
      <c r="B42" s="122"/>
      <c r="G42" s="121"/>
    </row>
    <row r="43" spans="2:29" x14ac:dyDescent="0.25">
      <c r="B43" s="122"/>
      <c r="G43" s="121"/>
    </row>
    <row r="44" spans="2:29" x14ac:dyDescent="0.25">
      <c r="B44" s="122"/>
      <c r="G44" s="121"/>
    </row>
    <row r="45" spans="2:29" x14ac:dyDescent="0.25">
      <c r="B45" s="122"/>
      <c r="G45" s="121"/>
    </row>
    <row r="46" spans="2:29" x14ac:dyDescent="0.25">
      <c r="B46" s="122"/>
      <c r="G46" s="121"/>
    </row>
    <row r="47" spans="2:29" x14ac:dyDescent="0.25">
      <c r="B47" s="122"/>
      <c r="G47" s="121"/>
    </row>
    <row r="48" spans="2:29" x14ac:dyDescent="0.25">
      <c r="B48" s="122"/>
      <c r="G48" s="121"/>
    </row>
    <row r="49" spans="2:7" x14ac:dyDescent="0.25">
      <c r="B49" s="122"/>
      <c r="G49" s="121"/>
    </row>
    <row r="50" spans="2:7" x14ac:dyDescent="0.25">
      <c r="B50" s="122"/>
      <c r="G50" s="121"/>
    </row>
    <row r="51" spans="2:7" x14ac:dyDescent="0.25">
      <c r="B51" s="122"/>
      <c r="G51" s="121"/>
    </row>
    <row r="52" spans="2:7" x14ac:dyDescent="0.25">
      <c r="B52" s="122"/>
      <c r="G52" s="121"/>
    </row>
    <row r="53" spans="2:7" x14ac:dyDescent="0.25">
      <c r="B53" s="122"/>
      <c r="G53" s="121"/>
    </row>
    <row r="54" spans="2:7" x14ac:dyDescent="0.25">
      <c r="B54" s="122"/>
      <c r="G54" s="121"/>
    </row>
    <row r="55" spans="2:7" x14ac:dyDescent="0.25">
      <c r="B55" s="122"/>
      <c r="G55" s="121"/>
    </row>
    <row r="56" spans="2:7" x14ac:dyDescent="0.25">
      <c r="B56" s="122"/>
      <c r="G56" s="121"/>
    </row>
    <row r="57" spans="2:7" x14ac:dyDescent="0.25">
      <c r="B57" s="122"/>
      <c r="G57" s="121"/>
    </row>
    <row r="58" spans="2:7" x14ac:dyDescent="0.25">
      <c r="B58" s="122"/>
      <c r="G58" s="121"/>
    </row>
    <row r="59" spans="2:7" x14ac:dyDescent="0.25">
      <c r="B59" s="122"/>
      <c r="G59" s="121"/>
    </row>
    <row r="60" spans="2:7" x14ac:dyDescent="0.25">
      <c r="B60" s="122"/>
      <c r="G60" s="121"/>
    </row>
    <row r="61" spans="2:7" x14ac:dyDescent="0.25">
      <c r="B61" s="122"/>
      <c r="G61" s="121"/>
    </row>
    <row r="62" spans="2:7" x14ac:dyDescent="0.25">
      <c r="B62" s="122"/>
      <c r="G62" s="121"/>
    </row>
    <row r="63" spans="2:7" x14ac:dyDescent="0.25">
      <c r="B63" s="122"/>
      <c r="G63" s="121"/>
    </row>
    <row r="64" spans="2:7" x14ac:dyDescent="0.25">
      <c r="B64" s="122"/>
      <c r="G64" s="121"/>
    </row>
    <row r="65" spans="2:7" x14ac:dyDescent="0.25">
      <c r="B65" s="122"/>
      <c r="G65" s="121"/>
    </row>
    <row r="66" spans="2:7" x14ac:dyDescent="0.25">
      <c r="B66" s="122"/>
      <c r="G66" s="121"/>
    </row>
    <row r="67" spans="2:7" x14ac:dyDescent="0.25">
      <c r="B67" s="122"/>
      <c r="G67" s="121"/>
    </row>
    <row r="68" spans="2:7" x14ac:dyDescent="0.25">
      <c r="B68" s="122"/>
      <c r="G68" s="121"/>
    </row>
    <row r="69" spans="2:7" x14ac:dyDescent="0.25">
      <c r="B69" s="122"/>
      <c r="G69" s="121"/>
    </row>
    <row r="70" spans="2:7" x14ac:dyDescent="0.25">
      <c r="B70" s="122"/>
      <c r="G70" s="121"/>
    </row>
    <row r="71" spans="2:7" x14ac:dyDescent="0.25">
      <c r="B71" s="122"/>
      <c r="G71" s="121"/>
    </row>
    <row r="72" spans="2:7" x14ac:dyDescent="0.25">
      <c r="B72" s="122"/>
      <c r="G72" s="121"/>
    </row>
    <row r="73" spans="2:7" x14ac:dyDescent="0.25">
      <c r="B73" s="122"/>
      <c r="G73" s="121"/>
    </row>
    <row r="74" spans="2:7" x14ac:dyDescent="0.25">
      <c r="B74" s="122"/>
      <c r="G74" s="121"/>
    </row>
    <row r="75" spans="2:7" x14ac:dyDescent="0.25">
      <c r="B75" s="122"/>
      <c r="G75" s="121"/>
    </row>
    <row r="76" spans="2:7" x14ac:dyDescent="0.25">
      <c r="B76" s="122"/>
      <c r="G76" s="121"/>
    </row>
    <row r="77" spans="2:7" x14ac:dyDescent="0.25">
      <c r="B77" s="122"/>
      <c r="G77" s="121"/>
    </row>
    <row r="78" spans="2:7" x14ac:dyDescent="0.25">
      <c r="B78" s="122"/>
      <c r="G78" s="121"/>
    </row>
    <row r="79" spans="2:7" x14ac:dyDescent="0.25">
      <c r="B79" s="122"/>
      <c r="G79" s="121"/>
    </row>
    <row r="80" spans="2:7" x14ac:dyDescent="0.25">
      <c r="B80" s="122"/>
      <c r="G80" s="121"/>
    </row>
    <row r="81" spans="2:7" x14ac:dyDescent="0.25">
      <c r="B81" s="122"/>
      <c r="G81" s="121"/>
    </row>
    <row r="82" spans="2:7" x14ac:dyDescent="0.25">
      <c r="B82" s="122"/>
      <c r="G82" s="121"/>
    </row>
    <row r="83" spans="2:7" x14ac:dyDescent="0.25">
      <c r="B83" s="122"/>
      <c r="G83" s="121"/>
    </row>
    <row r="84" spans="2:7" x14ac:dyDescent="0.25">
      <c r="B84" s="122"/>
      <c r="G84" s="121"/>
    </row>
    <row r="85" spans="2:7" x14ac:dyDescent="0.25">
      <c r="B85" s="122"/>
      <c r="G85" s="121"/>
    </row>
    <row r="86" spans="2:7" x14ac:dyDescent="0.25">
      <c r="B86" s="122"/>
      <c r="G86" s="121"/>
    </row>
    <row r="87" spans="2:7" x14ac:dyDescent="0.25">
      <c r="B87" s="122"/>
      <c r="G87" s="121"/>
    </row>
    <row r="88" spans="2:7" x14ac:dyDescent="0.25">
      <c r="B88" s="122"/>
      <c r="G88" s="121"/>
    </row>
    <row r="89" spans="2:7" x14ac:dyDescent="0.25">
      <c r="B89" s="122"/>
      <c r="G89" s="121"/>
    </row>
    <row r="90" spans="2:7" x14ac:dyDescent="0.25">
      <c r="B90" s="122"/>
      <c r="G90" s="121"/>
    </row>
    <row r="91" spans="2:7" x14ac:dyDescent="0.25">
      <c r="B91" s="122"/>
      <c r="G91" s="121"/>
    </row>
    <row r="92" spans="2:7" x14ac:dyDescent="0.25">
      <c r="B92" s="122"/>
      <c r="G92" s="121"/>
    </row>
    <row r="93" spans="2:7" x14ac:dyDescent="0.25">
      <c r="B93" s="122"/>
      <c r="G93" s="121"/>
    </row>
    <row r="94" spans="2:7" x14ac:dyDescent="0.25">
      <c r="B94" s="122"/>
      <c r="G94" s="121"/>
    </row>
    <row r="95" spans="2:7" x14ac:dyDescent="0.25">
      <c r="B95" s="122"/>
      <c r="G95" s="121"/>
    </row>
    <row r="96" spans="2:7" x14ac:dyDescent="0.25">
      <c r="B96" s="122"/>
      <c r="G96" s="121"/>
    </row>
    <row r="97" spans="2:7" x14ac:dyDescent="0.25">
      <c r="B97" s="122"/>
      <c r="G97" s="121"/>
    </row>
    <row r="98" spans="2:7" x14ac:dyDescent="0.25">
      <c r="B98" s="122"/>
      <c r="G98" s="121"/>
    </row>
    <row r="99" spans="2:7" x14ac:dyDescent="0.25">
      <c r="B99" s="122"/>
      <c r="G99" s="121"/>
    </row>
    <row r="100" spans="2:7" x14ac:dyDescent="0.25">
      <c r="B100" s="122"/>
      <c r="G100" s="121"/>
    </row>
    <row r="101" spans="2:7" x14ac:dyDescent="0.25">
      <c r="B101" s="122"/>
      <c r="G101" s="121"/>
    </row>
    <row r="102" spans="2:7" x14ac:dyDescent="0.25">
      <c r="B102" s="122"/>
      <c r="G102" s="121"/>
    </row>
    <row r="103" spans="2:7" x14ac:dyDescent="0.25">
      <c r="B103" s="122"/>
      <c r="G103" s="121"/>
    </row>
    <row r="104" spans="2:7" x14ac:dyDescent="0.25">
      <c r="B104" s="122"/>
      <c r="G104" s="121"/>
    </row>
    <row r="105" spans="2:7" x14ac:dyDescent="0.25">
      <c r="B105" s="122"/>
      <c r="G105" s="121"/>
    </row>
    <row r="106" spans="2:7" x14ac:dyDescent="0.25">
      <c r="B106" s="122"/>
      <c r="G106" s="121"/>
    </row>
    <row r="107" spans="2:7" x14ac:dyDescent="0.25">
      <c r="B107" s="122"/>
      <c r="G107" s="121"/>
    </row>
    <row r="108" spans="2:7" x14ac:dyDescent="0.25">
      <c r="B108" s="122"/>
      <c r="G108" s="121"/>
    </row>
    <row r="109" spans="2:7" x14ac:dyDescent="0.25">
      <c r="B109" s="122"/>
      <c r="G109" s="121"/>
    </row>
    <row r="110" spans="2:7" x14ac:dyDescent="0.25">
      <c r="B110" s="122"/>
      <c r="G110" s="121"/>
    </row>
    <row r="111" spans="2:7" x14ac:dyDescent="0.25">
      <c r="B111" s="122"/>
      <c r="G111" s="121"/>
    </row>
    <row r="112" spans="2:7" x14ac:dyDescent="0.25">
      <c r="B112" s="122"/>
      <c r="G112" s="121"/>
    </row>
    <row r="113" spans="2:7" x14ac:dyDescent="0.25">
      <c r="B113" s="122"/>
      <c r="G113" s="121"/>
    </row>
    <row r="114" spans="2:7" x14ac:dyDescent="0.25">
      <c r="B114" s="122"/>
      <c r="G114" s="121"/>
    </row>
    <row r="115" spans="2:7" x14ac:dyDescent="0.25">
      <c r="B115" s="122"/>
      <c r="G115" s="121"/>
    </row>
    <row r="116" spans="2:7" x14ac:dyDescent="0.25">
      <c r="B116" s="122"/>
      <c r="G116" s="121"/>
    </row>
    <row r="117" spans="2:7" x14ac:dyDescent="0.25">
      <c r="B117" s="122"/>
      <c r="G117" s="121"/>
    </row>
    <row r="118" spans="2:7" x14ac:dyDescent="0.25">
      <c r="B118" s="122"/>
      <c r="G118" s="121"/>
    </row>
    <row r="119" spans="2:7" x14ac:dyDescent="0.25">
      <c r="B119" s="122"/>
      <c r="G119" s="121"/>
    </row>
    <row r="120" spans="2:7" x14ac:dyDescent="0.25">
      <c r="B120" s="122"/>
      <c r="G120" s="121"/>
    </row>
    <row r="121" spans="2:7" x14ac:dyDescent="0.25">
      <c r="B121" s="122"/>
      <c r="G121" s="121"/>
    </row>
    <row r="122" spans="2:7" x14ac:dyDescent="0.25">
      <c r="B122" s="122"/>
      <c r="G122" s="121"/>
    </row>
    <row r="123" spans="2:7" x14ac:dyDescent="0.25">
      <c r="B123" s="122"/>
      <c r="G123" s="121"/>
    </row>
    <row r="124" spans="2:7" x14ac:dyDescent="0.25">
      <c r="B124" s="122"/>
      <c r="G124" s="121"/>
    </row>
    <row r="125" spans="2:7" x14ac:dyDescent="0.25">
      <c r="B125" s="122"/>
      <c r="G125" s="121"/>
    </row>
    <row r="126" spans="2:7" x14ac:dyDescent="0.25">
      <c r="B126" s="122"/>
      <c r="G126" s="121"/>
    </row>
    <row r="127" spans="2:7" x14ac:dyDescent="0.25">
      <c r="B127" s="122"/>
      <c r="G127" s="121"/>
    </row>
    <row r="128" spans="2:7" x14ac:dyDescent="0.25">
      <c r="B128" s="122"/>
      <c r="G128" s="121"/>
    </row>
    <row r="129" spans="2:7" x14ac:dyDescent="0.25">
      <c r="B129" s="122"/>
      <c r="G129" s="121"/>
    </row>
    <row r="130" spans="2:7" x14ac:dyDescent="0.25">
      <c r="B130" s="122"/>
      <c r="G130" s="121"/>
    </row>
    <row r="131" spans="2:7" x14ac:dyDescent="0.25">
      <c r="B131" s="122"/>
      <c r="G131" s="121"/>
    </row>
    <row r="132" spans="2:7" x14ac:dyDescent="0.25">
      <c r="B132" s="122"/>
      <c r="G132" s="121"/>
    </row>
    <row r="133" spans="2:7" x14ac:dyDescent="0.25">
      <c r="B133" s="122"/>
      <c r="G133" s="121"/>
    </row>
    <row r="134" spans="2:7" x14ac:dyDescent="0.25">
      <c r="B134" s="122"/>
      <c r="G134" s="121"/>
    </row>
    <row r="135" spans="2:7" x14ac:dyDescent="0.25">
      <c r="B135" s="122"/>
      <c r="G135" s="121"/>
    </row>
    <row r="136" spans="2:7" x14ac:dyDescent="0.25">
      <c r="B136" s="122"/>
      <c r="G136" s="121"/>
    </row>
    <row r="137" spans="2:7" x14ac:dyDescent="0.25">
      <c r="B137" s="122"/>
      <c r="G137" s="121"/>
    </row>
    <row r="138" spans="2:7" x14ac:dyDescent="0.25">
      <c r="B138" s="122"/>
      <c r="G138" s="121"/>
    </row>
    <row r="139" spans="2:7" x14ac:dyDescent="0.25">
      <c r="B139" s="122"/>
      <c r="G139" s="121"/>
    </row>
    <row r="140" spans="2:7" x14ac:dyDescent="0.25">
      <c r="B140" s="122"/>
      <c r="G140" s="121"/>
    </row>
    <row r="141" spans="2:7" x14ac:dyDescent="0.25">
      <c r="B141" s="122"/>
      <c r="G141" s="121"/>
    </row>
    <row r="142" spans="2:7" x14ac:dyDescent="0.25">
      <c r="B142" s="122"/>
      <c r="G142" s="121"/>
    </row>
    <row r="143" spans="2:7" x14ac:dyDescent="0.25">
      <c r="B143" s="122"/>
      <c r="G143" s="121"/>
    </row>
    <row r="144" spans="2:7" x14ac:dyDescent="0.25">
      <c r="B144" s="122"/>
      <c r="G144" s="121"/>
    </row>
    <row r="145" spans="2:7" x14ac:dyDescent="0.25">
      <c r="B145" s="122"/>
      <c r="G145" s="121"/>
    </row>
    <row r="146" spans="2:7" x14ac:dyDescent="0.25">
      <c r="B146" s="122"/>
      <c r="G146" s="121"/>
    </row>
    <row r="147" spans="2:7" x14ac:dyDescent="0.25">
      <c r="B147" s="122"/>
      <c r="G147" s="121"/>
    </row>
    <row r="148" spans="2:7" x14ac:dyDescent="0.25">
      <c r="B148" s="122"/>
      <c r="G148" s="121"/>
    </row>
    <row r="149" spans="2:7" x14ac:dyDescent="0.25">
      <c r="B149" s="122"/>
      <c r="G149" s="121"/>
    </row>
    <row r="150" spans="2:7" x14ac:dyDescent="0.25">
      <c r="B150" s="122"/>
      <c r="G150" s="121"/>
    </row>
    <row r="151" spans="2:7" x14ac:dyDescent="0.25">
      <c r="B151" s="122"/>
      <c r="G151" s="121"/>
    </row>
    <row r="152" spans="2:7" x14ac:dyDescent="0.25">
      <c r="B152" s="122"/>
      <c r="G152" s="121"/>
    </row>
    <row r="153" spans="2:7" x14ac:dyDescent="0.25">
      <c r="B153" s="122"/>
      <c r="G153" s="121"/>
    </row>
    <row r="154" spans="2:7" x14ac:dyDescent="0.25">
      <c r="B154" s="122"/>
      <c r="G154" s="121"/>
    </row>
    <row r="155" spans="2:7" x14ac:dyDescent="0.25">
      <c r="B155" s="122"/>
      <c r="G155" s="121"/>
    </row>
    <row r="156" spans="2:7" x14ac:dyDescent="0.25">
      <c r="B156" s="122"/>
      <c r="G156" s="121"/>
    </row>
    <row r="157" spans="2:7" x14ac:dyDescent="0.25">
      <c r="B157" s="122"/>
      <c r="G157" s="121"/>
    </row>
    <row r="158" spans="2:7" x14ac:dyDescent="0.25">
      <c r="B158" s="122"/>
      <c r="G158" s="121"/>
    </row>
    <row r="159" spans="2:7" x14ac:dyDescent="0.25">
      <c r="B159" s="122"/>
      <c r="G159" s="121"/>
    </row>
    <row r="160" spans="2:7" x14ac:dyDescent="0.25">
      <c r="B160" s="122"/>
      <c r="G160" s="121"/>
    </row>
    <row r="161" spans="2:7" x14ac:dyDescent="0.25">
      <c r="B161" s="122"/>
      <c r="G161" s="121"/>
    </row>
    <row r="162" spans="2:7" x14ac:dyDescent="0.25">
      <c r="B162" s="122"/>
      <c r="G162" s="121"/>
    </row>
    <row r="163" spans="2:7" x14ac:dyDescent="0.25">
      <c r="B163" s="122"/>
      <c r="G163" s="121"/>
    </row>
    <row r="164" spans="2:7" x14ac:dyDescent="0.25">
      <c r="B164" s="122"/>
      <c r="G164" s="121"/>
    </row>
    <row r="165" spans="2:7" x14ac:dyDescent="0.25">
      <c r="B165" s="122"/>
      <c r="G165" s="121"/>
    </row>
    <row r="166" spans="2:7" x14ac:dyDescent="0.25">
      <c r="B166" s="125"/>
      <c r="C166" s="126"/>
      <c r="D166" s="127"/>
      <c r="E166" s="127"/>
      <c r="F166" s="127"/>
      <c r="G166" s="128"/>
    </row>
  </sheetData>
  <dataValidations disablePrompts="1" count="1">
    <dataValidation type="list" allowBlank="1" showInputMessage="1" showErrorMessage="1" sqref="B6:B9" xr:uid="{9E49C601-1876-4EDF-B2B1-208CB54E32DB}">
      <formula1>"Tier 1,Tier 2,Tier 3,Tier 4"</formula1>
    </dataValidation>
  </dataValidations>
  <hyperlinks>
    <hyperlink ref="P4" r:id="rId1" xr:uid="{108CFF5E-C103-44B8-8632-145136F7B2DB}"/>
    <hyperlink ref="P3" r:id="rId2" display="https://www.gfgalliance.com/whyalla-transformation/about-the-steelworks/" xr:uid="{3A1E248B-0664-46A7-A767-ACE406C65827}"/>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8D8ED1-48D1-4198-89FA-869A319529B4}">
  <sheetPr codeName="Sheet23">
    <tabColor rgb="FF00CCFF"/>
  </sheetPr>
  <dimension ref="A1:T166"/>
  <sheetViews>
    <sheetView showGridLines="0" zoomScale="80" zoomScaleNormal="80" workbookViewId="0"/>
  </sheetViews>
  <sheetFormatPr defaultRowHeight="13.2" x14ac:dyDescent="0.25"/>
  <cols>
    <col min="1" max="1" width="26.109375" customWidth="1"/>
    <col min="2" max="2" width="128.88671875" style="122" customWidth="1"/>
    <col min="3" max="3" width="21" customWidth="1"/>
    <col min="4" max="6" width="19.88671875" style="96" customWidth="1"/>
    <col min="7" max="7" width="23.5546875" style="121" customWidth="1"/>
    <col min="8" max="8" width="14.44140625" customWidth="1"/>
    <col min="11" max="11" width="25.109375" customWidth="1"/>
    <col min="12" max="12" width="14.44140625" customWidth="1"/>
    <col min="13" max="13" width="8.88671875" customWidth="1"/>
    <col min="14" max="14" width="10.109375" customWidth="1"/>
    <col min="15" max="15" width="26.5546875" customWidth="1"/>
    <col min="16" max="16" width="109.44140625" customWidth="1"/>
  </cols>
  <sheetData>
    <row r="1" spans="1:16" x14ac:dyDescent="0.25">
      <c r="A1" s="4" t="str" cm="1">
        <f t="array" aca="1" ref="A1" ca="1">MID(CELL("filename",A1),FIND("]",CELL("filename",A1))+1,255)</f>
        <v>Structural_steel_hot_gal</v>
      </c>
      <c r="B1"/>
      <c r="G1" s="96"/>
      <c r="J1" s="4" t="s">
        <v>4101</v>
      </c>
    </row>
    <row r="2" spans="1:16" x14ac:dyDescent="0.25">
      <c r="A2" s="4"/>
      <c r="B2"/>
      <c r="G2" s="96"/>
      <c r="L2" t="s">
        <v>4103</v>
      </c>
      <c r="M2" t="s">
        <v>4104</v>
      </c>
      <c r="N2" t="s">
        <v>4105</v>
      </c>
      <c r="O2" t="s">
        <v>4118</v>
      </c>
      <c r="P2" t="s">
        <v>4107</v>
      </c>
    </row>
    <row r="3" spans="1:16" x14ac:dyDescent="0.25">
      <c r="A3" s="4" t="s">
        <v>4048</v>
      </c>
      <c r="B3" t="s">
        <v>4150</v>
      </c>
      <c r="G3" s="96"/>
      <c r="K3" t="s">
        <v>4120</v>
      </c>
      <c r="L3">
        <f>1.2+0.475</f>
        <v>1.6749999999999998</v>
      </c>
      <c r="M3" t="s">
        <v>4109</v>
      </c>
      <c r="N3" s="156">
        <f>L3/$L$6</f>
        <v>0.26942255106964774</v>
      </c>
      <c r="O3">
        <f>L3/(L3+L4)</f>
        <v>0.35828877005347592</v>
      </c>
      <c r="P3" s="36" t="s">
        <v>4121</v>
      </c>
    </row>
    <row r="4" spans="1:16" x14ac:dyDescent="0.25">
      <c r="A4" s="4"/>
      <c r="B4"/>
      <c r="G4" s="96"/>
      <c r="K4" t="s">
        <v>4122</v>
      </c>
      <c r="L4">
        <v>3</v>
      </c>
      <c r="M4" t="s">
        <v>4109</v>
      </c>
      <c r="N4" s="156">
        <f t="shared" ref="N4:N5" si="0">L4/$L$6</f>
        <v>0.48254785266205569</v>
      </c>
      <c r="O4">
        <f>L4/(L4+L5)</f>
        <v>0.66050198150594452</v>
      </c>
      <c r="P4" s="36" t="s">
        <v>4123</v>
      </c>
    </row>
    <row r="5" spans="1:16" ht="73.5" customHeight="1" x14ac:dyDescent="0.25">
      <c r="A5" s="26" t="s">
        <v>4050</v>
      </c>
      <c r="B5" s="14" t="s">
        <v>4151</v>
      </c>
      <c r="G5" s="96"/>
      <c r="K5" t="s">
        <v>4125</v>
      </c>
      <c r="L5">
        <v>1.542</v>
      </c>
      <c r="M5" t="s">
        <v>4109</v>
      </c>
      <c r="N5" s="156">
        <f t="shared" si="0"/>
        <v>0.24802959626829663</v>
      </c>
    </row>
    <row r="6" spans="1:16" x14ac:dyDescent="0.25">
      <c r="A6" s="26" t="s">
        <v>4052</v>
      </c>
      <c r="B6" s="27" t="s">
        <v>69</v>
      </c>
      <c r="G6" s="96"/>
      <c r="L6">
        <f>SUM(L3:L5)</f>
        <v>6.2169999999999996</v>
      </c>
      <c r="M6" t="s">
        <v>4109</v>
      </c>
      <c r="N6" s="37"/>
    </row>
    <row r="7" spans="1:16" x14ac:dyDescent="0.25">
      <c r="A7" s="26" t="s">
        <v>4053</v>
      </c>
      <c r="B7" s="27" t="s">
        <v>68</v>
      </c>
      <c r="G7" s="96"/>
    </row>
    <row r="8" spans="1:16" x14ac:dyDescent="0.25">
      <c r="A8" s="26" t="s">
        <v>4054</v>
      </c>
      <c r="B8" s="27" t="s">
        <v>69</v>
      </c>
      <c r="G8" s="96"/>
      <c r="K8" s="129" t="s">
        <v>4126</v>
      </c>
      <c r="L8" s="118">
        <f>SUMIF(_xlfn.ANCHORARRAY($B$23),"*"&amp;"Australia"&amp;"*",_xlfn.ANCHORARRAY(D23))/COUNTIF(_xlfn.ANCHORARRAY($B$23),"*"&amp;"Australia"&amp;"*")</f>
        <v>3520</v>
      </c>
      <c r="M8" s="118">
        <f t="shared" ref="M8:O8" si="1">SUMIF(_xlfn.ANCHORARRAY($B$23),"*"&amp;"Australia"&amp;"*",_xlfn.ANCHORARRAY(E23))/COUNTIF(_xlfn.ANCHORARRAY($B$23),"*"&amp;"Australia"&amp;"*")</f>
        <v>3.52</v>
      </c>
      <c r="N8" s="118">
        <f t="shared" si="1"/>
        <v>0</v>
      </c>
      <c r="O8" s="119">
        <f t="shared" si="1"/>
        <v>0</v>
      </c>
    </row>
    <row r="9" spans="1:16" x14ac:dyDescent="0.25">
      <c r="A9" s="26" t="s">
        <v>4055</v>
      </c>
      <c r="B9" s="4" t="s">
        <v>69</v>
      </c>
      <c r="G9" s="96"/>
      <c r="K9" s="122" t="s">
        <v>4127</v>
      </c>
      <c r="L9" s="96">
        <f>SUMIF(_xlfn.ANCHORARRAY($B$23),"*"&amp;"Bluescope"&amp;"*",_xlfn.ANCHORARRAY(D23))/COUNTIF(_xlfn.ANCHORARRAY($B$23),"*"&amp;"Bluescope"&amp;"*")</f>
        <v>2612.8571428571427</v>
      </c>
      <c r="M9" s="96">
        <f t="shared" ref="M9:O9" si="2">SUMIF(_xlfn.ANCHORARRAY($B$23),"*"&amp;"Bluescope"&amp;"*",_xlfn.ANCHORARRAY(E23))/COUNTIF(_xlfn.ANCHORARRAY($B$23),"*"&amp;"Bluescope"&amp;"*")</f>
        <v>2.6128571428571425</v>
      </c>
      <c r="N9" s="96">
        <f t="shared" si="2"/>
        <v>0</v>
      </c>
      <c r="O9" s="121">
        <f t="shared" si="2"/>
        <v>0</v>
      </c>
    </row>
    <row r="10" spans="1:16" x14ac:dyDescent="0.25">
      <c r="A10" s="26"/>
      <c r="B10" s="4"/>
      <c r="G10" s="96"/>
      <c r="K10" s="122" t="s">
        <v>4128</v>
      </c>
      <c r="L10" s="96">
        <f>SUMIF(_xlfn.ANCHORARRAY($B$23),"*"&amp;"Global"&amp;"*",_xlfn.ANCHORARRAY(D23))/COUNTIF(_xlfn.ANCHORARRAY($B$23),"*"&amp;"Global"&amp;"*")</f>
        <v>3335.5299999999997</v>
      </c>
      <c r="M10" s="96">
        <f t="shared" ref="M10:O10" si="3">SUMIF(_xlfn.ANCHORARRAY($B$23),"*"&amp;"Global"&amp;"*",_xlfn.ANCHORARRAY(E23))/COUNTIF(_xlfn.ANCHORARRAY($B$23),"*"&amp;"Global"&amp;"*")</f>
        <v>3.3355299999999999</v>
      </c>
      <c r="N10" s="96">
        <f t="shared" si="3"/>
        <v>0</v>
      </c>
      <c r="O10" s="121">
        <f t="shared" si="3"/>
        <v>0</v>
      </c>
    </row>
    <row r="11" spans="1:16" ht="26.4" x14ac:dyDescent="0.25">
      <c r="A11" s="26" t="s">
        <v>4056</v>
      </c>
      <c r="B11" s="314" t="s">
        <v>4152</v>
      </c>
      <c r="G11" s="96"/>
      <c r="K11" s="125" t="s">
        <v>4116</v>
      </c>
      <c r="L11" s="126">
        <f>SUMPRODUCT(L8:L10,$N$3:$N$5)</f>
        <v>3036.5061426043794</v>
      </c>
      <c r="M11" s="126">
        <f t="shared" ref="M11:O11" si="4">SUMPRODUCT(M8:M10,$N$3:$N$5)</f>
        <v>3.0365061426043796</v>
      </c>
      <c r="N11" s="126">
        <f t="shared" si="4"/>
        <v>0</v>
      </c>
      <c r="O11" s="142">
        <f t="shared" si="4"/>
        <v>0</v>
      </c>
    </row>
    <row r="12" spans="1:16" x14ac:dyDescent="0.25">
      <c r="A12" s="101"/>
      <c r="B12"/>
      <c r="G12" s="96"/>
    </row>
    <row r="13" spans="1:16" x14ac:dyDescent="0.25">
      <c r="A13" s="101"/>
      <c r="B13"/>
      <c r="G13" s="96"/>
    </row>
    <row r="14" spans="1:16" x14ac:dyDescent="0.25">
      <c r="A14" s="26" t="s">
        <v>4057</v>
      </c>
      <c r="B14"/>
      <c r="G14" s="96"/>
      <c r="N14" s="156"/>
      <c r="P14" s="36"/>
    </row>
    <row r="15" spans="1:16" x14ac:dyDescent="0.25">
      <c r="A15" s="26"/>
      <c r="B15"/>
      <c r="D15" s="112" t="s">
        <v>4058</v>
      </c>
      <c r="E15" s="113"/>
      <c r="F15" s="114" t="s">
        <v>4059</v>
      </c>
      <c r="G15" s="113"/>
      <c r="K15" t="s">
        <v>3164</v>
      </c>
      <c r="N15" s="156"/>
      <c r="P15" s="36"/>
    </row>
    <row r="16" spans="1:16" ht="39.6" x14ac:dyDescent="0.25">
      <c r="B16" s="28" t="s">
        <v>2998</v>
      </c>
      <c r="C16" s="23" t="s">
        <v>23</v>
      </c>
      <c r="D16" s="24" t="s">
        <v>141</v>
      </c>
      <c r="E16" s="25" t="s">
        <v>148</v>
      </c>
      <c r="F16" s="24" t="s">
        <v>142</v>
      </c>
      <c r="G16" s="24" t="s">
        <v>149</v>
      </c>
      <c r="K16" s="156">
        <v>4.629080118694362E-2</v>
      </c>
      <c r="L16" t="s">
        <v>4153</v>
      </c>
      <c r="N16" s="156"/>
      <c r="P16" s="36"/>
    </row>
    <row r="17" spans="2:20" x14ac:dyDescent="0.25">
      <c r="B17" s="29"/>
      <c r="C17" s="30" t="s">
        <v>4060</v>
      </c>
      <c r="D17" s="118" t="str" cm="1">
        <f t="array" ref="D17">IF(AND(_xlfn.ANCHORARRAY(C23)=C23),C23,"Mixed")</f>
        <v>tonne</v>
      </c>
      <c r="E17" s="118" t="s">
        <v>219</v>
      </c>
      <c r="F17" s="118" t="str" cm="1">
        <f t="array" ref="F17">IF(AND(_xlfn.ANCHORARRAY(C23)=C23),C23,"Mixed")</f>
        <v>tonne</v>
      </c>
      <c r="G17" s="119" t="s">
        <v>219</v>
      </c>
      <c r="K17">
        <v>0.156</v>
      </c>
      <c r="N17" s="156"/>
      <c r="P17" s="36"/>
    </row>
    <row r="18" spans="2:20" s="14" customFormat="1" x14ac:dyDescent="0.25">
      <c r="B18" s="31"/>
      <c r="C18" s="35" t="s">
        <v>4061</v>
      </c>
      <c r="D18" s="162">
        <f>MAX(_xlfn.ANCHORARRAY(D23))*(1+$K$16)</f>
        <v>3892.2017804154302</v>
      </c>
      <c r="E18" s="162">
        <f t="shared" ref="E18:G18" si="5">MAX(_xlfn.ANCHORARRAY(E23))*(1+$K$16)</f>
        <v>3.8922017804154305</v>
      </c>
      <c r="F18" s="162">
        <f t="shared" si="5"/>
        <v>0</v>
      </c>
      <c r="G18" s="168">
        <f t="shared" si="5"/>
        <v>0</v>
      </c>
      <c r="H18"/>
      <c r="K18"/>
      <c r="L18"/>
      <c r="M18"/>
      <c r="N18" s="156"/>
      <c r="O18"/>
      <c r="P18" s="36"/>
      <c r="Q18"/>
      <c r="R18"/>
      <c r="S18"/>
      <c r="T18"/>
    </row>
    <row r="19" spans="2:20" x14ac:dyDescent="0.25">
      <c r="C19" s="4" t="s">
        <v>4062</v>
      </c>
      <c r="D19" s="96">
        <f>MIN(_xlfn.ANCHORARRAY(D23))</f>
        <v>2410</v>
      </c>
      <c r="E19" s="96">
        <f t="shared" ref="E19:G19" si="6">MIN(_xlfn.ANCHORARRAY(E23))</f>
        <v>2.41</v>
      </c>
      <c r="F19" s="96">
        <f t="shared" si="6"/>
        <v>0</v>
      </c>
      <c r="G19" s="121">
        <f t="shared" si="6"/>
        <v>0</v>
      </c>
      <c r="N19" s="156"/>
      <c r="P19" s="36"/>
    </row>
    <row r="20" spans="2:20" x14ac:dyDescent="0.25">
      <c r="C20" s="35" t="s">
        <v>4117</v>
      </c>
      <c r="D20" s="162">
        <f>L11*(1+$K$16)</f>
        <v>3177.0684447546118</v>
      </c>
      <c r="E20" s="162">
        <f t="shared" ref="E20:G20" si="7">M11*(1+$K$16)</f>
        <v>3.177068444754612</v>
      </c>
      <c r="F20" s="162">
        <f t="shared" si="7"/>
        <v>0</v>
      </c>
      <c r="G20" s="168">
        <f t="shared" si="7"/>
        <v>0</v>
      </c>
      <c r="N20" s="156"/>
      <c r="P20" s="36"/>
    </row>
    <row r="21" spans="2:20" x14ac:dyDescent="0.25">
      <c r="C21" s="4" t="s">
        <v>4063</v>
      </c>
      <c r="D21" s="96">
        <f>AVERAGE(_xlfn.ANCHORARRAY(D23))</f>
        <v>3124.7682352941179</v>
      </c>
      <c r="E21" s="96">
        <f t="shared" ref="E21:G21" si="8">AVERAGE(_xlfn.ANCHORARRAY(E23))</f>
        <v>3.1247682352941171</v>
      </c>
      <c r="F21" s="96">
        <f t="shared" si="8"/>
        <v>0</v>
      </c>
      <c r="G21" s="121">
        <f t="shared" si="8"/>
        <v>0</v>
      </c>
      <c r="N21" s="156"/>
      <c r="P21" s="36"/>
    </row>
    <row r="22" spans="2:20" x14ac:dyDescent="0.25">
      <c r="B22" s="32" t="s">
        <v>4064</v>
      </c>
      <c r="D22"/>
      <c r="E22"/>
      <c r="F22"/>
      <c r="G22" s="124"/>
      <c r="N22" s="156"/>
      <c r="P22" s="36"/>
    </row>
    <row r="23" spans="2:20" x14ac:dyDescent="0.25">
      <c r="B23" s="122" t="str" cm="1">
        <f t="array" ref="B23:B39">_xlfn.UNIQUE(_xlfn._xlws.FILTER('EPD List'!D:D,ISNUMBER(SEARCH(B16,'EPD List'!C:C)),0))</f>
        <v>Steel, Structural sections (hot - rolled), XLERPLATE® steel – Low Carbon Steel (Bluescope)</v>
      </c>
      <c r="C23" t="str" cm="1">
        <f t="array" ref="C23:C39">_xlfn.IFNA(INDEX('EPD List'!$A:$AB,MATCH(_xlfn.ANCHORARRAY(B23),'EPD List'!$D:$D,0),MATCH(C$16,'EPD List'!$7:$7,0)),"")</f>
        <v>tonne</v>
      </c>
      <c r="D23" s="96" cm="1">
        <f t="array" ref="D23:D39">_xlfn.IFNA(VALUE((INDEX('EPD List'!$A:$AD,MATCH(_xlfn.ANCHORARRAY($B23),'EPD List'!$D:$D,0),MATCH(D$16,'EPD List'!$7:$7,0)))),"")</f>
        <v>2590</v>
      </c>
      <c r="E23" s="96" cm="1">
        <f t="array" ref="E23:E39">_xlfn.IFNA(VALUE((INDEX('EPD List'!$A:$AD,MATCH(_xlfn.ANCHORARRAY($B23),'EPD List'!$D:$D,0),MATCH(E$16,'EPD List'!$7:$7,0)))),"")</f>
        <v>2.59</v>
      </c>
      <c r="F23" s="96" cm="1">
        <f t="array" ref="F23:F39">_xlfn.IFNA(VALUE((INDEX('EPD List'!$A:$AD,MATCH(_xlfn.ANCHORARRAY($B23),'EPD List'!$D:$D,0),MATCH(F$16,'EPD List'!$7:$7,0)))),"")</f>
        <v>0</v>
      </c>
      <c r="G23" s="121" cm="1">
        <f t="array" ref="G23:G39">_xlfn.IFNA(VALUE((INDEX('EPD List'!$A:$AD,MATCH(_xlfn.ANCHORARRAY($B23),'EPD List'!$D:$D,0),MATCH(G$16,'EPD List'!$7:$7,0)))),"")</f>
        <v>0</v>
      </c>
      <c r="H23" t="s">
        <v>4154</v>
      </c>
      <c r="N23" s="156"/>
      <c r="P23" s="36"/>
    </row>
    <row r="24" spans="2:20" x14ac:dyDescent="0.25">
      <c r="B24" s="122" t="str">
        <v>Steel, Structural sections (hot - rolled), XLERPLATE® steel – Medium Carbon Steel (Bluescope)</v>
      </c>
      <c r="C24" t="str">
        <v>tonne</v>
      </c>
      <c r="D24" s="96">
        <v>2640</v>
      </c>
      <c r="E24" s="96">
        <v>2.64</v>
      </c>
      <c r="F24" s="96">
        <v>0</v>
      </c>
      <c r="G24" s="121">
        <v>0</v>
      </c>
      <c r="H24" t="s">
        <v>4154</v>
      </c>
      <c r="N24" s="156"/>
      <c r="P24" s="36"/>
    </row>
    <row r="25" spans="2:20" x14ac:dyDescent="0.25">
      <c r="B25" s="122" t="str">
        <v>Steel, Structural sections (hot - rolled), XLERPLATE® steel – Alloyed Steel (Bluescope)</v>
      </c>
      <c r="C25" t="str">
        <v>tonne</v>
      </c>
      <c r="D25" s="96">
        <v>2760</v>
      </c>
      <c r="E25" s="96">
        <v>2.76</v>
      </c>
      <c r="F25" s="96">
        <v>0</v>
      </c>
      <c r="G25" s="121">
        <v>0</v>
      </c>
      <c r="H25" t="s">
        <v>4154</v>
      </c>
      <c r="N25" s="156"/>
      <c r="P25" s="36"/>
    </row>
    <row r="26" spans="2:20" x14ac:dyDescent="0.25">
      <c r="B26" s="122" t="str">
        <v>Steel, Structural sections (hot - rolled), Steel – Welded Beams and Columns (Bluescope)</v>
      </c>
      <c r="C26" t="str">
        <v>tonne</v>
      </c>
      <c r="D26" s="96">
        <v>2860</v>
      </c>
      <c r="E26" s="96">
        <v>2.86</v>
      </c>
      <c r="F26" s="96">
        <v>0</v>
      </c>
      <c r="G26" s="121">
        <v>0</v>
      </c>
      <c r="H26" t="s">
        <v>4154</v>
      </c>
      <c r="N26" s="156"/>
      <c r="P26" s="36"/>
    </row>
    <row r="27" spans="2:20" x14ac:dyDescent="0.25">
      <c r="B27" s="122" t="str">
        <v>Steel, Structural sections (hot - rolled), Hot Rolled Coil – Low Carbon Steel (Bluescope)</v>
      </c>
      <c r="C27" t="str">
        <v>tonne</v>
      </c>
      <c r="D27" s="96">
        <v>2410</v>
      </c>
      <c r="E27" s="96">
        <v>2.41</v>
      </c>
      <c r="F27" s="96">
        <v>0</v>
      </c>
      <c r="G27" s="121">
        <v>0</v>
      </c>
      <c r="H27" t="s">
        <v>4155</v>
      </c>
      <c r="N27" s="156"/>
      <c r="P27" s="36"/>
    </row>
    <row r="28" spans="2:20" x14ac:dyDescent="0.25">
      <c r="B28" s="122" t="str">
        <v>Steel, Structural sections (hot - rolled), Hot Rolled Coil – Medium Carbon Steel (Bluescope)</v>
      </c>
      <c r="C28" t="str">
        <v>tonne</v>
      </c>
      <c r="D28" s="96">
        <v>2460</v>
      </c>
      <c r="E28" s="96">
        <v>2.46</v>
      </c>
      <c r="F28" s="96">
        <v>0</v>
      </c>
      <c r="G28" s="121">
        <v>0</v>
      </c>
      <c r="H28" t="s">
        <v>4155</v>
      </c>
      <c r="N28" s="156"/>
      <c r="P28" s="36"/>
    </row>
    <row r="29" spans="2:20" x14ac:dyDescent="0.25">
      <c r="B29" s="122" t="str">
        <v>Steel, Structural sections (hot - rolled), Hot Rolled Coil – Alloyed Steel (Bluescope)</v>
      </c>
      <c r="C29" t="str">
        <v>tonne</v>
      </c>
      <c r="D29" s="96">
        <v>2570</v>
      </c>
      <c r="E29" s="96">
        <v>2.57</v>
      </c>
      <c r="F29" s="96">
        <v>0</v>
      </c>
      <c r="G29" s="121">
        <v>0</v>
      </c>
      <c r="H29" t="s">
        <v>4155</v>
      </c>
      <c r="N29" s="156"/>
      <c r="P29" s="36"/>
    </row>
    <row r="30" spans="2:20" x14ac:dyDescent="0.25">
      <c r="B30" s="122" t="str">
        <v>Steel, Structural sections (hot - rolled), Steel, equal angle (EA), structural section, unpainted, 125 x 125 x 8 mm to 200 x 200 x 26 mm,  (InfraBuild via Distributor IBSC), Australia</v>
      </c>
      <c r="C30" t="str">
        <v>tonne</v>
      </c>
      <c r="D30" s="96">
        <v>3720</v>
      </c>
      <c r="E30" s="96">
        <v>3.72</v>
      </c>
      <c r="F30" s="96">
        <v>0</v>
      </c>
      <c r="G30" s="121">
        <v>0</v>
      </c>
      <c r="H30" t="s">
        <v>4155</v>
      </c>
      <c r="N30" s="156"/>
      <c r="P30" s="36"/>
    </row>
    <row r="31" spans="2:20" x14ac:dyDescent="0.25">
      <c r="B31" s="122" t="str">
        <v>Steel, Structural sections (hot - rolled), Steel, parallel flange channel (PFC), structural section, unpainted, 180 x 75 mm to 380 x 100 mm,  (InfraBuild via Distributor IBSC), Australia</v>
      </c>
      <c r="C31" t="str">
        <v>tonne</v>
      </c>
      <c r="D31" s="96">
        <v>3720</v>
      </c>
      <c r="E31" s="96">
        <v>3.72</v>
      </c>
      <c r="F31" s="96">
        <v>0</v>
      </c>
      <c r="G31" s="121">
        <v>0</v>
      </c>
      <c r="H31" t="s">
        <v>4155</v>
      </c>
      <c r="N31" s="156"/>
      <c r="P31" s="36"/>
    </row>
    <row r="32" spans="2:20" x14ac:dyDescent="0.25">
      <c r="B32" s="122" t="str">
        <v>Steel, Structural sections (hot - rolled), Steel, universal beam (UB),  structural section, unpainted, 150 x 75 mm to 612 x 229 mm,  (InfraBuild via Distributor IBSC), Australia</v>
      </c>
      <c r="C32" t="str">
        <v>tonne</v>
      </c>
      <c r="D32" s="96">
        <v>3720</v>
      </c>
      <c r="E32" s="96">
        <v>3.72</v>
      </c>
      <c r="F32" s="96">
        <v>0</v>
      </c>
      <c r="G32" s="121">
        <v>0</v>
      </c>
      <c r="H32" t="s">
        <v>4155</v>
      </c>
      <c r="N32" s="156"/>
      <c r="P32" s="36"/>
    </row>
    <row r="33" spans="2:16" x14ac:dyDescent="0.25">
      <c r="B33" s="122" t="str">
        <v>Steel, Structural sections (hot - rolled), Steel, universal column (UC), structural section, unpainted, 97 x 99 mm to 327 x 311 mm,  (InfraBuild via Distributor IBSC), Australia</v>
      </c>
      <c r="C33" t="str">
        <v>tonne</v>
      </c>
      <c r="D33" s="96">
        <v>3720</v>
      </c>
      <c r="E33" s="96">
        <v>3.72</v>
      </c>
      <c r="F33" s="96">
        <v>0</v>
      </c>
      <c r="G33" s="121">
        <v>0</v>
      </c>
      <c r="H33" t="s">
        <v>4155</v>
      </c>
      <c r="N33" s="156"/>
      <c r="P33" s="36"/>
    </row>
    <row r="34" spans="2:16" x14ac:dyDescent="0.25">
      <c r="B34" s="122" t="str">
        <v>Steel, Structural sections (hot - rolled), Steel, equal angle (EA), structural section, unpainted, 125 x 125 x 8 mm to 200 x 200 x 26 mm,  (Liberty Primary Steel, Australia), Australia</v>
      </c>
      <c r="C34" t="str">
        <v>tonne</v>
      </c>
      <c r="D34" s="96">
        <v>3320</v>
      </c>
      <c r="E34" s="96">
        <v>3.32</v>
      </c>
      <c r="F34" s="96">
        <v>0</v>
      </c>
      <c r="G34" s="121">
        <v>0</v>
      </c>
      <c r="H34" t="s">
        <v>4155</v>
      </c>
      <c r="N34" s="156"/>
      <c r="P34" s="36"/>
    </row>
    <row r="35" spans="2:16" x14ac:dyDescent="0.25">
      <c r="B35" s="122" t="str">
        <v>Steel, Structural sections (hot - rolled), Steel, parallel flange channel (PFC), structural section, unpainted, 180 x 75 mm to 380 x 100 mm,  (Liberty Primary Steel, Australia), Australia</v>
      </c>
      <c r="C35" t="str">
        <v>tonne</v>
      </c>
      <c r="D35" s="96">
        <v>3320</v>
      </c>
      <c r="E35" s="96">
        <v>3.32</v>
      </c>
      <c r="F35" s="96">
        <v>0</v>
      </c>
      <c r="G35" s="121">
        <v>0</v>
      </c>
      <c r="H35" t="s">
        <v>4155</v>
      </c>
      <c r="N35" s="156"/>
      <c r="P35" s="36"/>
    </row>
    <row r="36" spans="2:16" x14ac:dyDescent="0.25">
      <c r="B36" s="122" t="str">
        <v>Steel, Structural sections (hot - rolled), Steel, universal beam (UB),  structural section, unpainted, 150 x 75 mm to 612 x 229 mm,  (Liberty Primary Steel, Australia), Australia</v>
      </c>
      <c r="C36" t="str">
        <v>tonne</v>
      </c>
      <c r="D36" s="96">
        <v>3320</v>
      </c>
      <c r="E36" s="96">
        <v>3.32</v>
      </c>
      <c r="F36" s="96">
        <v>0</v>
      </c>
      <c r="G36" s="121">
        <v>0</v>
      </c>
      <c r="H36" t="s">
        <v>4155</v>
      </c>
      <c r="N36" s="156"/>
      <c r="P36" s="36"/>
    </row>
    <row r="37" spans="2:16" x14ac:dyDescent="0.25">
      <c r="B37" s="122" t="str">
        <v>Steel, Structural sections (hot - rolled), Steel, universal columns (UC),  structural section, unpainted, 97 x 99 mm to 327 x 311 mm,  (Liberty Primary Steel, Australia), Australia</v>
      </c>
      <c r="C37" t="str">
        <v>tonne</v>
      </c>
      <c r="D37" s="96">
        <v>3320</v>
      </c>
      <c r="E37" s="96">
        <v>3.32</v>
      </c>
      <c r="F37" s="96">
        <v>0</v>
      </c>
      <c r="G37" s="121">
        <v>0</v>
      </c>
      <c r="H37" t="s">
        <v>4155</v>
      </c>
      <c r="N37" s="156"/>
      <c r="P37" s="36"/>
    </row>
    <row r="38" spans="2:16" x14ac:dyDescent="0.25">
      <c r="B38" s="122" t="str">
        <v>Steel, Structural steel (hot - rolled), Steel structural hollow sections (Tata) (India, Global)</v>
      </c>
      <c r="C38" t="str">
        <v>tonne</v>
      </c>
      <c r="D38" s="96">
        <v>3000.5520000000001</v>
      </c>
      <c r="E38" s="96">
        <v>3.0005519999999999</v>
      </c>
      <c r="F38" s="96">
        <v>0</v>
      </c>
      <c r="G38" s="121">
        <v>0</v>
      </c>
      <c r="H38" t="s">
        <v>4155</v>
      </c>
      <c r="N38" s="156"/>
      <c r="P38" s="36"/>
    </row>
    <row r="39" spans="2:16" x14ac:dyDescent="0.25">
      <c r="B39" s="122" t="str">
        <v>Steel, Structural steel (hot - rolled), Average structural steel product (Jindal) (India, Global)</v>
      </c>
      <c r="C39" t="str">
        <v>tonne</v>
      </c>
      <c r="D39" s="96">
        <v>3670.5079999999998</v>
      </c>
      <c r="E39" s="96">
        <v>3.6705079999999999</v>
      </c>
      <c r="F39" s="96">
        <v>0</v>
      </c>
      <c r="G39" s="121">
        <v>0</v>
      </c>
      <c r="H39" t="s">
        <v>4155</v>
      </c>
      <c r="N39" s="156"/>
      <c r="P39" s="36"/>
    </row>
    <row r="40" spans="2:16" x14ac:dyDescent="0.25">
      <c r="N40" s="156"/>
      <c r="P40" s="36"/>
    </row>
    <row r="41" spans="2:16" x14ac:dyDescent="0.25">
      <c r="N41" s="156"/>
      <c r="P41" s="36"/>
    </row>
    <row r="42" spans="2:16" x14ac:dyDescent="0.25">
      <c r="N42" s="156"/>
      <c r="P42" s="36"/>
    </row>
    <row r="43" spans="2:16" x14ac:dyDescent="0.25">
      <c r="N43" s="156"/>
      <c r="P43" s="36"/>
    </row>
    <row r="44" spans="2:16" x14ac:dyDescent="0.25">
      <c r="N44" s="156"/>
      <c r="P44" s="36"/>
    </row>
    <row r="45" spans="2:16" x14ac:dyDescent="0.25">
      <c r="N45" s="156"/>
      <c r="P45" s="36"/>
    </row>
    <row r="46" spans="2:16" x14ac:dyDescent="0.25">
      <c r="N46" s="156"/>
      <c r="P46" s="36"/>
    </row>
    <row r="47" spans="2:16" x14ac:dyDescent="0.25">
      <c r="N47" s="156"/>
      <c r="P47" s="36"/>
    </row>
    <row r="48" spans="2:16" x14ac:dyDescent="0.25">
      <c r="N48" s="156"/>
      <c r="P48" s="36"/>
    </row>
    <row r="49" spans="14:16" x14ac:dyDescent="0.25">
      <c r="N49" s="156"/>
      <c r="P49" s="36"/>
    </row>
    <row r="50" spans="14:16" x14ac:dyDescent="0.25">
      <c r="N50" s="156"/>
      <c r="P50" s="36"/>
    </row>
    <row r="51" spans="14:16" x14ac:dyDescent="0.25">
      <c r="N51" s="156"/>
      <c r="P51" s="36"/>
    </row>
    <row r="52" spans="14:16" x14ac:dyDescent="0.25">
      <c r="N52" s="156"/>
      <c r="P52" s="36"/>
    </row>
    <row r="53" spans="14:16" x14ac:dyDescent="0.25">
      <c r="N53" s="156"/>
      <c r="P53" s="36"/>
    </row>
    <row r="54" spans="14:16" x14ac:dyDescent="0.25">
      <c r="N54" s="156"/>
      <c r="P54" s="36"/>
    </row>
    <row r="55" spans="14:16" x14ac:dyDescent="0.25">
      <c r="N55" s="156"/>
      <c r="P55" s="36"/>
    </row>
    <row r="56" spans="14:16" x14ac:dyDescent="0.25">
      <c r="N56" s="156"/>
      <c r="P56" s="36"/>
    </row>
    <row r="57" spans="14:16" x14ac:dyDescent="0.25">
      <c r="N57" s="156"/>
      <c r="P57" s="36"/>
    </row>
    <row r="58" spans="14:16" x14ac:dyDescent="0.25">
      <c r="N58" s="156"/>
      <c r="P58" s="36"/>
    </row>
    <row r="59" spans="14:16" x14ac:dyDescent="0.25">
      <c r="N59" s="156"/>
      <c r="P59" s="36"/>
    </row>
    <row r="60" spans="14:16" x14ac:dyDescent="0.25">
      <c r="N60" s="156"/>
      <c r="P60" s="36"/>
    </row>
    <row r="61" spans="14:16" x14ac:dyDescent="0.25">
      <c r="N61" s="156"/>
      <c r="P61" s="36"/>
    </row>
    <row r="62" spans="14:16" x14ac:dyDescent="0.25">
      <c r="N62" s="156"/>
      <c r="P62" s="36"/>
    </row>
    <row r="166" spans="2:7" x14ac:dyDescent="0.25">
      <c r="B166" s="125"/>
      <c r="C166" s="126"/>
      <c r="D166" s="127"/>
      <c r="E166" s="127"/>
      <c r="F166" s="127"/>
      <c r="G166" s="128"/>
    </row>
  </sheetData>
  <dataValidations count="1">
    <dataValidation type="list" allowBlank="1" showInputMessage="1" showErrorMessage="1" sqref="B6:B9" xr:uid="{F2DFA353-BB81-44D1-9AB3-00A10DB740FB}">
      <formula1>"Tier 1,Tier 2,Tier 3,Tier 4"</formula1>
    </dataValidation>
  </dataValidations>
  <hyperlinks>
    <hyperlink ref="P4" r:id="rId1" xr:uid="{7226C59A-2F8B-44F9-9D4B-E06AABFE1AC8}"/>
    <hyperlink ref="P3" r:id="rId2" display="https://www.gfgalliance.com/whyalla-transformation/about-the-steelworks/" xr:uid="{42B7FD5E-AC62-413E-B796-AC06D1AC6EB6}"/>
  </hyperlink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B45059-650B-40DC-B991-597B4B8AB0A0}">
  <sheetPr codeName="Sheet24">
    <tabColor rgb="FF00CCFF"/>
  </sheetPr>
  <dimension ref="A1:P166"/>
  <sheetViews>
    <sheetView showGridLines="0" zoomScale="80" zoomScaleNormal="80" workbookViewId="0"/>
  </sheetViews>
  <sheetFormatPr defaultRowHeight="13.2" x14ac:dyDescent="0.25"/>
  <cols>
    <col min="1" max="1" width="26.109375" customWidth="1"/>
    <col min="2" max="2" width="128.88671875" customWidth="1"/>
    <col min="3" max="3" width="21" customWidth="1"/>
    <col min="4" max="6" width="19.88671875" style="96" customWidth="1"/>
    <col min="7" max="7" width="23.5546875" style="96" customWidth="1"/>
    <col min="8" max="8" width="14.44140625" customWidth="1"/>
    <col min="11" max="11" width="25.109375" customWidth="1"/>
    <col min="12" max="12" width="14.44140625" customWidth="1"/>
    <col min="13" max="13" width="8.88671875" customWidth="1"/>
    <col min="14" max="14" width="10.109375" customWidth="1"/>
    <col min="15" max="15" width="26.5546875" customWidth="1"/>
    <col min="16" max="16" width="109.44140625" customWidth="1"/>
  </cols>
  <sheetData>
    <row r="1" spans="1:16" x14ac:dyDescent="0.25">
      <c r="A1" s="4" t="str" cm="1">
        <f t="array" aca="1" ref="A1" ca="1">MID(CELL("filename",A1),FIND("]",CELL("filename",A1))+1,255)</f>
        <v>Structural_steel_cold</v>
      </c>
      <c r="J1" s="4" t="s">
        <v>4101</v>
      </c>
    </row>
    <row r="2" spans="1:16" x14ac:dyDescent="0.25">
      <c r="A2" s="4"/>
      <c r="L2" t="s">
        <v>4103</v>
      </c>
      <c r="M2" t="s">
        <v>4104</v>
      </c>
      <c r="N2" t="s">
        <v>4105</v>
      </c>
      <c r="O2" t="s">
        <v>4118</v>
      </c>
      <c r="P2" t="s">
        <v>4107</v>
      </c>
    </row>
    <row r="3" spans="1:16" x14ac:dyDescent="0.25">
      <c r="A3" s="4" t="s">
        <v>4048</v>
      </c>
      <c r="B3" t="s">
        <v>4156</v>
      </c>
      <c r="K3" t="s">
        <v>4120</v>
      </c>
      <c r="L3">
        <f>1.2+0.475</f>
        <v>1.6749999999999998</v>
      </c>
      <c r="M3" t="s">
        <v>4109</v>
      </c>
      <c r="N3" s="156">
        <f>L3/$L$6</f>
        <v>0.26942255106964774</v>
      </c>
      <c r="O3">
        <f>L3/(L3+L4)</f>
        <v>0.35828877005347592</v>
      </c>
      <c r="P3" s="36" t="s">
        <v>4121</v>
      </c>
    </row>
    <row r="4" spans="1:16" x14ac:dyDescent="0.25">
      <c r="A4" s="4"/>
      <c r="K4" t="s">
        <v>4122</v>
      </c>
      <c r="L4">
        <v>3</v>
      </c>
      <c r="M4" t="s">
        <v>4109</v>
      </c>
      <c r="N4" s="156">
        <f t="shared" ref="N4:N5" si="0">L4/$L$6</f>
        <v>0.48254785266205569</v>
      </c>
      <c r="O4">
        <f>L4/(L4+L3)</f>
        <v>0.64171122994652408</v>
      </c>
      <c r="P4" s="36" t="s">
        <v>4123</v>
      </c>
    </row>
    <row r="5" spans="1:16" ht="73.5" customHeight="1" x14ac:dyDescent="0.25">
      <c r="A5" s="26" t="s">
        <v>4050</v>
      </c>
      <c r="B5" s="14" t="s">
        <v>4157</v>
      </c>
      <c r="K5" t="s">
        <v>4125</v>
      </c>
      <c r="L5">
        <v>1.542</v>
      </c>
      <c r="M5" t="s">
        <v>4109</v>
      </c>
      <c r="N5" s="156">
        <f t="shared" si="0"/>
        <v>0.24802959626829663</v>
      </c>
    </row>
    <row r="6" spans="1:16" x14ac:dyDescent="0.25">
      <c r="A6" s="26" t="s">
        <v>4052</v>
      </c>
      <c r="B6" s="27" t="s">
        <v>69</v>
      </c>
      <c r="L6">
        <f>SUM(L3:L5)</f>
        <v>6.2169999999999996</v>
      </c>
      <c r="M6" t="s">
        <v>4109</v>
      </c>
      <c r="N6" s="37"/>
    </row>
    <row r="7" spans="1:16" x14ac:dyDescent="0.25">
      <c r="A7" s="26" t="s">
        <v>4053</v>
      </c>
      <c r="B7" s="27" t="s">
        <v>68</v>
      </c>
    </row>
    <row r="8" spans="1:16" x14ac:dyDescent="0.25">
      <c r="A8" s="26" t="s">
        <v>4054</v>
      </c>
      <c r="B8" s="27" t="s">
        <v>69</v>
      </c>
      <c r="K8" s="129" t="s">
        <v>4126</v>
      </c>
      <c r="L8" s="118">
        <f>SUMIF(_xlfn.ANCHORARRAY($B$23),"*"&amp;"Infrabuild"&amp;"*",_xlfn.ANCHORARRAY(D23))/COUNTIF(_xlfn.ANCHORARRAY($B$23),"*"&amp;"Infrabuild"&amp;"*")</f>
        <v>1392.7272727272727</v>
      </c>
      <c r="M8" s="118">
        <f t="shared" ref="M8:O8" si="1">SUMIF(_xlfn.ANCHORARRAY($B$23),"*"&amp;"Infrabuild"&amp;"*",_xlfn.ANCHORARRAY(E23))/COUNTIF(_xlfn.ANCHORARRAY($B$23),"*"&amp;"Infrabuild"&amp;"*")</f>
        <v>1.3927272727272728</v>
      </c>
      <c r="N8" s="118">
        <f t="shared" si="1"/>
        <v>0</v>
      </c>
      <c r="O8" s="119">
        <f t="shared" si="1"/>
        <v>0</v>
      </c>
    </row>
    <row r="9" spans="1:16" x14ac:dyDescent="0.25">
      <c r="A9" s="26" t="s">
        <v>4055</v>
      </c>
      <c r="B9" s="4" t="s">
        <v>69</v>
      </c>
      <c r="K9" s="122" t="s">
        <v>4127</v>
      </c>
      <c r="L9" s="96">
        <f>(SUMIF(_xlfn.ANCHORARRAY($B$23),"*"&amp;"Bluescope"&amp;"*",_xlfn.ANCHORARRAY(D23))+SUMIF(_xlfn.ANCHORARRAY($B$23),"*"&amp;"Rondo"&amp;"*",_xlfn.ANCHORARRAY(D23)))/(COUNTIF(_xlfn.ANCHORARRAY($B$23),"*"&amp;"Bluescope"&amp;"*")+COUNTIF(_xlfn.ANCHORARRAY($B$23),"*"&amp;"Rondo"&amp;"*"))</f>
        <v>3012.9821218000197</v>
      </c>
      <c r="M9" s="96">
        <f t="shared" ref="M9:O9" si="2">(SUMIF(_xlfn.ANCHORARRAY($B$23),"*"&amp;"Bluescope"&amp;"*",_xlfn.ANCHORARRAY(E23))+SUMIF(_xlfn.ANCHORARRAY($B$23),"*"&amp;"Rondo"&amp;"*",_xlfn.ANCHORARRAY(E23)))/(COUNTIF(_xlfn.ANCHORARRAY($B$23),"*"&amp;"Bluescope"&amp;"*")+COUNTIF(_xlfn.ANCHORARRAY($B$23),"*"&amp;"Rondo"&amp;"*"))</f>
        <v>3.0129821218000203</v>
      </c>
      <c r="N9" s="96">
        <f t="shared" si="2"/>
        <v>0</v>
      </c>
      <c r="O9" s="121">
        <f t="shared" si="2"/>
        <v>0</v>
      </c>
    </row>
    <row r="10" spans="1:16" x14ac:dyDescent="0.25">
      <c r="A10" s="26"/>
      <c r="B10" s="4"/>
      <c r="K10" s="122"/>
      <c r="L10" s="96"/>
      <c r="M10" s="96"/>
      <c r="N10" s="96"/>
      <c r="O10" s="121"/>
    </row>
    <row r="11" spans="1:16" x14ac:dyDescent="0.25">
      <c r="A11" s="26" t="s">
        <v>4056</v>
      </c>
      <c r="B11" s="14"/>
      <c r="K11" s="125" t="s">
        <v>4116</v>
      </c>
      <c r="L11" s="126">
        <f>SUMPRODUCT(L8:L9,$O$3:$O$4)</f>
        <v>2432.4630047525652</v>
      </c>
      <c r="M11" s="126">
        <f t="shared" ref="M11:O11" si="3">SUMPRODUCT(M8:M9,$O$3:$O$4)</f>
        <v>2.4324630047525653</v>
      </c>
      <c r="N11" s="126">
        <f t="shared" si="3"/>
        <v>0</v>
      </c>
      <c r="O11" s="126">
        <f t="shared" si="3"/>
        <v>0</v>
      </c>
    </row>
    <row r="12" spans="1:16" x14ac:dyDescent="0.25">
      <c r="A12" s="101"/>
    </row>
    <row r="13" spans="1:16" x14ac:dyDescent="0.25">
      <c r="A13" s="101"/>
    </row>
    <row r="14" spans="1:16" x14ac:dyDescent="0.25">
      <c r="A14" s="26" t="s">
        <v>4057</v>
      </c>
      <c r="N14" s="156"/>
      <c r="P14" s="36"/>
    </row>
    <row r="15" spans="1:16" x14ac:dyDescent="0.25">
      <c r="A15" s="26"/>
      <c r="D15" s="112" t="s">
        <v>4058</v>
      </c>
      <c r="E15" s="113"/>
      <c r="F15" s="114" t="s">
        <v>4059</v>
      </c>
      <c r="G15" s="113"/>
      <c r="N15" s="156"/>
      <c r="P15" s="36"/>
    </row>
    <row r="16" spans="1:16" ht="39.6" x14ac:dyDescent="0.25">
      <c r="B16" s="28" t="s">
        <v>3014</v>
      </c>
      <c r="C16" s="23" t="s">
        <v>23</v>
      </c>
      <c r="D16" s="24" t="s">
        <v>141</v>
      </c>
      <c r="E16" s="25" t="s">
        <v>148</v>
      </c>
      <c r="F16" s="24" t="s">
        <v>142</v>
      </c>
      <c r="G16" s="24" t="s">
        <v>149</v>
      </c>
      <c r="N16" s="156"/>
    </row>
    <row r="17" spans="2:16" x14ac:dyDescent="0.25">
      <c r="B17" s="29"/>
      <c r="C17" s="30" t="s">
        <v>4060</v>
      </c>
      <c r="D17" s="118" t="str" cm="1">
        <f t="array" ref="D17">IF(AND(_xlfn.ANCHORARRAY(C23)=C23),C23,"Mixed")</f>
        <v>tonne</v>
      </c>
      <c r="E17" s="118" t="s">
        <v>219</v>
      </c>
      <c r="F17" s="118" t="str" cm="1">
        <f t="array" ref="F17">IF(AND(_xlfn.ANCHORARRAY(C23)=C23),C23,"Mixed")</f>
        <v>tonne</v>
      </c>
      <c r="G17" s="119" t="s">
        <v>219</v>
      </c>
      <c r="N17" s="37"/>
    </row>
    <row r="18" spans="2:16" s="14" customFormat="1" x14ac:dyDescent="0.25">
      <c r="B18" s="31"/>
      <c r="C18" s="4" t="s">
        <v>4061</v>
      </c>
      <c r="D18" s="96">
        <f t="shared" ref="D18:G18" si="4">MAX(_xlfn.ANCHORARRAY(D23))</f>
        <v>3860</v>
      </c>
      <c r="E18" s="96">
        <f t="shared" si="4"/>
        <v>3.86</v>
      </c>
      <c r="F18" s="96">
        <f t="shared" si="4"/>
        <v>0</v>
      </c>
      <c r="G18" s="121">
        <f t="shared" si="4"/>
        <v>0</v>
      </c>
      <c r="H18"/>
      <c r="K18"/>
      <c r="L18"/>
      <c r="M18"/>
      <c r="N18"/>
      <c r="O18"/>
      <c r="P18"/>
    </row>
    <row r="19" spans="2:16" x14ac:dyDescent="0.25">
      <c r="B19" s="122"/>
      <c r="C19" s="4" t="s">
        <v>4062</v>
      </c>
      <c r="D19" s="96">
        <f>MIN(_xlfn.ANCHORARRAY(D23))</f>
        <v>1240</v>
      </c>
      <c r="E19" s="96">
        <f t="shared" ref="E19:G19" si="5">MIN(_xlfn.ANCHORARRAY(E23))</f>
        <v>1.24</v>
      </c>
      <c r="F19" s="96">
        <f t="shared" si="5"/>
        <v>0</v>
      </c>
      <c r="G19" s="121">
        <f t="shared" si="5"/>
        <v>0</v>
      </c>
    </row>
    <row r="20" spans="2:16" x14ac:dyDescent="0.25">
      <c r="B20" s="122"/>
      <c r="C20" s="35" t="s">
        <v>4117</v>
      </c>
      <c r="D20" s="96">
        <f>L11</f>
        <v>2432.4630047525652</v>
      </c>
      <c r="E20" s="96">
        <f t="shared" ref="E20:G20" si="6">M11</f>
        <v>2.4324630047525653</v>
      </c>
      <c r="F20" s="96">
        <f t="shared" si="6"/>
        <v>0</v>
      </c>
      <c r="G20" s="121">
        <f t="shared" si="6"/>
        <v>0</v>
      </c>
    </row>
    <row r="21" spans="2:16" x14ac:dyDescent="0.25">
      <c r="B21" s="122"/>
      <c r="C21" s="4" t="s">
        <v>4063</v>
      </c>
      <c r="D21" s="96">
        <f>AVERAGE(_xlfn.ANCHORARRAY(D23))</f>
        <v>2715.9353994700164</v>
      </c>
      <c r="E21" s="96">
        <f t="shared" ref="E21:G21" si="7">AVERAGE(_xlfn.ANCHORARRAY(E23))</f>
        <v>2.7159353994700171</v>
      </c>
      <c r="F21" s="96">
        <f t="shared" si="7"/>
        <v>0</v>
      </c>
      <c r="G21" s="121">
        <f t="shared" si="7"/>
        <v>0</v>
      </c>
    </row>
    <row r="22" spans="2:16" x14ac:dyDescent="0.25">
      <c r="B22" s="32" t="s">
        <v>4064</v>
      </c>
      <c r="D22"/>
      <c r="E22"/>
      <c r="F22"/>
      <c r="G22" s="124"/>
    </row>
    <row r="23" spans="2:16" x14ac:dyDescent="0.25">
      <c r="B23" s="122" t="str" cm="1">
        <f t="array" ref="B23:B82">_xlfn.UNIQUE(_xlfn._xlws.FILTER('EPD List'!D:D,ISNUMBER(SEARCH(B16,'EPD List'!C:C)),0))</f>
        <v>Steel, Structural purlins and grits (cold - rolled), GALVASPAN® steel in 3.00mm base metal thickness (BMT), incl. rollforming (Bluescope)</v>
      </c>
      <c r="C23" t="str" cm="1">
        <f t="array" ref="C23:C82">_xlfn.IFNA(INDEX('EPD List'!$A:$AB,MATCH(_xlfn.ANCHORARRAY(B23),'EPD List'!$D:$D,0),MATCH(C$16,'EPD List'!$7:$7,0)),"")</f>
        <v>tonne</v>
      </c>
      <c r="D23" s="96" cm="1">
        <f t="array" ref="D23:D82">_xlfn.IFNA(VALUE((INDEX('EPD List'!$A:$AD,MATCH(_xlfn.ANCHORARRAY($B23),'EPD List'!$D:$D,0),MATCH(D$16,'EPD List'!$7:$7,0)))),"")</f>
        <v>2846.9899665551839</v>
      </c>
      <c r="E23" s="96" cm="1">
        <f t="array" ref="E23:E82">_xlfn.IFNA(VALUE((INDEX('EPD List'!$A:$AD,MATCH(_xlfn.ANCHORARRAY($B23),'EPD List'!$D:$D,0),MATCH(E$16,'EPD List'!$7:$7,0)))),"")</f>
        <v>2.8469899665551837</v>
      </c>
      <c r="F23" s="96" cm="1">
        <f t="array" ref="F23:F82">_xlfn.IFNA(VALUE((INDEX('EPD List'!$A:$AD,MATCH(_xlfn.ANCHORARRAY($B23),'EPD List'!$D:$D,0),MATCH(F$16,'EPD List'!$7:$7,0)))),"")</f>
        <v>0</v>
      </c>
      <c r="G23" s="121" cm="1">
        <f t="array" ref="G23:G82">_xlfn.IFNA(VALUE((INDEX('EPD List'!$A:$AD,MATCH(_xlfn.ANCHORARRAY($B23),'EPD List'!$D:$D,0),MATCH(G$16,'EPD List'!$7:$7,0)))),"")</f>
        <v>0</v>
      </c>
      <c r="H23" t="s">
        <v>4154</v>
      </c>
    </row>
    <row r="24" spans="2:16" x14ac:dyDescent="0.25">
      <c r="B24" s="122" t="str">
        <v>Steel, Structural purlins and grits (cold - rolled), GALVASPAN® steel in 2.40mm base metal thickness (BMT), incl. rollforming (Bluescope)</v>
      </c>
      <c r="C24" t="str">
        <v>tonne</v>
      </c>
      <c r="D24" s="96">
        <v>2873.5033836543471</v>
      </c>
      <c r="E24" s="96">
        <v>2.8735033836543469</v>
      </c>
      <c r="F24" s="96">
        <v>0</v>
      </c>
      <c r="G24" s="121">
        <v>0</v>
      </c>
      <c r="H24" t="s">
        <v>4154</v>
      </c>
    </row>
    <row r="25" spans="2:16" x14ac:dyDescent="0.25">
      <c r="B25" s="122" t="str">
        <v>Steel, Structural purlins and grits (cold - rolled), GALVASPAN® steel in 1.90mm base metal thickness (BMT), incl. rollforming (Bluescope)</v>
      </c>
      <c r="C25" t="str">
        <v>tonne</v>
      </c>
      <c r="D25" s="96">
        <v>2910.3989535644214</v>
      </c>
      <c r="E25" s="96">
        <v>2.9103989535644215</v>
      </c>
      <c r="F25" s="96">
        <v>0</v>
      </c>
      <c r="G25" s="121">
        <v>0</v>
      </c>
      <c r="H25" t="s">
        <v>4154</v>
      </c>
    </row>
    <row r="26" spans="2:16" x14ac:dyDescent="0.25">
      <c r="B26" s="122" t="str">
        <v>Steel, Structural framing (cold - rolled), TRUECORE® steel in 1.60mm base material thickness (BMT), incl. rollforming (Bluescope)</v>
      </c>
      <c r="C26" t="str">
        <v>tonne</v>
      </c>
      <c r="D26" s="96">
        <v>2908.8050314465404</v>
      </c>
      <c r="E26" s="96">
        <v>2.9088050314465406</v>
      </c>
      <c r="F26" s="96">
        <v>0</v>
      </c>
      <c r="G26" s="121">
        <v>0</v>
      </c>
      <c r="H26" t="s">
        <v>4154</v>
      </c>
    </row>
    <row r="27" spans="2:16" x14ac:dyDescent="0.25">
      <c r="B27" s="122" t="str">
        <v>Steel, Structural purlins and grits (cold - rolled), GALVASPAN® steel in 1.50mm base metal thickness (BMT), incl. rollforming (Bluescope)</v>
      </c>
      <c r="C27" t="str">
        <v>tonne</v>
      </c>
      <c r="D27" s="96">
        <v>2954.7325102880654</v>
      </c>
      <c r="E27" s="96">
        <v>2.9547325102880655</v>
      </c>
      <c r="F27" s="96">
        <v>0</v>
      </c>
      <c r="G27" s="121">
        <v>0</v>
      </c>
      <c r="H27" t="s">
        <v>4154</v>
      </c>
    </row>
    <row r="28" spans="2:16" x14ac:dyDescent="0.25">
      <c r="B28" s="122" t="str">
        <v>Steel, Structural framing (cold - rolled), TRUECORE® steel in 1.50mm base material thickness (BMT), incl. rollforming (Bluescope)</v>
      </c>
      <c r="C28" t="str">
        <v>tonne</v>
      </c>
      <c r="D28" s="96">
        <v>2917.0159262363786</v>
      </c>
      <c r="E28" s="96">
        <v>2.9170159262363784</v>
      </c>
      <c r="F28" s="96">
        <v>0</v>
      </c>
      <c r="G28" s="121">
        <v>0</v>
      </c>
      <c r="H28" t="s">
        <v>4154</v>
      </c>
    </row>
    <row r="29" spans="2:16" x14ac:dyDescent="0.25">
      <c r="B29" s="122" t="str">
        <v>Steel, Structural purlins and grits (cold - rolled), GALVASPAN® steel in 1.20mm base metal thickness (BMT), incl. rollforming (Bluescope)</v>
      </c>
      <c r="C29" t="str">
        <v>tonne</v>
      </c>
      <c r="D29" s="96">
        <v>3013.2788559754854</v>
      </c>
      <c r="E29" s="96">
        <v>3.0132788559754853</v>
      </c>
      <c r="F29" s="96">
        <v>0</v>
      </c>
      <c r="G29" s="121">
        <v>0</v>
      </c>
      <c r="H29" t="s">
        <v>4154</v>
      </c>
    </row>
    <row r="30" spans="2:16" x14ac:dyDescent="0.25">
      <c r="B30" s="122" t="str">
        <v>Steel, Structural framing (cold - rolled), TRUECORE® steel in 1.20mm base material thickness (BMT), incl. rollforming (Bluescope)</v>
      </c>
      <c r="C30" t="str">
        <v>tonne</v>
      </c>
      <c r="D30" s="96">
        <v>2964.509394572025</v>
      </c>
      <c r="E30" s="96">
        <v>2.9645093945720249</v>
      </c>
      <c r="F30" s="96">
        <v>0</v>
      </c>
      <c r="G30" s="121">
        <v>0</v>
      </c>
      <c r="H30" t="s">
        <v>4154</v>
      </c>
    </row>
    <row r="31" spans="2:16" x14ac:dyDescent="0.25">
      <c r="B31" s="122" t="str">
        <v>Steel, Structural framing (cold - rolled), TRUECORE® steel in 1.15mm base material thickness (BMT), incl. rollforming (Bluescope)</v>
      </c>
      <c r="C31" t="str">
        <v>tonne</v>
      </c>
      <c r="D31" s="96">
        <v>2973.8562091503268</v>
      </c>
      <c r="E31" s="96">
        <v>2.9738562091503269</v>
      </c>
      <c r="F31" s="96">
        <v>0</v>
      </c>
      <c r="G31" s="121">
        <v>0</v>
      </c>
      <c r="H31" t="s">
        <v>4154</v>
      </c>
    </row>
    <row r="32" spans="2:16" x14ac:dyDescent="0.25">
      <c r="B32" s="122" t="str">
        <v>Steel, Structural purlins and grits (cold - rolled), GALVASPAN® steel in 1.00mm base metal thickness (BMT), incl. rollforming (Bluescope)</v>
      </c>
      <c r="C32" t="str">
        <v>tonne</v>
      </c>
      <c r="D32" s="96">
        <v>3065.6934306569342</v>
      </c>
      <c r="E32" s="96">
        <v>3.0656934306569341</v>
      </c>
      <c r="F32" s="96">
        <v>0</v>
      </c>
      <c r="G32" s="121">
        <v>0</v>
      </c>
      <c r="H32" t="s">
        <v>4154</v>
      </c>
    </row>
    <row r="33" spans="2:8" x14ac:dyDescent="0.25">
      <c r="B33" s="122" t="str">
        <v>Steel, Structural framing (cold - rolled), TRUECORE® steel in 1.00mm base material thickness (BMT), incl. rollforming (Bluescope)</v>
      </c>
      <c r="C33" t="str">
        <v>tonne</v>
      </c>
      <c r="D33" s="96">
        <v>3008.7390761548068</v>
      </c>
      <c r="E33" s="96">
        <v>3.0087390761548067</v>
      </c>
      <c r="F33" s="96">
        <v>0</v>
      </c>
      <c r="G33" s="121">
        <v>0</v>
      </c>
      <c r="H33" t="s">
        <v>4154</v>
      </c>
    </row>
    <row r="34" spans="2:8" x14ac:dyDescent="0.25">
      <c r="B34" s="122" t="str">
        <v>Steel, Structural framing (cold - rolled), TRUECORE® steel in 0.95mm base material thickness (BMT), incl. rollforming (Bluescope)</v>
      </c>
      <c r="C34" t="str">
        <v>tonne</v>
      </c>
      <c r="D34" s="96">
        <v>3022.3390275952693</v>
      </c>
      <c r="E34" s="96">
        <v>3.0223390275952693</v>
      </c>
      <c r="F34" s="96">
        <v>0</v>
      </c>
      <c r="G34" s="121">
        <v>0</v>
      </c>
      <c r="H34" t="s">
        <v>4155</v>
      </c>
    </row>
    <row r="35" spans="2:8" x14ac:dyDescent="0.25">
      <c r="B35" s="122" t="str">
        <v>Steel, Structural framing (cold - rolled), TRUECORE® steel in 0.75mm base material thickness (BMT), incl. rollforming (Bluescope)</v>
      </c>
      <c r="C35" t="str">
        <v>tonne</v>
      </c>
      <c r="D35" s="96">
        <v>3096.0264900662251</v>
      </c>
      <c r="E35" s="96">
        <v>3.0960264900662251</v>
      </c>
      <c r="F35" s="96">
        <v>0</v>
      </c>
      <c r="G35" s="121">
        <v>0</v>
      </c>
      <c r="H35" t="s">
        <v>4155</v>
      </c>
    </row>
    <row r="36" spans="2:8" x14ac:dyDescent="0.25">
      <c r="B36" s="122" t="str">
        <v>Steel, Structural framing (cold - rolled), TRUECORE® steel in 0.60mm base material thickness (BMT), incl. rollforming (Bluescope)</v>
      </c>
      <c r="C36" t="str">
        <v>tonne</v>
      </c>
      <c r="D36" s="96">
        <v>3182.7515400410675</v>
      </c>
      <c r="E36" s="96">
        <v>3.1827515400410675</v>
      </c>
      <c r="F36" s="96">
        <v>0</v>
      </c>
      <c r="G36" s="121">
        <v>0</v>
      </c>
      <c r="H36" t="s">
        <v>4155</v>
      </c>
    </row>
    <row r="37" spans="2:8" x14ac:dyDescent="0.25">
      <c r="B37" s="122" t="str">
        <v>Steel, Structural framing (cold - rolled), TRUECORE® steel in 0.55mm base material thickness (BMT), incl. rollforming (Bluescope)</v>
      </c>
      <c r="C37" t="str">
        <v>tonne</v>
      </c>
      <c r="D37" s="96">
        <v>3221.4765100671143</v>
      </c>
      <c r="E37" s="96">
        <v>3.2214765100671143</v>
      </c>
      <c r="F37" s="96">
        <v>0</v>
      </c>
      <c r="G37" s="121">
        <v>0</v>
      </c>
      <c r="H37" t="s">
        <v>4155</v>
      </c>
    </row>
    <row r="38" spans="2:8" x14ac:dyDescent="0.25">
      <c r="B38" s="122" t="str">
        <v>Steel, Structural framing (cold - rolled), TRUECORE® steel in 0.48mm base material thickness (BMT), incl. rollforming (Bluescope)</v>
      </c>
      <c r="C38" t="str">
        <v>tonne</v>
      </c>
      <c r="D38" s="96">
        <v>3290.8163265306125</v>
      </c>
      <c r="E38" s="96">
        <v>3.2908163265306127</v>
      </c>
      <c r="F38" s="96">
        <v>0</v>
      </c>
      <c r="G38" s="121">
        <v>0</v>
      </c>
      <c r="H38" t="s">
        <v>4155</v>
      </c>
    </row>
    <row r="39" spans="2:8" x14ac:dyDescent="0.25">
      <c r="B39" s="122" t="str">
        <v>Steel, Structural framing (cold - rolled), TRUECORE® steel in 0.42mm base material thickness (BMT), incl. rollforming (Bluescope)</v>
      </c>
      <c r="C39" t="str">
        <v>tonne</v>
      </c>
      <c r="D39" s="96">
        <v>3362.31884057971</v>
      </c>
      <c r="E39" s="96">
        <v>3.36231884057971</v>
      </c>
      <c r="F39" s="96">
        <v>0</v>
      </c>
      <c r="G39" s="121">
        <v>0</v>
      </c>
      <c r="H39" t="s">
        <v>4155</v>
      </c>
    </row>
    <row r="40" spans="2:8" x14ac:dyDescent="0.25">
      <c r="B40" s="122" t="str">
        <v>Steel, Structural purlins and grits (cold - rolled), GALVASPAN® steel in 1.00mm base metal thickness (BMT) (Bluescope)</v>
      </c>
      <c r="C40" t="str">
        <v>tonne</v>
      </c>
      <c r="D40" s="96">
        <v>2931.873479318735</v>
      </c>
      <c r="E40" s="96">
        <v>2.9318734793187349</v>
      </c>
      <c r="F40" s="96">
        <v>0</v>
      </c>
      <c r="G40" s="121">
        <v>0</v>
      </c>
      <c r="H40" t="s">
        <v>4155</v>
      </c>
    </row>
    <row r="41" spans="2:8" x14ac:dyDescent="0.25">
      <c r="B41" s="122" t="str">
        <v>Steel, Structural purlins and grits (cold - rolled), GALVASPAN® steel in 1.20mm base metal thickness (BMT) (Bluescope)</v>
      </c>
      <c r="C41" t="str">
        <v>tonne</v>
      </c>
      <c r="D41" s="96">
        <v>2880.4902962206334</v>
      </c>
      <c r="E41" s="96">
        <v>2.8804902962206334</v>
      </c>
      <c r="F41" s="96">
        <v>0</v>
      </c>
      <c r="G41" s="121">
        <v>0</v>
      </c>
      <c r="H41" t="s">
        <v>4155</v>
      </c>
    </row>
    <row r="42" spans="2:8" x14ac:dyDescent="0.25">
      <c r="B42" s="122" t="str">
        <v>Steel, Structural purlins and grits (cold - rolled), GALVASPAN® steel in 1.50mm base metal thickness (BMT) (Bluescope)</v>
      </c>
      <c r="C42" t="str">
        <v>tonne</v>
      </c>
      <c r="D42" s="96">
        <v>2831.2757201646091</v>
      </c>
      <c r="E42" s="96">
        <v>2.831275720164609</v>
      </c>
      <c r="F42" s="96">
        <v>0</v>
      </c>
      <c r="G42" s="121">
        <v>0</v>
      </c>
      <c r="H42" t="s">
        <v>4155</v>
      </c>
    </row>
    <row r="43" spans="2:8" x14ac:dyDescent="0.25">
      <c r="B43" s="122" t="str">
        <v>Steel, Structural purlins and grits (cold - rolled), GALVASPAN® steel in 1.90mm base metal thickness (BMT) (Bluescope)</v>
      </c>
      <c r="C43" t="str">
        <v>tonne</v>
      </c>
      <c r="D43" s="96">
        <v>2786.1347285807719</v>
      </c>
      <c r="E43" s="96">
        <v>2.7861347285807718</v>
      </c>
      <c r="F43" s="96">
        <v>0</v>
      </c>
      <c r="G43" s="121">
        <v>0</v>
      </c>
      <c r="H43" t="s">
        <v>4155</v>
      </c>
    </row>
    <row r="44" spans="2:8" x14ac:dyDescent="0.25">
      <c r="B44" s="122" t="str">
        <v>Steel, Structural purlins and grits (cold - rolled), GALVASPAN® steel in 2.40mm base metal thickness (BMT) (Bluescope)</v>
      </c>
      <c r="C44" t="str">
        <v>tonne</v>
      </c>
      <c r="D44" s="96">
        <v>2753.774076002082</v>
      </c>
      <c r="E44" s="96">
        <v>2.7537740760020819</v>
      </c>
      <c r="F44" s="96">
        <v>0</v>
      </c>
      <c r="G44" s="121">
        <v>0</v>
      </c>
      <c r="H44" t="s">
        <v>4155</v>
      </c>
    </row>
    <row r="45" spans="2:8" x14ac:dyDescent="0.25">
      <c r="B45" s="122" t="str">
        <v>Steel, Structural formwork and decking (cold - rolled), DECKFORM® steel in 0.60mm base material thickness (BMT) (Bluescope)</v>
      </c>
      <c r="C45" t="str">
        <v>tonne</v>
      </c>
      <c r="D45" s="96">
        <v>3051.1811023622045</v>
      </c>
      <c r="E45" s="96">
        <v>3.0511811023622046</v>
      </c>
      <c r="F45" s="96">
        <v>0</v>
      </c>
      <c r="G45" s="121">
        <v>0</v>
      </c>
      <c r="H45" t="s">
        <v>4155</v>
      </c>
    </row>
    <row r="46" spans="2:8" x14ac:dyDescent="0.25">
      <c r="B46" s="122" t="str">
        <v>Steel, Structural formwork and decking (cold - rolled), DECKFORM® steel in 0.75mm base material thickness (BMT) (Bluescope)</v>
      </c>
      <c r="C46" t="str">
        <v>tonne</v>
      </c>
      <c r="D46" s="96">
        <v>2955.2715654952076</v>
      </c>
      <c r="E46" s="96">
        <v>2.9552715654952078</v>
      </c>
      <c r="F46" s="96">
        <v>0</v>
      </c>
      <c r="G46" s="121">
        <v>0</v>
      </c>
      <c r="H46" t="s">
        <v>4155</v>
      </c>
    </row>
    <row r="47" spans="2:8" x14ac:dyDescent="0.25">
      <c r="B47" s="122" t="str">
        <v>Steel, Structural formwork and decking (cold - rolled), DECKFORM® steel in 0.90mm base material thickness (BMT) (Bluescope)</v>
      </c>
      <c r="C47" t="str">
        <v>tonne</v>
      </c>
      <c r="D47" s="96">
        <v>2903.2258064516132</v>
      </c>
      <c r="E47" s="96">
        <v>2.903225806451613</v>
      </c>
      <c r="F47" s="96">
        <v>0</v>
      </c>
      <c r="G47" s="121">
        <v>0</v>
      </c>
      <c r="H47" t="s">
        <v>4155</v>
      </c>
    </row>
    <row r="48" spans="2:8" x14ac:dyDescent="0.25">
      <c r="B48" s="122" t="str">
        <v>Steel, Structural formwork and decking (cold - rolled), Low Glare DECKFORM® steel in 0.60mm base material thickness (BMT) (Bluescope)</v>
      </c>
      <c r="C48" t="str">
        <v>tonne</v>
      </c>
      <c r="D48" s="96">
        <v>3346.4566929133857</v>
      </c>
      <c r="E48" s="96">
        <v>3.3464566929133857</v>
      </c>
      <c r="F48" s="96">
        <v>0</v>
      </c>
      <c r="G48" s="121">
        <v>0</v>
      </c>
      <c r="H48" t="s">
        <v>4155</v>
      </c>
    </row>
    <row r="49" spans="2:8" x14ac:dyDescent="0.25">
      <c r="B49" s="122" t="str">
        <v>Steel, Structural purlins and grits (cold - rolled), GALVASPAN® steel in 3.00mm base metal thickness (BMT) (Bluescope)</v>
      </c>
      <c r="C49" t="str">
        <v>tonne</v>
      </c>
      <c r="D49" s="96">
        <v>2725.7525083612036</v>
      </c>
      <c r="E49" s="96">
        <v>2.7257525083612038</v>
      </c>
      <c r="F49" s="96">
        <v>0</v>
      </c>
      <c r="G49" s="121">
        <v>0</v>
      </c>
      <c r="H49" t="s">
        <v>4155</v>
      </c>
    </row>
    <row r="50" spans="2:8" x14ac:dyDescent="0.25">
      <c r="B50" s="122" t="str">
        <v>Steel, Structural formwork and decking (cold - rolled), DECKFORM® steel in 1.00mm base material thickness (BMT) (Bluescope)</v>
      </c>
      <c r="C50" t="str">
        <v>tonne</v>
      </c>
      <c r="D50" s="96">
        <v>2883.2116788321164</v>
      </c>
      <c r="E50" s="96">
        <v>2.8832116788321165</v>
      </c>
      <c r="F50" s="96">
        <v>0</v>
      </c>
      <c r="G50" s="121">
        <v>0</v>
      </c>
      <c r="H50" t="s">
        <v>4155</v>
      </c>
    </row>
    <row r="51" spans="2:8" x14ac:dyDescent="0.25">
      <c r="B51" s="122" t="str">
        <v>Steel, Structural formwork and decking (cold - rolled), Low Glare DECKFORM® steel in 1.00mm base material thickness (BMT) (Bluescope)</v>
      </c>
      <c r="C51" t="str">
        <v>tonne</v>
      </c>
      <c r="D51" s="96">
        <v>2883.2116788321164</v>
      </c>
      <c r="E51" s="96">
        <v>2.8832116788321165</v>
      </c>
      <c r="F51" s="96">
        <v>0</v>
      </c>
      <c r="G51" s="121">
        <v>0</v>
      </c>
      <c r="H51" t="s">
        <v>4155</v>
      </c>
    </row>
    <row r="52" spans="2:8" x14ac:dyDescent="0.25">
      <c r="B52" s="122" t="str">
        <v>Steel, Structural formwork and decking (cold - rolled), Low Glare DECKFORM® steel in 0.75mm base material thickness (BMT) (Bluescope)</v>
      </c>
      <c r="C52" t="str">
        <v>tonne</v>
      </c>
      <c r="D52" s="96">
        <v>3194.8881789137381</v>
      </c>
      <c r="E52" s="96">
        <v>3.1948881789137382</v>
      </c>
      <c r="F52" s="96">
        <v>0</v>
      </c>
      <c r="G52" s="121">
        <v>0</v>
      </c>
      <c r="H52" t="s">
        <v>4155</v>
      </c>
    </row>
    <row r="53" spans="2:8" x14ac:dyDescent="0.25">
      <c r="B53" s="122" t="str">
        <v>Steel, Structural formwork and decking (cold - rolled), Low Glare DECKFORM® steel in 0.90mm base material thickness (BMT) (Bluescope)</v>
      </c>
      <c r="C53" t="str">
        <v>tonne</v>
      </c>
      <c r="D53" s="96">
        <v>3104.8387096774195</v>
      </c>
      <c r="E53" s="96">
        <v>3.1048387096774195</v>
      </c>
      <c r="F53" s="96">
        <v>0</v>
      </c>
      <c r="G53" s="121">
        <v>0</v>
      </c>
      <c r="H53" t="s">
        <v>4155</v>
      </c>
    </row>
    <row r="54" spans="2:8" x14ac:dyDescent="0.25">
      <c r="B54" s="122" t="str">
        <v>Steel, Structural framing (cold - rolled), TRUECORE® steel in 0.42mm base material thickness (BMT) (Bluescope)</v>
      </c>
      <c r="C54" t="str">
        <v>tonne</v>
      </c>
      <c r="D54" s="96">
        <v>3246.3768115942025</v>
      </c>
      <c r="E54" s="96">
        <v>3.2463768115942027</v>
      </c>
      <c r="F54" s="96">
        <v>0</v>
      </c>
      <c r="G54" s="121">
        <v>0</v>
      </c>
      <c r="H54" t="s">
        <v>4155</v>
      </c>
    </row>
    <row r="55" spans="2:8" x14ac:dyDescent="0.25">
      <c r="B55" s="122" t="str">
        <v>Steel, Structural framing (cold - rolled), TRUECORE® steel in 0.48mm base material thickness (BMT) (Bluescope)</v>
      </c>
      <c r="C55" t="str">
        <v>tonne</v>
      </c>
      <c r="D55" s="96">
        <v>3163.2653061224491</v>
      </c>
      <c r="E55" s="96">
        <v>3.1632653061224492</v>
      </c>
      <c r="F55" s="96">
        <v>0</v>
      </c>
      <c r="G55" s="121">
        <v>0</v>
      </c>
      <c r="H55" t="s">
        <v>4155</v>
      </c>
    </row>
    <row r="56" spans="2:8" x14ac:dyDescent="0.25">
      <c r="B56" s="122" t="str">
        <v>Steel, Structural framing (cold - rolled), TRUECORE® steel in 0.55mm base material thickness (BMT) (Bluescope)</v>
      </c>
      <c r="C56" t="str">
        <v>tonne</v>
      </c>
      <c r="D56" s="96">
        <v>3109.6196868008951</v>
      </c>
      <c r="E56" s="96">
        <v>3.1096196868008952</v>
      </c>
      <c r="F56" s="96">
        <v>0</v>
      </c>
      <c r="G56" s="121">
        <v>0</v>
      </c>
      <c r="H56" t="s">
        <v>4155</v>
      </c>
    </row>
    <row r="57" spans="2:8" x14ac:dyDescent="0.25">
      <c r="B57" s="122" t="str">
        <v>Steel, Structural framing (cold - rolled), TRUECORE® steel in 0.60mm base material thickness (BMT) (Bluescope)</v>
      </c>
      <c r="C57" t="str">
        <v>tonne</v>
      </c>
      <c r="D57" s="96">
        <v>3059.5482546201233</v>
      </c>
      <c r="E57" s="96">
        <v>3.0595482546201231</v>
      </c>
      <c r="F57" s="96">
        <v>0</v>
      </c>
      <c r="G57" s="121">
        <v>0</v>
      </c>
      <c r="H57" t="s">
        <v>4155</v>
      </c>
    </row>
    <row r="58" spans="2:8" x14ac:dyDescent="0.25">
      <c r="B58" s="122" t="str">
        <v>Steel, Structural framing (cold - rolled), TRUECORE® steel in 0.75mm base material thickness (BMT) (Bluescope)</v>
      </c>
      <c r="C58" t="str">
        <v>tonne</v>
      </c>
      <c r="D58" s="96">
        <v>2980.1324503311262</v>
      </c>
      <c r="E58" s="96">
        <v>2.9801324503311259</v>
      </c>
      <c r="F58" s="96">
        <v>0</v>
      </c>
      <c r="G58" s="121">
        <v>0</v>
      </c>
      <c r="H58" t="s">
        <v>4155</v>
      </c>
    </row>
    <row r="59" spans="2:8" x14ac:dyDescent="0.25">
      <c r="B59" s="122" t="str">
        <v>Steel, Structural formwork and decking (cold - rolled), DECKFORM® steel in 1.50mm base material thickness (BMT) (Bluescope)</v>
      </c>
      <c r="C59" t="str">
        <v>tonne</v>
      </c>
      <c r="D59" s="96">
        <v>2792.4217462932452</v>
      </c>
      <c r="E59" s="96">
        <v>2.792421746293245</v>
      </c>
      <c r="F59" s="96">
        <v>0</v>
      </c>
      <c r="G59" s="121">
        <v>0</v>
      </c>
      <c r="H59" t="s">
        <v>4155</v>
      </c>
    </row>
    <row r="60" spans="2:8" x14ac:dyDescent="0.25">
      <c r="B60" s="122" t="str">
        <v>Steel, Structural framing (cold - rolled), TRUECORE® steel in 0.95mm base material thickness (BMT) (Bluescope)</v>
      </c>
      <c r="C60" t="str">
        <v>tonne</v>
      </c>
      <c r="D60" s="96">
        <v>2904.0735873850194</v>
      </c>
      <c r="E60" s="96">
        <v>2.9040735873850196</v>
      </c>
      <c r="F60" s="96">
        <v>0</v>
      </c>
      <c r="G60" s="121">
        <v>0</v>
      </c>
      <c r="H60" t="s">
        <v>4155</v>
      </c>
    </row>
    <row r="61" spans="2:8" x14ac:dyDescent="0.25">
      <c r="B61" s="122" t="str">
        <v>Steel, Structural sections (cold - rolled), Steel, equal angle (EA), merchant bar, unpainted, 25 x 25 x 3 mm to 100 x 100 x 12 mm,  (InfraBuild via Distributor IBSC), Australia</v>
      </c>
      <c r="C61" t="str">
        <v>tonne</v>
      </c>
      <c r="D61" s="96">
        <v>1520</v>
      </c>
      <c r="E61" s="96">
        <v>1.52</v>
      </c>
      <c r="F61" s="96">
        <v>0</v>
      </c>
      <c r="G61" s="121">
        <v>0</v>
      </c>
      <c r="H61" t="s">
        <v>4155</v>
      </c>
    </row>
    <row r="62" spans="2:8" x14ac:dyDescent="0.25">
      <c r="B62" s="122" t="str">
        <v>Steel, Structural sections (cold - rolled), Steel, unequal angles, merchant bar, unpainted, 65 x 50 x 5 mm to 125 x 75 x 12 mm,  (InfraBuild via Distributor IBSC), Australia</v>
      </c>
      <c r="C62" t="str">
        <v>tonne</v>
      </c>
      <c r="D62" s="96">
        <v>1520</v>
      </c>
      <c r="E62" s="96">
        <v>1.52</v>
      </c>
      <c r="F62" s="96">
        <v>0</v>
      </c>
      <c r="G62" s="121">
        <v>0</v>
      </c>
      <c r="H62" t="s">
        <v>4155</v>
      </c>
    </row>
    <row r="63" spans="2:8" x14ac:dyDescent="0.25">
      <c r="B63" s="122" t="str">
        <v>Steel, Structural sections (cold - rolled), Steel, parallel flange channels (PFC),  merchant bar, unpainted, 180 x 75 mm to 380 x 100 mm,  (InfraBuild via Distributor IBSC), Australia</v>
      </c>
      <c r="C63" t="str">
        <v>tonne</v>
      </c>
      <c r="D63" s="96">
        <v>1520</v>
      </c>
      <c r="E63" s="96">
        <v>1.52</v>
      </c>
      <c r="F63" s="96">
        <v>0</v>
      </c>
      <c r="G63" s="121">
        <v>0</v>
      </c>
      <c r="H63" t="s">
        <v>4155</v>
      </c>
    </row>
    <row r="64" spans="2:8" x14ac:dyDescent="0.25">
      <c r="B64" s="122" t="str">
        <v>Steel, Structural sections (cold - rolled), Steel, flat Bar (SEF), merchant bar, unpainted, 20 x 10 mm to 150 x 25 mm,  (InfraBuild via Distributor IBSC), Australia</v>
      </c>
      <c r="C64" t="str">
        <v>tonne</v>
      </c>
      <c r="D64" s="96">
        <v>1520</v>
      </c>
      <c r="E64" s="96">
        <v>1.52</v>
      </c>
      <c r="F64" s="96">
        <v>0</v>
      </c>
      <c r="G64" s="121">
        <v>0</v>
      </c>
      <c r="H64" t="s">
        <v>4155</v>
      </c>
    </row>
    <row r="65" spans="2:8" x14ac:dyDescent="0.25">
      <c r="B65" s="122" t="str">
        <v>Steel, Structural sections (cold - rolled), Steel, square Bar, merchant bar, unpainted, 10 mm to 40 mm,  (InfraBuild via Distributor IBSC), Australia</v>
      </c>
      <c r="C65" t="str">
        <v>tonne</v>
      </c>
      <c r="D65" s="96">
        <v>1520</v>
      </c>
      <c r="E65" s="96">
        <v>1.52</v>
      </c>
      <c r="F65" s="96">
        <v>0</v>
      </c>
      <c r="G65" s="121">
        <v>0</v>
      </c>
      <c r="H65" t="s">
        <v>4155</v>
      </c>
    </row>
    <row r="66" spans="2:8" x14ac:dyDescent="0.25">
      <c r="B66" s="122" t="str">
        <v>Steel, Structural sections (cold - rolled), Steel, round Bar, merchant bar, unpainted, 10 mm to 90 mm,  (InfraBuild via Distributor IBSC), Australia</v>
      </c>
      <c r="C66" t="str">
        <v>tonne</v>
      </c>
      <c r="D66" s="96">
        <v>1520</v>
      </c>
      <c r="E66" s="96">
        <v>1.52</v>
      </c>
      <c r="F66" s="96">
        <v>0</v>
      </c>
      <c r="G66" s="121">
        <v>0</v>
      </c>
      <c r="H66" t="s">
        <v>4155</v>
      </c>
    </row>
    <row r="67" spans="2:8" x14ac:dyDescent="0.25">
      <c r="B67" s="122" t="str">
        <v>Steel, Structural sections (cold - rolled), Steel, equal angle (EA), merchant bar, unpainted, 25 x 25 x 3 mm to 100 x 100 x 12 mm,  (InfraBuild, Australia), Australia</v>
      </c>
      <c r="C67" t="str">
        <v>tonne</v>
      </c>
      <c r="D67" s="96">
        <v>1240</v>
      </c>
      <c r="E67" s="96">
        <v>1.24</v>
      </c>
      <c r="F67" s="96">
        <v>0</v>
      </c>
      <c r="G67" s="121">
        <v>0</v>
      </c>
      <c r="H67" t="s">
        <v>4155</v>
      </c>
    </row>
    <row r="68" spans="2:8" x14ac:dyDescent="0.25">
      <c r="B68" s="122" t="str">
        <v>Steel, Structural sections (cold - rolled), Steel, unequal angles, merchant bar, unpainted, 65 x 50 x 5 mm to 125 x 75 x 12 mm,  (InfraBuild, Australia), Australia</v>
      </c>
      <c r="C68" t="str">
        <v>tonne</v>
      </c>
      <c r="D68" s="96">
        <v>1240</v>
      </c>
      <c r="E68" s="96">
        <v>1.24</v>
      </c>
      <c r="F68" s="96">
        <v>0</v>
      </c>
      <c r="G68" s="121">
        <v>0</v>
      </c>
      <c r="H68" t="s">
        <v>4155</v>
      </c>
    </row>
    <row r="69" spans="2:8" x14ac:dyDescent="0.25">
      <c r="B69" s="122" t="str">
        <v>Steel, Structural sections (cold - rolled), Steel, flat Bar (SEF), merchant bar, unpainted, 20 x 10 mm to 150 x 25 mm,  (InfraBuild, Australia), Australia</v>
      </c>
      <c r="C69" t="str">
        <v>tonne</v>
      </c>
      <c r="D69" s="96">
        <v>1240</v>
      </c>
      <c r="E69" s="96">
        <v>1.24</v>
      </c>
      <c r="F69" s="96">
        <v>0</v>
      </c>
      <c r="G69" s="121">
        <v>0</v>
      </c>
      <c r="H69" t="s">
        <v>4155</v>
      </c>
    </row>
    <row r="70" spans="2:8" x14ac:dyDescent="0.25">
      <c r="B70" s="122" t="str">
        <v>Steel, Structural sections (cold - rolled), Steel, square Bar, merchant bar, unpainted, 10 mm to 40 mm,  (InfraBuild, Australia), Australia</v>
      </c>
      <c r="C70" t="str">
        <v>tonne</v>
      </c>
      <c r="D70" s="96">
        <v>1240</v>
      </c>
      <c r="E70" s="96">
        <v>1.24</v>
      </c>
      <c r="F70" s="96">
        <v>0</v>
      </c>
      <c r="G70" s="121">
        <v>0</v>
      </c>
      <c r="H70" t="s">
        <v>4155</v>
      </c>
    </row>
    <row r="71" spans="2:8" x14ac:dyDescent="0.25">
      <c r="B71" s="122" t="str">
        <v>Steel, Structural sections (cold - rolled), Steel, round Bar, merchant bar, unpainted, 10 mm to 90 mm,  (InfraBuild, Australia), Australia</v>
      </c>
      <c r="C71" t="str">
        <v>tonne</v>
      </c>
      <c r="D71" s="96">
        <v>1240</v>
      </c>
      <c r="E71" s="96">
        <v>1.24</v>
      </c>
      <c r="F71" s="96">
        <v>0</v>
      </c>
      <c r="G71" s="121">
        <v>0</v>
      </c>
      <c r="H71" t="s">
        <v>4155</v>
      </c>
    </row>
    <row r="72" spans="2:8" x14ac:dyDescent="0.25">
      <c r="B72" s="122" t="str">
        <v>Steel, Structural formwork and decking (cold - rolled), Low Glare DECKFORM® steel in 1.50mm base material thickness (BMT) (Bluescope)</v>
      </c>
      <c r="C72" t="str">
        <v>tonne</v>
      </c>
      <c r="D72" s="96">
        <v>2915.9803396425041</v>
      </c>
      <c r="E72" s="96">
        <v>2.9159803396425041</v>
      </c>
      <c r="F72" s="96">
        <v>0</v>
      </c>
      <c r="G72" s="121">
        <v>0</v>
      </c>
      <c r="H72" t="s">
        <v>4155</v>
      </c>
    </row>
    <row r="73" spans="2:8" x14ac:dyDescent="0.25">
      <c r="B73" s="122" t="str">
        <v>Steel, Structural framing (cold - rolled), TRUECORE® steel in 1.00mm base material thickness (BMT) (Bluescope)</v>
      </c>
      <c r="C73" t="str">
        <v>tonne</v>
      </c>
      <c r="D73" s="96">
        <v>2883.8954060861424</v>
      </c>
      <c r="E73" s="96">
        <v>2.8838954060861428</v>
      </c>
      <c r="F73" s="96">
        <v>0</v>
      </c>
      <c r="G73" s="121">
        <v>0</v>
      </c>
      <c r="H73" t="s">
        <v>4155</v>
      </c>
    </row>
    <row r="74" spans="2:8" x14ac:dyDescent="0.25">
      <c r="B74" s="122" t="str">
        <v>Steel, Structural framing (cold - rolled), TRUECORE® steel in 1.15mm base material thickness (BMT) (Bluescope)</v>
      </c>
      <c r="C74" t="str">
        <v>tonne</v>
      </c>
      <c r="D74" s="96">
        <v>2854.0317110893243</v>
      </c>
      <c r="E74" s="96">
        <v>2.8540317110893247</v>
      </c>
      <c r="F74" s="96">
        <v>0</v>
      </c>
      <c r="G74" s="121">
        <v>0</v>
      </c>
      <c r="H74" t="s">
        <v>4155</v>
      </c>
    </row>
    <row r="75" spans="2:8" x14ac:dyDescent="0.25">
      <c r="B75" s="122" t="str">
        <v>Steel, Structural framing (cold - rolled), TRUECORE® steel in 1.20mm base material thickness (BMT) (Bluescope)</v>
      </c>
      <c r="C75" t="str">
        <v>tonne</v>
      </c>
      <c r="D75" s="96">
        <v>2839.2499642379958</v>
      </c>
      <c r="E75" s="96">
        <v>2.8392499642379958</v>
      </c>
      <c r="F75" s="96">
        <v>0</v>
      </c>
      <c r="G75" s="121">
        <v>0</v>
      </c>
      <c r="H75" t="s">
        <v>4155</v>
      </c>
    </row>
    <row r="76" spans="2:8" x14ac:dyDescent="0.25">
      <c r="B76" s="122" t="str">
        <v>Steel, Structural framing (cold - rolled), TRUECORE® steel in 1.50mm base material thickness (BMT) (Bluescope)</v>
      </c>
      <c r="C76" t="str">
        <v>tonne</v>
      </c>
      <c r="D76" s="96">
        <v>2799.6681108130765</v>
      </c>
      <c r="E76" s="96">
        <v>2.7996681108130765</v>
      </c>
      <c r="F76" s="96">
        <v>0</v>
      </c>
      <c r="G76" s="121">
        <v>0</v>
      </c>
      <c r="H76" t="s">
        <v>4155</v>
      </c>
    </row>
    <row r="77" spans="2:8" x14ac:dyDescent="0.25">
      <c r="B77" s="122" t="str">
        <v>Steel, Structural framing (cold - rolled), TRUECORE® steel in 1.60mm base material thickness (BMT) (Bluescope)</v>
      </c>
      <c r="C77" t="str">
        <v>tonne</v>
      </c>
      <c r="D77" s="96">
        <v>2783.022897924528</v>
      </c>
      <c r="E77" s="96">
        <v>2.7830228979245279</v>
      </c>
      <c r="F77" s="96">
        <v>0</v>
      </c>
      <c r="G77" s="121">
        <v>0</v>
      </c>
      <c r="H77" t="s">
        <v>4155</v>
      </c>
    </row>
    <row r="78" spans="2:8" x14ac:dyDescent="0.25">
      <c r="B78" s="122" t="str">
        <v>Structural steel , Structural steel (cold - rolled), Representative product 681 (Rondo) (Australia)</v>
      </c>
      <c r="C78" t="str">
        <v>tonne</v>
      </c>
      <c r="D78" s="96">
        <v>2940</v>
      </c>
      <c r="E78" s="96">
        <v>2.94</v>
      </c>
      <c r="F78" s="96">
        <v>0</v>
      </c>
      <c r="G78" s="121">
        <v>0</v>
      </c>
      <c r="H78" t="s">
        <v>4155</v>
      </c>
    </row>
    <row r="79" spans="2:8" x14ac:dyDescent="0.25">
      <c r="B79" s="122" t="str">
        <v>Structural steel , Structural steel (cold - rolled), Representative product 592 (Rondo) (Australia)</v>
      </c>
      <c r="C79" t="str">
        <v>tonne</v>
      </c>
      <c r="D79" s="96">
        <v>3140</v>
      </c>
      <c r="E79" s="96">
        <v>3.14</v>
      </c>
      <c r="F79" s="96">
        <v>0</v>
      </c>
      <c r="G79" s="121">
        <v>0</v>
      </c>
      <c r="H79" t="s">
        <v>4155</v>
      </c>
    </row>
    <row r="80" spans="2:8" x14ac:dyDescent="0.25">
      <c r="B80" s="122" t="str">
        <v>Structural steel , Structural steel (cold - rolled), Representative product 495 (Rondo) (Australia)</v>
      </c>
      <c r="C80" t="str">
        <v>tonne</v>
      </c>
      <c r="D80" s="96">
        <v>3090</v>
      </c>
      <c r="E80" s="96">
        <v>3.09</v>
      </c>
      <c r="F80" s="96">
        <v>0</v>
      </c>
      <c r="G80" s="121">
        <v>0</v>
      </c>
      <c r="H80" t="s">
        <v>4155</v>
      </c>
    </row>
    <row r="81" spans="2:8" x14ac:dyDescent="0.25">
      <c r="B81" s="122" t="str">
        <v>Structural steel , Structural steel (cold - rolled), Representative product 107 (Rondo) (Australia)</v>
      </c>
      <c r="C81" t="str">
        <v>tonne</v>
      </c>
      <c r="D81" s="96">
        <v>3860</v>
      </c>
      <c r="E81" s="96">
        <v>3.86</v>
      </c>
      <c r="F81" s="96">
        <v>0</v>
      </c>
      <c r="G81" s="121">
        <v>0</v>
      </c>
      <c r="H81" t="s">
        <v>4155</v>
      </c>
    </row>
    <row r="82" spans="2:8" x14ac:dyDescent="0.25">
      <c r="B82" s="122" t="str">
        <v>Structural steel , Structural steel (cold - rolled), Representative product 506 (Rondo) (Australia)</v>
      </c>
      <c r="C82" t="str">
        <v>tonne</v>
      </c>
      <c r="D82" s="96">
        <v>3430</v>
      </c>
      <c r="E82" s="96">
        <v>3.43</v>
      </c>
      <c r="F82" s="96">
        <v>0</v>
      </c>
      <c r="G82" s="121">
        <v>0</v>
      </c>
      <c r="H82" t="s">
        <v>4155</v>
      </c>
    </row>
    <row r="83" spans="2:8" x14ac:dyDescent="0.25">
      <c r="B83" s="122"/>
      <c r="G83" s="121"/>
    </row>
    <row r="84" spans="2:8" x14ac:dyDescent="0.25">
      <c r="B84" s="122"/>
      <c r="G84" s="121"/>
    </row>
    <row r="85" spans="2:8" x14ac:dyDescent="0.25">
      <c r="B85" s="122"/>
      <c r="G85" s="121"/>
    </row>
    <row r="86" spans="2:8" x14ac:dyDescent="0.25">
      <c r="B86" s="122"/>
      <c r="G86" s="121"/>
    </row>
    <row r="87" spans="2:8" x14ac:dyDescent="0.25">
      <c r="B87" s="122"/>
      <c r="G87" s="121"/>
    </row>
    <row r="88" spans="2:8" x14ac:dyDescent="0.25">
      <c r="B88" s="122"/>
      <c r="G88" s="121"/>
    </row>
    <row r="89" spans="2:8" x14ac:dyDescent="0.25">
      <c r="B89" s="122"/>
      <c r="G89" s="121"/>
    </row>
    <row r="90" spans="2:8" x14ac:dyDescent="0.25">
      <c r="B90" s="122"/>
      <c r="G90" s="121"/>
    </row>
    <row r="91" spans="2:8" x14ac:dyDescent="0.25">
      <c r="B91" s="122"/>
      <c r="G91" s="121"/>
    </row>
    <row r="92" spans="2:8" x14ac:dyDescent="0.25">
      <c r="B92" s="122"/>
      <c r="G92" s="121"/>
    </row>
    <row r="93" spans="2:8" x14ac:dyDescent="0.25">
      <c r="B93" s="122"/>
      <c r="G93" s="121"/>
    </row>
    <row r="94" spans="2:8" x14ac:dyDescent="0.25">
      <c r="B94" s="122"/>
      <c r="G94" s="121"/>
    </row>
    <row r="95" spans="2:8" x14ac:dyDescent="0.25">
      <c r="B95" s="122"/>
      <c r="G95" s="121"/>
    </row>
    <row r="96" spans="2:8" x14ac:dyDescent="0.25">
      <c r="B96" s="122"/>
      <c r="G96" s="121"/>
    </row>
    <row r="97" spans="2:7" x14ac:dyDescent="0.25">
      <c r="B97" s="122"/>
      <c r="G97" s="121"/>
    </row>
    <row r="98" spans="2:7" x14ac:dyDescent="0.25">
      <c r="B98" s="122"/>
      <c r="G98" s="121"/>
    </row>
    <row r="99" spans="2:7" x14ac:dyDescent="0.25">
      <c r="B99" s="122"/>
      <c r="G99" s="121"/>
    </row>
    <row r="100" spans="2:7" x14ac:dyDescent="0.25">
      <c r="B100" s="122"/>
      <c r="G100" s="121"/>
    </row>
    <row r="101" spans="2:7" x14ac:dyDescent="0.25">
      <c r="B101" s="122"/>
      <c r="G101" s="121"/>
    </row>
    <row r="102" spans="2:7" x14ac:dyDescent="0.25">
      <c r="B102" s="122"/>
      <c r="G102" s="121"/>
    </row>
    <row r="103" spans="2:7" x14ac:dyDescent="0.25">
      <c r="B103" s="122"/>
      <c r="G103" s="121"/>
    </row>
    <row r="104" spans="2:7" x14ac:dyDescent="0.25">
      <c r="B104" s="122"/>
      <c r="G104" s="121"/>
    </row>
    <row r="105" spans="2:7" x14ac:dyDescent="0.25">
      <c r="B105" s="122"/>
      <c r="G105" s="121"/>
    </row>
    <row r="106" spans="2:7" x14ac:dyDescent="0.25">
      <c r="B106" s="122"/>
      <c r="G106" s="121"/>
    </row>
    <row r="107" spans="2:7" x14ac:dyDescent="0.25">
      <c r="B107" s="122"/>
      <c r="G107" s="121"/>
    </row>
    <row r="108" spans="2:7" x14ac:dyDescent="0.25">
      <c r="B108" s="122"/>
      <c r="G108" s="121"/>
    </row>
    <row r="109" spans="2:7" x14ac:dyDescent="0.25">
      <c r="B109" s="122"/>
      <c r="G109" s="121"/>
    </row>
    <row r="110" spans="2:7" x14ac:dyDescent="0.25">
      <c r="B110" s="122"/>
      <c r="G110" s="121"/>
    </row>
    <row r="111" spans="2:7" x14ac:dyDescent="0.25">
      <c r="B111" s="122"/>
      <c r="G111" s="121"/>
    </row>
    <row r="112" spans="2:7" x14ac:dyDescent="0.25">
      <c r="B112" s="122"/>
      <c r="G112" s="121"/>
    </row>
    <row r="113" spans="2:7" x14ac:dyDescent="0.25">
      <c r="B113" s="122"/>
      <c r="G113" s="121"/>
    </row>
    <row r="114" spans="2:7" x14ac:dyDescent="0.25">
      <c r="B114" s="122"/>
      <c r="G114" s="121"/>
    </row>
    <row r="115" spans="2:7" x14ac:dyDescent="0.25">
      <c r="B115" s="122"/>
      <c r="G115" s="121"/>
    </row>
    <row r="116" spans="2:7" x14ac:dyDescent="0.25">
      <c r="B116" s="122"/>
      <c r="G116" s="121"/>
    </row>
    <row r="117" spans="2:7" x14ac:dyDescent="0.25">
      <c r="B117" s="122"/>
      <c r="G117" s="121"/>
    </row>
    <row r="118" spans="2:7" x14ac:dyDescent="0.25">
      <c r="B118" s="122"/>
      <c r="G118" s="121"/>
    </row>
    <row r="119" spans="2:7" x14ac:dyDescent="0.25">
      <c r="B119" s="122"/>
      <c r="G119" s="121"/>
    </row>
    <row r="120" spans="2:7" x14ac:dyDescent="0.25">
      <c r="B120" s="122"/>
      <c r="G120" s="121"/>
    </row>
    <row r="121" spans="2:7" x14ac:dyDescent="0.25">
      <c r="B121" s="122"/>
      <c r="G121" s="121"/>
    </row>
    <row r="122" spans="2:7" x14ac:dyDescent="0.25">
      <c r="B122" s="122"/>
      <c r="G122" s="121"/>
    </row>
    <row r="123" spans="2:7" x14ac:dyDescent="0.25">
      <c r="B123" s="122"/>
      <c r="G123" s="121"/>
    </row>
    <row r="124" spans="2:7" x14ac:dyDescent="0.25">
      <c r="B124" s="122"/>
      <c r="G124" s="121"/>
    </row>
    <row r="125" spans="2:7" x14ac:dyDescent="0.25">
      <c r="B125" s="122"/>
      <c r="G125" s="121"/>
    </row>
    <row r="126" spans="2:7" x14ac:dyDescent="0.25">
      <c r="B126" s="122"/>
      <c r="G126" s="121"/>
    </row>
    <row r="127" spans="2:7" x14ac:dyDescent="0.25">
      <c r="B127" s="122"/>
      <c r="G127" s="121"/>
    </row>
    <row r="128" spans="2:7" x14ac:dyDescent="0.25">
      <c r="B128" s="122"/>
      <c r="G128" s="121"/>
    </row>
    <row r="129" spans="2:7" x14ac:dyDescent="0.25">
      <c r="B129" s="122"/>
      <c r="G129" s="121"/>
    </row>
    <row r="130" spans="2:7" x14ac:dyDescent="0.25">
      <c r="B130" s="122"/>
      <c r="G130" s="121"/>
    </row>
    <row r="131" spans="2:7" x14ac:dyDescent="0.25">
      <c r="B131" s="122"/>
      <c r="G131" s="121"/>
    </row>
    <row r="132" spans="2:7" x14ac:dyDescent="0.25">
      <c r="B132" s="122"/>
      <c r="G132" s="121"/>
    </row>
    <row r="133" spans="2:7" x14ac:dyDescent="0.25">
      <c r="B133" s="122"/>
      <c r="G133" s="121"/>
    </row>
    <row r="134" spans="2:7" x14ac:dyDescent="0.25">
      <c r="B134" s="122"/>
      <c r="G134" s="121"/>
    </row>
    <row r="135" spans="2:7" x14ac:dyDescent="0.25">
      <c r="B135" s="122"/>
      <c r="G135" s="121"/>
    </row>
    <row r="136" spans="2:7" x14ac:dyDescent="0.25">
      <c r="B136" s="122"/>
      <c r="G136" s="121"/>
    </row>
    <row r="137" spans="2:7" x14ac:dyDescent="0.25">
      <c r="B137" s="122"/>
      <c r="G137" s="121"/>
    </row>
    <row r="138" spans="2:7" x14ac:dyDescent="0.25">
      <c r="B138" s="122"/>
      <c r="G138" s="121"/>
    </row>
    <row r="139" spans="2:7" x14ac:dyDescent="0.25">
      <c r="B139" s="122"/>
      <c r="G139" s="121"/>
    </row>
    <row r="140" spans="2:7" x14ac:dyDescent="0.25">
      <c r="B140" s="122"/>
      <c r="G140" s="121"/>
    </row>
    <row r="141" spans="2:7" x14ac:dyDescent="0.25">
      <c r="B141" s="122"/>
      <c r="G141" s="121"/>
    </row>
    <row r="142" spans="2:7" x14ac:dyDescent="0.25">
      <c r="B142" s="122"/>
      <c r="G142" s="121"/>
    </row>
    <row r="143" spans="2:7" x14ac:dyDescent="0.25">
      <c r="B143" s="122"/>
      <c r="G143" s="121"/>
    </row>
    <row r="144" spans="2:7" x14ac:dyDescent="0.25">
      <c r="B144" s="122"/>
      <c r="G144" s="121"/>
    </row>
    <row r="145" spans="2:7" x14ac:dyDescent="0.25">
      <c r="B145" s="122"/>
      <c r="G145" s="121"/>
    </row>
    <row r="146" spans="2:7" x14ac:dyDescent="0.25">
      <c r="B146" s="122"/>
      <c r="G146" s="121"/>
    </row>
    <row r="147" spans="2:7" x14ac:dyDescent="0.25">
      <c r="B147" s="122"/>
      <c r="G147" s="121"/>
    </row>
    <row r="148" spans="2:7" x14ac:dyDescent="0.25">
      <c r="B148" s="122"/>
      <c r="G148" s="121"/>
    </row>
    <row r="149" spans="2:7" x14ac:dyDescent="0.25">
      <c r="B149" s="122"/>
      <c r="G149" s="121"/>
    </row>
    <row r="150" spans="2:7" x14ac:dyDescent="0.25">
      <c r="B150" s="122"/>
      <c r="G150" s="121"/>
    </row>
    <row r="151" spans="2:7" x14ac:dyDescent="0.25">
      <c r="B151" s="122"/>
      <c r="G151" s="121"/>
    </row>
    <row r="152" spans="2:7" x14ac:dyDescent="0.25">
      <c r="B152" s="122"/>
      <c r="G152" s="121"/>
    </row>
    <row r="153" spans="2:7" x14ac:dyDescent="0.25">
      <c r="B153" s="122"/>
      <c r="G153" s="121"/>
    </row>
    <row r="154" spans="2:7" x14ac:dyDescent="0.25">
      <c r="B154" s="122"/>
      <c r="G154" s="121"/>
    </row>
    <row r="155" spans="2:7" x14ac:dyDescent="0.25">
      <c r="B155" s="122"/>
      <c r="G155" s="121"/>
    </row>
    <row r="156" spans="2:7" x14ac:dyDescent="0.25">
      <c r="B156" s="122"/>
      <c r="G156" s="121"/>
    </row>
    <row r="157" spans="2:7" x14ac:dyDescent="0.25">
      <c r="B157" s="122"/>
      <c r="G157" s="121"/>
    </row>
    <row r="158" spans="2:7" x14ac:dyDescent="0.25">
      <c r="B158" s="122"/>
      <c r="G158" s="121"/>
    </row>
    <row r="159" spans="2:7" x14ac:dyDescent="0.25">
      <c r="B159" s="122"/>
      <c r="G159" s="121"/>
    </row>
    <row r="160" spans="2:7" x14ac:dyDescent="0.25">
      <c r="B160" s="122"/>
      <c r="G160" s="121"/>
    </row>
    <row r="161" spans="2:7" x14ac:dyDescent="0.25">
      <c r="B161" s="122"/>
      <c r="G161" s="121"/>
    </row>
    <row r="162" spans="2:7" x14ac:dyDescent="0.25">
      <c r="B162" s="122"/>
      <c r="G162" s="121"/>
    </row>
    <row r="163" spans="2:7" x14ac:dyDescent="0.25">
      <c r="B163" s="122"/>
      <c r="G163" s="121"/>
    </row>
    <row r="164" spans="2:7" x14ac:dyDescent="0.25">
      <c r="B164" s="122"/>
      <c r="G164" s="121"/>
    </row>
    <row r="165" spans="2:7" x14ac:dyDescent="0.25">
      <c r="B165" s="122"/>
      <c r="G165" s="121"/>
    </row>
    <row r="166" spans="2:7" x14ac:dyDescent="0.25">
      <c r="B166" s="125"/>
      <c r="C166" s="126"/>
      <c r="D166" s="127"/>
      <c r="E166" s="127"/>
      <c r="F166" s="127"/>
      <c r="G166" s="128"/>
    </row>
  </sheetData>
  <dataValidations count="1">
    <dataValidation type="list" allowBlank="1" showInputMessage="1" showErrorMessage="1" sqref="B6:B9" xr:uid="{ECB4FCFE-B3F0-4C5C-9A38-771FF5B2CF5D}">
      <formula1>"Tier 1,Tier 2,Tier 3,Tier 4"</formula1>
    </dataValidation>
  </dataValidations>
  <hyperlinks>
    <hyperlink ref="P4" r:id="rId1" xr:uid="{03F98462-6B70-4BB5-9DB8-C9B4750236DD}"/>
    <hyperlink ref="P3" r:id="rId2" display="https://www.gfgalliance.com/whyalla-transformation/about-the-steelworks/" xr:uid="{8A2A0405-8215-43AD-8253-D12142BCE24F}"/>
  </hyperlink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E6D537-A35D-40E0-91BD-545913066E44}">
  <sheetPr codeName="Sheet25">
    <tabColor rgb="FF00CCFF"/>
  </sheetPr>
  <dimension ref="A1:R166"/>
  <sheetViews>
    <sheetView showGridLines="0" zoomScale="80" zoomScaleNormal="80" workbookViewId="0"/>
  </sheetViews>
  <sheetFormatPr defaultRowHeight="13.2" x14ac:dyDescent="0.25"/>
  <cols>
    <col min="1" max="1" width="26.109375" customWidth="1"/>
    <col min="2" max="2" width="128.88671875" customWidth="1"/>
    <col min="3" max="3" width="21" customWidth="1"/>
    <col min="4" max="6" width="19.88671875" style="96" customWidth="1"/>
    <col min="7" max="7" width="23.5546875" style="96" customWidth="1"/>
    <col min="8" max="8" width="14.44140625" customWidth="1"/>
    <col min="11" max="11" width="25.109375" customWidth="1"/>
    <col min="12" max="12" width="14.44140625" customWidth="1"/>
    <col min="13" max="13" width="8.88671875" customWidth="1"/>
    <col min="14" max="14" width="10.109375" customWidth="1"/>
    <col min="15" max="15" width="26.5546875" customWidth="1"/>
    <col min="16" max="16" width="109.44140625" customWidth="1"/>
  </cols>
  <sheetData>
    <row r="1" spans="1:18" x14ac:dyDescent="0.25">
      <c r="A1" s="4" t="str" cm="1">
        <f t="array" aca="1" ref="A1" ca="1">MID(CELL("filename",A1),FIND("]",CELL("filename",A1))+1,255)</f>
        <v>Structural_steel_cold_painted</v>
      </c>
      <c r="J1" s="4" t="s">
        <v>4101</v>
      </c>
    </row>
    <row r="2" spans="1:18" x14ac:dyDescent="0.25">
      <c r="A2" s="4"/>
      <c r="L2" t="s">
        <v>4103</v>
      </c>
      <c r="M2" t="s">
        <v>4104</v>
      </c>
      <c r="N2" t="s">
        <v>4105</v>
      </c>
      <c r="O2" t="s">
        <v>4118</v>
      </c>
      <c r="P2" t="s">
        <v>4107</v>
      </c>
    </row>
    <row r="3" spans="1:18" x14ac:dyDescent="0.25">
      <c r="A3" s="4" t="s">
        <v>4048</v>
      </c>
      <c r="B3" t="s">
        <v>4158</v>
      </c>
      <c r="K3" t="s">
        <v>4120</v>
      </c>
      <c r="L3">
        <f>1.2+0.475</f>
        <v>1.6749999999999998</v>
      </c>
      <c r="M3" t="s">
        <v>4109</v>
      </c>
      <c r="N3" s="156">
        <f>L3/$L$6</f>
        <v>0.26942255106964774</v>
      </c>
      <c r="O3">
        <f>L3/(L3+L4)</f>
        <v>0.35828877005347592</v>
      </c>
      <c r="P3" s="36" t="s">
        <v>4121</v>
      </c>
    </row>
    <row r="4" spans="1:18" x14ac:dyDescent="0.25">
      <c r="A4" s="4"/>
      <c r="K4" t="s">
        <v>4122</v>
      </c>
      <c r="L4">
        <v>3</v>
      </c>
      <c r="M4" t="s">
        <v>4109</v>
      </c>
      <c r="N4" s="156">
        <f t="shared" ref="N4:N5" si="0">L4/$L$6</f>
        <v>0.48254785266205569</v>
      </c>
      <c r="O4">
        <f>L4/(L4+L3)</f>
        <v>0.64171122994652408</v>
      </c>
      <c r="P4" s="36" t="s">
        <v>4123</v>
      </c>
    </row>
    <row r="5" spans="1:18" ht="73.5" customHeight="1" x14ac:dyDescent="0.25">
      <c r="A5" s="26" t="s">
        <v>4050</v>
      </c>
      <c r="B5" s="14" t="s">
        <v>4151</v>
      </c>
      <c r="L5">
        <v>1.542</v>
      </c>
      <c r="M5" t="s">
        <v>4109</v>
      </c>
      <c r="N5" s="156">
        <f t="shared" si="0"/>
        <v>0.24802959626829663</v>
      </c>
    </row>
    <row r="6" spans="1:18" x14ac:dyDescent="0.25">
      <c r="A6" s="26" t="s">
        <v>4052</v>
      </c>
      <c r="B6" s="27" t="s">
        <v>69</v>
      </c>
      <c r="L6">
        <f>SUM(L3:L5)</f>
        <v>6.2169999999999996</v>
      </c>
      <c r="M6" t="s">
        <v>4109</v>
      </c>
      <c r="N6" s="37"/>
    </row>
    <row r="7" spans="1:18" x14ac:dyDescent="0.25">
      <c r="A7" s="26" t="s">
        <v>4053</v>
      </c>
      <c r="B7" s="27" t="s">
        <v>68</v>
      </c>
      <c r="L7" t="s">
        <v>4159</v>
      </c>
      <c r="M7" t="s">
        <v>148</v>
      </c>
      <c r="N7" t="s">
        <v>4160</v>
      </c>
      <c r="O7" t="s">
        <v>149</v>
      </c>
    </row>
    <row r="8" spans="1:18" x14ac:dyDescent="0.25">
      <c r="A8" s="26" t="s">
        <v>4054</v>
      </c>
      <c r="B8" s="27" t="s">
        <v>69</v>
      </c>
      <c r="K8" s="129" t="s">
        <v>4126</v>
      </c>
      <c r="L8" s="118">
        <f>SUMIF(_xlfn.ANCHORARRAY($B$23),"*"&amp;"Infrabuild"&amp;"*",_xlfn.ANCHORARRAY(D23))/COUNTIF(_xlfn.ANCHORARRAY($B$23),"*"&amp;"Infrabuild"&amp;"*")</f>
        <v>1392.7272727272727</v>
      </c>
      <c r="M8" s="118">
        <f t="shared" ref="M8:O8" si="1">SUMIF(_xlfn.ANCHORARRAY($B$23),"*"&amp;"Infrabuild"&amp;"*",_xlfn.ANCHORARRAY(E23))/COUNTIF(_xlfn.ANCHORARRAY($B$23),"*"&amp;"Infrabuild"&amp;"*")</f>
        <v>1.3927272727272728</v>
      </c>
      <c r="N8" s="118">
        <f t="shared" si="1"/>
        <v>0</v>
      </c>
      <c r="O8" s="119">
        <f t="shared" si="1"/>
        <v>0</v>
      </c>
    </row>
    <row r="9" spans="1:18" x14ac:dyDescent="0.25">
      <c r="A9" s="26" t="s">
        <v>4055</v>
      </c>
      <c r="B9" s="4" t="s">
        <v>69</v>
      </c>
      <c r="K9" s="122" t="s">
        <v>4127</v>
      </c>
      <c r="L9" s="96">
        <f>(SUMIF(_xlfn.ANCHORARRAY($B$23),"*"&amp;"Bluescope"&amp;"*",_xlfn.ANCHORARRAY(D23))+SUMIF(_xlfn.ANCHORARRAY($B$23),"*"&amp;"Rondo"&amp;"*",_xlfn.ANCHORARRAY(D23)))/(COUNTIF(_xlfn.ANCHORARRAY($B$23),"*"&amp;"Bluescope"&amp;"*")+COUNTIF(_xlfn.ANCHORARRAY($B$23),"*"&amp;"Rondo"&amp;"*"))</f>
        <v>3012.9821218000197</v>
      </c>
      <c r="M9" s="96">
        <f t="shared" ref="M9:O9" si="2">(SUMIF(_xlfn.ANCHORARRAY($B$23),"*"&amp;"Bluescope"&amp;"*",_xlfn.ANCHORARRAY(E23))+SUMIF(_xlfn.ANCHORARRAY($B$23),"*"&amp;"Rondo"&amp;"*",_xlfn.ANCHORARRAY(E23)))/(COUNTIF(_xlfn.ANCHORARRAY($B$23),"*"&amp;"Bluescope"&amp;"*")+COUNTIF(_xlfn.ANCHORARRAY($B$23),"*"&amp;"Rondo"&amp;"*"))</f>
        <v>3.0129821218000203</v>
      </c>
      <c r="N9" s="96">
        <f t="shared" si="2"/>
        <v>0</v>
      </c>
      <c r="O9" s="121">
        <f t="shared" si="2"/>
        <v>0</v>
      </c>
    </row>
    <row r="10" spans="1:18" x14ac:dyDescent="0.25">
      <c r="A10" s="26"/>
      <c r="B10" s="4"/>
      <c r="K10" s="122"/>
      <c r="L10" s="96"/>
      <c r="M10" s="96"/>
      <c r="N10" s="96"/>
      <c r="O10" s="121"/>
    </row>
    <row r="11" spans="1:18" x14ac:dyDescent="0.25">
      <c r="A11" s="26" t="s">
        <v>4056</v>
      </c>
      <c r="B11" s="14" t="s">
        <v>4130</v>
      </c>
      <c r="K11" s="125" t="s">
        <v>4116</v>
      </c>
      <c r="L11" s="126">
        <f>SUMPRODUCT(L8:L9,$O$3:$O$4)</f>
        <v>2432.4630047525652</v>
      </c>
      <c r="M11" s="126">
        <f t="shared" ref="M11:O11" si="3">SUMPRODUCT(M8:M9,$O$3:$O$4)</f>
        <v>2.4324630047525653</v>
      </c>
      <c r="N11" s="126">
        <f t="shared" si="3"/>
        <v>0</v>
      </c>
      <c r="O11" s="126">
        <f t="shared" si="3"/>
        <v>0</v>
      </c>
    </row>
    <row r="12" spans="1:18" x14ac:dyDescent="0.25">
      <c r="A12" s="101"/>
    </row>
    <row r="13" spans="1:18" x14ac:dyDescent="0.25">
      <c r="A13" s="101"/>
    </row>
    <row r="14" spans="1:18" x14ac:dyDescent="0.25">
      <c r="A14" s="26" t="s">
        <v>4057</v>
      </c>
      <c r="N14" s="156"/>
      <c r="P14" s="36"/>
    </row>
    <row r="15" spans="1:18" x14ac:dyDescent="0.25">
      <c r="A15" s="26"/>
      <c r="D15" s="112" t="s">
        <v>4058</v>
      </c>
      <c r="E15" s="113"/>
      <c r="F15" s="114" t="s">
        <v>4059</v>
      </c>
      <c r="G15" s="113"/>
      <c r="K15" s="40" t="s">
        <v>4161</v>
      </c>
      <c r="L15" s="67"/>
      <c r="M15" s="67"/>
      <c r="N15" s="67"/>
      <c r="O15" s="67"/>
      <c r="P15" s="67"/>
      <c r="Q15" s="30" t="s">
        <v>4061</v>
      </c>
      <c r="R15" s="41">
        <f>MAX(R18:R61)</f>
        <v>0.11254968632719461</v>
      </c>
    </row>
    <row r="16" spans="1:18" ht="39.6" x14ac:dyDescent="0.25">
      <c r="B16" s="28" t="s">
        <v>3014</v>
      </c>
      <c r="C16" s="23" t="s">
        <v>23</v>
      </c>
      <c r="D16" s="24" t="s">
        <v>141</v>
      </c>
      <c r="E16" s="25" t="s">
        <v>148</v>
      </c>
      <c r="F16" s="24" t="s">
        <v>142</v>
      </c>
      <c r="G16" s="24" t="s">
        <v>149</v>
      </c>
      <c r="K16" s="169">
        <v>1.42</v>
      </c>
      <c r="L16" t="s">
        <v>4132</v>
      </c>
      <c r="M16" s="39" t="s">
        <v>4162</v>
      </c>
      <c r="Q16" s="4" t="s">
        <v>4136</v>
      </c>
      <c r="R16" s="42">
        <f>AVERAGE(R18:R61)</f>
        <v>5.8202589120583542E-2</v>
      </c>
    </row>
    <row r="17" spans="2:18" x14ac:dyDescent="0.25">
      <c r="B17" s="29"/>
      <c r="C17" s="30" t="s">
        <v>4060</v>
      </c>
      <c r="D17" s="118" t="str" cm="1">
        <f t="array" ref="D17">IF(AND(_xlfn.ANCHORARRAY(C23)=C23),C23,"Mixed")</f>
        <v>tonne</v>
      </c>
      <c r="E17" s="118" t="s">
        <v>219</v>
      </c>
      <c r="F17" s="118" t="str" cm="1">
        <f t="array" ref="F17">IF(AND(_xlfn.ANCHORARRAY(C23)=C23),C23,"Mixed")</f>
        <v>tonne</v>
      </c>
      <c r="G17" s="119" t="s">
        <v>219</v>
      </c>
      <c r="K17" s="32"/>
      <c r="M17" t="s">
        <v>23</v>
      </c>
      <c r="N17" t="s">
        <v>4163</v>
      </c>
      <c r="O17" t="s">
        <v>4164</v>
      </c>
      <c r="P17" t="s">
        <v>143</v>
      </c>
      <c r="R17" s="124" t="s">
        <v>4149</v>
      </c>
    </row>
    <row r="18" spans="2:18" s="14" customFormat="1" x14ac:dyDescent="0.25">
      <c r="B18" s="31"/>
      <c r="C18" s="35" t="s">
        <v>4061</v>
      </c>
      <c r="D18" s="162">
        <f>MAX(_xlfn.ANCHORARRAY(D23))*(1+$R$15)</f>
        <v>4294.4417892229712</v>
      </c>
      <c r="E18" s="162">
        <f t="shared" ref="E18:G18" si="4">MAX(_xlfn.ANCHORARRAY(E23))*(1+$R$15)</f>
        <v>4.2944417892229714</v>
      </c>
      <c r="F18" s="162">
        <f t="shared" si="4"/>
        <v>0</v>
      </c>
      <c r="G18" s="162">
        <f t="shared" si="4"/>
        <v>0</v>
      </c>
      <c r="H18"/>
      <c r="K18" s="122" t="s">
        <v>3037</v>
      </c>
      <c r="L18"/>
      <c r="M18" t="s">
        <v>4165</v>
      </c>
      <c r="N18">
        <v>24.083100000000002</v>
      </c>
      <c r="O18">
        <v>24.1</v>
      </c>
      <c r="P18">
        <v>2.9298175182481754</v>
      </c>
      <c r="Q18"/>
      <c r="R18" s="170">
        <f>$K$16/($K$16+N18)</f>
        <v>5.5679505628727477E-2</v>
      </c>
    </row>
    <row r="19" spans="2:18" x14ac:dyDescent="0.25">
      <c r="B19" s="122"/>
      <c r="C19" s="4" t="s">
        <v>4062</v>
      </c>
      <c r="D19" s="96">
        <f>MIN(_xlfn.ANCHORARRAY(D23))</f>
        <v>1240</v>
      </c>
      <c r="E19" s="96">
        <f t="shared" ref="E19:G19" si="5">MIN(_xlfn.ANCHORARRAY(E23))</f>
        <v>1.24</v>
      </c>
      <c r="F19" s="96">
        <f t="shared" si="5"/>
        <v>0</v>
      </c>
      <c r="G19" s="121">
        <f t="shared" si="5"/>
        <v>0</v>
      </c>
      <c r="K19" s="122" t="s">
        <v>3029</v>
      </c>
      <c r="M19" t="s">
        <v>4165</v>
      </c>
      <c r="N19">
        <v>24.97</v>
      </c>
      <c r="O19">
        <v>25.2</v>
      </c>
      <c r="P19">
        <v>3.0377128953771284</v>
      </c>
      <c r="R19" s="170">
        <f t="shared" ref="R19:R61" si="6">$K$16/($K$16+N19)</f>
        <v>5.3808260704812427E-2</v>
      </c>
    </row>
    <row r="20" spans="2:18" x14ac:dyDescent="0.25">
      <c r="B20" s="122"/>
      <c r="C20" s="35" t="s">
        <v>4117</v>
      </c>
      <c r="D20" s="162">
        <f>L11*(1+$R$15)</f>
        <v>2706.2359529399719</v>
      </c>
      <c r="E20" s="162">
        <f t="shared" ref="E20:G20" si="7">M11*(1+$R$15)</f>
        <v>2.7062359529399718</v>
      </c>
      <c r="F20" s="162">
        <f t="shared" si="7"/>
        <v>0</v>
      </c>
      <c r="G20" s="162">
        <f t="shared" si="7"/>
        <v>0</v>
      </c>
      <c r="K20" s="122" t="s">
        <v>3038</v>
      </c>
      <c r="M20" t="s">
        <v>4165</v>
      </c>
      <c r="N20">
        <v>28.1844</v>
      </c>
      <c r="O20">
        <v>28.2</v>
      </c>
      <c r="P20">
        <v>2.8788968335035752</v>
      </c>
      <c r="R20" s="170">
        <f t="shared" si="6"/>
        <v>4.7965842915242328E-2</v>
      </c>
    </row>
    <row r="21" spans="2:18" x14ac:dyDescent="0.25">
      <c r="B21" s="122"/>
      <c r="C21" s="4" t="s">
        <v>4063</v>
      </c>
      <c r="D21" s="96">
        <f>AVERAGE(_xlfn.ANCHORARRAY(D23))*(1+$R$15)</f>
        <v>3021.6130767652908</v>
      </c>
      <c r="E21" s="96">
        <f>AVERAGE(_xlfn.ANCHORARRAY(E23))*(1+$R$15)</f>
        <v>3.0216130767652913</v>
      </c>
      <c r="F21" s="96">
        <f t="shared" ref="F21:G21" si="8">AVERAGE(_xlfn.ANCHORARRAY(F23))*(1+$R$15)</f>
        <v>0</v>
      </c>
      <c r="G21" s="96">
        <f t="shared" si="8"/>
        <v>0</v>
      </c>
      <c r="K21" s="122" t="s">
        <v>3026</v>
      </c>
      <c r="M21" t="s">
        <v>4165</v>
      </c>
      <c r="N21">
        <v>29.231000000000002</v>
      </c>
      <c r="O21">
        <v>29.5</v>
      </c>
      <c r="P21">
        <v>2.9858018386108278</v>
      </c>
      <c r="R21" s="170">
        <f t="shared" si="6"/>
        <v>4.6328015399171307E-2</v>
      </c>
    </row>
    <row r="22" spans="2:18" x14ac:dyDescent="0.25">
      <c r="B22" s="32" t="s">
        <v>4064</v>
      </c>
      <c r="D22"/>
      <c r="E22"/>
      <c r="F22"/>
      <c r="G22" s="124"/>
      <c r="K22" s="122" t="s">
        <v>3039</v>
      </c>
      <c r="M22" t="s">
        <v>4165</v>
      </c>
      <c r="N22">
        <v>34.386299999999999</v>
      </c>
      <c r="O22">
        <v>34.4</v>
      </c>
      <c r="P22">
        <v>2.8301481481481479</v>
      </c>
      <c r="R22" s="170">
        <f t="shared" si="6"/>
        <v>3.9657825578180372E-2</v>
      </c>
    </row>
    <row r="23" spans="2:18" x14ac:dyDescent="0.25">
      <c r="B23" s="122" t="str" cm="1">
        <f t="array" ref="B23:B82">_xlfn.UNIQUE(_xlfn._xlws.FILTER('EPD List'!D:D,ISNUMBER(SEARCH(B16,'EPD List'!C:C)),0))</f>
        <v>Steel, Structural purlins and grits (cold - rolled), GALVASPAN® steel in 3.00mm base metal thickness (BMT), incl. rollforming (Bluescope)</v>
      </c>
      <c r="C23" t="str" cm="1">
        <f t="array" ref="C23:C82">_xlfn.IFNA(INDEX('EPD List'!$A:$AB,MATCH(_xlfn.ANCHORARRAY(B23),'EPD List'!$D:$D,0),MATCH(C$16,'EPD List'!$7:$7,0)),"")</f>
        <v>tonne</v>
      </c>
      <c r="D23" s="96" cm="1">
        <f t="array" ref="D23:D82">_xlfn.IFNA(VALUE((INDEX('EPD List'!$A:$AD,MATCH(_xlfn.ANCHORARRAY($B23),'EPD List'!$D:$D,0),MATCH(D$16,'EPD List'!$7:$7,0)))),"")</f>
        <v>2846.9899665551839</v>
      </c>
      <c r="E23" s="96" cm="1">
        <f t="array" ref="E23:E82">_xlfn.IFNA(VALUE((INDEX('EPD List'!$A:$AD,MATCH(_xlfn.ANCHORARRAY($B23),'EPD List'!$D:$D,0),MATCH(E$16,'EPD List'!$7:$7,0)))),"")</f>
        <v>2.8469899665551837</v>
      </c>
      <c r="F23" s="96" cm="1">
        <f t="array" ref="F23:F82">_xlfn.IFNA(VALUE((INDEX('EPD List'!$A:$AD,MATCH(_xlfn.ANCHORARRAY($B23),'EPD List'!$D:$D,0),MATCH(F$16,'EPD List'!$7:$7,0)))),"")</f>
        <v>0</v>
      </c>
      <c r="G23" s="121" cm="1">
        <f t="array" ref="G23:G82">_xlfn.IFNA(VALUE((INDEX('EPD List'!$A:$AD,MATCH(_xlfn.ANCHORARRAY($B23),'EPD List'!$D:$D,0),MATCH(G$16,'EPD List'!$7:$7,0)))),"")</f>
        <v>0</v>
      </c>
      <c r="H23" t="s">
        <v>4154</v>
      </c>
      <c r="K23" s="122" t="s">
        <v>3024</v>
      </c>
      <c r="M23" t="s">
        <v>4165</v>
      </c>
      <c r="N23">
        <v>35.571999999999996</v>
      </c>
      <c r="O23">
        <v>35.9</v>
      </c>
      <c r="P23">
        <v>2.9277366255144028</v>
      </c>
      <c r="R23" s="170">
        <f t="shared" si="6"/>
        <v>3.838667820069204E-2</v>
      </c>
    </row>
    <row r="24" spans="2:18" x14ac:dyDescent="0.25">
      <c r="B24" s="122" t="str">
        <v>Steel, Structural purlins and grits (cold - rolled), GALVASPAN® steel in 2.40mm base metal thickness (BMT), incl. rollforming (Bluescope)</v>
      </c>
      <c r="C24" t="str">
        <v>tonne</v>
      </c>
      <c r="D24" s="96">
        <v>2873.5033836543471</v>
      </c>
      <c r="E24" s="96">
        <v>2.8735033836543469</v>
      </c>
      <c r="F24" s="96">
        <v>0</v>
      </c>
      <c r="G24" s="121">
        <v>0</v>
      </c>
      <c r="H24" t="s">
        <v>4154</v>
      </c>
      <c r="K24" s="122" t="s">
        <v>3040</v>
      </c>
      <c r="M24" t="s">
        <v>4165</v>
      </c>
      <c r="N24">
        <v>42.588799999999999</v>
      </c>
      <c r="O24">
        <v>42.6</v>
      </c>
      <c r="P24">
        <v>2.7854022236756051</v>
      </c>
      <c r="R24" s="170">
        <f t="shared" si="6"/>
        <v>3.2266274017923688E-2</v>
      </c>
    </row>
    <row r="25" spans="2:18" x14ac:dyDescent="0.25">
      <c r="B25" s="122" t="str">
        <v>Steel, Structural purlins and grits (cold - rolled), GALVASPAN® steel in 1.90mm base metal thickness (BMT), incl. rollforming (Bluescope)</v>
      </c>
      <c r="C25" t="str">
        <v>tonne</v>
      </c>
      <c r="D25" s="96">
        <v>2910.3989535644214</v>
      </c>
      <c r="E25" s="96">
        <v>2.9103989535644215</v>
      </c>
      <c r="F25" s="96">
        <v>0</v>
      </c>
      <c r="G25" s="121">
        <v>0</v>
      </c>
      <c r="H25" t="s">
        <v>4154</v>
      </c>
      <c r="K25" s="122" t="s">
        <v>3019</v>
      </c>
      <c r="M25" t="s">
        <v>4165</v>
      </c>
      <c r="N25">
        <v>44.093000000000004</v>
      </c>
      <c r="O25">
        <v>44.5</v>
      </c>
      <c r="P25">
        <v>2.8837802485284505</v>
      </c>
      <c r="R25" s="170">
        <f t="shared" si="6"/>
        <v>3.1199876958231707E-2</v>
      </c>
    </row>
    <row r="26" spans="2:18" x14ac:dyDescent="0.25">
      <c r="B26" s="122" t="str">
        <v>Steel, Structural framing (cold - rolled), TRUECORE® steel in 1.60mm base material thickness (BMT), incl. rollforming (Bluescope)</v>
      </c>
      <c r="C26" t="str">
        <v>tonne</v>
      </c>
      <c r="D26" s="96">
        <v>2908.8050314465404</v>
      </c>
      <c r="E26" s="96">
        <v>2.9088050314465406</v>
      </c>
      <c r="F26" s="96">
        <v>0</v>
      </c>
      <c r="G26" s="121">
        <v>0</v>
      </c>
      <c r="H26" t="s">
        <v>4154</v>
      </c>
      <c r="K26" s="122" t="s">
        <v>3041</v>
      </c>
      <c r="M26" t="s">
        <v>4165</v>
      </c>
      <c r="N26">
        <v>52.891889999999997</v>
      </c>
      <c r="O26">
        <v>52.9</v>
      </c>
      <c r="P26">
        <v>2.7533519000520559</v>
      </c>
      <c r="R26" s="170">
        <f t="shared" si="6"/>
        <v>2.6145287891840993E-2</v>
      </c>
    </row>
    <row r="27" spans="2:18" x14ac:dyDescent="0.25">
      <c r="B27" s="122" t="str">
        <v>Steel, Structural purlins and grits (cold - rolled), GALVASPAN® steel in 1.50mm base metal thickness (BMT), incl. rollforming (Bluescope)</v>
      </c>
      <c r="C27" t="str">
        <v>tonne</v>
      </c>
      <c r="D27" s="96">
        <v>2954.7325102880654</v>
      </c>
      <c r="E27" s="96">
        <v>2.9547325102880655</v>
      </c>
      <c r="F27" s="96">
        <v>0</v>
      </c>
      <c r="G27" s="121">
        <v>0</v>
      </c>
      <c r="H27" t="s">
        <v>4154</v>
      </c>
      <c r="K27" s="122" t="s">
        <v>3018</v>
      </c>
      <c r="M27" t="s">
        <v>4165</v>
      </c>
      <c r="N27">
        <v>54.695</v>
      </c>
      <c r="O27">
        <v>55.2</v>
      </c>
      <c r="P27">
        <v>2.8472149921915668</v>
      </c>
      <c r="R27" s="170">
        <f t="shared" si="6"/>
        <v>2.5305176868929875E-2</v>
      </c>
    </row>
    <row r="28" spans="2:18" x14ac:dyDescent="0.25">
      <c r="B28" s="122" t="str">
        <v>Steel, Structural framing (cold - rolled), TRUECORE® steel in 1.50mm base material thickness (BMT), incl. rollforming (Bluescope)</v>
      </c>
      <c r="C28" t="str">
        <v>tonne</v>
      </c>
      <c r="D28" s="96">
        <v>2917.0159262363786</v>
      </c>
      <c r="E28" s="96">
        <v>2.9170159262363784</v>
      </c>
      <c r="F28" s="96">
        <v>0</v>
      </c>
      <c r="G28" s="121">
        <v>0</v>
      </c>
      <c r="H28" t="s">
        <v>4154</v>
      </c>
      <c r="K28" s="122" t="s">
        <v>3049</v>
      </c>
      <c r="M28" t="s">
        <v>4165</v>
      </c>
      <c r="N28">
        <v>65.195639999999997</v>
      </c>
      <c r="O28">
        <v>65.2</v>
      </c>
      <c r="P28">
        <v>2.7255702341137122</v>
      </c>
      <c r="R28" s="170">
        <f t="shared" si="6"/>
        <v>2.131631550788974E-2</v>
      </c>
    </row>
    <row r="29" spans="2:18" x14ac:dyDescent="0.25">
      <c r="B29" s="122" t="str">
        <v>Steel, Structural purlins and grits (cold - rolled), GALVASPAN® steel in 1.20mm base metal thickness (BMT), incl. rollforming (Bluescope)</v>
      </c>
      <c r="C29" t="str">
        <v>tonne</v>
      </c>
      <c r="D29" s="96">
        <v>3013.2788559754854</v>
      </c>
      <c r="E29" s="96">
        <v>3.0132788559754853</v>
      </c>
      <c r="F29" s="96">
        <v>0</v>
      </c>
      <c r="G29" s="121">
        <v>0</v>
      </c>
      <c r="H29" t="s">
        <v>4154</v>
      </c>
      <c r="K29" s="122" t="s">
        <v>3015</v>
      </c>
      <c r="M29" t="s">
        <v>4165</v>
      </c>
      <c r="N29">
        <v>67.47699999999999</v>
      </c>
      <c r="O29">
        <v>68.099999999999994</v>
      </c>
      <c r="P29">
        <v>2.8209448160535109</v>
      </c>
      <c r="R29" s="170">
        <f t="shared" si="6"/>
        <v>2.0610476508411107E-2</v>
      </c>
    </row>
    <row r="30" spans="2:18" x14ac:dyDescent="0.25">
      <c r="B30" s="122" t="str">
        <v>Steel, Structural framing (cold - rolled), TRUECORE® steel in 1.20mm base material thickness (BMT), incl. rollforming (Bluescope)</v>
      </c>
      <c r="C30" t="str">
        <v>tonne</v>
      </c>
      <c r="D30" s="96">
        <v>2964.509394572025</v>
      </c>
      <c r="E30" s="96">
        <v>2.9645093945720249</v>
      </c>
      <c r="F30" s="96">
        <v>0</v>
      </c>
      <c r="G30" s="121">
        <v>0</v>
      </c>
      <c r="H30" t="s">
        <v>4154</v>
      </c>
      <c r="K30" s="122" t="s">
        <v>3043</v>
      </c>
      <c r="M30" t="s">
        <v>4165</v>
      </c>
      <c r="N30">
        <v>15.493270000000001</v>
      </c>
      <c r="O30">
        <v>15.5</v>
      </c>
      <c r="P30">
        <v>3.0498562992125984</v>
      </c>
      <c r="R30" s="170">
        <f t="shared" si="6"/>
        <v>8.3957744421983435E-2</v>
      </c>
    </row>
    <row r="31" spans="2:18" x14ac:dyDescent="0.25">
      <c r="B31" s="122" t="str">
        <v>Steel, Structural framing (cold - rolled), TRUECORE® steel in 1.15mm base material thickness (BMT), incl. rollforming (Bluescope)</v>
      </c>
      <c r="C31" t="str">
        <v>tonne</v>
      </c>
      <c r="D31" s="96">
        <v>2973.8562091503268</v>
      </c>
      <c r="E31" s="96">
        <v>2.9738562091503269</v>
      </c>
      <c r="F31" s="96">
        <v>0</v>
      </c>
      <c r="G31" s="121">
        <v>0</v>
      </c>
      <c r="H31" t="s">
        <v>4154</v>
      </c>
      <c r="K31" s="122" t="s">
        <v>3048</v>
      </c>
      <c r="M31" t="s">
        <v>4165</v>
      </c>
      <c r="N31">
        <v>16.994479999999999</v>
      </c>
      <c r="O31">
        <v>17</v>
      </c>
      <c r="P31">
        <v>3.3453700787401575</v>
      </c>
      <c r="R31" s="170">
        <f t="shared" si="6"/>
        <v>7.7113228285566576E-2</v>
      </c>
    </row>
    <row r="32" spans="2:18" x14ac:dyDescent="0.25">
      <c r="B32" s="122" t="str">
        <v>Steel, Structural purlins and grits (cold - rolled), GALVASPAN® steel in 1.00mm base metal thickness (BMT), incl. rollforming (Bluescope)</v>
      </c>
      <c r="C32" t="str">
        <v>tonne</v>
      </c>
      <c r="D32" s="96">
        <v>3065.6934306569342</v>
      </c>
      <c r="E32" s="96">
        <v>3.0656934306569341</v>
      </c>
      <c r="F32" s="96">
        <v>0</v>
      </c>
      <c r="G32" s="121">
        <v>0</v>
      </c>
      <c r="H32" t="s">
        <v>4154</v>
      </c>
      <c r="K32" s="122" t="s">
        <v>3046</v>
      </c>
      <c r="M32" t="s">
        <v>4165</v>
      </c>
      <c r="N32">
        <v>18.494209999999999</v>
      </c>
      <c r="O32">
        <v>18.5</v>
      </c>
      <c r="P32">
        <v>2.9543466453674121</v>
      </c>
      <c r="R32" s="170">
        <f t="shared" si="6"/>
        <v>7.1305866514413591E-2</v>
      </c>
    </row>
    <row r="33" spans="2:18" x14ac:dyDescent="0.25">
      <c r="B33" s="122" t="str">
        <v>Steel, Structural framing (cold - rolled), TRUECORE® steel in 1.00mm base material thickness (BMT), incl. rollforming (Bluescope)</v>
      </c>
      <c r="C33" t="str">
        <v>tonne</v>
      </c>
      <c r="D33" s="96">
        <v>3008.7390761548068</v>
      </c>
      <c r="E33" s="96">
        <v>3.0087390761548067</v>
      </c>
      <c r="F33" s="96">
        <v>0</v>
      </c>
      <c r="G33" s="121">
        <v>0</v>
      </c>
      <c r="H33" t="s">
        <v>4154</v>
      </c>
      <c r="K33" s="122" t="s">
        <v>3052</v>
      </c>
      <c r="M33" t="s">
        <v>4165</v>
      </c>
      <c r="N33">
        <v>19.995419999999999</v>
      </c>
      <c r="O33">
        <v>20</v>
      </c>
      <c r="P33">
        <v>3.1941565495207667</v>
      </c>
      <c r="R33" s="170">
        <f t="shared" si="6"/>
        <v>6.6307361704790291E-2</v>
      </c>
    </row>
    <row r="34" spans="2:18" x14ac:dyDescent="0.25">
      <c r="B34" s="122" t="str">
        <v>Steel, Structural framing (cold - rolled), TRUECORE® steel in 0.95mm base material thickness (BMT), incl. rollforming (Bluescope)</v>
      </c>
      <c r="C34" t="str">
        <v>tonne</v>
      </c>
      <c r="D34" s="96">
        <v>3022.3390275952693</v>
      </c>
      <c r="E34" s="96">
        <v>3.0223390275952693</v>
      </c>
      <c r="F34" s="96">
        <v>0</v>
      </c>
      <c r="G34" s="121">
        <v>0</v>
      </c>
      <c r="H34" t="s">
        <v>4155</v>
      </c>
      <c r="K34" s="122" t="s">
        <v>3047</v>
      </c>
      <c r="M34" t="s">
        <v>4165</v>
      </c>
      <c r="N34">
        <v>21.59515</v>
      </c>
      <c r="O34">
        <v>21.6</v>
      </c>
      <c r="P34">
        <v>2.9025739247311826</v>
      </c>
      <c r="R34" s="170">
        <f t="shared" si="6"/>
        <v>6.1698489907734688E-2</v>
      </c>
    </row>
    <row r="35" spans="2:18" x14ac:dyDescent="0.25">
      <c r="B35" s="122" t="str">
        <v>Steel, Structural framing (cold - rolled), TRUECORE® steel in 0.75mm base material thickness (BMT), incl. rollforming (Bluescope)</v>
      </c>
      <c r="C35" t="str">
        <v>tonne</v>
      </c>
      <c r="D35" s="96">
        <v>3096.0264900662251</v>
      </c>
      <c r="E35" s="96">
        <v>3.0960264900662251</v>
      </c>
      <c r="F35" s="96">
        <v>0</v>
      </c>
      <c r="G35" s="121">
        <v>0</v>
      </c>
      <c r="H35" t="s">
        <v>4155</v>
      </c>
      <c r="K35" s="122" t="s">
        <v>3053</v>
      </c>
      <c r="M35" t="s">
        <v>4165</v>
      </c>
      <c r="N35">
        <v>23.096360000000001</v>
      </c>
      <c r="O35">
        <v>23.1</v>
      </c>
      <c r="P35">
        <v>3.1043494623655912</v>
      </c>
      <c r="R35" s="170">
        <f t="shared" si="6"/>
        <v>5.7920506959434431E-2</v>
      </c>
    </row>
    <row r="36" spans="2:18" x14ac:dyDescent="0.25">
      <c r="B36" s="122" t="str">
        <v>Steel, Structural framing (cold - rolled), TRUECORE® steel in 0.60mm base material thickness (BMT), incl. rollforming (Bluescope)</v>
      </c>
      <c r="C36" t="str">
        <v>tonne</v>
      </c>
      <c r="D36" s="96">
        <v>3182.7515400410675</v>
      </c>
      <c r="E36" s="96">
        <v>3.1827515400410675</v>
      </c>
      <c r="F36" s="96">
        <v>0</v>
      </c>
      <c r="G36" s="121">
        <v>0</v>
      </c>
      <c r="H36" t="s">
        <v>4155</v>
      </c>
      <c r="K36" s="122" t="s">
        <v>3050</v>
      </c>
      <c r="M36" t="s">
        <v>4165</v>
      </c>
      <c r="N36">
        <v>23.69577</v>
      </c>
      <c r="O36">
        <v>23.7</v>
      </c>
      <c r="P36">
        <v>2.8826970802919707</v>
      </c>
      <c r="R36" s="170">
        <f t="shared" si="6"/>
        <v>5.6538182982245819E-2</v>
      </c>
    </row>
    <row r="37" spans="2:18" x14ac:dyDescent="0.25">
      <c r="B37" s="122" t="str">
        <v>Steel, Structural framing (cold - rolled), TRUECORE® steel in 0.55mm base material thickness (BMT), incl. rollforming (Bluescope)</v>
      </c>
      <c r="C37" t="str">
        <v>tonne</v>
      </c>
      <c r="D37" s="96">
        <v>3221.4765100671143</v>
      </c>
      <c r="E37" s="96">
        <v>3.2214765100671143</v>
      </c>
      <c r="F37" s="96">
        <v>0</v>
      </c>
      <c r="G37" s="121">
        <v>0</v>
      </c>
      <c r="H37" t="s">
        <v>4155</v>
      </c>
      <c r="K37" s="122" t="s">
        <v>3051</v>
      </c>
      <c r="M37" t="s">
        <v>4165</v>
      </c>
      <c r="N37">
        <v>23.69577</v>
      </c>
      <c r="O37">
        <v>23.7</v>
      </c>
      <c r="P37">
        <v>2.8826970802919707</v>
      </c>
      <c r="R37" s="170">
        <f t="shared" si="6"/>
        <v>5.6538182982245819E-2</v>
      </c>
    </row>
    <row r="38" spans="2:18" x14ac:dyDescent="0.25">
      <c r="B38" s="122" t="str">
        <v>Steel, Structural framing (cold - rolled), TRUECORE® steel in 0.48mm base material thickness (BMT), incl. rollforming (Bluescope)</v>
      </c>
      <c r="C38" t="str">
        <v>tonne</v>
      </c>
      <c r="D38" s="96">
        <v>3290.8163265306125</v>
      </c>
      <c r="E38" s="96">
        <v>3.2908163265306127</v>
      </c>
      <c r="F38" s="96">
        <v>0</v>
      </c>
      <c r="G38" s="121">
        <v>0</v>
      </c>
      <c r="H38" t="s">
        <v>4155</v>
      </c>
      <c r="K38" s="122" t="s">
        <v>3059</v>
      </c>
      <c r="M38" t="s">
        <v>4165</v>
      </c>
      <c r="N38">
        <v>33.898899999999998</v>
      </c>
      <c r="O38">
        <v>33.9</v>
      </c>
      <c r="P38">
        <v>2.7923311367380559</v>
      </c>
      <c r="R38" s="170">
        <f t="shared" si="6"/>
        <v>4.0205102650422292E-2</v>
      </c>
    </row>
    <row r="39" spans="2:18" x14ac:dyDescent="0.25">
      <c r="B39" s="122" t="str">
        <v>Steel, Structural framing (cold - rolled), TRUECORE® steel in 0.42mm base material thickness (BMT), incl. rollforming (Bluescope)</v>
      </c>
      <c r="C39" t="str">
        <v>tonne</v>
      </c>
      <c r="D39" s="96">
        <v>3362.31884057971</v>
      </c>
      <c r="E39" s="96">
        <v>3.36231884057971</v>
      </c>
      <c r="F39" s="96">
        <v>0</v>
      </c>
      <c r="G39" s="121">
        <v>0</v>
      </c>
      <c r="H39" t="s">
        <v>4155</v>
      </c>
      <c r="K39" s="122" t="s">
        <v>3114</v>
      </c>
      <c r="M39" t="s">
        <v>4165</v>
      </c>
      <c r="N39">
        <v>35.400109</v>
      </c>
      <c r="O39">
        <v>35.4</v>
      </c>
      <c r="P39">
        <v>2.9159892092257</v>
      </c>
      <c r="R39" s="170">
        <f t="shared" si="6"/>
        <v>3.8565882572482328E-2</v>
      </c>
    </row>
    <row r="40" spans="2:18" x14ac:dyDescent="0.25">
      <c r="B40" s="122" t="str">
        <v>Steel, Structural purlins and grits (cold - rolled), GALVASPAN® steel in 1.00mm base metal thickness (BMT) (Bluescope)</v>
      </c>
      <c r="C40" t="str">
        <v>tonne</v>
      </c>
      <c r="D40" s="96">
        <v>2931.873479318735</v>
      </c>
      <c r="E40" s="96">
        <v>2.9318734793187349</v>
      </c>
      <c r="F40" s="96">
        <v>0</v>
      </c>
      <c r="G40" s="121">
        <v>0</v>
      </c>
      <c r="H40" t="s">
        <v>4155</v>
      </c>
      <c r="K40" s="122" t="s">
        <v>3054</v>
      </c>
      <c r="M40" t="s">
        <v>4165</v>
      </c>
      <c r="N40">
        <v>11.19665</v>
      </c>
      <c r="O40">
        <v>11.2</v>
      </c>
      <c r="P40">
        <v>3.2454057971014492</v>
      </c>
      <c r="R40" s="170">
        <f t="shared" si="6"/>
        <v>0.11254968632719461</v>
      </c>
    </row>
    <row r="41" spans="2:18" x14ac:dyDescent="0.25">
      <c r="B41" s="122" t="str">
        <v>Steel, Structural purlins and grits (cold - rolled), GALVASPAN® steel in 1.20mm base metal thickness (BMT) (Bluescope)</v>
      </c>
      <c r="C41" t="str">
        <v>tonne</v>
      </c>
      <c r="D41" s="96">
        <v>2880.4902962206334</v>
      </c>
      <c r="E41" s="96">
        <v>2.8804902962206334</v>
      </c>
      <c r="F41" s="96">
        <v>0</v>
      </c>
      <c r="G41" s="121">
        <v>0</v>
      </c>
      <c r="H41" t="s">
        <v>4155</v>
      </c>
      <c r="K41" s="122" t="s">
        <v>3055</v>
      </c>
      <c r="M41" t="s">
        <v>4165</v>
      </c>
      <c r="N41">
        <v>12.397019999999999</v>
      </c>
      <c r="O41">
        <v>12.4</v>
      </c>
      <c r="P41">
        <v>3.1625051020408161</v>
      </c>
      <c r="R41" s="170">
        <f t="shared" si="6"/>
        <v>0.10277179883940242</v>
      </c>
    </row>
    <row r="42" spans="2:18" x14ac:dyDescent="0.25">
      <c r="B42" s="122" t="str">
        <v>Steel, Structural purlins and grits (cold - rolled), GALVASPAN® steel in 1.50mm base metal thickness (BMT) (Bluescope)</v>
      </c>
      <c r="C42" t="str">
        <v>tonne</v>
      </c>
      <c r="D42" s="96">
        <v>2831.2757201646091</v>
      </c>
      <c r="E42" s="96">
        <v>2.831275720164609</v>
      </c>
      <c r="F42" s="96">
        <v>0</v>
      </c>
      <c r="G42" s="121">
        <v>0</v>
      </c>
      <c r="H42" t="s">
        <v>4155</v>
      </c>
      <c r="K42" s="122" t="s">
        <v>3056</v>
      </c>
      <c r="M42" t="s">
        <v>4165</v>
      </c>
      <c r="N42">
        <v>13.897460000000001</v>
      </c>
      <c r="O42">
        <v>13.9</v>
      </c>
      <c r="P42">
        <v>3.1090514541387027</v>
      </c>
      <c r="R42" s="170">
        <f t="shared" si="6"/>
        <v>9.2704665133775441E-2</v>
      </c>
    </row>
    <row r="43" spans="2:18" x14ac:dyDescent="0.25">
      <c r="B43" s="122" t="str">
        <v>Steel, Structural purlins and grits (cold - rolled), GALVASPAN® steel in 1.90mm base metal thickness (BMT) (Bluescope)</v>
      </c>
      <c r="C43" t="str">
        <v>tonne</v>
      </c>
      <c r="D43" s="96">
        <v>2786.1347285807719</v>
      </c>
      <c r="E43" s="96">
        <v>2.7861347285807718</v>
      </c>
      <c r="F43" s="96">
        <v>0</v>
      </c>
      <c r="G43" s="121">
        <v>0</v>
      </c>
      <c r="H43" t="s">
        <v>4155</v>
      </c>
      <c r="K43" s="122" t="s">
        <v>3057</v>
      </c>
      <c r="M43" t="s">
        <v>4165</v>
      </c>
      <c r="N43">
        <v>14.897780000000001</v>
      </c>
      <c r="O43">
        <v>14.9</v>
      </c>
      <c r="P43">
        <v>3.0590924024640658</v>
      </c>
      <c r="R43" s="170">
        <f t="shared" si="6"/>
        <v>8.7021641424262372E-2</v>
      </c>
    </row>
    <row r="44" spans="2:18" x14ac:dyDescent="0.25">
      <c r="B44" s="122" t="str">
        <v>Steel, Structural purlins and grits (cold - rolled), GALVASPAN® steel in 2.40mm base metal thickness (BMT) (Bluescope)</v>
      </c>
      <c r="C44" t="str">
        <v>tonne</v>
      </c>
      <c r="D44" s="96">
        <v>2753.774076002082</v>
      </c>
      <c r="E44" s="96">
        <v>2.7537740760020819</v>
      </c>
      <c r="F44" s="96">
        <v>0</v>
      </c>
      <c r="G44" s="121">
        <v>0</v>
      </c>
      <c r="H44" t="s">
        <v>4155</v>
      </c>
      <c r="K44" s="122" t="s">
        <v>3058</v>
      </c>
      <c r="M44" t="s">
        <v>4165</v>
      </c>
      <c r="N44">
        <v>17.998709999999999</v>
      </c>
      <c r="O44">
        <v>18</v>
      </c>
      <c r="P44">
        <v>2.9799188741721854</v>
      </c>
      <c r="R44" s="170">
        <f t="shared" si="6"/>
        <v>7.3125351787013668E-2</v>
      </c>
    </row>
    <row r="45" spans="2:18" x14ac:dyDescent="0.25">
      <c r="B45" s="122" t="str">
        <v>Steel, Structural formwork and decking (cold - rolled), DECKFORM® steel in 0.60mm base material thickness (BMT) (Bluescope)</v>
      </c>
      <c r="C45" t="str">
        <v>tonne</v>
      </c>
      <c r="D45" s="96">
        <v>3051.1811023622045</v>
      </c>
      <c r="E45" s="96">
        <v>3.0511811023622046</v>
      </c>
      <c r="F45" s="96">
        <v>0</v>
      </c>
      <c r="G45" s="121">
        <v>0</v>
      </c>
      <c r="H45" t="s">
        <v>4155</v>
      </c>
      <c r="K45" s="122" t="s">
        <v>3060</v>
      </c>
      <c r="M45" t="s">
        <v>4165</v>
      </c>
      <c r="N45">
        <v>22.099962900000001</v>
      </c>
      <c r="O45">
        <v>22.1</v>
      </c>
      <c r="P45">
        <v>2.904068712220762</v>
      </c>
      <c r="R45" s="170">
        <f t="shared" si="6"/>
        <v>6.0374244893047845E-2</v>
      </c>
    </row>
    <row r="46" spans="2:18" x14ac:dyDescent="0.25">
      <c r="B46" s="122" t="str">
        <v>Steel, Structural formwork and decking (cold - rolled), DECKFORM® steel in 0.75mm base material thickness (BMT) (Bluescope)</v>
      </c>
      <c r="C46" t="str">
        <v>tonne</v>
      </c>
      <c r="D46" s="96">
        <v>2955.2715654952076</v>
      </c>
      <c r="E46" s="96">
        <v>2.9552715654952078</v>
      </c>
      <c r="F46" s="96">
        <v>0</v>
      </c>
      <c r="G46" s="121">
        <v>0</v>
      </c>
      <c r="H46" t="s">
        <v>4155</v>
      </c>
      <c r="K46" s="122" t="s">
        <v>3115</v>
      </c>
      <c r="M46" t="s">
        <v>4165</v>
      </c>
      <c r="N46">
        <v>23.100275</v>
      </c>
      <c r="O46">
        <v>23.1</v>
      </c>
      <c r="P46">
        <v>2.8839294631710364</v>
      </c>
      <c r="R46" s="170">
        <f t="shared" si="6"/>
        <v>5.7911259151865145E-2</v>
      </c>
    </row>
    <row r="47" spans="2:18" x14ac:dyDescent="0.25">
      <c r="B47" s="122" t="str">
        <v>Steel, Structural formwork and decking (cold - rolled), DECKFORM® steel in 0.90mm base material thickness (BMT) (Bluescope)</v>
      </c>
      <c r="C47" t="str">
        <v>tonne</v>
      </c>
      <c r="D47" s="96">
        <v>2903.2258064516132</v>
      </c>
      <c r="E47" s="96">
        <v>2.903225806451613</v>
      </c>
      <c r="F47" s="96">
        <v>0</v>
      </c>
      <c r="G47" s="121">
        <v>0</v>
      </c>
      <c r="H47" t="s">
        <v>4155</v>
      </c>
      <c r="K47" s="122" t="s">
        <v>3116</v>
      </c>
      <c r="M47" t="s">
        <v>4165</v>
      </c>
      <c r="N47">
        <v>26.20121</v>
      </c>
      <c r="O47">
        <v>26.2</v>
      </c>
      <c r="P47">
        <v>2.8541623093681916</v>
      </c>
      <c r="R47" s="170">
        <f t="shared" si="6"/>
        <v>5.1409768073158273E-2</v>
      </c>
    </row>
    <row r="48" spans="2:18" x14ac:dyDescent="0.25">
      <c r="B48" s="122" t="str">
        <v>Steel, Structural formwork and decking (cold - rolled), Low Glare DECKFORM® steel in 0.60mm base material thickness (BMT) (Bluescope)</v>
      </c>
      <c r="C48" t="str">
        <v>tonne</v>
      </c>
      <c r="D48" s="96">
        <v>3346.4566929133857</v>
      </c>
      <c r="E48" s="96">
        <v>3.3464566929133857</v>
      </c>
      <c r="F48" s="96">
        <v>0</v>
      </c>
      <c r="G48" s="121">
        <v>0</v>
      </c>
      <c r="H48" t="s">
        <v>4155</v>
      </c>
      <c r="K48" s="122" t="s">
        <v>3117</v>
      </c>
      <c r="M48" t="s">
        <v>4165</v>
      </c>
      <c r="N48">
        <v>27.201529999999998</v>
      </c>
      <c r="O48">
        <v>27.2</v>
      </c>
      <c r="P48">
        <v>2.8394081419624215</v>
      </c>
      <c r="R48" s="170">
        <f t="shared" si="6"/>
        <v>4.9613001121882723E-2</v>
      </c>
    </row>
    <row r="49" spans="2:18" x14ac:dyDescent="0.25">
      <c r="B49" s="122" t="str">
        <v>Steel, Structural purlins and grits (cold - rolled), GALVASPAN® steel in 3.00mm base metal thickness (BMT) (Bluescope)</v>
      </c>
      <c r="C49" t="str">
        <v>tonne</v>
      </c>
      <c r="D49" s="96">
        <v>2725.7525083612036</v>
      </c>
      <c r="E49" s="96">
        <v>2.7257525083612038</v>
      </c>
      <c r="F49" s="96">
        <v>0</v>
      </c>
      <c r="G49" s="121">
        <v>0</v>
      </c>
      <c r="H49" t="s">
        <v>4155</v>
      </c>
      <c r="K49" s="122" t="s">
        <v>3118</v>
      </c>
      <c r="M49" t="s">
        <v>4165</v>
      </c>
      <c r="N49">
        <v>33.403399999999998</v>
      </c>
      <c r="O49">
        <v>33.4</v>
      </c>
      <c r="P49">
        <v>2.7999497066219612</v>
      </c>
      <c r="R49" s="170">
        <f t="shared" si="6"/>
        <v>4.0777178563839257E-2</v>
      </c>
    </row>
    <row r="50" spans="2:18" x14ac:dyDescent="0.25">
      <c r="B50" s="122" t="str">
        <v>Steel, Structural formwork and decking (cold - rolled), DECKFORM® steel in 1.00mm base material thickness (BMT) (Bluescope)</v>
      </c>
      <c r="C50" t="str">
        <v>tonne</v>
      </c>
      <c r="D50" s="96">
        <v>2883.2116788321164</v>
      </c>
      <c r="E50" s="96">
        <v>2.8832116788321165</v>
      </c>
      <c r="F50" s="96">
        <v>0</v>
      </c>
      <c r="G50" s="121">
        <v>0</v>
      </c>
      <c r="H50" t="s">
        <v>4155</v>
      </c>
      <c r="K50" s="122" t="s">
        <v>3119</v>
      </c>
      <c r="M50" t="s">
        <v>4165</v>
      </c>
      <c r="N50">
        <v>35.404029999999999</v>
      </c>
      <c r="O50">
        <v>35.4</v>
      </c>
      <c r="P50">
        <v>2.7833356918238992</v>
      </c>
      <c r="R50" s="170">
        <f t="shared" si="6"/>
        <v>3.8561776101094854E-2</v>
      </c>
    </row>
    <row r="51" spans="2:18" x14ac:dyDescent="0.25">
      <c r="B51" s="122" t="str">
        <v>Steel, Structural formwork and decking (cold - rolled), Low Glare DECKFORM® steel in 1.00mm base material thickness (BMT) (Bluescope)</v>
      </c>
      <c r="C51" t="str">
        <v>tonne</v>
      </c>
      <c r="D51" s="96">
        <v>2883.2116788321164</v>
      </c>
      <c r="E51" s="96">
        <v>2.8832116788321165</v>
      </c>
      <c r="F51" s="96">
        <v>0</v>
      </c>
      <c r="G51" s="121">
        <v>0</v>
      </c>
      <c r="H51" t="s">
        <v>4155</v>
      </c>
      <c r="K51" s="122" t="s">
        <v>3036</v>
      </c>
      <c r="M51" t="s">
        <v>4165</v>
      </c>
      <c r="N51">
        <v>11.507299999999999</v>
      </c>
      <c r="O51">
        <v>11.6</v>
      </c>
      <c r="P51">
        <v>3.3354492753623184</v>
      </c>
      <c r="R51" s="170">
        <f t="shared" si="6"/>
        <v>0.10984505658567528</v>
      </c>
    </row>
    <row r="52" spans="2:18" x14ac:dyDescent="0.25">
      <c r="B52" s="122" t="str">
        <v>Steel, Structural formwork and decking (cold - rolled), Low Glare DECKFORM® steel in 0.75mm base material thickness (BMT) (Bluescope)</v>
      </c>
      <c r="C52" t="str">
        <v>tonne</v>
      </c>
      <c r="D52" s="96">
        <v>3194.8881789137381</v>
      </c>
      <c r="E52" s="96">
        <v>3.1948881789137382</v>
      </c>
      <c r="F52" s="96">
        <v>0</v>
      </c>
      <c r="G52" s="121">
        <v>0</v>
      </c>
      <c r="H52" t="s">
        <v>4155</v>
      </c>
      <c r="K52" s="122" t="s">
        <v>3035</v>
      </c>
      <c r="M52" t="s">
        <v>4165</v>
      </c>
      <c r="N52">
        <v>12.795</v>
      </c>
      <c r="O52">
        <v>12.9</v>
      </c>
      <c r="P52">
        <v>3.2640306122448979</v>
      </c>
      <c r="R52" s="170">
        <f t="shared" si="6"/>
        <v>9.9894477664438971E-2</v>
      </c>
    </row>
    <row r="53" spans="2:18" x14ac:dyDescent="0.25">
      <c r="B53" s="122" t="str">
        <v>Steel, Structural formwork and decking (cold - rolled), Low Glare DECKFORM® steel in 0.90mm base material thickness (BMT) (Bluescope)</v>
      </c>
      <c r="C53" t="str">
        <v>tonne</v>
      </c>
      <c r="D53" s="96">
        <v>3104.8387096774195</v>
      </c>
      <c r="E53" s="96">
        <v>3.1048387096774195</v>
      </c>
      <c r="F53" s="96">
        <v>0</v>
      </c>
      <c r="G53" s="121">
        <v>0</v>
      </c>
      <c r="H53" t="s">
        <v>4155</v>
      </c>
      <c r="K53" s="122" t="s">
        <v>3034</v>
      </c>
      <c r="M53" t="s">
        <v>4165</v>
      </c>
      <c r="N53">
        <v>14.282</v>
      </c>
      <c r="O53">
        <v>14.4</v>
      </c>
      <c r="P53">
        <v>3.1950782997762865</v>
      </c>
      <c r="R53" s="170">
        <f t="shared" si="6"/>
        <v>9.0434339574576486E-2</v>
      </c>
    </row>
    <row r="54" spans="2:18" x14ac:dyDescent="0.25">
      <c r="B54" s="122" t="str">
        <v>Steel, Structural framing (cold - rolled), TRUECORE® steel in 0.42mm base material thickness (BMT) (Bluescope)</v>
      </c>
      <c r="C54" t="str">
        <v>tonne</v>
      </c>
      <c r="D54" s="96">
        <v>3246.3768115942025</v>
      </c>
      <c r="E54" s="96">
        <v>3.2463768115942027</v>
      </c>
      <c r="F54" s="96">
        <v>0</v>
      </c>
      <c r="G54" s="121">
        <v>0</v>
      </c>
      <c r="H54" t="s">
        <v>4155</v>
      </c>
      <c r="K54" s="122" t="s">
        <v>3033</v>
      </c>
      <c r="M54" t="s">
        <v>4165</v>
      </c>
      <c r="N54">
        <v>15.372</v>
      </c>
      <c r="O54">
        <v>15.5</v>
      </c>
      <c r="P54">
        <v>3.1564681724845993</v>
      </c>
      <c r="R54" s="170">
        <f t="shared" si="6"/>
        <v>8.4564078132444015E-2</v>
      </c>
    </row>
    <row r="55" spans="2:18" x14ac:dyDescent="0.25">
      <c r="B55" s="122" t="str">
        <v>Steel, Structural framing (cold - rolled), TRUECORE® steel in 0.48mm base material thickness (BMT) (Bluescope)</v>
      </c>
      <c r="C55" t="str">
        <v>tonne</v>
      </c>
      <c r="D55" s="96">
        <v>3163.2653061224491</v>
      </c>
      <c r="E55" s="96">
        <v>3.1632653061224492</v>
      </c>
      <c r="F55" s="96">
        <v>0</v>
      </c>
      <c r="G55" s="121">
        <v>0</v>
      </c>
      <c r="H55" t="s">
        <v>4155</v>
      </c>
      <c r="K55" s="122" t="s">
        <v>3032</v>
      </c>
      <c r="M55" t="s">
        <v>4165</v>
      </c>
      <c r="N55">
        <v>18.541999999999998</v>
      </c>
      <c r="O55">
        <v>18.7</v>
      </c>
      <c r="P55">
        <v>3.0698675496688739</v>
      </c>
      <c r="R55" s="170">
        <f t="shared" si="6"/>
        <v>7.1135156797916044E-2</v>
      </c>
    </row>
    <row r="56" spans="2:18" x14ac:dyDescent="0.25">
      <c r="B56" s="122" t="str">
        <v>Steel, Structural framing (cold - rolled), TRUECORE® steel in 0.55mm base material thickness (BMT) (Bluescope)</v>
      </c>
      <c r="C56" t="str">
        <v>tonne</v>
      </c>
      <c r="D56" s="96">
        <v>3109.6196868008951</v>
      </c>
      <c r="E56" s="96">
        <v>3.1096196868008952</v>
      </c>
      <c r="F56" s="96">
        <v>0</v>
      </c>
      <c r="G56" s="121">
        <v>0</v>
      </c>
      <c r="H56" t="s">
        <v>4155</v>
      </c>
      <c r="K56" s="122" t="s">
        <v>3031</v>
      </c>
      <c r="M56" t="s">
        <v>4165</v>
      </c>
      <c r="N56">
        <v>22.803000000000001</v>
      </c>
      <c r="O56">
        <v>23</v>
      </c>
      <c r="P56">
        <v>2.9964520367936927</v>
      </c>
      <c r="R56" s="170">
        <f t="shared" si="6"/>
        <v>5.8621970854146888E-2</v>
      </c>
    </row>
    <row r="57" spans="2:18" x14ac:dyDescent="0.25">
      <c r="B57" s="122" t="str">
        <v>Steel, Structural framing (cold - rolled), TRUECORE® steel in 0.60mm base material thickness (BMT) (Bluescope)</v>
      </c>
      <c r="C57" t="str">
        <v>tonne</v>
      </c>
      <c r="D57" s="96">
        <v>3059.5482546201233</v>
      </c>
      <c r="E57" s="96">
        <v>3.0595482546201231</v>
      </c>
      <c r="F57" s="96">
        <v>0</v>
      </c>
      <c r="G57" s="121">
        <v>0</v>
      </c>
      <c r="H57" t="s">
        <v>4155</v>
      </c>
      <c r="K57" s="122" t="s">
        <v>3030</v>
      </c>
      <c r="M57" t="s">
        <v>4165</v>
      </c>
      <c r="N57">
        <v>23.893000000000001</v>
      </c>
      <c r="O57">
        <v>24.1</v>
      </c>
      <c r="P57">
        <v>2.9828963795255934</v>
      </c>
      <c r="R57" s="170">
        <f t="shared" si="6"/>
        <v>5.6097657330225564E-2</v>
      </c>
    </row>
    <row r="58" spans="2:18" x14ac:dyDescent="0.25">
      <c r="B58" s="122" t="str">
        <v>Steel, Structural framing (cold - rolled), TRUECORE® steel in 0.75mm base material thickness (BMT) (Bluescope)</v>
      </c>
      <c r="C58" t="str">
        <v>tonne</v>
      </c>
      <c r="D58" s="96">
        <v>2980.1324503311262</v>
      </c>
      <c r="E58" s="96">
        <v>2.9801324503311259</v>
      </c>
      <c r="F58" s="96">
        <v>0</v>
      </c>
      <c r="G58" s="121">
        <v>0</v>
      </c>
      <c r="H58" t="s">
        <v>4155</v>
      </c>
      <c r="K58" s="122" t="s">
        <v>3028</v>
      </c>
      <c r="M58" t="s">
        <v>4165</v>
      </c>
      <c r="N58">
        <v>27.064</v>
      </c>
      <c r="O58">
        <v>27.3</v>
      </c>
      <c r="P58">
        <v>2.9481481481481482</v>
      </c>
      <c r="R58" s="170">
        <f t="shared" si="6"/>
        <v>4.9852548799325928E-2</v>
      </c>
    </row>
    <row r="59" spans="2:18" x14ac:dyDescent="0.25">
      <c r="B59" s="122" t="str">
        <v>Steel, Structural formwork and decking (cold - rolled), DECKFORM® steel in 1.50mm base material thickness (BMT) (Bluescope)</v>
      </c>
      <c r="C59" t="str">
        <v>tonne</v>
      </c>
      <c r="D59" s="96">
        <v>2792.4217462932452</v>
      </c>
      <c r="E59" s="96">
        <v>2.792421746293245</v>
      </c>
      <c r="F59" s="96">
        <v>0</v>
      </c>
      <c r="G59" s="121">
        <v>0</v>
      </c>
      <c r="H59" t="s">
        <v>4155</v>
      </c>
      <c r="K59" s="122" t="s">
        <v>3027</v>
      </c>
      <c r="M59" t="s">
        <v>4165</v>
      </c>
      <c r="N59">
        <v>28.154</v>
      </c>
      <c r="O59">
        <v>28.4</v>
      </c>
      <c r="P59">
        <v>2.9388308977035491</v>
      </c>
      <c r="R59" s="170">
        <f t="shared" si="6"/>
        <v>4.8015148441198349E-2</v>
      </c>
    </row>
    <row r="60" spans="2:18" x14ac:dyDescent="0.25">
      <c r="B60" s="122" t="str">
        <v>Steel, Structural framing (cold - rolled), TRUECORE® steel in 0.95mm base material thickness (BMT) (Bluescope)</v>
      </c>
      <c r="C60" t="str">
        <v>tonne</v>
      </c>
      <c r="D60" s="96">
        <v>2904.0735873850194</v>
      </c>
      <c r="E60" s="96">
        <v>2.9040735873850196</v>
      </c>
      <c r="F60" s="96">
        <v>0</v>
      </c>
      <c r="G60" s="121">
        <v>0</v>
      </c>
      <c r="H60" t="s">
        <v>4155</v>
      </c>
      <c r="K60" s="122" t="s">
        <v>3025</v>
      </c>
      <c r="M60" t="s">
        <v>4165</v>
      </c>
      <c r="N60">
        <v>34.494999999999997</v>
      </c>
      <c r="O60">
        <v>34.799999999999997</v>
      </c>
      <c r="P60">
        <v>2.8914501257334448</v>
      </c>
      <c r="R60" s="170">
        <f t="shared" si="6"/>
        <v>3.953779757761381E-2</v>
      </c>
    </row>
    <row r="61" spans="2:18" x14ac:dyDescent="0.25">
      <c r="B61" s="122" t="str">
        <v>Steel, Structural sections (cold - rolled), Steel, equal angle (EA), merchant bar, unpainted, 25 x 25 x 3 mm to 100 x 100 x 12 mm,  (InfraBuild via Distributor IBSC), Australia</v>
      </c>
      <c r="C61" t="str">
        <v>tonne</v>
      </c>
      <c r="D61" s="96">
        <v>1520</v>
      </c>
      <c r="E61" s="96">
        <v>1.52</v>
      </c>
      <c r="F61" s="96">
        <v>0</v>
      </c>
      <c r="G61" s="121">
        <v>0</v>
      </c>
      <c r="H61" t="s">
        <v>4155</v>
      </c>
      <c r="K61" s="125" t="s">
        <v>3021</v>
      </c>
      <c r="L61" s="126"/>
      <c r="M61" s="126" t="s">
        <v>4165</v>
      </c>
      <c r="N61" s="126">
        <v>36.674999999999997</v>
      </c>
      <c r="O61" s="126">
        <v>37</v>
      </c>
      <c r="P61" s="126">
        <v>2.8832547169811318</v>
      </c>
      <c r="Q61" s="126"/>
      <c r="R61" s="171">
        <f t="shared" si="6"/>
        <v>3.727523297020606E-2</v>
      </c>
    </row>
    <row r="62" spans="2:18" x14ac:dyDescent="0.25">
      <c r="B62" s="122" t="str">
        <v>Steel, Structural sections (cold - rolled), Steel, unequal angles, merchant bar, unpainted, 65 x 50 x 5 mm to 125 x 75 x 12 mm,  (InfraBuild via Distributor IBSC), Australia</v>
      </c>
      <c r="C62" t="str">
        <v>tonne</v>
      </c>
      <c r="D62" s="96">
        <v>1520</v>
      </c>
      <c r="E62" s="96">
        <v>1.52</v>
      </c>
      <c r="F62" s="96">
        <v>0</v>
      </c>
      <c r="G62" s="121">
        <v>0</v>
      </c>
      <c r="H62" t="s">
        <v>4155</v>
      </c>
    </row>
    <row r="63" spans="2:18" x14ac:dyDescent="0.25">
      <c r="B63" s="122" t="str">
        <v>Steel, Structural sections (cold - rolled), Steel, parallel flange channels (PFC),  merchant bar, unpainted, 180 x 75 mm to 380 x 100 mm,  (InfraBuild via Distributor IBSC), Australia</v>
      </c>
      <c r="C63" t="str">
        <v>tonne</v>
      </c>
      <c r="D63" s="96">
        <v>1520</v>
      </c>
      <c r="E63" s="96">
        <v>1.52</v>
      </c>
      <c r="F63" s="96">
        <v>0</v>
      </c>
      <c r="G63" s="121">
        <v>0</v>
      </c>
      <c r="H63" t="s">
        <v>4155</v>
      </c>
    </row>
    <row r="64" spans="2:18" x14ac:dyDescent="0.25">
      <c r="B64" s="122" t="str">
        <v>Steel, Structural sections (cold - rolled), Steel, flat Bar (SEF), merchant bar, unpainted, 20 x 10 mm to 150 x 25 mm,  (InfraBuild via Distributor IBSC), Australia</v>
      </c>
      <c r="C64" t="str">
        <v>tonne</v>
      </c>
      <c r="D64" s="96">
        <v>1520</v>
      </c>
      <c r="E64" s="96">
        <v>1.52</v>
      </c>
      <c r="F64" s="96">
        <v>0</v>
      </c>
      <c r="G64" s="121">
        <v>0</v>
      </c>
      <c r="H64" t="s">
        <v>4155</v>
      </c>
    </row>
    <row r="65" spans="2:8" x14ac:dyDescent="0.25">
      <c r="B65" s="122" t="str">
        <v>Steel, Structural sections (cold - rolled), Steel, square Bar, merchant bar, unpainted, 10 mm to 40 mm,  (InfraBuild via Distributor IBSC), Australia</v>
      </c>
      <c r="C65" t="str">
        <v>tonne</v>
      </c>
      <c r="D65" s="96">
        <v>1520</v>
      </c>
      <c r="E65" s="96">
        <v>1.52</v>
      </c>
      <c r="F65" s="96">
        <v>0</v>
      </c>
      <c r="G65" s="121">
        <v>0</v>
      </c>
      <c r="H65" t="s">
        <v>4155</v>
      </c>
    </row>
    <row r="66" spans="2:8" x14ac:dyDescent="0.25">
      <c r="B66" s="122" t="str">
        <v>Steel, Structural sections (cold - rolled), Steel, round Bar, merchant bar, unpainted, 10 mm to 90 mm,  (InfraBuild via Distributor IBSC), Australia</v>
      </c>
      <c r="C66" t="str">
        <v>tonne</v>
      </c>
      <c r="D66" s="96">
        <v>1520</v>
      </c>
      <c r="E66" s="96">
        <v>1.52</v>
      </c>
      <c r="F66" s="96">
        <v>0</v>
      </c>
      <c r="G66" s="121">
        <v>0</v>
      </c>
      <c r="H66" t="s">
        <v>4155</v>
      </c>
    </row>
    <row r="67" spans="2:8" x14ac:dyDescent="0.25">
      <c r="B67" s="122" t="str">
        <v>Steel, Structural sections (cold - rolled), Steel, equal angle (EA), merchant bar, unpainted, 25 x 25 x 3 mm to 100 x 100 x 12 mm,  (InfraBuild, Australia), Australia</v>
      </c>
      <c r="C67" t="str">
        <v>tonne</v>
      </c>
      <c r="D67" s="96">
        <v>1240</v>
      </c>
      <c r="E67" s="96">
        <v>1.24</v>
      </c>
      <c r="F67" s="96">
        <v>0</v>
      </c>
      <c r="G67" s="121">
        <v>0</v>
      </c>
      <c r="H67" t="s">
        <v>4155</v>
      </c>
    </row>
    <row r="68" spans="2:8" x14ac:dyDescent="0.25">
      <c r="B68" s="122" t="str">
        <v>Steel, Structural sections (cold - rolled), Steel, unequal angles, merchant bar, unpainted, 65 x 50 x 5 mm to 125 x 75 x 12 mm,  (InfraBuild, Australia), Australia</v>
      </c>
      <c r="C68" t="str">
        <v>tonne</v>
      </c>
      <c r="D68" s="96">
        <v>1240</v>
      </c>
      <c r="E68" s="96">
        <v>1.24</v>
      </c>
      <c r="F68" s="96">
        <v>0</v>
      </c>
      <c r="G68" s="121">
        <v>0</v>
      </c>
      <c r="H68" t="s">
        <v>4155</v>
      </c>
    </row>
    <row r="69" spans="2:8" x14ac:dyDescent="0.25">
      <c r="B69" s="122" t="str">
        <v>Steel, Structural sections (cold - rolled), Steel, flat Bar (SEF), merchant bar, unpainted, 20 x 10 mm to 150 x 25 mm,  (InfraBuild, Australia), Australia</v>
      </c>
      <c r="C69" t="str">
        <v>tonne</v>
      </c>
      <c r="D69" s="96">
        <v>1240</v>
      </c>
      <c r="E69" s="96">
        <v>1.24</v>
      </c>
      <c r="F69" s="96">
        <v>0</v>
      </c>
      <c r="G69" s="121">
        <v>0</v>
      </c>
      <c r="H69" t="s">
        <v>4155</v>
      </c>
    </row>
    <row r="70" spans="2:8" x14ac:dyDescent="0.25">
      <c r="B70" s="122" t="str">
        <v>Steel, Structural sections (cold - rolled), Steel, square Bar, merchant bar, unpainted, 10 mm to 40 mm,  (InfraBuild, Australia), Australia</v>
      </c>
      <c r="C70" t="str">
        <v>tonne</v>
      </c>
      <c r="D70" s="96">
        <v>1240</v>
      </c>
      <c r="E70" s="96">
        <v>1.24</v>
      </c>
      <c r="F70" s="96">
        <v>0</v>
      </c>
      <c r="G70" s="121">
        <v>0</v>
      </c>
      <c r="H70" t="s">
        <v>4155</v>
      </c>
    </row>
    <row r="71" spans="2:8" x14ac:dyDescent="0.25">
      <c r="B71" s="122" t="str">
        <v>Steel, Structural sections (cold - rolled), Steel, round Bar, merchant bar, unpainted, 10 mm to 90 mm,  (InfraBuild, Australia), Australia</v>
      </c>
      <c r="C71" t="str">
        <v>tonne</v>
      </c>
      <c r="D71" s="96">
        <v>1240</v>
      </c>
      <c r="E71" s="96">
        <v>1.24</v>
      </c>
      <c r="F71" s="96">
        <v>0</v>
      </c>
      <c r="G71" s="121">
        <v>0</v>
      </c>
      <c r="H71" t="s">
        <v>4155</v>
      </c>
    </row>
    <row r="72" spans="2:8" x14ac:dyDescent="0.25">
      <c r="B72" s="122" t="str">
        <v>Steel, Structural formwork and decking (cold - rolled), Low Glare DECKFORM® steel in 1.50mm base material thickness (BMT) (Bluescope)</v>
      </c>
      <c r="C72" t="str">
        <v>tonne</v>
      </c>
      <c r="D72" s="96">
        <v>2915.9803396425041</v>
      </c>
      <c r="E72" s="96">
        <v>2.9159803396425041</v>
      </c>
      <c r="F72" s="96">
        <v>0</v>
      </c>
      <c r="G72" s="121">
        <v>0</v>
      </c>
      <c r="H72" t="s">
        <v>4155</v>
      </c>
    </row>
    <row r="73" spans="2:8" x14ac:dyDescent="0.25">
      <c r="B73" s="122" t="str">
        <v>Steel, Structural framing (cold - rolled), TRUECORE® steel in 1.00mm base material thickness (BMT) (Bluescope)</v>
      </c>
      <c r="C73" t="str">
        <v>tonne</v>
      </c>
      <c r="D73" s="96">
        <v>2883.8954060861424</v>
      </c>
      <c r="E73" s="96">
        <v>2.8838954060861428</v>
      </c>
      <c r="F73" s="96">
        <v>0</v>
      </c>
      <c r="G73" s="121">
        <v>0</v>
      </c>
      <c r="H73" t="s">
        <v>4155</v>
      </c>
    </row>
    <row r="74" spans="2:8" x14ac:dyDescent="0.25">
      <c r="B74" s="122" t="str">
        <v>Steel, Structural framing (cold - rolled), TRUECORE® steel in 1.15mm base material thickness (BMT) (Bluescope)</v>
      </c>
      <c r="C74" t="str">
        <v>tonne</v>
      </c>
      <c r="D74" s="96">
        <v>2854.0317110893243</v>
      </c>
      <c r="E74" s="96">
        <v>2.8540317110893247</v>
      </c>
      <c r="F74" s="96">
        <v>0</v>
      </c>
      <c r="G74" s="121">
        <v>0</v>
      </c>
      <c r="H74" t="s">
        <v>4155</v>
      </c>
    </row>
    <row r="75" spans="2:8" x14ac:dyDescent="0.25">
      <c r="B75" s="122" t="str">
        <v>Steel, Structural framing (cold - rolled), TRUECORE® steel in 1.20mm base material thickness (BMT) (Bluescope)</v>
      </c>
      <c r="C75" t="str">
        <v>tonne</v>
      </c>
      <c r="D75" s="96">
        <v>2839.2499642379958</v>
      </c>
      <c r="E75" s="96">
        <v>2.8392499642379958</v>
      </c>
      <c r="F75" s="96">
        <v>0</v>
      </c>
      <c r="G75" s="121">
        <v>0</v>
      </c>
      <c r="H75" t="s">
        <v>4155</v>
      </c>
    </row>
    <row r="76" spans="2:8" x14ac:dyDescent="0.25">
      <c r="B76" s="122" t="str">
        <v>Steel, Structural framing (cold - rolled), TRUECORE® steel in 1.50mm base material thickness (BMT) (Bluescope)</v>
      </c>
      <c r="C76" t="str">
        <v>tonne</v>
      </c>
      <c r="D76" s="96">
        <v>2799.6681108130765</v>
      </c>
      <c r="E76" s="96">
        <v>2.7996681108130765</v>
      </c>
      <c r="F76" s="96">
        <v>0</v>
      </c>
      <c r="G76" s="121">
        <v>0</v>
      </c>
      <c r="H76" t="s">
        <v>4155</v>
      </c>
    </row>
    <row r="77" spans="2:8" x14ac:dyDescent="0.25">
      <c r="B77" s="122" t="str">
        <v>Steel, Structural framing (cold - rolled), TRUECORE® steel in 1.60mm base material thickness (BMT) (Bluescope)</v>
      </c>
      <c r="C77" t="str">
        <v>tonne</v>
      </c>
      <c r="D77" s="96">
        <v>2783.022897924528</v>
      </c>
      <c r="E77" s="96">
        <v>2.7830228979245279</v>
      </c>
      <c r="F77" s="96">
        <v>0</v>
      </c>
      <c r="G77" s="121">
        <v>0</v>
      </c>
      <c r="H77" t="s">
        <v>4155</v>
      </c>
    </row>
    <row r="78" spans="2:8" x14ac:dyDescent="0.25">
      <c r="B78" s="122" t="str">
        <v>Structural steel , Structural steel (cold - rolled), Representative product 681 (Rondo) (Australia)</v>
      </c>
      <c r="C78" t="str">
        <v>tonne</v>
      </c>
      <c r="D78" s="96">
        <v>2940</v>
      </c>
      <c r="E78" s="96">
        <v>2.94</v>
      </c>
      <c r="F78" s="96">
        <v>0</v>
      </c>
      <c r="G78" s="121">
        <v>0</v>
      </c>
      <c r="H78" t="s">
        <v>4155</v>
      </c>
    </row>
    <row r="79" spans="2:8" x14ac:dyDescent="0.25">
      <c r="B79" s="122" t="str">
        <v>Structural steel , Structural steel (cold - rolled), Representative product 592 (Rondo) (Australia)</v>
      </c>
      <c r="C79" t="str">
        <v>tonne</v>
      </c>
      <c r="D79" s="96">
        <v>3140</v>
      </c>
      <c r="E79" s="96">
        <v>3.14</v>
      </c>
      <c r="F79" s="96">
        <v>0</v>
      </c>
      <c r="G79" s="121">
        <v>0</v>
      </c>
      <c r="H79" t="s">
        <v>4155</v>
      </c>
    </row>
    <row r="80" spans="2:8" x14ac:dyDescent="0.25">
      <c r="B80" s="122" t="str">
        <v>Structural steel , Structural steel (cold - rolled), Representative product 495 (Rondo) (Australia)</v>
      </c>
      <c r="C80" t="str">
        <v>tonne</v>
      </c>
      <c r="D80" s="96">
        <v>3090</v>
      </c>
      <c r="E80" s="96">
        <v>3.09</v>
      </c>
      <c r="F80" s="96">
        <v>0</v>
      </c>
      <c r="G80" s="121">
        <v>0</v>
      </c>
      <c r="H80" t="s">
        <v>4155</v>
      </c>
    </row>
    <row r="81" spans="2:8" x14ac:dyDescent="0.25">
      <c r="B81" s="122" t="str">
        <v>Structural steel , Structural steel (cold - rolled), Representative product 107 (Rondo) (Australia)</v>
      </c>
      <c r="C81" t="str">
        <v>tonne</v>
      </c>
      <c r="D81" s="96">
        <v>3860</v>
      </c>
      <c r="E81" s="96">
        <v>3.86</v>
      </c>
      <c r="F81" s="96">
        <v>0</v>
      </c>
      <c r="G81" s="121">
        <v>0</v>
      </c>
      <c r="H81" t="s">
        <v>4155</v>
      </c>
    </row>
    <row r="82" spans="2:8" x14ac:dyDescent="0.25">
      <c r="B82" s="122" t="str">
        <v>Structural steel , Structural steel (cold - rolled), Representative product 506 (Rondo) (Australia)</v>
      </c>
      <c r="C82" t="str">
        <v>tonne</v>
      </c>
      <c r="D82" s="96">
        <v>3430</v>
      </c>
      <c r="E82" s="96">
        <v>3.43</v>
      </c>
      <c r="F82" s="96">
        <v>0</v>
      </c>
      <c r="G82" s="121">
        <v>0</v>
      </c>
      <c r="H82" t="s">
        <v>4155</v>
      </c>
    </row>
    <row r="83" spans="2:8" x14ac:dyDescent="0.25">
      <c r="B83" s="122"/>
      <c r="G83" s="121"/>
    </row>
    <row r="84" spans="2:8" x14ac:dyDescent="0.25">
      <c r="B84" s="122"/>
      <c r="G84" s="121"/>
    </row>
    <row r="85" spans="2:8" x14ac:dyDescent="0.25">
      <c r="B85" s="122"/>
      <c r="G85" s="121"/>
    </row>
    <row r="86" spans="2:8" x14ac:dyDescent="0.25">
      <c r="B86" s="122"/>
      <c r="G86" s="121"/>
    </row>
    <row r="87" spans="2:8" x14ac:dyDescent="0.25">
      <c r="B87" s="122"/>
      <c r="G87" s="121"/>
    </row>
    <row r="88" spans="2:8" x14ac:dyDescent="0.25">
      <c r="B88" s="122"/>
      <c r="G88" s="121"/>
    </row>
    <row r="89" spans="2:8" x14ac:dyDescent="0.25">
      <c r="B89" s="122"/>
      <c r="G89" s="121"/>
    </row>
    <row r="90" spans="2:8" x14ac:dyDescent="0.25">
      <c r="B90" s="122"/>
      <c r="G90" s="121"/>
    </row>
    <row r="91" spans="2:8" x14ac:dyDescent="0.25">
      <c r="B91" s="122"/>
      <c r="G91" s="121"/>
    </row>
    <row r="92" spans="2:8" x14ac:dyDescent="0.25">
      <c r="B92" s="122"/>
      <c r="G92" s="121"/>
    </row>
    <row r="93" spans="2:8" x14ac:dyDescent="0.25">
      <c r="B93" s="122"/>
      <c r="G93" s="121"/>
    </row>
    <row r="94" spans="2:8" x14ac:dyDescent="0.25">
      <c r="B94" s="122"/>
      <c r="G94" s="121"/>
    </row>
    <row r="95" spans="2:8" x14ac:dyDescent="0.25">
      <c r="B95" s="122"/>
      <c r="G95" s="121"/>
    </row>
    <row r="96" spans="2:8" x14ac:dyDescent="0.25">
      <c r="B96" s="122"/>
      <c r="G96" s="121"/>
    </row>
    <row r="97" spans="2:7" x14ac:dyDescent="0.25">
      <c r="B97" s="122"/>
      <c r="G97" s="121"/>
    </row>
    <row r="98" spans="2:7" x14ac:dyDescent="0.25">
      <c r="B98" s="122"/>
      <c r="G98" s="121"/>
    </row>
    <row r="99" spans="2:7" x14ac:dyDescent="0.25">
      <c r="B99" s="122"/>
      <c r="G99" s="121"/>
    </row>
    <row r="100" spans="2:7" x14ac:dyDescent="0.25">
      <c r="B100" s="122"/>
      <c r="G100" s="121"/>
    </row>
    <row r="101" spans="2:7" x14ac:dyDescent="0.25">
      <c r="B101" s="122"/>
      <c r="G101" s="121"/>
    </row>
    <row r="102" spans="2:7" x14ac:dyDescent="0.25">
      <c r="B102" s="122"/>
      <c r="G102" s="121"/>
    </row>
    <row r="103" spans="2:7" x14ac:dyDescent="0.25">
      <c r="B103" s="122"/>
      <c r="G103" s="121"/>
    </row>
    <row r="104" spans="2:7" x14ac:dyDescent="0.25">
      <c r="B104" s="122"/>
      <c r="G104" s="121"/>
    </row>
    <row r="105" spans="2:7" x14ac:dyDescent="0.25">
      <c r="B105" s="122"/>
      <c r="G105" s="121"/>
    </row>
    <row r="106" spans="2:7" x14ac:dyDescent="0.25">
      <c r="B106" s="122"/>
      <c r="G106" s="121"/>
    </row>
    <row r="107" spans="2:7" x14ac:dyDescent="0.25">
      <c r="B107" s="122"/>
      <c r="G107" s="121"/>
    </row>
    <row r="108" spans="2:7" x14ac:dyDescent="0.25">
      <c r="B108" s="122"/>
      <c r="G108" s="121"/>
    </row>
    <row r="109" spans="2:7" x14ac:dyDescent="0.25">
      <c r="B109" s="122"/>
      <c r="G109" s="121"/>
    </row>
    <row r="110" spans="2:7" x14ac:dyDescent="0.25">
      <c r="B110" s="122"/>
      <c r="G110" s="121"/>
    </row>
    <row r="111" spans="2:7" x14ac:dyDescent="0.25">
      <c r="B111" s="122"/>
      <c r="G111" s="121"/>
    </row>
    <row r="112" spans="2:7" x14ac:dyDescent="0.25">
      <c r="B112" s="122"/>
      <c r="G112" s="121"/>
    </row>
    <row r="113" spans="2:7" x14ac:dyDescent="0.25">
      <c r="B113" s="122"/>
      <c r="G113" s="121"/>
    </row>
    <row r="114" spans="2:7" x14ac:dyDescent="0.25">
      <c r="B114" s="122"/>
      <c r="G114" s="121"/>
    </row>
    <row r="115" spans="2:7" x14ac:dyDescent="0.25">
      <c r="B115" s="122"/>
      <c r="G115" s="121"/>
    </row>
    <row r="116" spans="2:7" x14ac:dyDescent="0.25">
      <c r="B116" s="122"/>
      <c r="G116" s="121"/>
    </row>
    <row r="117" spans="2:7" x14ac:dyDescent="0.25">
      <c r="B117" s="122"/>
      <c r="G117" s="121"/>
    </row>
    <row r="118" spans="2:7" x14ac:dyDescent="0.25">
      <c r="B118" s="122"/>
      <c r="G118" s="121"/>
    </row>
    <row r="119" spans="2:7" x14ac:dyDescent="0.25">
      <c r="B119" s="122"/>
      <c r="G119" s="121"/>
    </row>
    <row r="120" spans="2:7" x14ac:dyDescent="0.25">
      <c r="B120" s="122"/>
      <c r="G120" s="121"/>
    </row>
    <row r="121" spans="2:7" x14ac:dyDescent="0.25">
      <c r="B121" s="122"/>
      <c r="G121" s="121"/>
    </row>
    <row r="122" spans="2:7" x14ac:dyDescent="0.25">
      <c r="B122" s="122"/>
      <c r="G122" s="121"/>
    </row>
    <row r="123" spans="2:7" x14ac:dyDescent="0.25">
      <c r="B123" s="122"/>
      <c r="G123" s="121"/>
    </row>
    <row r="124" spans="2:7" x14ac:dyDescent="0.25">
      <c r="B124" s="122"/>
      <c r="G124" s="121"/>
    </row>
    <row r="125" spans="2:7" x14ac:dyDescent="0.25">
      <c r="B125" s="122"/>
      <c r="G125" s="121"/>
    </row>
    <row r="126" spans="2:7" x14ac:dyDescent="0.25">
      <c r="B126" s="122"/>
      <c r="G126" s="121"/>
    </row>
    <row r="127" spans="2:7" x14ac:dyDescent="0.25">
      <c r="B127" s="122"/>
      <c r="G127" s="121"/>
    </row>
    <row r="128" spans="2:7" x14ac:dyDescent="0.25">
      <c r="B128" s="122"/>
      <c r="G128" s="121"/>
    </row>
    <row r="129" spans="2:7" x14ac:dyDescent="0.25">
      <c r="B129" s="122"/>
      <c r="G129" s="121"/>
    </row>
    <row r="130" spans="2:7" x14ac:dyDescent="0.25">
      <c r="B130" s="122"/>
      <c r="G130" s="121"/>
    </row>
    <row r="131" spans="2:7" x14ac:dyDescent="0.25">
      <c r="B131" s="122"/>
      <c r="G131" s="121"/>
    </row>
    <row r="132" spans="2:7" x14ac:dyDescent="0.25">
      <c r="B132" s="122"/>
      <c r="G132" s="121"/>
    </row>
    <row r="133" spans="2:7" x14ac:dyDescent="0.25">
      <c r="B133" s="122"/>
      <c r="G133" s="121"/>
    </row>
    <row r="134" spans="2:7" x14ac:dyDescent="0.25">
      <c r="B134" s="122"/>
      <c r="G134" s="121"/>
    </row>
    <row r="135" spans="2:7" x14ac:dyDescent="0.25">
      <c r="B135" s="122"/>
      <c r="G135" s="121"/>
    </row>
    <row r="136" spans="2:7" x14ac:dyDescent="0.25">
      <c r="B136" s="122"/>
      <c r="G136" s="121"/>
    </row>
    <row r="137" spans="2:7" x14ac:dyDescent="0.25">
      <c r="B137" s="122"/>
      <c r="G137" s="121"/>
    </row>
    <row r="138" spans="2:7" x14ac:dyDescent="0.25">
      <c r="B138" s="122"/>
      <c r="G138" s="121"/>
    </row>
    <row r="139" spans="2:7" x14ac:dyDescent="0.25">
      <c r="B139" s="122"/>
      <c r="G139" s="121"/>
    </row>
    <row r="140" spans="2:7" x14ac:dyDescent="0.25">
      <c r="B140" s="122"/>
      <c r="G140" s="121"/>
    </row>
    <row r="141" spans="2:7" x14ac:dyDescent="0.25">
      <c r="B141" s="122"/>
      <c r="G141" s="121"/>
    </row>
    <row r="142" spans="2:7" x14ac:dyDescent="0.25">
      <c r="B142" s="122"/>
      <c r="G142" s="121"/>
    </row>
    <row r="143" spans="2:7" x14ac:dyDescent="0.25">
      <c r="B143" s="122"/>
      <c r="G143" s="121"/>
    </row>
    <row r="144" spans="2:7" x14ac:dyDescent="0.25">
      <c r="B144" s="122"/>
      <c r="G144" s="121"/>
    </row>
    <row r="145" spans="2:7" x14ac:dyDescent="0.25">
      <c r="B145" s="122"/>
      <c r="G145" s="121"/>
    </row>
    <row r="146" spans="2:7" x14ac:dyDescent="0.25">
      <c r="B146" s="122"/>
      <c r="G146" s="121"/>
    </row>
    <row r="147" spans="2:7" x14ac:dyDescent="0.25">
      <c r="B147" s="122"/>
      <c r="G147" s="121"/>
    </row>
    <row r="148" spans="2:7" x14ac:dyDescent="0.25">
      <c r="B148" s="122"/>
      <c r="G148" s="121"/>
    </row>
    <row r="149" spans="2:7" x14ac:dyDescent="0.25">
      <c r="B149" s="122"/>
      <c r="G149" s="121"/>
    </row>
    <row r="150" spans="2:7" x14ac:dyDescent="0.25">
      <c r="B150" s="122"/>
      <c r="G150" s="121"/>
    </row>
    <row r="151" spans="2:7" x14ac:dyDescent="0.25">
      <c r="B151" s="122"/>
      <c r="G151" s="121"/>
    </row>
    <row r="152" spans="2:7" x14ac:dyDescent="0.25">
      <c r="B152" s="122"/>
      <c r="G152" s="121"/>
    </row>
    <row r="153" spans="2:7" x14ac:dyDescent="0.25">
      <c r="B153" s="122"/>
      <c r="G153" s="121"/>
    </row>
    <row r="154" spans="2:7" x14ac:dyDescent="0.25">
      <c r="B154" s="122"/>
      <c r="G154" s="121"/>
    </row>
    <row r="155" spans="2:7" x14ac:dyDescent="0.25">
      <c r="B155" s="122"/>
      <c r="G155" s="121"/>
    </row>
    <row r="156" spans="2:7" x14ac:dyDescent="0.25">
      <c r="B156" s="122"/>
      <c r="G156" s="121"/>
    </row>
    <row r="157" spans="2:7" x14ac:dyDescent="0.25">
      <c r="B157" s="122"/>
      <c r="G157" s="121"/>
    </row>
    <row r="158" spans="2:7" x14ac:dyDescent="0.25">
      <c r="B158" s="122"/>
      <c r="G158" s="121"/>
    </row>
    <row r="159" spans="2:7" x14ac:dyDescent="0.25">
      <c r="B159" s="122"/>
      <c r="G159" s="121"/>
    </row>
    <row r="160" spans="2:7" x14ac:dyDescent="0.25">
      <c r="B160" s="122"/>
      <c r="G160" s="121"/>
    </row>
    <row r="161" spans="2:7" x14ac:dyDescent="0.25">
      <c r="B161" s="122"/>
      <c r="G161" s="121"/>
    </row>
    <row r="162" spans="2:7" x14ac:dyDescent="0.25">
      <c r="B162" s="122"/>
      <c r="G162" s="121"/>
    </row>
    <row r="163" spans="2:7" x14ac:dyDescent="0.25">
      <c r="B163" s="122"/>
      <c r="G163" s="121"/>
    </row>
    <row r="164" spans="2:7" x14ac:dyDescent="0.25">
      <c r="B164" s="122"/>
      <c r="G164" s="121"/>
    </row>
    <row r="165" spans="2:7" x14ac:dyDescent="0.25">
      <c r="B165" s="122"/>
      <c r="G165" s="121"/>
    </row>
    <row r="166" spans="2:7" x14ac:dyDescent="0.25">
      <c r="B166" s="125"/>
      <c r="C166" s="126"/>
      <c r="D166" s="127"/>
      <c r="E166" s="127"/>
      <c r="F166" s="127"/>
      <c r="G166" s="128"/>
    </row>
  </sheetData>
  <dataValidations disablePrompts="1" count="1">
    <dataValidation type="list" allowBlank="1" showInputMessage="1" showErrorMessage="1" sqref="B6:B9" xr:uid="{815A04F6-A9C1-4942-B436-2BE9BCA3B7F5}">
      <formula1>"Tier 1,Tier 2,Tier 3,Tier 4"</formula1>
    </dataValidation>
  </dataValidations>
  <hyperlinks>
    <hyperlink ref="P4" r:id="rId1" xr:uid="{56D3D027-C796-49E9-9B6E-D3FAB9BC7B4D}"/>
    <hyperlink ref="P3" r:id="rId2" display="https://www.gfgalliance.com/whyalla-transformation/about-the-steelworks/" xr:uid="{397287D2-81E2-4C2A-B181-EDBCB8BDB957}"/>
    <hyperlink ref="M16" r:id="rId3" xr:uid="{760105DB-A452-4E0C-86D3-4B4AAF6D4AF7}"/>
  </hyperlink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78864C-D30A-4F84-AEE4-79216E9838EA}">
  <sheetPr codeName="Sheet26">
    <tabColor rgb="FF00CCFF"/>
  </sheetPr>
  <dimension ref="A1:T166"/>
  <sheetViews>
    <sheetView showGridLines="0" zoomScale="80" zoomScaleNormal="80" workbookViewId="0"/>
  </sheetViews>
  <sheetFormatPr defaultRowHeight="13.2" x14ac:dyDescent="0.25"/>
  <cols>
    <col min="1" max="1" width="26.109375" customWidth="1"/>
    <col min="2" max="2" width="128.88671875" style="122" customWidth="1"/>
    <col min="3" max="3" width="21" customWidth="1"/>
    <col min="4" max="6" width="19.88671875" style="96" customWidth="1"/>
    <col min="7" max="7" width="23.5546875" style="121" customWidth="1"/>
    <col min="8" max="8" width="14.44140625" customWidth="1"/>
    <col min="11" max="11" width="25.109375" customWidth="1"/>
    <col min="12" max="12" width="14.44140625" customWidth="1"/>
    <col min="13" max="13" width="8.88671875" customWidth="1"/>
    <col min="14" max="14" width="10.109375" customWidth="1"/>
    <col min="15" max="15" width="26.5546875" customWidth="1"/>
    <col min="16" max="16" width="109.44140625" customWidth="1"/>
  </cols>
  <sheetData>
    <row r="1" spans="1:16" x14ac:dyDescent="0.25">
      <c r="A1" s="4" t="str" cm="1">
        <f t="array" aca="1" ref="A1" ca="1">MID(CELL("filename",A1),FIND("]",CELL("filename",A1))+1,255)</f>
        <v>Structural_steel_cold_gal</v>
      </c>
      <c r="B1"/>
      <c r="G1" s="96"/>
      <c r="J1" s="4" t="s">
        <v>4101</v>
      </c>
    </row>
    <row r="2" spans="1:16" x14ac:dyDescent="0.25">
      <c r="A2" s="4"/>
      <c r="B2"/>
      <c r="G2" s="96"/>
      <c r="L2" t="s">
        <v>4103</v>
      </c>
      <c r="M2" t="s">
        <v>4104</v>
      </c>
      <c r="N2" t="s">
        <v>4105</v>
      </c>
      <c r="O2" t="s">
        <v>4118</v>
      </c>
      <c r="P2" t="s">
        <v>4107</v>
      </c>
    </row>
    <row r="3" spans="1:16" x14ac:dyDescent="0.25">
      <c r="A3" s="4" t="s">
        <v>4048</v>
      </c>
      <c r="B3" t="s">
        <v>4166</v>
      </c>
      <c r="G3" s="96"/>
      <c r="K3" t="s">
        <v>4120</v>
      </c>
      <c r="L3">
        <f>1.2+0.475</f>
        <v>1.6749999999999998</v>
      </c>
      <c r="M3" t="s">
        <v>4109</v>
      </c>
      <c r="N3" s="156">
        <f>L3/$L$6</f>
        <v>0.26942255106964774</v>
      </c>
      <c r="O3">
        <f>L3/(L3+L4)</f>
        <v>0.35828877005347592</v>
      </c>
      <c r="P3" s="36" t="s">
        <v>4121</v>
      </c>
    </row>
    <row r="4" spans="1:16" x14ac:dyDescent="0.25">
      <c r="A4" s="4"/>
      <c r="B4"/>
      <c r="G4" s="96"/>
      <c r="K4" t="s">
        <v>4122</v>
      </c>
      <c r="L4">
        <v>3</v>
      </c>
      <c r="M4" t="s">
        <v>4109</v>
      </c>
      <c r="N4" s="156">
        <f t="shared" ref="N4:N5" si="0">L4/$L$6</f>
        <v>0.48254785266205569</v>
      </c>
      <c r="O4">
        <f>L4/(L4+L3)</f>
        <v>0.64171122994652408</v>
      </c>
      <c r="P4" s="36" t="s">
        <v>4123</v>
      </c>
    </row>
    <row r="5" spans="1:16" ht="73.5" customHeight="1" x14ac:dyDescent="0.25">
      <c r="A5" s="26" t="s">
        <v>4050</v>
      </c>
      <c r="B5" s="14" t="s">
        <v>4151</v>
      </c>
      <c r="G5" s="96"/>
      <c r="L5">
        <v>1.542</v>
      </c>
      <c r="M5" t="s">
        <v>4109</v>
      </c>
      <c r="N5" s="156">
        <f t="shared" si="0"/>
        <v>0.24802959626829663</v>
      </c>
    </row>
    <row r="6" spans="1:16" x14ac:dyDescent="0.25">
      <c r="A6" s="26" t="s">
        <v>4052</v>
      </c>
      <c r="B6" s="27" t="s">
        <v>69</v>
      </c>
      <c r="G6" s="96"/>
      <c r="L6">
        <f>SUM(L3:L5)</f>
        <v>6.2169999999999996</v>
      </c>
      <c r="M6" t="s">
        <v>4109</v>
      </c>
      <c r="N6" s="37"/>
    </row>
    <row r="7" spans="1:16" x14ac:dyDescent="0.25">
      <c r="A7" s="26" t="s">
        <v>4053</v>
      </c>
      <c r="B7" s="27" t="s">
        <v>68</v>
      </c>
      <c r="G7" s="96"/>
    </row>
    <row r="8" spans="1:16" x14ac:dyDescent="0.25">
      <c r="A8" s="26" t="s">
        <v>4054</v>
      </c>
      <c r="B8" s="27" t="s">
        <v>69</v>
      </c>
      <c r="G8" s="96"/>
      <c r="K8" s="129" t="s">
        <v>4126</v>
      </c>
      <c r="L8" s="118">
        <f>SUMIF(_xlfn.ANCHORARRAY($B$23),"*"&amp;"Infrabuild"&amp;"*",_xlfn.ANCHORARRAY(D23))/COUNTIF(_xlfn.ANCHORARRAY($B$23),"*"&amp;"Infrabuild"&amp;"*")</f>
        <v>1392.7272727272727</v>
      </c>
      <c r="M8" s="118">
        <f t="shared" ref="M8:O8" si="1">SUMIF(_xlfn.ANCHORARRAY($B$23),"*"&amp;"Infrabuild"&amp;"*",_xlfn.ANCHORARRAY(E23))/COUNTIF(_xlfn.ANCHORARRAY($B$23),"*"&amp;"Infrabuild"&amp;"*")</f>
        <v>1.3927272727272728</v>
      </c>
      <c r="N8" s="118">
        <f t="shared" si="1"/>
        <v>0</v>
      </c>
      <c r="O8" s="119">
        <f t="shared" si="1"/>
        <v>0</v>
      </c>
    </row>
    <row r="9" spans="1:16" x14ac:dyDescent="0.25">
      <c r="A9" s="26" t="s">
        <v>4055</v>
      </c>
      <c r="B9" s="4" t="s">
        <v>69</v>
      </c>
      <c r="G9" s="96"/>
      <c r="K9" s="122" t="s">
        <v>4127</v>
      </c>
      <c r="L9" s="96">
        <f>(SUMIF(_xlfn.ANCHORARRAY($B$23),"*"&amp;"Bluescope"&amp;"*",_xlfn.ANCHORARRAY(D23))+SUMIF(_xlfn.ANCHORARRAY($B$23),"*"&amp;"Rondo"&amp;"*",_xlfn.ANCHORARRAY(D23)))/(COUNTIF(_xlfn.ANCHORARRAY($B$23),"*"&amp;"Bluescope"&amp;"*")+COUNTIF(_xlfn.ANCHORARRAY($B$23),"*"&amp;"Rondo"&amp;"*"))</f>
        <v>3012.9821218000197</v>
      </c>
      <c r="M9" s="96">
        <f t="shared" ref="M9:O9" si="2">(SUMIF(_xlfn.ANCHORARRAY($B$23),"*"&amp;"Bluescope"&amp;"*",_xlfn.ANCHORARRAY(E23))+SUMIF(_xlfn.ANCHORARRAY($B$23),"*"&amp;"Rondo"&amp;"*",_xlfn.ANCHORARRAY(E23)))/(COUNTIF(_xlfn.ANCHORARRAY($B$23),"*"&amp;"Bluescope"&amp;"*")+COUNTIF(_xlfn.ANCHORARRAY($B$23),"*"&amp;"Rondo"&amp;"*"))</f>
        <v>3.0129821218000203</v>
      </c>
      <c r="N9" s="96">
        <f t="shared" si="2"/>
        <v>0</v>
      </c>
      <c r="O9" s="121">
        <f t="shared" si="2"/>
        <v>0</v>
      </c>
    </row>
    <row r="10" spans="1:16" x14ac:dyDescent="0.25">
      <c r="A10" s="26"/>
      <c r="B10" s="4"/>
      <c r="G10" s="96"/>
      <c r="K10" s="122"/>
      <c r="L10" s="96"/>
      <c r="M10" s="96"/>
      <c r="N10" s="96"/>
      <c r="O10" s="121"/>
    </row>
    <row r="11" spans="1:16" ht="26.4" x14ac:dyDescent="0.25">
      <c r="A11" s="26" t="s">
        <v>4056</v>
      </c>
      <c r="B11" s="314" t="s">
        <v>4152</v>
      </c>
      <c r="G11" s="96"/>
      <c r="K11" s="125" t="s">
        <v>4116</v>
      </c>
      <c r="L11" s="126">
        <f>SUMPRODUCT(L8:L9,$O$3:$O$4)</f>
        <v>2432.4630047525652</v>
      </c>
      <c r="M11" s="126">
        <f t="shared" ref="M11:O11" si="3">SUMPRODUCT(M8:M9,$O$3:$O$4)</f>
        <v>2.4324630047525653</v>
      </c>
      <c r="N11" s="126">
        <f t="shared" si="3"/>
        <v>0</v>
      </c>
      <c r="O11" s="126">
        <f t="shared" si="3"/>
        <v>0</v>
      </c>
    </row>
    <row r="12" spans="1:16" x14ac:dyDescent="0.25">
      <c r="A12" s="101"/>
      <c r="B12"/>
      <c r="G12" s="96"/>
    </row>
    <row r="13" spans="1:16" x14ac:dyDescent="0.25">
      <c r="A13" s="101"/>
      <c r="B13"/>
      <c r="G13" s="96"/>
    </row>
    <row r="14" spans="1:16" x14ac:dyDescent="0.25">
      <c r="A14" s="26" t="s">
        <v>4057</v>
      </c>
      <c r="B14"/>
      <c r="G14" s="96"/>
      <c r="N14" s="156"/>
      <c r="P14" s="36"/>
    </row>
    <row r="15" spans="1:16" x14ac:dyDescent="0.25">
      <c r="A15" s="26"/>
      <c r="B15"/>
      <c r="D15" s="112" t="s">
        <v>4058</v>
      </c>
      <c r="E15" s="113"/>
      <c r="F15" s="114" t="s">
        <v>4059</v>
      </c>
      <c r="G15" s="113"/>
      <c r="K15" t="s">
        <v>3164</v>
      </c>
      <c r="N15" s="156"/>
      <c r="P15" s="36"/>
    </row>
    <row r="16" spans="1:16" ht="39.6" x14ac:dyDescent="0.25">
      <c r="B16" s="28" t="s">
        <v>3014</v>
      </c>
      <c r="C16" s="23" t="s">
        <v>23</v>
      </c>
      <c r="D16" s="24" t="s">
        <v>141</v>
      </c>
      <c r="E16" s="25" t="s">
        <v>148</v>
      </c>
      <c r="F16" s="24" t="s">
        <v>142</v>
      </c>
      <c r="G16" s="24" t="s">
        <v>149</v>
      </c>
      <c r="K16" s="209">
        <v>4.629080118694362E-2</v>
      </c>
      <c r="L16" t="s">
        <v>4153</v>
      </c>
      <c r="N16" s="156"/>
      <c r="P16" s="36"/>
    </row>
    <row r="17" spans="2:20" x14ac:dyDescent="0.25">
      <c r="B17" s="29"/>
      <c r="C17" s="30" t="s">
        <v>4060</v>
      </c>
      <c r="D17" s="118" t="str" cm="1">
        <f t="array" ref="D17">IF(AND(_xlfn.ANCHORARRAY(C23)=C23),C23,"Mixed")</f>
        <v>tonne</v>
      </c>
      <c r="E17" s="118" t="s">
        <v>219</v>
      </c>
      <c r="F17" s="118" t="str" cm="1">
        <f t="array" ref="F17">IF(AND(_xlfn.ANCHORARRAY(C23)=C23),C23,"Mixed")</f>
        <v>tonne</v>
      </c>
      <c r="G17" s="119" t="s">
        <v>219</v>
      </c>
      <c r="K17" s="210">
        <v>0.156</v>
      </c>
      <c r="N17" s="156"/>
      <c r="P17" s="36"/>
    </row>
    <row r="18" spans="2:20" s="14" customFormat="1" x14ac:dyDescent="0.25">
      <c r="B18" s="31"/>
      <c r="C18" s="35" t="s">
        <v>4061</v>
      </c>
      <c r="D18" s="162">
        <f>MAX(_xlfn.ANCHORARRAY(D23))*(1+$K$16)</f>
        <v>4038.6824925816022</v>
      </c>
      <c r="E18" s="162">
        <f t="shared" ref="E18:G18" si="4">MAX(_xlfn.ANCHORARRAY(E23))*(1+$K$16)</f>
        <v>4.0386824925816018</v>
      </c>
      <c r="F18" s="162">
        <f t="shared" si="4"/>
        <v>0</v>
      </c>
      <c r="G18" s="168">
        <f t="shared" si="4"/>
        <v>0</v>
      </c>
      <c r="H18"/>
      <c r="K18"/>
      <c r="L18"/>
      <c r="M18"/>
      <c r="N18" s="156"/>
      <c r="O18"/>
      <c r="P18" s="36"/>
      <c r="Q18"/>
      <c r="R18"/>
      <c r="S18"/>
      <c r="T18"/>
    </row>
    <row r="19" spans="2:20" x14ac:dyDescent="0.25">
      <c r="C19" s="4" t="s">
        <v>4062</v>
      </c>
      <c r="D19" s="96">
        <f>MIN(_xlfn.ANCHORARRAY(D23))</f>
        <v>1240</v>
      </c>
      <c r="E19" s="96">
        <f t="shared" ref="E19:G19" si="5">MIN(_xlfn.ANCHORARRAY(E23))</f>
        <v>1.24</v>
      </c>
      <c r="F19" s="96">
        <f t="shared" si="5"/>
        <v>0</v>
      </c>
      <c r="G19" s="121">
        <f t="shared" si="5"/>
        <v>0</v>
      </c>
      <c r="N19" s="156"/>
      <c r="P19" s="36"/>
    </row>
    <row r="20" spans="2:20" x14ac:dyDescent="0.25">
      <c r="C20" s="35" t="s">
        <v>4117</v>
      </c>
      <c r="D20" s="162">
        <f>L11*(1+$K$16)</f>
        <v>2545.0636661001618</v>
      </c>
      <c r="E20" s="162">
        <f t="shared" ref="E20:G20" si="6">M11*(1+$K$16)</f>
        <v>2.5450636661001615</v>
      </c>
      <c r="F20" s="162">
        <f t="shared" si="6"/>
        <v>0</v>
      </c>
      <c r="G20" s="168">
        <f t="shared" si="6"/>
        <v>0</v>
      </c>
      <c r="N20" s="156"/>
      <c r="P20" s="36"/>
    </row>
    <row r="21" spans="2:20" x14ac:dyDescent="0.25">
      <c r="C21" s="4" t="s">
        <v>4063</v>
      </c>
      <c r="D21" s="96">
        <f>AVERAGE(_xlfn.ANCHORARRAY(D23))</f>
        <v>2715.9353994700164</v>
      </c>
      <c r="E21" s="96">
        <f t="shared" ref="E21:G21" si="7">AVERAGE(_xlfn.ANCHORARRAY(E23))</f>
        <v>2.7159353994700171</v>
      </c>
      <c r="F21" s="96">
        <f t="shared" si="7"/>
        <v>0</v>
      </c>
      <c r="G21" s="121">
        <f t="shared" si="7"/>
        <v>0</v>
      </c>
      <c r="N21" s="156"/>
      <c r="P21" s="36"/>
    </row>
    <row r="22" spans="2:20" x14ac:dyDescent="0.25">
      <c r="B22" s="32" t="s">
        <v>4064</v>
      </c>
      <c r="D22"/>
      <c r="E22"/>
      <c r="F22"/>
      <c r="G22" s="124"/>
      <c r="N22" s="156"/>
      <c r="P22" s="36"/>
    </row>
    <row r="23" spans="2:20" x14ac:dyDescent="0.25">
      <c r="B23" s="122" t="str" cm="1">
        <f t="array" ref="B23:B82">_xlfn.UNIQUE(_xlfn._xlws.FILTER('EPD List'!D:D,ISNUMBER(SEARCH(B16,'EPD List'!C:C)),0))</f>
        <v>Steel, Structural purlins and grits (cold - rolled), GALVASPAN® steel in 3.00mm base metal thickness (BMT), incl. rollforming (Bluescope)</v>
      </c>
      <c r="C23" t="str" cm="1">
        <f t="array" ref="C23:C82">_xlfn.IFNA(INDEX('EPD List'!$A:$AB,MATCH(_xlfn.ANCHORARRAY(B23),'EPD List'!$D:$D,0),MATCH(C$16,'EPD List'!$7:$7,0)),"")</f>
        <v>tonne</v>
      </c>
      <c r="D23" s="96" cm="1">
        <f t="array" ref="D23:D82">_xlfn.IFNA(VALUE((INDEX('EPD List'!$A:$AD,MATCH(_xlfn.ANCHORARRAY($B23),'EPD List'!$D:$D,0),MATCH(D$16,'EPD List'!$7:$7,0)))),"")</f>
        <v>2846.9899665551839</v>
      </c>
      <c r="E23" s="96" cm="1">
        <f t="array" ref="E23:E82">_xlfn.IFNA(VALUE((INDEX('EPD List'!$A:$AD,MATCH(_xlfn.ANCHORARRAY($B23),'EPD List'!$D:$D,0),MATCH(E$16,'EPD List'!$7:$7,0)))),"")</f>
        <v>2.8469899665551837</v>
      </c>
      <c r="F23" s="96" cm="1">
        <f t="array" ref="F23:F82">_xlfn.IFNA(VALUE((INDEX('EPD List'!$A:$AD,MATCH(_xlfn.ANCHORARRAY($B23),'EPD List'!$D:$D,0),MATCH(F$16,'EPD List'!$7:$7,0)))),"")</f>
        <v>0</v>
      </c>
      <c r="G23" s="121" cm="1">
        <f t="array" ref="G23:G82">_xlfn.IFNA(VALUE((INDEX('EPD List'!$A:$AD,MATCH(_xlfn.ANCHORARRAY($B23),'EPD List'!$D:$D,0),MATCH(G$16,'EPD List'!$7:$7,0)))),"")</f>
        <v>0</v>
      </c>
      <c r="H23" t="s">
        <v>4154</v>
      </c>
      <c r="N23" s="156"/>
      <c r="P23" s="36"/>
    </row>
    <row r="24" spans="2:20" x14ac:dyDescent="0.25">
      <c r="B24" s="122" t="str">
        <v>Steel, Structural purlins and grits (cold - rolled), GALVASPAN® steel in 2.40mm base metal thickness (BMT), incl. rollforming (Bluescope)</v>
      </c>
      <c r="C24" t="str">
        <v>tonne</v>
      </c>
      <c r="D24" s="96">
        <v>2873.5033836543471</v>
      </c>
      <c r="E24" s="96">
        <v>2.8735033836543469</v>
      </c>
      <c r="F24" s="96">
        <v>0</v>
      </c>
      <c r="G24" s="121">
        <v>0</v>
      </c>
      <c r="H24" t="s">
        <v>4154</v>
      </c>
      <c r="N24" s="156"/>
      <c r="P24" s="36"/>
    </row>
    <row r="25" spans="2:20" x14ac:dyDescent="0.25">
      <c r="B25" s="122" t="str">
        <v>Steel, Structural purlins and grits (cold - rolled), GALVASPAN® steel in 1.90mm base metal thickness (BMT), incl. rollforming (Bluescope)</v>
      </c>
      <c r="C25" t="str">
        <v>tonne</v>
      </c>
      <c r="D25" s="96">
        <v>2910.3989535644214</v>
      </c>
      <c r="E25" s="96">
        <v>2.9103989535644215</v>
      </c>
      <c r="F25" s="96">
        <v>0</v>
      </c>
      <c r="G25" s="121">
        <v>0</v>
      </c>
      <c r="H25" t="s">
        <v>4154</v>
      </c>
      <c r="N25" s="156"/>
      <c r="P25" s="36"/>
    </row>
    <row r="26" spans="2:20" x14ac:dyDescent="0.25">
      <c r="B26" s="122" t="str">
        <v>Steel, Structural framing (cold - rolled), TRUECORE® steel in 1.60mm base material thickness (BMT), incl. rollforming (Bluescope)</v>
      </c>
      <c r="C26" t="str">
        <v>tonne</v>
      </c>
      <c r="D26" s="96">
        <v>2908.8050314465404</v>
      </c>
      <c r="E26" s="96">
        <v>2.9088050314465406</v>
      </c>
      <c r="F26" s="96">
        <v>0</v>
      </c>
      <c r="G26" s="121">
        <v>0</v>
      </c>
      <c r="H26" t="s">
        <v>4154</v>
      </c>
      <c r="N26" s="156"/>
      <c r="P26" s="36"/>
    </row>
    <row r="27" spans="2:20" x14ac:dyDescent="0.25">
      <c r="B27" s="122" t="str">
        <v>Steel, Structural purlins and grits (cold - rolled), GALVASPAN® steel in 1.50mm base metal thickness (BMT), incl. rollforming (Bluescope)</v>
      </c>
      <c r="C27" t="str">
        <v>tonne</v>
      </c>
      <c r="D27" s="96">
        <v>2954.7325102880654</v>
      </c>
      <c r="E27" s="96">
        <v>2.9547325102880655</v>
      </c>
      <c r="F27" s="96">
        <v>0</v>
      </c>
      <c r="G27" s="121">
        <v>0</v>
      </c>
      <c r="H27" t="s">
        <v>4154</v>
      </c>
      <c r="N27" s="156"/>
      <c r="P27" s="36"/>
    </row>
    <row r="28" spans="2:20" x14ac:dyDescent="0.25">
      <c r="B28" s="122" t="str">
        <v>Steel, Structural framing (cold - rolled), TRUECORE® steel in 1.50mm base material thickness (BMT), incl. rollforming (Bluescope)</v>
      </c>
      <c r="C28" t="str">
        <v>tonne</v>
      </c>
      <c r="D28" s="96">
        <v>2917.0159262363786</v>
      </c>
      <c r="E28" s="96">
        <v>2.9170159262363784</v>
      </c>
      <c r="F28" s="96">
        <v>0</v>
      </c>
      <c r="G28" s="121">
        <v>0</v>
      </c>
      <c r="H28" t="s">
        <v>4154</v>
      </c>
      <c r="N28" s="156"/>
      <c r="P28" s="36"/>
    </row>
    <row r="29" spans="2:20" x14ac:dyDescent="0.25">
      <c r="B29" s="122" t="str">
        <v>Steel, Structural purlins and grits (cold - rolled), GALVASPAN® steel in 1.20mm base metal thickness (BMT), incl. rollforming (Bluescope)</v>
      </c>
      <c r="C29" t="str">
        <v>tonne</v>
      </c>
      <c r="D29" s="96">
        <v>3013.2788559754854</v>
      </c>
      <c r="E29" s="96">
        <v>3.0132788559754853</v>
      </c>
      <c r="F29" s="96">
        <v>0</v>
      </c>
      <c r="G29" s="121">
        <v>0</v>
      </c>
      <c r="H29" t="s">
        <v>4154</v>
      </c>
      <c r="N29" s="156"/>
      <c r="P29" s="36"/>
    </row>
    <row r="30" spans="2:20" x14ac:dyDescent="0.25">
      <c r="B30" s="122" t="str">
        <v>Steel, Structural framing (cold - rolled), TRUECORE® steel in 1.20mm base material thickness (BMT), incl. rollforming (Bluescope)</v>
      </c>
      <c r="C30" t="str">
        <v>tonne</v>
      </c>
      <c r="D30" s="96">
        <v>2964.509394572025</v>
      </c>
      <c r="E30" s="96">
        <v>2.9645093945720249</v>
      </c>
      <c r="F30" s="96">
        <v>0</v>
      </c>
      <c r="G30" s="121">
        <v>0</v>
      </c>
      <c r="H30" t="s">
        <v>4154</v>
      </c>
      <c r="N30" s="156"/>
      <c r="P30" s="36"/>
    </row>
    <row r="31" spans="2:20" x14ac:dyDescent="0.25">
      <c r="B31" s="122" t="str">
        <v>Steel, Structural framing (cold - rolled), TRUECORE® steel in 1.15mm base material thickness (BMT), incl. rollforming (Bluescope)</v>
      </c>
      <c r="C31" t="str">
        <v>tonne</v>
      </c>
      <c r="D31" s="96">
        <v>2973.8562091503268</v>
      </c>
      <c r="E31" s="96">
        <v>2.9738562091503269</v>
      </c>
      <c r="F31" s="96">
        <v>0</v>
      </c>
      <c r="G31" s="121">
        <v>0</v>
      </c>
      <c r="H31" t="s">
        <v>4154</v>
      </c>
      <c r="N31" s="156"/>
      <c r="P31" s="36"/>
    </row>
    <row r="32" spans="2:20" x14ac:dyDescent="0.25">
      <c r="B32" s="122" t="str">
        <v>Steel, Structural purlins and grits (cold - rolled), GALVASPAN® steel in 1.00mm base metal thickness (BMT), incl. rollforming (Bluescope)</v>
      </c>
      <c r="C32" t="str">
        <v>tonne</v>
      </c>
      <c r="D32" s="96">
        <v>3065.6934306569342</v>
      </c>
      <c r="E32" s="96">
        <v>3.0656934306569341</v>
      </c>
      <c r="F32" s="96">
        <v>0</v>
      </c>
      <c r="G32" s="121">
        <v>0</v>
      </c>
      <c r="H32" t="s">
        <v>4154</v>
      </c>
      <c r="N32" s="156"/>
      <c r="P32" s="36"/>
    </row>
    <row r="33" spans="2:16" x14ac:dyDescent="0.25">
      <c r="B33" s="122" t="str">
        <v>Steel, Structural framing (cold - rolled), TRUECORE® steel in 1.00mm base material thickness (BMT), incl. rollforming (Bluescope)</v>
      </c>
      <c r="C33" t="str">
        <v>tonne</v>
      </c>
      <c r="D33" s="96">
        <v>3008.7390761548068</v>
      </c>
      <c r="E33" s="96">
        <v>3.0087390761548067</v>
      </c>
      <c r="F33" s="96">
        <v>0</v>
      </c>
      <c r="G33" s="121">
        <v>0</v>
      </c>
      <c r="H33" t="s">
        <v>4154</v>
      </c>
      <c r="N33" s="156"/>
      <c r="P33" s="36"/>
    </row>
    <row r="34" spans="2:16" x14ac:dyDescent="0.25">
      <c r="B34" s="122" t="str">
        <v>Steel, Structural framing (cold - rolled), TRUECORE® steel in 0.95mm base material thickness (BMT), incl. rollforming (Bluescope)</v>
      </c>
      <c r="C34" t="str">
        <v>tonne</v>
      </c>
      <c r="D34" s="96">
        <v>3022.3390275952693</v>
      </c>
      <c r="E34" s="96">
        <v>3.0223390275952693</v>
      </c>
      <c r="F34" s="96">
        <v>0</v>
      </c>
      <c r="G34" s="121">
        <v>0</v>
      </c>
      <c r="H34" t="s">
        <v>4155</v>
      </c>
      <c r="N34" s="156"/>
      <c r="P34" s="36"/>
    </row>
    <row r="35" spans="2:16" x14ac:dyDescent="0.25">
      <c r="B35" s="122" t="str">
        <v>Steel, Structural framing (cold - rolled), TRUECORE® steel in 0.75mm base material thickness (BMT), incl. rollforming (Bluescope)</v>
      </c>
      <c r="C35" t="str">
        <v>tonne</v>
      </c>
      <c r="D35" s="96">
        <v>3096.0264900662251</v>
      </c>
      <c r="E35" s="96">
        <v>3.0960264900662251</v>
      </c>
      <c r="F35" s="96">
        <v>0</v>
      </c>
      <c r="G35" s="121">
        <v>0</v>
      </c>
      <c r="H35" t="s">
        <v>4155</v>
      </c>
      <c r="N35" s="156"/>
      <c r="P35" s="36"/>
    </row>
    <row r="36" spans="2:16" x14ac:dyDescent="0.25">
      <c r="B36" s="122" t="str">
        <v>Steel, Structural framing (cold - rolled), TRUECORE® steel in 0.60mm base material thickness (BMT), incl. rollforming (Bluescope)</v>
      </c>
      <c r="C36" t="str">
        <v>tonne</v>
      </c>
      <c r="D36" s="96">
        <v>3182.7515400410675</v>
      </c>
      <c r="E36" s="96">
        <v>3.1827515400410675</v>
      </c>
      <c r="F36" s="96">
        <v>0</v>
      </c>
      <c r="G36" s="121">
        <v>0</v>
      </c>
      <c r="H36" t="s">
        <v>4155</v>
      </c>
      <c r="N36" s="156"/>
      <c r="P36" s="36"/>
    </row>
    <row r="37" spans="2:16" x14ac:dyDescent="0.25">
      <c r="B37" s="122" t="str">
        <v>Steel, Structural framing (cold - rolled), TRUECORE® steel in 0.55mm base material thickness (BMT), incl. rollforming (Bluescope)</v>
      </c>
      <c r="C37" t="str">
        <v>tonne</v>
      </c>
      <c r="D37" s="96">
        <v>3221.4765100671143</v>
      </c>
      <c r="E37" s="96">
        <v>3.2214765100671143</v>
      </c>
      <c r="F37" s="96">
        <v>0</v>
      </c>
      <c r="G37" s="121">
        <v>0</v>
      </c>
      <c r="H37" t="s">
        <v>4155</v>
      </c>
      <c r="N37" s="156"/>
      <c r="P37" s="36"/>
    </row>
    <row r="38" spans="2:16" x14ac:dyDescent="0.25">
      <c r="B38" s="122" t="str">
        <v>Steel, Structural framing (cold - rolled), TRUECORE® steel in 0.48mm base material thickness (BMT), incl. rollforming (Bluescope)</v>
      </c>
      <c r="C38" t="str">
        <v>tonne</v>
      </c>
      <c r="D38" s="96">
        <v>3290.8163265306125</v>
      </c>
      <c r="E38" s="96">
        <v>3.2908163265306127</v>
      </c>
      <c r="F38" s="96">
        <v>0</v>
      </c>
      <c r="G38" s="121">
        <v>0</v>
      </c>
      <c r="H38" t="s">
        <v>4155</v>
      </c>
      <c r="N38" s="156"/>
      <c r="P38" s="36"/>
    </row>
    <row r="39" spans="2:16" x14ac:dyDescent="0.25">
      <c r="B39" s="122" t="str">
        <v>Steel, Structural framing (cold - rolled), TRUECORE® steel in 0.42mm base material thickness (BMT), incl. rollforming (Bluescope)</v>
      </c>
      <c r="C39" t="str">
        <v>tonne</v>
      </c>
      <c r="D39" s="96">
        <v>3362.31884057971</v>
      </c>
      <c r="E39" s="96">
        <v>3.36231884057971</v>
      </c>
      <c r="F39" s="96">
        <v>0</v>
      </c>
      <c r="G39" s="121">
        <v>0</v>
      </c>
      <c r="H39" t="s">
        <v>4155</v>
      </c>
      <c r="N39" s="156"/>
      <c r="P39" s="36"/>
    </row>
    <row r="40" spans="2:16" x14ac:dyDescent="0.25">
      <c r="B40" s="122" t="str">
        <v>Steel, Structural purlins and grits (cold - rolled), GALVASPAN® steel in 1.00mm base metal thickness (BMT) (Bluescope)</v>
      </c>
      <c r="C40" t="str">
        <v>tonne</v>
      </c>
      <c r="D40" s="96">
        <v>2931.873479318735</v>
      </c>
      <c r="E40" s="96">
        <v>2.9318734793187349</v>
      </c>
      <c r="F40" s="96">
        <v>0</v>
      </c>
      <c r="G40" s="121">
        <v>0</v>
      </c>
      <c r="H40" t="s">
        <v>4155</v>
      </c>
      <c r="N40" s="156"/>
      <c r="P40" s="36"/>
    </row>
    <row r="41" spans="2:16" x14ac:dyDescent="0.25">
      <c r="B41" s="122" t="str">
        <v>Steel, Structural purlins and grits (cold - rolled), GALVASPAN® steel in 1.20mm base metal thickness (BMT) (Bluescope)</v>
      </c>
      <c r="C41" t="str">
        <v>tonne</v>
      </c>
      <c r="D41" s="96">
        <v>2880.4902962206334</v>
      </c>
      <c r="E41" s="96">
        <v>2.8804902962206334</v>
      </c>
      <c r="F41" s="96">
        <v>0</v>
      </c>
      <c r="G41" s="121">
        <v>0</v>
      </c>
      <c r="H41" t="s">
        <v>4155</v>
      </c>
      <c r="N41" s="156"/>
      <c r="P41" s="36"/>
    </row>
    <row r="42" spans="2:16" x14ac:dyDescent="0.25">
      <c r="B42" s="122" t="str">
        <v>Steel, Structural purlins and grits (cold - rolled), GALVASPAN® steel in 1.50mm base metal thickness (BMT) (Bluescope)</v>
      </c>
      <c r="C42" t="str">
        <v>tonne</v>
      </c>
      <c r="D42" s="96">
        <v>2831.2757201646091</v>
      </c>
      <c r="E42" s="96">
        <v>2.831275720164609</v>
      </c>
      <c r="F42" s="96">
        <v>0</v>
      </c>
      <c r="G42" s="121">
        <v>0</v>
      </c>
      <c r="H42" t="s">
        <v>4155</v>
      </c>
      <c r="N42" s="156"/>
      <c r="P42" s="36"/>
    </row>
    <row r="43" spans="2:16" x14ac:dyDescent="0.25">
      <c r="B43" s="122" t="str">
        <v>Steel, Structural purlins and grits (cold - rolled), GALVASPAN® steel in 1.90mm base metal thickness (BMT) (Bluescope)</v>
      </c>
      <c r="C43" t="str">
        <v>tonne</v>
      </c>
      <c r="D43" s="96">
        <v>2786.1347285807719</v>
      </c>
      <c r="E43" s="96">
        <v>2.7861347285807718</v>
      </c>
      <c r="F43" s="96">
        <v>0</v>
      </c>
      <c r="G43" s="121">
        <v>0</v>
      </c>
      <c r="H43" t="s">
        <v>4155</v>
      </c>
      <c r="N43" s="156"/>
      <c r="P43" s="36"/>
    </row>
    <row r="44" spans="2:16" x14ac:dyDescent="0.25">
      <c r="B44" s="122" t="str">
        <v>Steel, Structural purlins and grits (cold - rolled), GALVASPAN® steel in 2.40mm base metal thickness (BMT) (Bluescope)</v>
      </c>
      <c r="C44" t="str">
        <v>tonne</v>
      </c>
      <c r="D44" s="96">
        <v>2753.774076002082</v>
      </c>
      <c r="E44" s="96">
        <v>2.7537740760020819</v>
      </c>
      <c r="F44" s="96">
        <v>0</v>
      </c>
      <c r="G44" s="121">
        <v>0</v>
      </c>
      <c r="H44" t="s">
        <v>4155</v>
      </c>
      <c r="N44" s="156"/>
      <c r="P44" s="36"/>
    </row>
    <row r="45" spans="2:16" x14ac:dyDescent="0.25">
      <c r="B45" s="122" t="str">
        <v>Steel, Structural formwork and decking (cold - rolled), DECKFORM® steel in 0.60mm base material thickness (BMT) (Bluescope)</v>
      </c>
      <c r="C45" t="str">
        <v>tonne</v>
      </c>
      <c r="D45" s="96">
        <v>3051.1811023622045</v>
      </c>
      <c r="E45" s="96">
        <v>3.0511811023622046</v>
      </c>
      <c r="F45" s="96">
        <v>0</v>
      </c>
      <c r="G45" s="121">
        <v>0</v>
      </c>
      <c r="H45" t="s">
        <v>4155</v>
      </c>
      <c r="N45" s="156"/>
      <c r="P45" s="36"/>
    </row>
    <row r="46" spans="2:16" x14ac:dyDescent="0.25">
      <c r="B46" s="122" t="str">
        <v>Steel, Structural formwork and decking (cold - rolled), DECKFORM® steel in 0.75mm base material thickness (BMT) (Bluescope)</v>
      </c>
      <c r="C46" t="str">
        <v>tonne</v>
      </c>
      <c r="D46" s="96">
        <v>2955.2715654952076</v>
      </c>
      <c r="E46" s="96">
        <v>2.9552715654952078</v>
      </c>
      <c r="F46" s="96">
        <v>0</v>
      </c>
      <c r="G46" s="121">
        <v>0</v>
      </c>
      <c r="H46" t="s">
        <v>4155</v>
      </c>
      <c r="N46" s="156"/>
      <c r="P46" s="36"/>
    </row>
    <row r="47" spans="2:16" x14ac:dyDescent="0.25">
      <c r="B47" s="122" t="str">
        <v>Steel, Structural formwork and decking (cold - rolled), DECKFORM® steel in 0.90mm base material thickness (BMT) (Bluescope)</v>
      </c>
      <c r="C47" t="str">
        <v>tonne</v>
      </c>
      <c r="D47" s="96">
        <v>2903.2258064516132</v>
      </c>
      <c r="E47" s="96">
        <v>2.903225806451613</v>
      </c>
      <c r="F47" s="96">
        <v>0</v>
      </c>
      <c r="G47" s="121">
        <v>0</v>
      </c>
      <c r="H47" t="s">
        <v>4155</v>
      </c>
      <c r="N47" s="156"/>
      <c r="P47" s="36"/>
    </row>
    <row r="48" spans="2:16" x14ac:dyDescent="0.25">
      <c r="B48" s="122" t="str">
        <v>Steel, Structural formwork and decking (cold - rolled), Low Glare DECKFORM® steel in 0.60mm base material thickness (BMT) (Bluescope)</v>
      </c>
      <c r="C48" t="str">
        <v>tonne</v>
      </c>
      <c r="D48" s="96">
        <v>3346.4566929133857</v>
      </c>
      <c r="E48" s="96">
        <v>3.3464566929133857</v>
      </c>
      <c r="F48" s="96">
        <v>0</v>
      </c>
      <c r="G48" s="121">
        <v>0</v>
      </c>
      <c r="H48" t="s">
        <v>4155</v>
      </c>
      <c r="N48" s="156"/>
      <c r="P48" s="36"/>
    </row>
    <row r="49" spans="2:16" x14ac:dyDescent="0.25">
      <c r="B49" s="122" t="str">
        <v>Steel, Structural purlins and grits (cold - rolled), GALVASPAN® steel in 3.00mm base metal thickness (BMT) (Bluescope)</v>
      </c>
      <c r="C49" t="str">
        <v>tonne</v>
      </c>
      <c r="D49" s="96">
        <v>2725.7525083612036</v>
      </c>
      <c r="E49" s="96">
        <v>2.7257525083612038</v>
      </c>
      <c r="F49" s="96">
        <v>0</v>
      </c>
      <c r="G49" s="121">
        <v>0</v>
      </c>
      <c r="H49" t="s">
        <v>4155</v>
      </c>
      <c r="N49" s="156"/>
      <c r="P49" s="36"/>
    </row>
    <row r="50" spans="2:16" x14ac:dyDescent="0.25">
      <c r="B50" s="122" t="str">
        <v>Steel, Structural formwork and decking (cold - rolled), DECKFORM® steel in 1.00mm base material thickness (BMT) (Bluescope)</v>
      </c>
      <c r="C50" t="str">
        <v>tonne</v>
      </c>
      <c r="D50" s="96">
        <v>2883.2116788321164</v>
      </c>
      <c r="E50" s="96">
        <v>2.8832116788321165</v>
      </c>
      <c r="F50" s="96">
        <v>0</v>
      </c>
      <c r="G50" s="121">
        <v>0</v>
      </c>
      <c r="H50" t="s">
        <v>4155</v>
      </c>
      <c r="N50" s="156"/>
      <c r="P50" s="36"/>
    </row>
    <row r="51" spans="2:16" x14ac:dyDescent="0.25">
      <c r="B51" s="122" t="str">
        <v>Steel, Structural formwork and decking (cold - rolled), Low Glare DECKFORM® steel in 1.00mm base material thickness (BMT) (Bluescope)</v>
      </c>
      <c r="C51" t="str">
        <v>tonne</v>
      </c>
      <c r="D51" s="96">
        <v>2883.2116788321164</v>
      </c>
      <c r="E51" s="96">
        <v>2.8832116788321165</v>
      </c>
      <c r="F51" s="96">
        <v>0</v>
      </c>
      <c r="G51" s="121">
        <v>0</v>
      </c>
      <c r="H51" t="s">
        <v>4155</v>
      </c>
      <c r="N51" s="156"/>
      <c r="P51" s="36"/>
    </row>
    <row r="52" spans="2:16" x14ac:dyDescent="0.25">
      <c r="B52" s="122" t="str">
        <v>Steel, Structural formwork and decking (cold - rolled), Low Glare DECKFORM® steel in 0.75mm base material thickness (BMT) (Bluescope)</v>
      </c>
      <c r="C52" t="str">
        <v>tonne</v>
      </c>
      <c r="D52" s="96">
        <v>3194.8881789137381</v>
      </c>
      <c r="E52" s="96">
        <v>3.1948881789137382</v>
      </c>
      <c r="F52" s="96">
        <v>0</v>
      </c>
      <c r="G52" s="121">
        <v>0</v>
      </c>
      <c r="H52" t="s">
        <v>4155</v>
      </c>
      <c r="N52" s="156"/>
      <c r="P52" s="36"/>
    </row>
    <row r="53" spans="2:16" x14ac:dyDescent="0.25">
      <c r="B53" s="122" t="str">
        <v>Steel, Structural formwork and decking (cold - rolled), Low Glare DECKFORM® steel in 0.90mm base material thickness (BMT) (Bluescope)</v>
      </c>
      <c r="C53" t="str">
        <v>tonne</v>
      </c>
      <c r="D53" s="96">
        <v>3104.8387096774195</v>
      </c>
      <c r="E53" s="96">
        <v>3.1048387096774195</v>
      </c>
      <c r="F53" s="96">
        <v>0</v>
      </c>
      <c r="G53" s="121">
        <v>0</v>
      </c>
      <c r="H53" t="s">
        <v>4155</v>
      </c>
      <c r="N53" s="156"/>
      <c r="P53" s="36"/>
    </row>
    <row r="54" spans="2:16" x14ac:dyDescent="0.25">
      <c r="B54" s="122" t="str">
        <v>Steel, Structural framing (cold - rolled), TRUECORE® steel in 0.42mm base material thickness (BMT) (Bluescope)</v>
      </c>
      <c r="C54" t="str">
        <v>tonne</v>
      </c>
      <c r="D54" s="96">
        <v>3246.3768115942025</v>
      </c>
      <c r="E54" s="96">
        <v>3.2463768115942027</v>
      </c>
      <c r="F54" s="96">
        <v>0</v>
      </c>
      <c r="G54" s="121">
        <v>0</v>
      </c>
      <c r="H54" t="s">
        <v>4155</v>
      </c>
      <c r="N54" s="156"/>
      <c r="P54" s="36"/>
    </row>
    <row r="55" spans="2:16" x14ac:dyDescent="0.25">
      <c r="B55" s="122" t="str">
        <v>Steel, Structural framing (cold - rolled), TRUECORE® steel in 0.48mm base material thickness (BMT) (Bluescope)</v>
      </c>
      <c r="C55" t="str">
        <v>tonne</v>
      </c>
      <c r="D55" s="96">
        <v>3163.2653061224491</v>
      </c>
      <c r="E55" s="96">
        <v>3.1632653061224492</v>
      </c>
      <c r="F55" s="96">
        <v>0</v>
      </c>
      <c r="G55" s="121">
        <v>0</v>
      </c>
      <c r="H55" t="s">
        <v>4155</v>
      </c>
      <c r="N55" s="156"/>
      <c r="P55" s="36"/>
    </row>
    <row r="56" spans="2:16" x14ac:dyDescent="0.25">
      <c r="B56" s="122" t="str">
        <v>Steel, Structural framing (cold - rolled), TRUECORE® steel in 0.55mm base material thickness (BMT) (Bluescope)</v>
      </c>
      <c r="C56" t="str">
        <v>tonne</v>
      </c>
      <c r="D56" s="96">
        <v>3109.6196868008951</v>
      </c>
      <c r="E56" s="96">
        <v>3.1096196868008952</v>
      </c>
      <c r="F56" s="96">
        <v>0</v>
      </c>
      <c r="G56" s="121">
        <v>0</v>
      </c>
      <c r="H56" t="s">
        <v>4155</v>
      </c>
      <c r="N56" s="156"/>
      <c r="P56" s="36"/>
    </row>
    <row r="57" spans="2:16" x14ac:dyDescent="0.25">
      <c r="B57" s="122" t="str">
        <v>Steel, Structural framing (cold - rolled), TRUECORE® steel in 0.60mm base material thickness (BMT) (Bluescope)</v>
      </c>
      <c r="C57" t="str">
        <v>tonne</v>
      </c>
      <c r="D57" s="96">
        <v>3059.5482546201233</v>
      </c>
      <c r="E57" s="96">
        <v>3.0595482546201231</v>
      </c>
      <c r="F57" s="96">
        <v>0</v>
      </c>
      <c r="G57" s="121">
        <v>0</v>
      </c>
      <c r="H57" t="s">
        <v>4155</v>
      </c>
      <c r="N57" s="156"/>
      <c r="P57" s="36"/>
    </row>
    <row r="58" spans="2:16" x14ac:dyDescent="0.25">
      <c r="B58" s="122" t="str">
        <v>Steel, Structural framing (cold - rolled), TRUECORE® steel in 0.75mm base material thickness (BMT) (Bluescope)</v>
      </c>
      <c r="C58" t="str">
        <v>tonne</v>
      </c>
      <c r="D58" s="96">
        <v>2980.1324503311262</v>
      </c>
      <c r="E58" s="96">
        <v>2.9801324503311259</v>
      </c>
      <c r="F58" s="96">
        <v>0</v>
      </c>
      <c r="G58" s="121">
        <v>0</v>
      </c>
      <c r="H58" t="s">
        <v>4155</v>
      </c>
      <c r="N58" s="156"/>
      <c r="P58" s="36"/>
    </row>
    <row r="59" spans="2:16" x14ac:dyDescent="0.25">
      <c r="B59" s="122" t="str">
        <v>Steel, Structural formwork and decking (cold - rolled), DECKFORM® steel in 1.50mm base material thickness (BMT) (Bluescope)</v>
      </c>
      <c r="C59" t="str">
        <v>tonne</v>
      </c>
      <c r="D59" s="96">
        <v>2792.4217462932452</v>
      </c>
      <c r="E59" s="96">
        <v>2.792421746293245</v>
      </c>
      <c r="F59" s="96">
        <v>0</v>
      </c>
      <c r="G59" s="121">
        <v>0</v>
      </c>
      <c r="H59" t="s">
        <v>4155</v>
      </c>
      <c r="N59" s="156"/>
      <c r="P59" s="36"/>
    </row>
    <row r="60" spans="2:16" x14ac:dyDescent="0.25">
      <c r="B60" s="122" t="str">
        <v>Steel, Structural framing (cold - rolled), TRUECORE® steel in 0.95mm base material thickness (BMT) (Bluescope)</v>
      </c>
      <c r="C60" t="str">
        <v>tonne</v>
      </c>
      <c r="D60" s="96">
        <v>2904.0735873850194</v>
      </c>
      <c r="E60" s="96">
        <v>2.9040735873850196</v>
      </c>
      <c r="F60" s="96">
        <v>0</v>
      </c>
      <c r="G60" s="121">
        <v>0</v>
      </c>
      <c r="H60" t="s">
        <v>4155</v>
      </c>
      <c r="N60" s="156"/>
      <c r="P60" s="36"/>
    </row>
    <row r="61" spans="2:16" x14ac:dyDescent="0.25">
      <c r="B61" s="122" t="str">
        <v>Steel, Structural sections (cold - rolled), Steel, equal angle (EA), merchant bar, unpainted, 25 x 25 x 3 mm to 100 x 100 x 12 mm,  (InfraBuild via Distributor IBSC), Australia</v>
      </c>
      <c r="C61" t="str">
        <v>tonne</v>
      </c>
      <c r="D61" s="96">
        <v>1520</v>
      </c>
      <c r="E61" s="96">
        <v>1.52</v>
      </c>
      <c r="F61" s="96">
        <v>0</v>
      </c>
      <c r="G61" s="121">
        <v>0</v>
      </c>
      <c r="H61" t="s">
        <v>4155</v>
      </c>
      <c r="N61" s="156"/>
      <c r="P61" s="36"/>
    </row>
    <row r="62" spans="2:16" x14ac:dyDescent="0.25">
      <c r="B62" s="122" t="str">
        <v>Steel, Structural sections (cold - rolled), Steel, unequal angles, merchant bar, unpainted, 65 x 50 x 5 mm to 125 x 75 x 12 mm,  (InfraBuild via Distributor IBSC), Australia</v>
      </c>
      <c r="C62" t="str">
        <v>tonne</v>
      </c>
      <c r="D62" s="96">
        <v>1520</v>
      </c>
      <c r="E62" s="96">
        <v>1.52</v>
      </c>
      <c r="F62" s="96">
        <v>0</v>
      </c>
      <c r="G62" s="121">
        <v>0</v>
      </c>
      <c r="H62" t="s">
        <v>4155</v>
      </c>
      <c r="N62" s="156"/>
      <c r="P62" s="36"/>
    </row>
    <row r="63" spans="2:16" x14ac:dyDescent="0.25">
      <c r="B63" s="122" t="str">
        <v>Steel, Structural sections (cold - rolled), Steel, parallel flange channels (PFC),  merchant bar, unpainted, 180 x 75 mm to 380 x 100 mm,  (InfraBuild via Distributor IBSC), Australia</v>
      </c>
      <c r="C63" t="str">
        <v>tonne</v>
      </c>
      <c r="D63" s="96">
        <v>1520</v>
      </c>
      <c r="E63" s="96">
        <v>1.52</v>
      </c>
      <c r="F63" s="96">
        <v>0</v>
      </c>
      <c r="G63" s="121">
        <v>0</v>
      </c>
      <c r="H63" t="s">
        <v>4155</v>
      </c>
    </row>
    <row r="64" spans="2:16" x14ac:dyDescent="0.25">
      <c r="B64" s="122" t="str">
        <v>Steel, Structural sections (cold - rolled), Steel, flat Bar (SEF), merchant bar, unpainted, 20 x 10 mm to 150 x 25 mm,  (InfraBuild via Distributor IBSC), Australia</v>
      </c>
      <c r="C64" t="str">
        <v>tonne</v>
      </c>
      <c r="D64" s="96">
        <v>1520</v>
      </c>
      <c r="E64" s="96">
        <v>1.52</v>
      </c>
      <c r="F64" s="96">
        <v>0</v>
      </c>
      <c r="G64" s="121">
        <v>0</v>
      </c>
      <c r="H64" t="s">
        <v>4155</v>
      </c>
    </row>
    <row r="65" spans="2:8" x14ac:dyDescent="0.25">
      <c r="B65" s="122" t="str">
        <v>Steel, Structural sections (cold - rolled), Steel, square Bar, merchant bar, unpainted, 10 mm to 40 mm,  (InfraBuild via Distributor IBSC), Australia</v>
      </c>
      <c r="C65" t="str">
        <v>tonne</v>
      </c>
      <c r="D65" s="96">
        <v>1520</v>
      </c>
      <c r="E65" s="96">
        <v>1.52</v>
      </c>
      <c r="F65" s="96">
        <v>0</v>
      </c>
      <c r="G65" s="121">
        <v>0</v>
      </c>
      <c r="H65" t="s">
        <v>4155</v>
      </c>
    </row>
    <row r="66" spans="2:8" x14ac:dyDescent="0.25">
      <c r="B66" s="122" t="str">
        <v>Steel, Structural sections (cold - rolled), Steel, round Bar, merchant bar, unpainted, 10 mm to 90 mm,  (InfraBuild via Distributor IBSC), Australia</v>
      </c>
      <c r="C66" t="str">
        <v>tonne</v>
      </c>
      <c r="D66" s="96">
        <v>1520</v>
      </c>
      <c r="E66" s="96">
        <v>1.52</v>
      </c>
      <c r="F66" s="96">
        <v>0</v>
      </c>
      <c r="G66" s="121">
        <v>0</v>
      </c>
      <c r="H66" t="s">
        <v>4155</v>
      </c>
    </row>
    <row r="67" spans="2:8" x14ac:dyDescent="0.25">
      <c r="B67" s="122" t="str">
        <v>Steel, Structural sections (cold - rolled), Steel, equal angle (EA), merchant bar, unpainted, 25 x 25 x 3 mm to 100 x 100 x 12 mm,  (InfraBuild, Australia), Australia</v>
      </c>
      <c r="C67" t="str">
        <v>tonne</v>
      </c>
      <c r="D67" s="96">
        <v>1240</v>
      </c>
      <c r="E67" s="96">
        <v>1.24</v>
      </c>
      <c r="F67" s="96">
        <v>0</v>
      </c>
      <c r="G67" s="121">
        <v>0</v>
      </c>
      <c r="H67" t="s">
        <v>4155</v>
      </c>
    </row>
    <row r="68" spans="2:8" x14ac:dyDescent="0.25">
      <c r="B68" s="122" t="str">
        <v>Steel, Structural sections (cold - rolled), Steel, unequal angles, merchant bar, unpainted, 65 x 50 x 5 mm to 125 x 75 x 12 mm,  (InfraBuild, Australia), Australia</v>
      </c>
      <c r="C68" t="str">
        <v>tonne</v>
      </c>
      <c r="D68" s="96">
        <v>1240</v>
      </c>
      <c r="E68" s="96">
        <v>1.24</v>
      </c>
      <c r="F68" s="96">
        <v>0</v>
      </c>
      <c r="G68" s="121">
        <v>0</v>
      </c>
      <c r="H68" t="s">
        <v>4155</v>
      </c>
    </row>
    <row r="69" spans="2:8" x14ac:dyDescent="0.25">
      <c r="B69" s="122" t="str">
        <v>Steel, Structural sections (cold - rolled), Steel, flat Bar (SEF), merchant bar, unpainted, 20 x 10 mm to 150 x 25 mm,  (InfraBuild, Australia), Australia</v>
      </c>
      <c r="C69" t="str">
        <v>tonne</v>
      </c>
      <c r="D69" s="96">
        <v>1240</v>
      </c>
      <c r="E69" s="96">
        <v>1.24</v>
      </c>
      <c r="F69" s="96">
        <v>0</v>
      </c>
      <c r="G69" s="121">
        <v>0</v>
      </c>
      <c r="H69" t="s">
        <v>4155</v>
      </c>
    </row>
    <row r="70" spans="2:8" x14ac:dyDescent="0.25">
      <c r="B70" s="122" t="str">
        <v>Steel, Structural sections (cold - rolled), Steel, square Bar, merchant bar, unpainted, 10 mm to 40 mm,  (InfraBuild, Australia), Australia</v>
      </c>
      <c r="C70" t="str">
        <v>tonne</v>
      </c>
      <c r="D70" s="96">
        <v>1240</v>
      </c>
      <c r="E70" s="96">
        <v>1.24</v>
      </c>
      <c r="F70" s="96">
        <v>0</v>
      </c>
      <c r="G70" s="121">
        <v>0</v>
      </c>
      <c r="H70" t="s">
        <v>4155</v>
      </c>
    </row>
    <row r="71" spans="2:8" x14ac:dyDescent="0.25">
      <c r="B71" s="122" t="str">
        <v>Steel, Structural sections (cold - rolled), Steel, round Bar, merchant bar, unpainted, 10 mm to 90 mm,  (InfraBuild, Australia), Australia</v>
      </c>
      <c r="C71" t="str">
        <v>tonne</v>
      </c>
      <c r="D71" s="96">
        <v>1240</v>
      </c>
      <c r="E71" s="96">
        <v>1.24</v>
      </c>
      <c r="F71" s="96">
        <v>0</v>
      </c>
      <c r="G71" s="121">
        <v>0</v>
      </c>
      <c r="H71" t="s">
        <v>4155</v>
      </c>
    </row>
    <row r="72" spans="2:8" x14ac:dyDescent="0.25">
      <c r="B72" s="122" t="str">
        <v>Steel, Structural formwork and decking (cold - rolled), Low Glare DECKFORM® steel in 1.50mm base material thickness (BMT) (Bluescope)</v>
      </c>
      <c r="C72" t="str">
        <v>tonne</v>
      </c>
      <c r="D72" s="96">
        <v>2915.9803396425041</v>
      </c>
      <c r="E72" s="96">
        <v>2.9159803396425041</v>
      </c>
      <c r="F72" s="96">
        <v>0</v>
      </c>
      <c r="G72" s="121">
        <v>0</v>
      </c>
      <c r="H72" t="s">
        <v>4155</v>
      </c>
    </row>
    <row r="73" spans="2:8" x14ac:dyDescent="0.25">
      <c r="B73" s="122" t="str">
        <v>Steel, Structural framing (cold - rolled), TRUECORE® steel in 1.00mm base material thickness (BMT) (Bluescope)</v>
      </c>
      <c r="C73" t="str">
        <v>tonne</v>
      </c>
      <c r="D73" s="96">
        <v>2883.8954060861424</v>
      </c>
      <c r="E73" s="96">
        <v>2.8838954060861428</v>
      </c>
      <c r="F73" s="96">
        <v>0</v>
      </c>
      <c r="G73" s="121">
        <v>0</v>
      </c>
      <c r="H73" t="s">
        <v>4155</v>
      </c>
    </row>
    <row r="74" spans="2:8" x14ac:dyDescent="0.25">
      <c r="B74" s="122" t="str">
        <v>Steel, Structural framing (cold - rolled), TRUECORE® steel in 1.15mm base material thickness (BMT) (Bluescope)</v>
      </c>
      <c r="C74" t="str">
        <v>tonne</v>
      </c>
      <c r="D74" s="96">
        <v>2854.0317110893243</v>
      </c>
      <c r="E74" s="96">
        <v>2.8540317110893247</v>
      </c>
      <c r="F74" s="96">
        <v>0</v>
      </c>
      <c r="G74" s="121">
        <v>0</v>
      </c>
      <c r="H74" t="s">
        <v>4155</v>
      </c>
    </row>
    <row r="75" spans="2:8" x14ac:dyDescent="0.25">
      <c r="B75" s="122" t="str">
        <v>Steel, Structural framing (cold - rolled), TRUECORE® steel in 1.20mm base material thickness (BMT) (Bluescope)</v>
      </c>
      <c r="C75" t="str">
        <v>tonne</v>
      </c>
      <c r="D75" s="96">
        <v>2839.2499642379958</v>
      </c>
      <c r="E75" s="96">
        <v>2.8392499642379958</v>
      </c>
      <c r="F75" s="96">
        <v>0</v>
      </c>
      <c r="G75" s="121">
        <v>0</v>
      </c>
      <c r="H75" t="s">
        <v>4155</v>
      </c>
    </row>
    <row r="76" spans="2:8" x14ac:dyDescent="0.25">
      <c r="B76" s="122" t="str">
        <v>Steel, Structural framing (cold - rolled), TRUECORE® steel in 1.50mm base material thickness (BMT) (Bluescope)</v>
      </c>
      <c r="C76" t="str">
        <v>tonne</v>
      </c>
      <c r="D76" s="96">
        <v>2799.6681108130765</v>
      </c>
      <c r="E76" s="96">
        <v>2.7996681108130765</v>
      </c>
      <c r="F76" s="96">
        <v>0</v>
      </c>
      <c r="G76" s="121">
        <v>0</v>
      </c>
      <c r="H76" t="s">
        <v>4155</v>
      </c>
    </row>
    <row r="77" spans="2:8" x14ac:dyDescent="0.25">
      <c r="B77" s="122" t="str">
        <v>Steel, Structural framing (cold - rolled), TRUECORE® steel in 1.60mm base material thickness (BMT) (Bluescope)</v>
      </c>
      <c r="C77" t="str">
        <v>tonne</v>
      </c>
      <c r="D77" s="96">
        <v>2783.022897924528</v>
      </c>
      <c r="E77" s="96">
        <v>2.7830228979245279</v>
      </c>
      <c r="F77" s="96">
        <v>0</v>
      </c>
      <c r="G77" s="121">
        <v>0</v>
      </c>
      <c r="H77" t="s">
        <v>4155</v>
      </c>
    </row>
    <row r="78" spans="2:8" x14ac:dyDescent="0.25">
      <c r="B78" s="122" t="str">
        <v>Structural steel , Structural steel (cold - rolled), Representative product 681 (Rondo) (Australia)</v>
      </c>
      <c r="C78" t="str">
        <v>tonne</v>
      </c>
      <c r="D78" s="96">
        <v>2940</v>
      </c>
      <c r="E78" s="96">
        <v>2.94</v>
      </c>
      <c r="F78" s="96">
        <v>0</v>
      </c>
      <c r="G78" s="121">
        <v>0</v>
      </c>
      <c r="H78" t="s">
        <v>4155</v>
      </c>
    </row>
    <row r="79" spans="2:8" x14ac:dyDescent="0.25">
      <c r="B79" s="122" t="str">
        <v>Structural steel , Structural steel (cold - rolled), Representative product 592 (Rondo) (Australia)</v>
      </c>
      <c r="C79" t="str">
        <v>tonne</v>
      </c>
      <c r="D79" s="96">
        <v>3140</v>
      </c>
      <c r="E79" s="96">
        <v>3.14</v>
      </c>
      <c r="F79" s="96">
        <v>0</v>
      </c>
      <c r="G79" s="121">
        <v>0</v>
      </c>
      <c r="H79" t="s">
        <v>4155</v>
      </c>
    </row>
    <row r="80" spans="2:8" x14ac:dyDescent="0.25">
      <c r="B80" s="122" t="str">
        <v>Structural steel , Structural steel (cold - rolled), Representative product 495 (Rondo) (Australia)</v>
      </c>
      <c r="C80" t="str">
        <v>tonne</v>
      </c>
      <c r="D80" s="96">
        <v>3090</v>
      </c>
      <c r="E80" s="96">
        <v>3.09</v>
      </c>
      <c r="F80" s="96">
        <v>0</v>
      </c>
      <c r="G80" s="121">
        <v>0</v>
      </c>
      <c r="H80" t="s">
        <v>4155</v>
      </c>
    </row>
    <row r="81" spans="2:8" x14ac:dyDescent="0.25">
      <c r="B81" s="122" t="str">
        <v>Structural steel , Structural steel (cold - rolled), Representative product 107 (Rondo) (Australia)</v>
      </c>
      <c r="C81" t="str">
        <v>tonne</v>
      </c>
      <c r="D81" s="96">
        <v>3860</v>
      </c>
      <c r="E81" s="96">
        <v>3.86</v>
      </c>
      <c r="F81" s="96">
        <v>0</v>
      </c>
      <c r="G81" s="121">
        <v>0</v>
      </c>
      <c r="H81" t="s">
        <v>4155</v>
      </c>
    </row>
    <row r="82" spans="2:8" x14ac:dyDescent="0.25">
      <c r="B82" s="122" t="str">
        <v>Structural steel , Structural steel (cold - rolled), Representative product 506 (Rondo) (Australia)</v>
      </c>
      <c r="C82" t="str">
        <v>tonne</v>
      </c>
      <c r="D82" s="96">
        <v>3430</v>
      </c>
      <c r="E82" s="96">
        <v>3.43</v>
      </c>
      <c r="F82" s="96">
        <v>0</v>
      </c>
      <c r="G82" s="121">
        <v>0</v>
      </c>
      <c r="H82" t="s">
        <v>4155</v>
      </c>
    </row>
    <row r="166" spans="2:7" x14ac:dyDescent="0.25">
      <c r="B166" s="125"/>
      <c r="C166" s="126"/>
      <c r="D166" s="127"/>
      <c r="E166" s="127"/>
      <c r="F166" s="127"/>
      <c r="G166" s="128"/>
    </row>
  </sheetData>
  <dataValidations disablePrompts="1" count="1">
    <dataValidation type="list" allowBlank="1" showInputMessage="1" showErrorMessage="1" sqref="B6:B9" xr:uid="{7B1A0529-30B5-4AA1-AE3E-B194533BA8C0}">
      <formula1>"Tier 1,Tier 2,Tier 3,Tier 4"</formula1>
    </dataValidation>
  </dataValidations>
  <hyperlinks>
    <hyperlink ref="P4" r:id="rId1" xr:uid="{4C4ACE70-6E8C-4CFA-AE29-216248082E1F}"/>
    <hyperlink ref="P3" r:id="rId2" display="https://www.gfgalliance.com/whyalla-transformation/about-the-steelworks/" xr:uid="{28378F85-51B8-4698-9D63-67AC2D98376F}"/>
  </hyperlink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156E39-774E-4657-8F99-5030B1066AC8}">
  <sheetPr codeName="Sheet27">
    <tabColor rgb="FF00CCFF"/>
  </sheetPr>
  <dimension ref="A1:I166"/>
  <sheetViews>
    <sheetView showGridLines="0" zoomScale="80" zoomScaleNormal="80" workbookViewId="0"/>
  </sheetViews>
  <sheetFormatPr defaultRowHeight="13.2" x14ac:dyDescent="0.25"/>
  <cols>
    <col min="1" max="1" width="26.109375" customWidth="1"/>
    <col min="2" max="2" width="128.88671875" customWidth="1"/>
    <col min="3" max="3" width="21" customWidth="1"/>
    <col min="4" max="6" width="19.88671875" style="96" customWidth="1"/>
    <col min="7" max="7" width="23.5546875" style="96" customWidth="1"/>
    <col min="8" max="8" width="14.44140625" customWidth="1"/>
  </cols>
  <sheetData>
    <row r="1" spans="1:7" x14ac:dyDescent="0.25">
      <c r="A1" s="4" t="str" cm="1">
        <f t="array" aca="1" ref="A1" ca="1">MID(CELL("filename",A1),FIND("]",CELL("filename",A1))+1,255)</f>
        <v>Steel_cladding_metallic</v>
      </c>
    </row>
    <row r="2" spans="1:7" x14ac:dyDescent="0.25">
      <c r="A2" s="4"/>
    </row>
    <row r="3" spans="1:7" x14ac:dyDescent="0.25">
      <c r="A3" s="4" t="s">
        <v>4048</v>
      </c>
      <c r="B3" t="s">
        <v>4167</v>
      </c>
    </row>
    <row r="4" spans="1:7" x14ac:dyDescent="0.25">
      <c r="A4" s="4"/>
    </row>
    <row r="5" spans="1:7" ht="73.5" customHeight="1" x14ac:dyDescent="0.25">
      <c r="A5" s="26" t="s">
        <v>4050</v>
      </c>
      <c r="B5" s="14" t="s">
        <v>4168</v>
      </c>
    </row>
    <row r="6" spans="1:7" x14ac:dyDescent="0.25">
      <c r="A6" s="26" t="s">
        <v>4052</v>
      </c>
      <c r="B6" s="27" t="s">
        <v>68</v>
      </c>
    </row>
    <row r="7" spans="1:7" x14ac:dyDescent="0.25">
      <c r="A7" s="26" t="s">
        <v>4053</v>
      </c>
      <c r="B7" s="27" t="s">
        <v>68</v>
      </c>
    </row>
    <row r="8" spans="1:7" x14ac:dyDescent="0.25">
      <c r="A8" s="26" t="s">
        <v>4054</v>
      </c>
      <c r="B8" s="27" t="s">
        <v>68</v>
      </c>
    </row>
    <row r="9" spans="1:7" x14ac:dyDescent="0.25">
      <c r="A9" s="26" t="s">
        <v>4055</v>
      </c>
      <c r="B9" s="4" t="s">
        <v>68</v>
      </c>
    </row>
    <row r="10" spans="1:7" x14ac:dyDescent="0.25">
      <c r="A10" s="26"/>
      <c r="B10" s="4"/>
    </row>
    <row r="11" spans="1:7" ht="26.4" x14ac:dyDescent="0.25">
      <c r="A11" s="26" t="s">
        <v>4056</v>
      </c>
      <c r="B11" s="14" t="s">
        <v>4169</v>
      </c>
    </row>
    <row r="12" spans="1:7" x14ac:dyDescent="0.25">
      <c r="A12" s="101"/>
    </row>
    <row r="13" spans="1:7" x14ac:dyDescent="0.25">
      <c r="A13" s="101"/>
    </row>
    <row r="14" spans="1:7" x14ac:dyDescent="0.25">
      <c r="A14" s="26" t="s">
        <v>4057</v>
      </c>
    </row>
    <row r="15" spans="1:7" x14ac:dyDescent="0.25">
      <c r="A15" s="26"/>
      <c r="D15" s="112" t="s">
        <v>4058</v>
      </c>
      <c r="E15" s="113"/>
      <c r="F15" s="114" t="s">
        <v>4059</v>
      </c>
      <c r="G15" s="113"/>
    </row>
    <row r="16" spans="1:7" ht="39.6" x14ac:dyDescent="0.25">
      <c r="B16" s="28" t="s">
        <v>3173</v>
      </c>
      <c r="C16" s="23" t="s">
        <v>23</v>
      </c>
      <c r="D16" s="24" t="s">
        <v>141</v>
      </c>
      <c r="E16" s="25" t="s">
        <v>148</v>
      </c>
      <c r="F16" s="24" t="s">
        <v>142</v>
      </c>
      <c r="G16" s="24" t="s">
        <v>149</v>
      </c>
    </row>
    <row r="17" spans="2:8" x14ac:dyDescent="0.25">
      <c r="B17" s="29"/>
      <c r="C17" s="30" t="s">
        <v>4060</v>
      </c>
      <c r="D17" s="118" t="str" cm="1">
        <f t="array" ref="D17">IF(AND(_xlfn.ANCHORARRAY(C23)=C23),C23,"Mixed")</f>
        <v>m²</v>
      </c>
      <c r="E17" s="118" t="s">
        <v>219</v>
      </c>
      <c r="F17" s="118" t="str" cm="1">
        <f t="array" ref="F17">IF(AND(_xlfn.ANCHORARRAY(C23)=C23),C23,"Mixed")</f>
        <v>m²</v>
      </c>
      <c r="G17" s="119" t="s">
        <v>219</v>
      </c>
    </row>
    <row r="18" spans="2:8" s="14" customFormat="1" x14ac:dyDescent="0.25">
      <c r="B18" s="31"/>
      <c r="C18" s="4" t="s">
        <v>4061</v>
      </c>
      <c r="D18" s="96">
        <f t="shared" ref="D18:G18" si="0">MAX(_xlfn.ANCHORARRAY(D23))</f>
        <v>62.707980000000006</v>
      </c>
      <c r="E18" s="96">
        <f t="shared" si="0"/>
        <v>5.0147249999999994</v>
      </c>
      <c r="F18" s="96">
        <f t="shared" si="0"/>
        <v>0</v>
      </c>
      <c r="G18" s="121">
        <f t="shared" si="0"/>
        <v>0</v>
      </c>
      <c r="H18"/>
    </row>
    <row r="19" spans="2:8" x14ac:dyDescent="0.25">
      <c r="B19" s="122"/>
      <c r="C19" s="4" t="s">
        <v>4062</v>
      </c>
      <c r="D19" s="96">
        <f>MIN(_xlfn.ANCHORARRAY(D23))</f>
        <v>8.4</v>
      </c>
      <c r="E19" s="96">
        <f t="shared" ref="E19:G19" si="1">MIN(_xlfn.ANCHORARRAY(E23))</f>
        <v>2.7205197396963126</v>
      </c>
      <c r="F19" s="96">
        <f t="shared" si="1"/>
        <v>0</v>
      </c>
      <c r="G19" s="121">
        <f t="shared" si="1"/>
        <v>0</v>
      </c>
    </row>
    <row r="20" spans="2:8" x14ac:dyDescent="0.25">
      <c r="B20" s="122"/>
      <c r="C20" s="4" t="s">
        <v>4063</v>
      </c>
      <c r="D20" s="96">
        <f>AVERAGE(_xlfn.ANCHORARRAY(D23))</f>
        <v>19.487819950757572</v>
      </c>
      <c r="E20" s="96">
        <f t="shared" ref="E20:G20" si="2">AVERAGE(_xlfn.ANCHORARRAY(E23))</f>
        <v>3.082862299474789</v>
      </c>
      <c r="F20" s="96">
        <f t="shared" si="2"/>
        <v>0</v>
      </c>
      <c r="G20" s="121">
        <f t="shared" si="2"/>
        <v>0</v>
      </c>
    </row>
    <row r="21" spans="2:8" x14ac:dyDescent="0.25">
      <c r="B21" s="122"/>
      <c r="C21" s="4"/>
      <c r="G21" s="121"/>
    </row>
    <row r="22" spans="2:8" x14ac:dyDescent="0.25">
      <c r="B22" s="32" t="s">
        <v>4064</v>
      </c>
      <c r="D22"/>
      <c r="E22"/>
      <c r="F22"/>
      <c r="G22" s="124"/>
    </row>
    <row r="23" spans="2:8" x14ac:dyDescent="0.25">
      <c r="B23" s="122" t="str" cm="1">
        <f t="array" ref="B23:B88">_xlfn.UNIQUE(_xlfn._xlws.FILTER('EPD List'!D:D,ISNUMBER(SEARCH(B16,'EPD List'!C:C)),0))</f>
        <v>Steel, Steel cladding - metallic coated, ZINCALUME® steel in 1.20mm base material thickness (BMT), incl. rollforming (Bluescope)</v>
      </c>
      <c r="C23" t="str" cm="1">
        <f t="array" ref="C23:C88">_xlfn.IFNA(INDEX('EPD List'!$A:$AB,MATCH(_xlfn.ANCHORARRAY(B23),'EPD List'!$D:$D,0),MATCH(C$16,'EPD List'!$7:$7,0)),"")</f>
        <v>m²</v>
      </c>
      <c r="D23" s="96" cm="1">
        <f t="array" ref="D23:D88">_xlfn.IFNA(VALUE((INDEX('EPD List'!$A:$AD,MATCH(_xlfn.ANCHORARRAY($B23),'EPD List'!$D:$D,0),MATCH(D$16,'EPD List'!$7:$7,0)))),"")</f>
        <v>28</v>
      </c>
      <c r="E23" s="96" cm="1">
        <f t="array" ref="E23:E88">_xlfn.IFNA(VALUE((INDEX('EPD List'!$A:$AD,MATCH(_xlfn.ANCHORARRAY($B23),'EPD List'!$D:$D,0),MATCH(E$16,'EPD List'!$7:$7,0)))),"")</f>
        <v>2.9319371727748691</v>
      </c>
      <c r="F23" s="96" cm="1">
        <f t="array" ref="F23:F88">_xlfn.IFNA(VALUE((INDEX('EPD List'!$A:$AD,MATCH(_xlfn.ANCHORARRAY($B23),'EPD List'!$D:$D,0),MATCH(F$16,'EPD List'!$7:$7,0)))),"")</f>
        <v>0</v>
      </c>
      <c r="G23" s="121" cm="1">
        <f t="array" ref="G23:G88">_xlfn.IFNA(VALUE((INDEX('EPD List'!$A:$AD,MATCH(_xlfn.ANCHORARRAY($B23),'EPD List'!$D:$D,0),MATCH(G$16,'EPD List'!$7:$7,0)))),"")</f>
        <v>0</v>
      </c>
    </row>
    <row r="24" spans="2:8" x14ac:dyDescent="0.25">
      <c r="B24" s="122" t="str">
        <v>Steel, Steel cladding - metallic coated, ZINCALUME® steel in 1.15mm base material thickness (BMT), incl. rollforming (Bluescope)</v>
      </c>
      <c r="C24" t="str">
        <v>m²</v>
      </c>
      <c r="D24" s="96">
        <v>27</v>
      </c>
      <c r="E24" s="96">
        <v>2.947598253275109</v>
      </c>
      <c r="F24" s="96">
        <v>0</v>
      </c>
      <c r="G24" s="121">
        <v>0</v>
      </c>
    </row>
    <row r="25" spans="2:8" x14ac:dyDescent="0.25">
      <c r="B25" s="122" t="str">
        <v>Steel, Steel cladding - metallic coated, ZINCALUME® steel in 1.00mm base material thickness (BMT), incl. rollforming (Bluescope)</v>
      </c>
      <c r="C25" t="str">
        <v>m²</v>
      </c>
      <c r="D25" s="96">
        <v>23.7</v>
      </c>
      <c r="E25" s="96">
        <v>2.969924812030075</v>
      </c>
      <c r="F25" s="96">
        <v>0</v>
      </c>
      <c r="G25" s="121">
        <v>0</v>
      </c>
    </row>
    <row r="26" spans="2:8" x14ac:dyDescent="0.25">
      <c r="B26" s="122" t="str">
        <v>Steel, Steel cladding - metallic coated, ZINCALUME® steel in 0.95mm base material thickness (BMT), incl. rollforming (Bluescope)</v>
      </c>
      <c r="C26" t="str">
        <v>m²</v>
      </c>
      <c r="D26" s="96">
        <v>22.7</v>
      </c>
      <c r="E26" s="96">
        <v>2.9907773386034253</v>
      </c>
      <c r="F26" s="96">
        <v>0</v>
      </c>
      <c r="G26" s="121">
        <v>0</v>
      </c>
    </row>
    <row r="27" spans="2:8" x14ac:dyDescent="0.25">
      <c r="B27" s="122" t="str">
        <v>Steel, Steel cladding - metallic coated, ZINCALUME® steel in 0.75mm base material thickness (BMT), incl. rollforming (Bluescope)</v>
      </c>
      <c r="C27" t="str">
        <v>m²</v>
      </c>
      <c r="D27" s="96">
        <v>18.399999999999999</v>
      </c>
      <c r="E27" s="96">
        <v>3.0564784053156147</v>
      </c>
      <c r="F27" s="96">
        <v>0</v>
      </c>
      <c r="G27" s="121">
        <v>0</v>
      </c>
    </row>
    <row r="28" spans="2:8" x14ac:dyDescent="0.25">
      <c r="B28" s="122" t="str">
        <v>Steel, Steel cladding - metallic coated, ZINCALUME® steel in 0.70mm base material thickness (BMT), incl. rollforming (Bluescope)</v>
      </c>
      <c r="C28" t="str">
        <v>m²</v>
      </c>
      <c r="D28" s="96">
        <v>17.3</v>
      </c>
      <c r="E28" s="96">
        <v>3.0728241563055065</v>
      </c>
      <c r="F28" s="96">
        <v>0</v>
      </c>
      <c r="G28" s="121">
        <v>0</v>
      </c>
    </row>
    <row r="29" spans="2:8" x14ac:dyDescent="0.25">
      <c r="B29" s="122" t="str">
        <v>Steel, Steel cladding - metallic coated, ZINCALUME® steel in 0.60mm base material thickness (BMT), incl. rollforming (Bluescope)</v>
      </c>
      <c r="C29" t="str">
        <v>m²</v>
      </c>
      <c r="D29" s="96">
        <v>15.2</v>
      </c>
      <c r="E29" s="96">
        <v>3.1404958677685948</v>
      </c>
      <c r="F29" s="96">
        <v>0</v>
      </c>
      <c r="G29" s="121">
        <v>0</v>
      </c>
    </row>
    <row r="30" spans="2:8" x14ac:dyDescent="0.25">
      <c r="B30" s="122" t="str">
        <v>Steel, Steel cladding - metallic coated, ZINCALUME® steel in 0.55mm base material thickness (BMT), incl. rollforming (Bluescope)</v>
      </c>
      <c r="C30" t="str">
        <v>m²</v>
      </c>
      <c r="D30" s="96">
        <v>14.1</v>
      </c>
      <c r="E30" s="96">
        <v>3.1685393258426964</v>
      </c>
      <c r="F30" s="96">
        <v>0</v>
      </c>
      <c r="G30" s="121">
        <v>0</v>
      </c>
    </row>
    <row r="31" spans="2:8" x14ac:dyDescent="0.25">
      <c r="B31" s="122" t="str">
        <v>Steel, Steel cladding - metallic coated, ZINCALUME® steel in 0.50mm base material thickness (BMT), incl. rollforming (Bluescope)</v>
      </c>
      <c r="C31" t="str">
        <v>m²</v>
      </c>
      <c r="D31" s="96">
        <v>13</v>
      </c>
      <c r="E31" s="96">
        <v>3.201970443349754</v>
      </c>
      <c r="F31" s="96">
        <v>0</v>
      </c>
      <c r="G31" s="121">
        <v>0</v>
      </c>
    </row>
    <row r="32" spans="2:8" x14ac:dyDescent="0.25">
      <c r="B32" s="122" t="str">
        <v>Steel, Steel cladding - metallic coated, ZINCALUME® steel in 0.48mm base material thickness (BMT), incl. rollforming (Bluescope)</v>
      </c>
      <c r="C32" t="str">
        <v>m²</v>
      </c>
      <c r="D32" s="96">
        <v>12.6</v>
      </c>
      <c r="E32" s="96">
        <v>3.2307692307692308</v>
      </c>
      <c r="F32" s="96">
        <v>0</v>
      </c>
      <c r="G32" s="121">
        <v>0</v>
      </c>
    </row>
    <row r="33" spans="2:7" x14ac:dyDescent="0.25">
      <c r="B33" s="122" t="str">
        <v>Steel, Steel cladding - metallic coated, ZINCALUME® steel in 0.42mm base material thickness (BMT), incl. rollforming (Bluescope)</v>
      </c>
      <c r="C33" t="str">
        <v>m²</v>
      </c>
      <c r="D33" s="96">
        <v>11.3</v>
      </c>
      <c r="E33" s="96">
        <v>3.2944606413994171</v>
      </c>
      <c r="F33" s="96">
        <v>0</v>
      </c>
      <c r="G33" s="121">
        <v>0</v>
      </c>
    </row>
    <row r="34" spans="2:7" x14ac:dyDescent="0.25">
      <c r="B34" s="122" t="str">
        <v>Steel, Steel cladding - metallic coated, ZINCALUME® steel in 0.38mm base material thickness (BMT), incl. rollforming (Bluescope)</v>
      </c>
      <c r="C34" t="str">
        <v>m²</v>
      </c>
      <c r="D34" s="96">
        <v>10.4</v>
      </c>
      <c r="E34" s="96">
        <v>3.3333333333333335</v>
      </c>
      <c r="F34" s="96">
        <v>0</v>
      </c>
      <c r="G34" s="121">
        <v>0</v>
      </c>
    </row>
    <row r="35" spans="2:7" x14ac:dyDescent="0.25">
      <c r="B35" s="122" t="str">
        <v>Steel, Steel cladding - metallic coated, ZINCALUME® steel in 0.40mm base material thickness (BMT), incl. rollforming (Bluescope)</v>
      </c>
      <c r="C35" t="str">
        <v>m²</v>
      </c>
      <c r="D35" s="96">
        <v>10.9</v>
      </c>
      <c r="E35" s="96">
        <v>3.3333333333333335</v>
      </c>
      <c r="F35" s="96">
        <v>0</v>
      </c>
      <c r="G35" s="121">
        <v>0</v>
      </c>
    </row>
    <row r="36" spans="2:7" x14ac:dyDescent="0.25">
      <c r="B36" s="122" t="str">
        <v>Steel, Steel cladding - metallic coated, ZINCALUME® steel in 0.35mm base material thickness (BMT), incl. rollforming (Bluescope)</v>
      </c>
      <c r="C36" t="str">
        <v>m²</v>
      </c>
      <c r="D36" s="96">
        <v>9.8000000000000007</v>
      </c>
      <c r="E36" s="96">
        <v>3.4027777777777781</v>
      </c>
      <c r="F36" s="96">
        <v>0</v>
      </c>
      <c r="G36" s="121">
        <v>0</v>
      </c>
    </row>
    <row r="37" spans="2:7" x14ac:dyDescent="0.25">
      <c r="B37" s="122" t="str">
        <v>Steel, Steel cladding - metallic coated, ZINCALUME® steel in 0.30mm base material thickness (BMT), incl. rollforming (Bluescope)</v>
      </c>
      <c r="C37" t="str">
        <v>m²</v>
      </c>
      <c r="D37" s="96">
        <v>8.73</v>
      </c>
      <c r="E37" s="96">
        <v>3.5060240963855422</v>
      </c>
      <c r="F37" s="96">
        <v>0</v>
      </c>
      <c r="G37" s="121">
        <v>0</v>
      </c>
    </row>
    <row r="38" spans="2:7" x14ac:dyDescent="0.25">
      <c r="B38" s="122" t="str">
        <v>Steel cladding - metallic coated, , Galvanized steel product (JSW Steel) (Global)</v>
      </c>
      <c r="C38" t="str">
        <v>m²</v>
      </c>
      <c r="D38" s="96">
        <v>16.398150749999999</v>
      </c>
      <c r="E38" s="96">
        <v>5.0147249999999994</v>
      </c>
      <c r="F38" s="96">
        <v>0</v>
      </c>
      <c r="G38" s="121">
        <v>0</v>
      </c>
    </row>
    <row r="39" spans="2:7" x14ac:dyDescent="0.25">
      <c r="B39" s="122" t="str">
        <v>Steel, Steel cladding - metallic coated, GALVABOND® steel with a zinc coating class of Z100 in 0.37mm base metal thickness (BMT) (Bluescope)</v>
      </c>
      <c r="C39" t="str">
        <v>m²</v>
      </c>
      <c r="D39" s="96">
        <v>9.81</v>
      </c>
      <c r="E39" s="96">
        <v>3.2163934426229512</v>
      </c>
      <c r="F39" s="96">
        <v>0</v>
      </c>
      <c r="G39" s="121">
        <v>0</v>
      </c>
    </row>
    <row r="40" spans="2:7" x14ac:dyDescent="0.25">
      <c r="B40" s="122" t="str">
        <v>Steel, Steel cladding - metallic coated, GALVABOND® steel with a zinc coating class of Z100 in 0.40mm base metal thickness (BMT) (Bluescope)</v>
      </c>
      <c r="C40" t="str">
        <v>m²</v>
      </c>
      <c r="D40" s="96">
        <v>10.4</v>
      </c>
      <c r="E40" s="96">
        <v>3.1707317073170733</v>
      </c>
      <c r="F40" s="96">
        <v>0</v>
      </c>
      <c r="G40" s="121">
        <v>0</v>
      </c>
    </row>
    <row r="41" spans="2:7" x14ac:dyDescent="0.25">
      <c r="B41" s="122" t="str">
        <v>Steel, Steel cladding - metallic coated, GALVABOND® steel with a zinc coating class of Z275 in 0.40mm base metal thickness (BMT) (Bluescope)</v>
      </c>
      <c r="C41" t="str">
        <v>m²</v>
      </c>
      <c r="D41" s="96">
        <v>11.4</v>
      </c>
      <c r="E41" s="96">
        <v>3.3333333333333335</v>
      </c>
      <c r="F41" s="96">
        <v>0</v>
      </c>
      <c r="G41" s="121">
        <v>0</v>
      </c>
    </row>
    <row r="42" spans="2:7" x14ac:dyDescent="0.25">
      <c r="B42" s="122" t="str">
        <v>Steel, Steel cladding - metallic coated, GALVABOND® steel with a zinc coating class of Z100 in 0.45mm base metal thickness (BMT) (Bluescope)</v>
      </c>
      <c r="C42" t="str">
        <v>m²</v>
      </c>
      <c r="D42" s="96">
        <v>11.4</v>
      </c>
      <c r="E42" s="96">
        <v>3.0978260869565215</v>
      </c>
      <c r="F42" s="96">
        <v>0</v>
      </c>
      <c r="G42" s="121">
        <v>0</v>
      </c>
    </row>
    <row r="43" spans="2:7" x14ac:dyDescent="0.25">
      <c r="B43" s="122" t="str">
        <v>Steel, Steel cladding - metallic coated, GALVABOND® steel with a zinc coating class of Z100 in 0.50mm base metal thickness (BMT) (Bluescope)</v>
      </c>
      <c r="C43" t="str">
        <v>m²</v>
      </c>
      <c r="D43" s="96">
        <v>12.5</v>
      </c>
      <c r="E43" s="96">
        <v>3.071253071253071</v>
      </c>
      <c r="F43" s="96">
        <v>0</v>
      </c>
      <c r="G43" s="121">
        <v>0</v>
      </c>
    </row>
    <row r="44" spans="2:7" x14ac:dyDescent="0.25">
      <c r="B44" s="122" t="str">
        <v>Steel, Steel cladding - metallic coated, GALVABOND® steel with a zinc coating class of Z200 in 0.40mm base metal thickness (BMT) (Bluescope)</v>
      </c>
      <c r="C44" t="str">
        <v>m²</v>
      </c>
      <c r="D44" s="96">
        <v>10.6</v>
      </c>
      <c r="E44" s="96">
        <v>3.1641791044776117</v>
      </c>
      <c r="F44" s="96">
        <v>0</v>
      </c>
      <c r="G44" s="121">
        <v>0</v>
      </c>
    </row>
    <row r="45" spans="2:7" x14ac:dyDescent="0.25">
      <c r="B45" s="122" t="str">
        <v>Steel, Steel cladding - metallic coated, GALVABOND® steel with a zinc coating class of Z275 in 0.50mm base metal thickness (BMT) (Bluescope)</v>
      </c>
      <c r="C45" t="str">
        <v>m²</v>
      </c>
      <c r="D45" s="96">
        <v>13.5</v>
      </c>
      <c r="E45" s="96">
        <v>3.2066508313539193</v>
      </c>
      <c r="F45" s="96">
        <v>0</v>
      </c>
      <c r="G45" s="121">
        <v>0</v>
      </c>
    </row>
    <row r="46" spans="2:7" x14ac:dyDescent="0.25">
      <c r="B46" s="122" t="str">
        <v>Steel, Steel cladding - metallic coated, GALVABOND® steel with a zinc coating class of Z100 in 0.55mm base metal thickness (BMT) (Bluescope)</v>
      </c>
      <c r="C46" t="str">
        <v>m²</v>
      </c>
      <c r="D46" s="96">
        <v>13.5</v>
      </c>
      <c r="E46" s="96">
        <v>3.0269058295964126</v>
      </c>
      <c r="F46" s="96">
        <v>0</v>
      </c>
      <c r="G46" s="121">
        <v>0</v>
      </c>
    </row>
    <row r="47" spans="2:7" x14ac:dyDescent="0.25">
      <c r="B47" s="122" t="str">
        <v>Steel, Steel cladding - metallic coated, GALVABOND® steel with a zinc coating class of Z275 in 0.55mm base metal thickness (BMT) (Bluescope)</v>
      </c>
      <c r="C47" t="str">
        <v>m²</v>
      </c>
      <c r="D47" s="96">
        <v>14.5</v>
      </c>
      <c r="E47" s="96">
        <v>3.1521739130434785</v>
      </c>
      <c r="F47" s="96">
        <v>0</v>
      </c>
      <c r="G47" s="121">
        <v>0</v>
      </c>
    </row>
    <row r="48" spans="2:7" x14ac:dyDescent="0.25">
      <c r="B48" s="122" t="str">
        <v>Steel, Steel cladding - metallic coated, GALVABOND® steel with a zinc coating class of Z275 in 0.60mm base metal thickness (BMT) (Bluescope)</v>
      </c>
      <c r="C48" t="str">
        <v>m²</v>
      </c>
      <c r="D48" s="96">
        <v>15.5</v>
      </c>
      <c r="E48" s="96">
        <v>3.1062124248496992</v>
      </c>
      <c r="F48" s="96">
        <v>0</v>
      </c>
      <c r="G48" s="121">
        <v>0</v>
      </c>
    </row>
    <row r="49" spans="2:7" x14ac:dyDescent="0.25">
      <c r="B49" s="122" t="str">
        <v>Steel, Steel cladding - metallic coated, GALVABOND® steel with a zinc coating class of Z200 in 0.50mm base metal thickness (BMT) (Bluescope)</v>
      </c>
      <c r="C49" t="str">
        <v>m²</v>
      </c>
      <c r="D49" s="96">
        <v>12.7</v>
      </c>
      <c r="E49" s="96">
        <v>3.0750605326876514</v>
      </c>
      <c r="F49" s="96">
        <v>0</v>
      </c>
      <c r="G49" s="121">
        <v>0</v>
      </c>
    </row>
    <row r="50" spans="2:7" x14ac:dyDescent="0.25">
      <c r="B50" s="122" t="str">
        <v>Steel, Steel cladding - metallic coated, GALVABOND® steel with a zinc coating class of Z200 in 0.55mm base metal thickness (BMT) (Bluescope)</v>
      </c>
      <c r="C50" t="str">
        <v>m²</v>
      </c>
      <c r="D50" s="96">
        <v>13.7</v>
      </c>
      <c r="E50" s="96">
        <v>3.0309734513274336</v>
      </c>
      <c r="F50" s="96">
        <v>0</v>
      </c>
      <c r="G50" s="121">
        <v>0</v>
      </c>
    </row>
    <row r="51" spans="2:7" x14ac:dyDescent="0.25">
      <c r="B51" s="122" t="str">
        <v>Steel, Steel cladding - metallic coated, GALVABOND® steel with a zinc coating class of Z100 in 0.70mm base metal thickness (BMT) (Bluescope)</v>
      </c>
      <c r="C51" t="str">
        <v>m²</v>
      </c>
      <c r="D51" s="96">
        <v>16.600000000000001</v>
      </c>
      <c r="E51" s="96">
        <v>2.9432624113475181</v>
      </c>
      <c r="F51" s="96">
        <v>0</v>
      </c>
      <c r="G51" s="121">
        <v>0</v>
      </c>
    </row>
    <row r="52" spans="2:7" x14ac:dyDescent="0.25">
      <c r="B52" s="122" t="str">
        <v>Steel, Steel cladding - metallic coated, GALVABOND® steel with a zinc coating class of Z275 in 0.70mm base metal thickness (BMT) (Bluescope)</v>
      </c>
      <c r="C52" t="str">
        <v>m²</v>
      </c>
      <c r="D52" s="96">
        <v>17.600000000000001</v>
      </c>
      <c r="E52" s="96">
        <v>3.0449826989619377</v>
      </c>
      <c r="F52" s="96">
        <v>0</v>
      </c>
      <c r="G52" s="121">
        <v>0</v>
      </c>
    </row>
    <row r="53" spans="2:7" x14ac:dyDescent="0.25">
      <c r="B53" s="122" t="str">
        <v>Steel, Steel cladding - metallic coated, GALVABOND® steel with a zinc coating class of Z100 in 0.75mm base metal thickness (BMT) (Bluescope)</v>
      </c>
      <c r="C53" t="str">
        <v>m²</v>
      </c>
      <c r="D53" s="96">
        <v>17.600000000000001</v>
      </c>
      <c r="E53" s="96">
        <v>2.9187396351575456</v>
      </c>
      <c r="F53" s="96">
        <v>0</v>
      </c>
      <c r="G53" s="121">
        <v>0</v>
      </c>
    </row>
    <row r="54" spans="2:7" x14ac:dyDescent="0.25">
      <c r="B54" s="122" t="str">
        <v>Steel, Steel cladding - metallic coated, GALVABOND® steel with a zinc coating class of Z275 in 0.75mm base metal thickness (BMT) (Bluescope)</v>
      </c>
      <c r="C54" t="str">
        <v>m²</v>
      </c>
      <c r="D54" s="96">
        <v>18.600000000000001</v>
      </c>
      <c r="E54" s="96">
        <v>3.0145867098865482</v>
      </c>
      <c r="F54" s="96">
        <v>0</v>
      </c>
      <c r="G54" s="121">
        <v>0</v>
      </c>
    </row>
    <row r="55" spans="2:7" x14ac:dyDescent="0.25">
      <c r="B55" s="122" t="str">
        <v>Steel, Steel cladding - metallic coated, ZINCALUME® steel in 0.30mm base material thickness (BMT) (Bluescope)</v>
      </c>
      <c r="C55" t="str">
        <v>m²</v>
      </c>
      <c r="D55" s="96">
        <v>8.4</v>
      </c>
      <c r="E55" s="96">
        <v>3.3734939759036142</v>
      </c>
      <c r="F55" s="96">
        <v>0</v>
      </c>
      <c r="G55" s="121">
        <v>0</v>
      </c>
    </row>
    <row r="56" spans="2:7" x14ac:dyDescent="0.25">
      <c r="B56" s="122" t="str">
        <v>Steel, Steel cladding - metallic coated, GALVABOND® steel with a zinc coating class of Z275 in 0.80mm base metal thickness (BMT) (Bluescope)</v>
      </c>
      <c r="C56" t="str">
        <v>m²</v>
      </c>
      <c r="D56" s="96">
        <v>19.600000000000001</v>
      </c>
      <c r="E56" s="96">
        <v>2.9878048780487809</v>
      </c>
      <c r="F56" s="96">
        <v>0</v>
      </c>
      <c r="G56" s="121">
        <v>0</v>
      </c>
    </row>
    <row r="57" spans="2:7" x14ac:dyDescent="0.25">
      <c r="B57" s="122" t="str">
        <v>Steel, Steel cladding - metallic coated, GALVABOND® steel with a zinc coating class of Z275 in 0.85mm base metal thickness (BMT) (Bluescope)</v>
      </c>
      <c r="C57" t="str">
        <v>m²</v>
      </c>
      <c r="D57" s="96">
        <v>20.6</v>
      </c>
      <c r="E57" s="96">
        <v>2.9640287769784175</v>
      </c>
      <c r="F57" s="96">
        <v>0</v>
      </c>
      <c r="G57" s="121">
        <v>0</v>
      </c>
    </row>
    <row r="58" spans="2:7" x14ac:dyDescent="0.25">
      <c r="B58" s="122" t="str">
        <v>Steel, Steel cladding - metallic coated, ZINCALUME® steel in 0.35mm base material thickness (BMT) (Bluescope)</v>
      </c>
      <c r="C58" t="str">
        <v>m²</v>
      </c>
      <c r="D58" s="96">
        <v>9.43</v>
      </c>
      <c r="E58" s="96">
        <v>3.2743055555555554</v>
      </c>
      <c r="F58" s="96">
        <v>0</v>
      </c>
      <c r="G58" s="121">
        <v>0</v>
      </c>
    </row>
    <row r="59" spans="2:7" x14ac:dyDescent="0.25">
      <c r="B59" s="122" t="str">
        <v>Steel, Steel cladding - metallic coated, GALVABOND® steel with a zinc coating class of Z275 in 0.90mm base metal thickness (BMT) (Bluescope)</v>
      </c>
      <c r="C59" t="str">
        <v>m²</v>
      </c>
      <c r="D59" s="96">
        <v>21.7</v>
      </c>
      <c r="E59" s="96">
        <v>2.9523809523809526</v>
      </c>
      <c r="F59" s="96">
        <v>0</v>
      </c>
      <c r="G59" s="121">
        <v>0</v>
      </c>
    </row>
    <row r="60" spans="2:7" x14ac:dyDescent="0.25">
      <c r="B60" s="122" t="str">
        <v>Steel, Steel cladding - metallic coated, GALVABOND® steel with a zinc coating class of Z275 in 0.95mm base metal thickness (BMT) (Bluescope)</v>
      </c>
      <c r="C60" t="str">
        <v>m²</v>
      </c>
      <c r="D60" s="96">
        <v>22.7</v>
      </c>
      <c r="E60" s="96">
        <v>2.9328165374677</v>
      </c>
      <c r="F60" s="96">
        <v>0</v>
      </c>
      <c r="G60" s="121">
        <v>0</v>
      </c>
    </row>
    <row r="61" spans="2:7" x14ac:dyDescent="0.25">
      <c r="B61" s="122" t="str">
        <v>Steel, Steel cladding - metallic coated, ZINCALUME® steel in 0.38mm base material thickness (BMT) (Bluescope)</v>
      </c>
      <c r="C61" t="str">
        <v>m²</v>
      </c>
      <c r="D61" s="96">
        <v>10</v>
      </c>
      <c r="E61" s="96">
        <v>3.2051282051282048</v>
      </c>
      <c r="F61" s="96">
        <v>0</v>
      </c>
      <c r="G61" s="121">
        <v>0</v>
      </c>
    </row>
    <row r="62" spans="2:7" x14ac:dyDescent="0.25">
      <c r="B62" s="122" t="str">
        <v>Steel, Steel cladding - metallic coated, GALVABOND® steel with a zinc coating class of Z100 in 1.00mm base metal thickness (BMT) (Bluescope)</v>
      </c>
      <c r="C62" t="str">
        <v>m²</v>
      </c>
      <c r="D62" s="96">
        <v>22.7</v>
      </c>
      <c r="E62" s="96">
        <v>2.8410513141426783</v>
      </c>
      <c r="F62" s="96">
        <v>0</v>
      </c>
      <c r="G62" s="121">
        <v>0</v>
      </c>
    </row>
    <row r="63" spans="2:7" x14ac:dyDescent="0.25">
      <c r="B63" s="122" t="str">
        <v>Steel, Steel cladding - metallic coated, GALVABOND® steel with a zinc coating class of Z275 in 1.00mm base metal thickness (BMT) (Bluescope)</v>
      </c>
      <c r="C63" t="str">
        <v>m²</v>
      </c>
      <c r="D63" s="96">
        <v>23.7</v>
      </c>
      <c r="E63" s="96">
        <v>2.9151291512915125</v>
      </c>
      <c r="F63" s="96">
        <v>0</v>
      </c>
      <c r="G63" s="121">
        <v>0</v>
      </c>
    </row>
    <row r="64" spans="2:7" x14ac:dyDescent="0.25">
      <c r="B64" s="122" t="str">
        <v>Steel, Steel cladding - metallic coated, ZINCALUME® steel in 0.40mm base material thickness (BMT) (Bluescope)</v>
      </c>
      <c r="C64" t="str">
        <v>m²</v>
      </c>
      <c r="D64" s="96">
        <v>10.5</v>
      </c>
      <c r="E64" s="96">
        <v>3.2110091743119265</v>
      </c>
      <c r="F64" s="96">
        <v>0</v>
      </c>
      <c r="G64" s="121">
        <v>0</v>
      </c>
    </row>
    <row r="65" spans="2:7" x14ac:dyDescent="0.25">
      <c r="B65" s="122" t="str">
        <v>Steel, Steel cladding - metallic coated, ZINCALUME® steel in 0.42mm base material thickness (BMT) (Bluescope)</v>
      </c>
      <c r="C65" t="str">
        <v>m²</v>
      </c>
      <c r="D65" s="96">
        <v>10.9</v>
      </c>
      <c r="E65" s="96">
        <v>3.1778425655976674</v>
      </c>
      <c r="F65" s="96">
        <v>0</v>
      </c>
      <c r="G65" s="121">
        <v>0</v>
      </c>
    </row>
    <row r="66" spans="2:7" x14ac:dyDescent="0.25">
      <c r="B66" s="122" t="str">
        <v>Steel, Steel cladding - metallic coated, GALVABOND® steel with a zinc coating class of Z275 in 1.10mm base metal thickness (BMT) (Bluescope)</v>
      </c>
      <c r="C66" t="str">
        <v>m²</v>
      </c>
      <c r="D66" s="96">
        <v>25.8</v>
      </c>
      <c r="E66" s="96">
        <v>2.8923766816143499</v>
      </c>
      <c r="F66" s="96">
        <v>0</v>
      </c>
      <c r="G66" s="121">
        <v>0</v>
      </c>
    </row>
    <row r="67" spans="2:7" x14ac:dyDescent="0.25">
      <c r="B67" s="122" t="str">
        <v>Steel, Steel cladding - metallic coated, GALVABOND® steel with a zinc coating class of Z275 in 1.15mm base metal thickness (BMT) (Bluescope)</v>
      </c>
      <c r="C67" t="str">
        <v>m²</v>
      </c>
      <c r="D67" s="96">
        <v>26.8</v>
      </c>
      <c r="E67" s="96">
        <v>2.8786251342642317</v>
      </c>
      <c r="F67" s="96">
        <v>0</v>
      </c>
      <c r="G67" s="121">
        <v>0</v>
      </c>
    </row>
    <row r="68" spans="2:7" x14ac:dyDescent="0.25">
      <c r="B68" s="122" t="str">
        <v>Steel, Steel cladding - metallic coated, ZINCALUME® steel in 0.48mm base material thickness (BMT) (Bluescope)</v>
      </c>
      <c r="C68" t="str">
        <v>m²</v>
      </c>
      <c r="D68" s="96">
        <v>12.1</v>
      </c>
      <c r="E68" s="96">
        <v>3.1025641025641026</v>
      </c>
      <c r="F68" s="96">
        <v>0</v>
      </c>
      <c r="G68" s="121">
        <v>0</v>
      </c>
    </row>
    <row r="69" spans="2:7" x14ac:dyDescent="0.25">
      <c r="B69" s="122" t="str">
        <v>Steel, Steel cladding - metallic coated, GALVABOND® steel with a zinc coating class of Z275 in 1.20mm base metal thickness (BMT) (Bluescope)</v>
      </c>
      <c r="C69" t="str">
        <v>m²</v>
      </c>
      <c r="D69" s="96">
        <v>27.8</v>
      </c>
      <c r="E69" s="96">
        <v>2.8659793814432994</v>
      </c>
      <c r="F69" s="96">
        <v>0</v>
      </c>
      <c r="G69" s="121">
        <v>0</v>
      </c>
    </row>
    <row r="70" spans="2:7" x14ac:dyDescent="0.25">
      <c r="B70" s="122" t="str">
        <v>Steel, Steel cladding - metallic coated, ZINCALUME® steel in 0.50mm base material thickness (BMT) (Bluescope)</v>
      </c>
      <c r="C70" t="str">
        <v>m²</v>
      </c>
      <c r="D70" s="96">
        <v>12.5</v>
      </c>
      <c r="E70" s="96">
        <v>3.0788177339901481</v>
      </c>
      <c r="F70" s="96">
        <v>0</v>
      </c>
      <c r="G70" s="121">
        <v>0</v>
      </c>
    </row>
    <row r="71" spans="2:7" x14ac:dyDescent="0.25">
      <c r="B71" s="122" t="str">
        <v>Steel, Steel cladding - metallic coated, ZINCALUME® steel in 0.55mm base material thickness (BMT) (Bluescope)</v>
      </c>
      <c r="C71" t="str">
        <v>m²</v>
      </c>
      <c r="D71" s="96">
        <v>13.5</v>
      </c>
      <c r="E71" s="96">
        <v>3.0337078651685392</v>
      </c>
      <c r="F71" s="96">
        <v>0</v>
      </c>
      <c r="G71" s="121">
        <v>0</v>
      </c>
    </row>
    <row r="72" spans="2:7" x14ac:dyDescent="0.25">
      <c r="B72" s="122" t="str">
        <v>Steel, Steel cladding - metallic coated, ZINCALUME® steel in 0.60mm base material thickness (BMT) (Bluescope)</v>
      </c>
      <c r="C72" t="str">
        <v>m²</v>
      </c>
      <c r="D72" s="96">
        <v>14.6</v>
      </c>
      <c r="E72" s="96">
        <v>3.0165289256198347</v>
      </c>
      <c r="F72" s="96">
        <v>0</v>
      </c>
      <c r="G72" s="121">
        <v>0</v>
      </c>
    </row>
    <row r="73" spans="2:7" x14ac:dyDescent="0.25">
      <c r="B73" s="122" t="str">
        <v>Steel, Steel cladding - metallic coated, GALVABOND® steel with a zinc coating class of Z275 in 1.50mm base metal thickness (BMT) (Bluescope)</v>
      </c>
      <c r="C73" t="str">
        <v>m²</v>
      </c>
      <c r="D73" s="96">
        <v>34</v>
      </c>
      <c r="E73" s="96">
        <v>2.8192371475953566</v>
      </c>
      <c r="F73" s="96">
        <v>0</v>
      </c>
      <c r="G73" s="121">
        <v>0</v>
      </c>
    </row>
    <row r="74" spans="2:7" x14ac:dyDescent="0.25">
      <c r="B74" s="122" t="str">
        <v>Steel, Steel cladding - metallic coated, GALVABOND® steel with a zinc coating class of Z275 in 1.55mm base metal thickness (BMT) (Bluescope)</v>
      </c>
      <c r="C74" t="str">
        <v>m²</v>
      </c>
      <c r="D74" s="96">
        <v>35</v>
      </c>
      <c r="E74" s="96">
        <v>2.811244979919679</v>
      </c>
      <c r="F74" s="96">
        <v>0</v>
      </c>
      <c r="G74" s="121">
        <v>0</v>
      </c>
    </row>
    <row r="75" spans="2:7" x14ac:dyDescent="0.25">
      <c r="B75" s="122" t="str">
        <v>Steel, Steel cladding - metallic coated, GALVABOND® steel with a zinc coating class of Z275 in 1.60mm base metal thickness (BMT) (Bluescope)</v>
      </c>
      <c r="C75" t="str">
        <v>m²</v>
      </c>
      <c r="D75" s="96">
        <v>36</v>
      </c>
      <c r="E75" s="96">
        <v>2.8037383177570092</v>
      </c>
      <c r="F75" s="96">
        <v>0</v>
      </c>
      <c r="G75" s="121">
        <v>0</v>
      </c>
    </row>
    <row r="76" spans="2:7" x14ac:dyDescent="0.25">
      <c r="B76" s="122" t="str">
        <v>Steel, Steel cladding - metallic coated, GALVABOND® steel with a zinc coating class of Z200 in 1.40mm base metal thickness (BMT) (Bluescope)</v>
      </c>
      <c r="C76" t="str">
        <v>m²</v>
      </c>
      <c r="D76" s="96">
        <v>31.200403999999999</v>
      </c>
      <c r="E76" s="96">
        <v>2.7857503571428577</v>
      </c>
      <c r="F76" s="96">
        <v>0</v>
      </c>
      <c r="G76" s="121">
        <v>0</v>
      </c>
    </row>
    <row r="77" spans="2:7" x14ac:dyDescent="0.25">
      <c r="B77" s="122" t="str">
        <v>Steel, Steel cladding - metallic coated, GALVABOND® steel with a zinc coating class of Z275 in 1.90mm base metal thickness (BMT) (Bluescope)</v>
      </c>
      <c r="C77" t="str">
        <v>m²</v>
      </c>
      <c r="D77" s="96">
        <v>42.201730000000005</v>
      </c>
      <c r="E77" s="96">
        <v>2.7764296052631581</v>
      </c>
      <c r="F77" s="96">
        <v>0</v>
      </c>
      <c r="G77" s="121">
        <v>0</v>
      </c>
    </row>
    <row r="78" spans="2:7" x14ac:dyDescent="0.25">
      <c r="B78" s="122" t="str">
        <v>Steel, Steel cladding - metallic coated, GALVABOND® steel with a zinc coating class of Z275 in 1.95mm base metal thickness (BMT) (Bluescope)</v>
      </c>
      <c r="C78" t="str">
        <v>m²</v>
      </c>
      <c r="D78" s="96">
        <v>43.202040000000004</v>
      </c>
      <c r="E78" s="96">
        <v>2.7711379089159718</v>
      </c>
      <c r="F78" s="96">
        <v>0</v>
      </c>
      <c r="G78" s="121">
        <v>0</v>
      </c>
    </row>
    <row r="79" spans="2:7" x14ac:dyDescent="0.25">
      <c r="B79" s="122" t="str">
        <v>Steel, Steel cladding - metallic coated, GALVABOND® steel with a zinc coating class of Z275 in 2.40mm base metal thickness (BMT) (Bluescope)</v>
      </c>
      <c r="C79" t="str">
        <v>m²</v>
      </c>
      <c r="D79" s="96">
        <v>52.504860000000001</v>
      </c>
      <c r="E79" s="96">
        <v>2.7460700836820084</v>
      </c>
      <c r="F79" s="96">
        <v>0</v>
      </c>
      <c r="G79" s="121">
        <v>0</v>
      </c>
    </row>
    <row r="80" spans="2:7" x14ac:dyDescent="0.25">
      <c r="B80" s="122" t="str">
        <v>Steel, Steel cladding - metallic coated, GALVABOND® steel with a zinc coating class of Z275 in 2.90mm base metal thickness (BMT) (Bluescope)</v>
      </c>
      <c r="C80" t="str">
        <v>m²</v>
      </c>
      <c r="D80" s="96">
        <v>62.707980000000006</v>
      </c>
      <c r="E80" s="96">
        <v>2.7205197396963126</v>
      </c>
      <c r="F80" s="96">
        <v>0</v>
      </c>
      <c r="G80" s="121">
        <v>0</v>
      </c>
    </row>
    <row r="81" spans="2:9" x14ac:dyDescent="0.25">
      <c r="B81" s="122" t="str">
        <v>Steel, Steel cladding - metallic coated, ZINCALUME® steel in 0.70mm base material thickness (BMT) (Bluescope)</v>
      </c>
      <c r="C81" t="str">
        <v>m²</v>
      </c>
      <c r="D81" s="96">
        <v>16.600210000000001</v>
      </c>
      <c r="E81" s="96">
        <v>2.9485275310834815</v>
      </c>
      <c r="F81" s="96">
        <v>0</v>
      </c>
      <c r="G81" s="121">
        <v>0</v>
      </c>
    </row>
    <row r="82" spans="2:9" x14ac:dyDescent="0.25">
      <c r="B82" s="122" t="str">
        <v>Steel, Steel cladding - metallic coated, ZINCALUME® steel in 0.75mm base material thickness (BMT) (Bluescope)</v>
      </c>
      <c r="C82" t="str">
        <v>m²</v>
      </c>
      <c r="D82" s="96">
        <v>17.600522000000002</v>
      </c>
      <c r="E82" s="96">
        <v>2.9236747508305654</v>
      </c>
      <c r="F82" s="96">
        <v>0</v>
      </c>
      <c r="G82" s="121">
        <v>0</v>
      </c>
    </row>
    <row r="83" spans="2:9" x14ac:dyDescent="0.25">
      <c r="B83" s="122" t="str">
        <v>Steel, Steel cladding - metallic coated, ZINCALUME® steel in 0.95mm base material thickness (BMT) (Bluescope)</v>
      </c>
      <c r="C83" t="str">
        <v>m²</v>
      </c>
      <c r="D83" s="96">
        <v>21.70177</v>
      </c>
      <c r="E83" s="96">
        <v>2.8592582345191038</v>
      </c>
      <c r="F83" s="96">
        <v>0</v>
      </c>
      <c r="G83" s="121">
        <v>0</v>
      </c>
    </row>
    <row r="84" spans="2:9" x14ac:dyDescent="0.25">
      <c r="B84" s="122" t="str">
        <v>Steel, Steel cladding - metallic coated, ZINCALUME® steel in 1.00mm base material thickness (BMT) (Bluescope)</v>
      </c>
      <c r="C84" t="str">
        <v>m²</v>
      </c>
      <c r="D84" s="96">
        <v>22.80209</v>
      </c>
      <c r="E84" s="96">
        <v>2.8574047619047618</v>
      </c>
      <c r="F84" s="96">
        <v>0</v>
      </c>
      <c r="G84" s="121">
        <v>0</v>
      </c>
    </row>
    <row r="85" spans="2:9" x14ac:dyDescent="0.25">
      <c r="B85" s="122" t="str">
        <v>Steel, Steel cladding - metallic coated, ZINCALUME® steel in 1.15mm base material thickness (BMT) (Bluescope)</v>
      </c>
      <c r="C85" t="str">
        <v>m²</v>
      </c>
      <c r="D85" s="96">
        <v>25.80302</v>
      </c>
      <c r="E85" s="96">
        <v>2.8169235807860264</v>
      </c>
      <c r="F85" s="96">
        <v>0</v>
      </c>
      <c r="G85" s="121">
        <v>0</v>
      </c>
    </row>
    <row r="86" spans="2:9" x14ac:dyDescent="0.25">
      <c r="B86" s="122" t="str">
        <v>Steel, Steel cladding - metallic coated, ZINCALUME® steel in 1.20mm base material thickness (BMT) (Bluescope)</v>
      </c>
      <c r="C86" t="str">
        <v>m²</v>
      </c>
      <c r="D86" s="96">
        <v>26.90334</v>
      </c>
      <c r="E86" s="96">
        <v>2.8171036649214658</v>
      </c>
      <c r="F86" s="96">
        <v>0</v>
      </c>
      <c r="G86" s="121">
        <v>0</v>
      </c>
    </row>
    <row r="87" spans="2:9" x14ac:dyDescent="0.25">
      <c r="B87" s="122" t="str">
        <v>Steel cladding - metallic coated, , Magnaflow 0.42mm (Colorcote) (New Zealand)</v>
      </c>
      <c r="C87" t="str">
        <v>m²</v>
      </c>
      <c r="D87" s="96">
        <v>11.9</v>
      </c>
      <c r="E87" s="96">
        <v>3.609341825902336</v>
      </c>
      <c r="F87" s="96">
        <v>0</v>
      </c>
      <c r="G87" s="121">
        <v>0</v>
      </c>
    </row>
    <row r="88" spans="2:9" x14ac:dyDescent="0.25">
      <c r="B88" s="122" t="str">
        <v>Steel cladding - metallic coated, , Magnaflow 0.48mm (Colorcote) (New Zealand)</v>
      </c>
      <c r="C88" t="str">
        <v>m²</v>
      </c>
      <c r="D88" s="96">
        <v>13.3</v>
      </c>
      <c r="E88" s="96">
        <v>3.5297239915074314</v>
      </c>
      <c r="F88" s="96">
        <v>0</v>
      </c>
      <c r="G88" s="121">
        <v>0</v>
      </c>
    </row>
    <row r="89" spans="2:9" x14ac:dyDescent="0.25">
      <c r="B89" s="122"/>
      <c r="G89" s="121"/>
    </row>
    <row r="90" spans="2:9" x14ac:dyDescent="0.25">
      <c r="B90" s="122"/>
      <c r="G90" s="121"/>
      <c r="I90" s="96"/>
    </row>
    <row r="91" spans="2:9" x14ac:dyDescent="0.25">
      <c r="B91" s="122"/>
      <c r="G91" s="121"/>
    </row>
    <row r="92" spans="2:9" x14ac:dyDescent="0.25">
      <c r="B92" s="122"/>
      <c r="G92" s="121"/>
    </row>
    <row r="93" spans="2:9" x14ac:dyDescent="0.25">
      <c r="B93" s="122"/>
      <c r="G93" s="121"/>
    </row>
    <row r="94" spans="2:9" x14ac:dyDescent="0.25">
      <c r="B94" s="122"/>
      <c r="G94" s="121"/>
    </row>
    <row r="95" spans="2:9" x14ac:dyDescent="0.25">
      <c r="B95" s="122"/>
      <c r="G95" s="121"/>
    </row>
    <row r="96" spans="2:9" x14ac:dyDescent="0.25">
      <c r="B96" s="122"/>
      <c r="G96" s="121"/>
    </row>
    <row r="97" spans="2:7" x14ac:dyDescent="0.25">
      <c r="B97" s="122"/>
      <c r="G97" s="121"/>
    </row>
    <row r="98" spans="2:7" x14ac:dyDescent="0.25">
      <c r="B98" s="122"/>
      <c r="G98" s="121"/>
    </row>
    <row r="99" spans="2:7" x14ac:dyDescent="0.25">
      <c r="B99" s="122"/>
      <c r="G99" s="121"/>
    </row>
    <row r="100" spans="2:7" x14ac:dyDescent="0.25">
      <c r="B100" s="122"/>
      <c r="G100" s="121"/>
    </row>
    <row r="101" spans="2:7" x14ac:dyDescent="0.25">
      <c r="B101" s="122"/>
      <c r="G101" s="121"/>
    </row>
    <row r="102" spans="2:7" x14ac:dyDescent="0.25">
      <c r="B102" s="122"/>
      <c r="G102" s="121"/>
    </row>
    <row r="103" spans="2:7" x14ac:dyDescent="0.25">
      <c r="B103" s="122"/>
      <c r="G103" s="121"/>
    </row>
    <row r="104" spans="2:7" x14ac:dyDescent="0.25">
      <c r="B104" s="122"/>
      <c r="G104" s="121"/>
    </row>
    <row r="105" spans="2:7" x14ac:dyDescent="0.25">
      <c r="B105" s="122"/>
      <c r="G105" s="121"/>
    </row>
    <row r="106" spans="2:7" x14ac:dyDescent="0.25">
      <c r="B106" s="122"/>
      <c r="G106" s="121"/>
    </row>
    <row r="107" spans="2:7" x14ac:dyDescent="0.25">
      <c r="B107" s="122"/>
      <c r="G107" s="121"/>
    </row>
    <row r="108" spans="2:7" x14ac:dyDescent="0.25">
      <c r="B108" s="122"/>
      <c r="G108" s="121"/>
    </row>
    <row r="109" spans="2:7" x14ac:dyDescent="0.25">
      <c r="B109" s="122"/>
      <c r="G109" s="121"/>
    </row>
    <row r="110" spans="2:7" x14ac:dyDescent="0.25">
      <c r="B110" s="122"/>
      <c r="G110" s="121"/>
    </row>
    <row r="111" spans="2:7" x14ac:dyDescent="0.25">
      <c r="B111" s="122"/>
      <c r="G111" s="121"/>
    </row>
    <row r="112" spans="2:7" x14ac:dyDescent="0.25">
      <c r="B112" s="122"/>
      <c r="G112" s="121"/>
    </row>
    <row r="113" spans="2:7" x14ac:dyDescent="0.25">
      <c r="B113" s="122"/>
      <c r="G113" s="121"/>
    </row>
    <row r="114" spans="2:7" x14ac:dyDescent="0.25">
      <c r="B114" s="122"/>
      <c r="G114" s="121"/>
    </row>
    <row r="115" spans="2:7" x14ac:dyDescent="0.25">
      <c r="B115" s="122"/>
      <c r="G115" s="121"/>
    </row>
    <row r="116" spans="2:7" x14ac:dyDescent="0.25">
      <c r="B116" s="122"/>
      <c r="G116" s="121"/>
    </row>
    <row r="117" spans="2:7" x14ac:dyDescent="0.25">
      <c r="B117" s="122"/>
      <c r="G117" s="121"/>
    </row>
    <row r="118" spans="2:7" x14ac:dyDescent="0.25">
      <c r="B118" s="122"/>
      <c r="G118" s="121"/>
    </row>
    <row r="119" spans="2:7" x14ac:dyDescent="0.25">
      <c r="B119" s="122"/>
      <c r="G119" s="121"/>
    </row>
    <row r="120" spans="2:7" x14ac:dyDescent="0.25">
      <c r="B120" s="122"/>
      <c r="G120" s="121"/>
    </row>
    <row r="121" spans="2:7" x14ac:dyDescent="0.25">
      <c r="B121" s="122"/>
      <c r="G121" s="121"/>
    </row>
    <row r="122" spans="2:7" x14ac:dyDescent="0.25">
      <c r="B122" s="122"/>
      <c r="G122" s="121"/>
    </row>
    <row r="123" spans="2:7" x14ac:dyDescent="0.25">
      <c r="B123" s="122"/>
      <c r="G123" s="121"/>
    </row>
    <row r="124" spans="2:7" x14ac:dyDescent="0.25">
      <c r="B124" s="122"/>
      <c r="G124" s="121"/>
    </row>
    <row r="125" spans="2:7" x14ac:dyDescent="0.25">
      <c r="B125" s="122"/>
      <c r="G125" s="121"/>
    </row>
    <row r="126" spans="2:7" x14ac:dyDescent="0.25">
      <c r="B126" s="122"/>
      <c r="G126" s="121"/>
    </row>
    <row r="127" spans="2:7" x14ac:dyDescent="0.25">
      <c r="B127" s="122"/>
      <c r="G127" s="121"/>
    </row>
    <row r="128" spans="2:7" x14ac:dyDescent="0.25">
      <c r="B128" s="122"/>
      <c r="G128" s="121"/>
    </row>
    <row r="129" spans="2:7" x14ac:dyDescent="0.25">
      <c r="B129" s="122"/>
      <c r="G129" s="121"/>
    </row>
    <row r="130" spans="2:7" x14ac:dyDescent="0.25">
      <c r="B130" s="122"/>
      <c r="G130" s="121"/>
    </row>
    <row r="131" spans="2:7" x14ac:dyDescent="0.25">
      <c r="B131" s="122"/>
      <c r="G131" s="121"/>
    </row>
    <row r="132" spans="2:7" x14ac:dyDescent="0.25">
      <c r="B132" s="122"/>
      <c r="G132" s="121"/>
    </row>
    <row r="133" spans="2:7" x14ac:dyDescent="0.25">
      <c r="B133" s="122"/>
      <c r="G133" s="121"/>
    </row>
    <row r="134" spans="2:7" x14ac:dyDescent="0.25">
      <c r="B134" s="122"/>
      <c r="G134" s="121"/>
    </row>
    <row r="135" spans="2:7" x14ac:dyDescent="0.25">
      <c r="B135" s="122"/>
      <c r="G135" s="121"/>
    </row>
    <row r="136" spans="2:7" x14ac:dyDescent="0.25">
      <c r="B136" s="122"/>
      <c r="G136" s="121"/>
    </row>
    <row r="137" spans="2:7" x14ac:dyDescent="0.25">
      <c r="B137" s="122"/>
      <c r="G137" s="121"/>
    </row>
    <row r="138" spans="2:7" x14ac:dyDescent="0.25">
      <c r="B138" s="122"/>
      <c r="G138" s="121"/>
    </row>
    <row r="139" spans="2:7" x14ac:dyDescent="0.25">
      <c r="B139" s="122"/>
      <c r="G139" s="121"/>
    </row>
    <row r="140" spans="2:7" x14ac:dyDescent="0.25">
      <c r="B140" s="122"/>
      <c r="G140" s="121"/>
    </row>
    <row r="141" spans="2:7" x14ac:dyDescent="0.25">
      <c r="B141" s="122"/>
      <c r="G141" s="121"/>
    </row>
    <row r="142" spans="2:7" x14ac:dyDescent="0.25">
      <c r="B142" s="122"/>
      <c r="G142" s="121"/>
    </row>
    <row r="143" spans="2:7" x14ac:dyDescent="0.25">
      <c r="B143" s="122"/>
      <c r="G143" s="121"/>
    </row>
    <row r="144" spans="2:7" x14ac:dyDescent="0.25">
      <c r="B144" s="122"/>
      <c r="G144" s="121"/>
    </row>
    <row r="145" spans="2:7" x14ac:dyDescent="0.25">
      <c r="B145" s="122"/>
      <c r="G145" s="121"/>
    </row>
    <row r="146" spans="2:7" x14ac:dyDescent="0.25">
      <c r="B146" s="122"/>
      <c r="G146" s="121"/>
    </row>
    <row r="147" spans="2:7" x14ac:dyDescent="0.25">
      <c r="B147" s="122"/>
      <c r="G147" s="121"/>
    </row>
    <row r="148" spans="2:7" x14ac:dyDescent="0.25">
      <c r="B148" s="122"/>
      <c r="G148" s="121"/>
    </row>
    <row r="149" spans="2:7" x14ac:dyDescent="0.25">
      <c r="B149" s="122"/>
      <c r="G149" s="121"/>
    </row>
    <row r="150" spans="2:7" x14ac:dyDescent="0.25">
      <c r="B150" s="122"/>
      <c r="G150" s="121"/>
    </row>
    <row r="151" spans="2:7" x14ac:dyDescent="0.25">
      <c r="B151" s="122"/>
      <c r="G151" s="121"/>
    </row>
    <row r="152" spans="2:7" x14ac:dyDescent="0.25">
      <c r="B152" s="122"/>
      <c r="G152" s="121"/>
    </row>
    <row r="153" spans="2:7" x14ac:dyDescent="0.25">
      <c r="B153" s="122"/>
      <c r="G153" s="121"/>
    </row>
    <row r="154" spans="2:7" x14ac:dyDescent="0.25">
      <c r="B154" s="122"/>
      <c r="G154" s="121"/>
    </row>
    <row r="155" spans="2:7" x14ac:dyDescent="0.25">
      <c r="B155" s="122"/>
      <c r="G155" s="121"/>
    </row>
    <row r="156" spans="2:7" x14ac:dyDescent="0.25">
      <c r="B156" s="122"/>
      <c r="G156" s="121"/>
    </row>
    <row r="157" spans="2:7" x14ac:dyDescent="0.25">
      <c r="B157" s="122"/>
      <c r="G157" s="121"/>
    </row>
    <row r="158" spans="2:7" x14ac:dyDescent="0.25">
      <c r="B158" s="122"/>
      <c r="G158" s="121"/>
    </row>
    <row r="159" spans="2:7" x14ac:dyDescent="0.25">
      <c r="B159" s="122"/>
      <c r="G159" s="121"/>
    </row>
    <row r="160" spans="2:7" x14ac:dyDescent="0.25">
      <c r="B160" s="122"/>
      <c r="G160" s="121"/>
    </row>
    <row r="161" spans="2:7" x14ac:dyDescent="0.25">
      <c r="B161" s="122"/>
      <c r="G161" s="121"/>
    </row>
    <row r="162" spans="2:7" x14ac:dyDescent="0.25">
      <c r="B162" s="122"/>
      <c r="G162" s="121"/>
    </row>
    <row r="163" spans="2:7" x14ac:dyDescent="0.25">
      <c r="B163" s="122"/>
      <c r="G163" s="121"/>
    </row>
    <row r="164" spans="2:7" x14ac:dyDescent="0.25">
      <c r="B164" s="122"/>
      <c r="G164" s="121"/>
    </row>
    <row r="165" spans="2:7" x14ac:dyDescent="0.25">
      <c r="B165" s="122"/>
      <c r="G165" s="121"/>
    </row>
    <row r="166" spans="2:7" x14ac:dyDescent="0.25">
      <c r="B166" s="125"/>
      <c r="C166" s="126"/>
      <c r="D166" s="127"/>
      <c r="E166" s="127"/>
      <c r="F166" s="127"/>
      <c r="G166" s="128"/>
    </row>
  </sheetData>
  <dataValidations count="1">
    <dataValidation type="list" allowBlank="1" showInputMessage="1" showErrorMessage="1" sqref="B6:B9" xr:uid="{D421FBFA-7F2A-4ED4-BC5C-535B5733012F}">
      <formula1>"Tier 1,Tier 2,Tier 3,Tier 4"</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974428-7709-4182-BC9B-BACD84D50233}">
  <sheetPr codeName="Sheet46">
    <tabColor rgb="FF007299"/>
  </sheetPr>
  <dimension ref="A2:AI2520"/>
  <sheetViews>
    <sheetView showGridLines="0" zoomScale="80" zoomScaleNormal="80" workbookViewId="0"/>
  </sheetViews>
  <sheetFormatPr defaultColWidth="9.109375" defaultRowHeight="13.2" x14ac:dyDescent="0.25"/>
  <cols>
    <col min="1" max="1" width="32.109375" style="68" bestFit="1" customWidth="1"/>
    <col min="2" max="2" width="45.5546875" style="68" bestFit="1" customWidth="1"/>
    <col min="3" max="3" width="60.88671875" style="68" bestFit="1" customWidth="1"/>
    <col min="4" max="4" width="174" style="73" bestFit="1" customWidth="1"/>
    <col min="5" max="5" width="18.109375" style="408" bestFit="1" customWidth="1"/>
    <col min="6" max="6" width="17.44140625" style="408" bestFit="1" customWidth="1"/>
    <col min="7" max="7" width="47.88671875" style="267" bestFit="1" customWidth="1"/>
    <col min="8" max="8" width="26.5546875" style="267" bestFit="1" customWidth="1"/>
    <col min="9" max="9" width="11.109375" style="267" bestFit="1" customWidth="1"/>
    <col min="10" max="10" width="29.44140625" style="267" bestFit="1" customWidth="1"/>
    <col min="11" max="11" width="53" style="268" customWidth="1"/>
    <col min="12" max="12" width="16.44140625" style="268" bestFit="1" customWidth="1"/>
    <col min="13" max="13" width="17.44140625" style="269" bestFit="1" customWidth="1"/>
    <col min="14" max="14" width="22" style="269" bestFit="1" customWidth="1"/>
    <col min="15" max="15" width="20" style="269" bestFit="1" customWidth="1"/>
    <col min="16" max="16" width="23.5546875" style="269" bestFit="1" customWidth="1"/>
    <col min="17" max="17" width="29.44140625" style="74" bestFit="1" customWidth="1"/>
    <col min="18" max="18" width="30.109375" style="74" bestFit="1" customWidth="1"/>
    <col min="19" max="19" width="33.109375" style="74" bestFit="1" customWidth="1"/>
    <col min="20" max="20" width="29.88671875" style="74" bestFit="1" customWidth="1"/>
    <col min="21" max="21" width="31.88671875" style="74" bestFit="1" customWidth="1"/>
    <col min="22" max="22" width="43.88671875" style="74" bestFit="1" customWidth="1"/>
    <col min="23" max="23" width="41.44140625" style="74" bestFit="1" customWidth="1"/>
    <col min="24" max="24" width="24.88671875" style="74" bestFit="1" customWidth="1"/>
    <col min="25" max="25" width="25.88671875" style="74" bestFit="1" customWidth="1"/>
    <col min="26" max="26" width="28.88671875" style="74" bestFit="1" customWidth="1"/>
    <col min="27" max="27" width="25.109375" style="74" bestFit="1" customWidth="1"/>
    <col min="28" max="28" width="26.5546875" style="74" bestFit="1" customWidth="1"/>
    <col min="29" max="29" width="39.109375" style="74" bestFit="1" customWidth="1"/>
    <col min="30" max="30" width="36.88671875" style="74" bestFit="1" customWidth="1"/>
    <col min="31" max="31" width="9.5546875" style="71" bestFit="1" customWidth="1"/>
    <col min="32" max="32" width="9.44140625" style="71" customWidth="1"/>
    <col min="33" max="34" width="9.109375" style="71"/>
    <col min="35" max="35" width="9.5546875" style="71" bestFit="1" customWidth="1"/>
    <col min="36" max="16384" width="9.109375" style="71"/>
  </cols>
  <sheetData>
    <row r="2" spans="1:35" x14ac:dyDescent="0.25">
      <c r="A2" s="273"/>
      <c r="B2" s="273"/>
      <c r="C2" s="279"/>
      <c r="D2" s="271"/>
      <c r="E2" s="400"/>
      <c r="F2" s="400"/>
      <c r="G2" s="271"/>
      <c r="H2" s="271"/>
      <c r="I2" s="271"/>
      <c r="J2" s="271"/>
      <c r="K2" s="271"/>
      <c r="L2" s="271"/>
      <c r="M2" s="278"/>
      <c r="N2" s="278"/>
      <c r="O2" s="278"/>
      <c r="P2" s="278"/>
      <c r="Q2" s="278"/>
      <c r="R2" s="278"/>
      <c r="S2" s="278"/>
      <c r="T2" s="278"/>
      <c r="U2" s="278"/>
      <c r="V2" s="278"/>
      <c r="W2" s="278"/>
      <c r="X2" s="278"/>
      <c r="Y2" s="278"/>
      <c r="Z2" s="278"/>
      <c r="AA2" s="278"/>
      <c r="AB2" s="278"/>
      <c r="AC2" s="278"/>
      <c r="AD2" s="278"/>
      <c r="AE2" s="278"/>
      <c r="AF2" s="278"/>
      <c r="AG2" s="278"/>
      <c r="AH2" s="278"/>
      <c r="AI2" s="278"/>
    </row>
    <row r="3" spans="1:35" ht="28.2" x14ac:dyDescent="0.25">
      <c r="A3" s="471" t="s">
        <v>121</v>
      </c>
      <c r="B3" s="471"/>
      <c r="C3" s="471"/>
      <c r="D3" s="280"/>
      <c r="E3" s="401"/>
      <c r="F3" s="401"/>
      <c r="G3" s="280"/>
      <c r="H3" s="280"/>
      <c r="I3" s="280"/>
      <c r="J3" s="280"/>
      <c r="K3" s="280"/>
      <c r="L3" s="280"/>
      <c r="M3" s="278"/>
      <c r="N3" s="278"/>
      <c r="O3" s="278"/>
      <c r="P3" s="278"/>
      <c r="Q3" s="278"/>
      <c r="R3" s="278"/>
      <c r="S3" s="278"/>
      <c r="T3" s="278"/>
      <c r="U3" s="278"/>
      <c r="V3" s="278"/>
      <c r="W3" s="278"/>
      <c r="X3" s="278"/>
      <c r="Y3" s="278"/>
      <c r="Z3" s="278"/>
      <c r="AA3" s="278"/>
      <c r="AB3" s="278"/>
      <c r="AC3" s="278"/>
      <c r="AD3" s="278"/>
      <c r="AE3" s="278"/>
      <c r="AF3" s="278"/>
      <c r="AG3" s="278"/>
      <c r="AH3" s="278"/>
      <c r="AI3" s="278"/>
    </row>
    <row r="4" spans="1:35" x14ac:dyDescent="0.25">
      <c r="A4" s="273"/>
      <c r="B4" s="273"/>
      <c r="C4" s="279"/>
      <c r="D4" s="271"/>
      <c r="E4" s="400"/>
      <c r="F4" s="400"/>
      <c r="G4" s="271"/>
      <c r="H4" s="271"/>
      <c r="I4" s="271"/>
      <c r="J4" s="271"/>
      <c r="K4" s="271"/>
      <c r="L4" s="271"/>
      <c r="M4" s="278"/>
      <c r="N4" s="278"/>
      <c r="O4" s="278"/>
      <c r="P4" s="278"/>
      <c r="Q4" s="278"/>
      <c r="R4" s="278"/>
      <c r="S4" s="278"/>
      <c r="T4" s="278"/>
      <c r="U4" s="278"/>
      <c r="V4" s="278"/>
      <c r="W4" s="278"/>
      <c r="X4" s="278"/>
      <c r="Y4" s="278"/>
      <c r="Z4" s="278"/>
      <c r="AA4" s="278"/>
      <c r="AB4" s="278"/>
      <c r="AC4" s="278"/>
      <c r="AD4" s="278"/>
      <c r="AE4" s="278"/>
      <c r="AF4" s="278"/>
      <c r="AG4" s="278"/>
      <c r="AH4" s="278"/>
      <c r="AI4" s="278"/>
    </row>
    <row r="7" spans="1:35" x14ac:dyDescent="0.25">
      <c r="A7" s="281" t="s">
        <v>122</v>
      </c>
      <c r="B7" s="295" t="s">
        <v>123</v>
      </c>
      <c r="C7" s="295" t="s">
        <v>124</v>
      </c>
      <c r="D7" s="295" t="s">
        <v>125</v>
      </c>
      <c r="E7" s="402" t="s">
        <v>126</v>
      </c>
      <c r="F7" s="402" t="s">
        <v>127</v>
      </c>
      <c r="G7" s="295" t="s">
        <v>128</v>
      </c>
      <c r="H7" s="295" t="s">
        <v>129</v>
      </c>
      <c r="I7" s="295" t="s">
        <v>3</v>
      </c>
      <c r="J7" s="295" t="s">
        <v>130</v>
      </c>
      <c r="K7" s="295" t="s">
        <v>131</v>
      </c>
      <c r="L7" s="295" t="s">
        <v>23</v>
      </c>
      <c r="M7" s="295" t="s">
        <v>132</v>
      </c>
      <c r="N7" s="295" t="s">
        <v>133</v>
      </c>
      <c r="O7" s="295" t="s">
        <v>134</v>
      </c>
      <c r="P7" s="295" t="s">
        <v>135</v>
      </c>
      <c r="Q7" s="295" t="s">
        <v>136</v>
      </c>
      <c r="R7" s="295" t="s">
        <v>137</v>
      </c>
      <c r="S7" s="295" t="s">
        <v>138</v>
      </c>
      <c r="T7" s="295" t="s">
        <v>139</v>
      </c>
      <c r="U7" s="295" t="s">
        <v>140</v>
      </c>
      <c r="V7" s="295" t="s">
        <v>141</v>
      </c>
      <c r="W7" s="295" t="s">
        <v>142</v>
      </c>
      <c r="X7" s="295" t="s">
        <v>143</v>
      </c>
      <c r="Y7" s="295" t="s">
        <v>144</v>
      </c>
      <c r="Z7" s="295" t="s">
        <v>145</v>
      </c>
      <c r="AA7" s="295" t="s">
        <v>146</v>
      </c>
      <c r="AB7" s="295" t="s">
        <v>147</v>
      </c>
      <c r="AC7" s="295" t="s">
        <v>148</v>
      </c>
      <c r="AD7" s="295" t="s">
        <v>149</v>
      </c>
    </row>
    <row r="8" spans="1:35" ht="15" customHeight="1" x14ac:dyDescent="0.25">
      <c r="A8" s="282" t="s">
        <v>150</v>
      </c>
      <c r="B8" s="282" t="s">
        <v>151</v>
      </c>
      <c r="C8" s="282" t="s">
        <v>152</v>
      </c>
      <c r="D8" s="283" t="s">
        <v>153</v>
      </c>
      <c r="E8" s="403">
        <v>44910</v>
      </c>
      <c r="F8" s="403">
        <v>46736</v>
      </c>
      <c r="G8" s="283" t="s">
        <v>154</v>
      </c>
      <c r="H8" s="282" t="s">
        <v>155</v>
      </c>
      <c r="I8" s="285"/>
      <c r="J8" s="282" t="s">
        <v>156</v>
      </c>
      <c r="K8" s="283" t="s">
        <v>157</v>
      </c>
      <c r="L8" s="286" t="s">
        <v>158</v>
      </c>
      <c r="M8" s="287" t="s">
        <v>159</v>
      </c>
      <c r="N8" s="287" t="s">
        <v>159</v>
      </c>
      <c r="O8" s="287" t="s">
        <v>159</v>
      </c>
      <c r="P8" s="287" t="s">
        <v>159</v>
      </c>
      <c r="Q8" s="288">
        <v>4.96</v>
      </c>
      <c r="R8" s="288">
        <v>4.95</v>
      </c>
      <c r="S8" s="288">
        <v>1.2200000000000001E-2</v>
      </c>
      <c r="T8" s="288">
        <v>1.6699999999999999E-4</v>
      </c>
      <c r="U8" s="288">
        <v>0</v>
      </c>
      <c r="V8" s="289">
        <v>4.9623670000000004</v>
      </c>
      <c r="W8" s="289">
        <v>0</v>
      </c>
      <c r="X8" s="288">
        <v>4.96E-3</v>
      </c>
      <c r="Y8" s="288">
        <v>4.9500000000000004E-3</v>
      </c>
      <c r="Z8" s="288">
        <v>1.22E-5</v>
      </c>
      <c r="AA8" s="288">
        <v>1.67E-7</v>
      </c>
      <c r="AB8" s="288">
        <v>0</v>
      </c>
      <c r="AC8" s="289">
        <v>4.9623670000000005E-3</v>
      </c>
      <c r="AD8" s="289">
        <v>0</v>
      </c>
    </row>
    <row r="9" spans="1:35" ht="15" customHeight="1" x14ac:dyDescent="0.25">
      <c r="A9" s="282" t="s">
        <v>150</v>
      </c>
      <c r="B9" s="282" t="s">
        <v>160</v>
      </c>
      <c r="C9" s="282" t="s">
        <v>161</v>
      </c>
      <c r="D9" s="283" t="s">
        <v>162</v>
      </c>
      <c r="E9" s="403">
        <v>43892</v>
      </c>
      <c r="F9" s="403">
        <v>45717</v>
      </c>
      <c r="G9" s="283" t="s">
        <v>154</v>
      </c>
      <c r="H9" s="282" t="s">
        <v>163</v>
      </c>
      <c r="I9" s="285"/>
      <c r="J9" s="282" t="s">
        <v>156</v>
      </c>
      <c r="K9" s="283" t="s">
        <v>164</v>
      </c>
      <c r="L9" s="286" t="s">
        <v>158</v>
      </c>
      <c r="M9" s="287" t="s">
        <v>159</v>
      </c>
      <c r="N9" s="287" t="s">
        <v>159</v>
      </c>
      <c r="O9" s="287" t="s">
        <v>159</v>
      </c>
      <c r="P9" s="287" t="s">
        <v>159</v>
      </c>
      <c r="Q9" s="288">
        <v>16</v>
      </c>
      <c r="R9" s="288"/>
      <c r="S9" s="288"/>
      <c r="T9" s="288"/>
      <c r="U9" s="288">
        <v>0</v>
      </c>
      <c r="V9" s="289">
        <v>16</v>
      </c>
      <c r="W9" s="289">
        <v>0</v>
      </c>
      <c r="X9" s="288">
        <v>1.6E-2</v>
      </c>
      <c r="Y9" s="288">
        <v>0</v>
      </c>
      <c r="Z9" s="288">
        <v>0</v>
      </c>
      <c r="AA9" s="288">
        <v>0</v>
      </c>
      <c r="AB9" s="288">
        <v>0</v>
      </c>
      <c r="AC9" s="289">
        <v>1.6E-2</v>
      </c>
      <c r="AD9" s="289">
        <v>0</v>
      </c>
    </row>
    <row r="10" spans="1:35" ht="15" customHeight="1" x14ac:dyDescent="0.25">
      <c r="A10" s="282" t="s">
        <v>150</v>
      </c>
      <c r="B10" s="282" t="s">
        <v>151</v>
      </c>
      <c r="C10" s="282" t="s">
        <v>152</v>
      </c>
      <c r="D10" s="283" t="s">
        <v>165</v>
      </c>
      <c r="E10" s="403">
        <v>44616</v>
      </c>
      <c r="F10" s="403">
        <v>46442</v>
      </c>
      <c r="G10" s="283" t="s">
        <v>154</v>
      </c>
      <c r="H10" s="282" t="s">
        <v>166</v>
      </c>
      <c r="I10" s="285"/>
      <c r="J10" s="282" t="s">
        <v>156</v>
      </c>
      <c r="K10" s="283" t="s">
        <v>167</v>
      </c>
      <c r="L10" s="286" t="s">
        <v>158</v>
      </c>
      <c r="M10" s="287" t="s">
        <v>159</v>
      </c>
      <c r="N10" s="287" t="s">
        <v>159</v>
      </c>
      <c r="O10" s="287" t="s">
        <v>159</v>
      </c>
      <c r="P10" s="287" t="s">
        <v>159</v>
      </c>
      <c r="Q10" s="288">
        <v>5.0999999999999996</v>
      </c>
      <c r="R10" s="288"/>
      <c r="S10" s="288"/>
      <c r="T10" s="288"/>
      <c r="U10" s="288">
        <v>0</v>
      </c>
      <c r="V10" s="289">
        <v>5.0999999999999996</v>
      </c>
      <c r="W10" s="289">
        <v>0</v>
      </c>
      <c r="X10" s="288">
        <v>5.0999999999999995E-3</v>
      </c>
      <c r="Y10" s="288">
        <v>0</v>
      </c>
      <c r="Z10" s="288">
        <v>0</v>
      </c>
      <c r="AA10" s="288">
        <v>0</v>
      </c>
      <c r="AB10" s="288">
        <v>0</v>
      </c>
      <c r="AC10" s="289">
        <v>5.0999999999999995E-3</v>
      </c>
      <c r="AD10" s="289">
        <v>0</v>
      </c>
    </row>
    <row r="11" spans="1:35" ht="15" customHeight="1" x14ac:dyDescent="0.25">
      <c r="A11" s="282" t="s">
        <v>150</v>
      </c>
      <c r="B11" s="282" t="s">
        <v>151</v>
      </c>
      <c r="C11" s="282" t="s">
        <v>152</v>
      </c>
      <c r="D11" s="283" t="s">
        <v>168</v>
      </c>
      <c r="E11" s="403">
        <v>44616</v>
      </c>
      <c r="F11" s="403">
        <v>46442</v>
      </c>
      <c r="G11" s="283" t="s">
        <v>154</v>
      </c>
      <c r="H11" s="282" t="s">
        <v>166</v>
      </c>
      <c r="I11" s="285"/>
      <c r="J11" s="282" t="s">
        <v>156</v>
      </c>
      <c r="K11" s="283" t="s">
        <v>167</v>
      </c>
      <c r="L11" s="286" t="s">
        <v>158</v>
      </c>
      <c r="M11" s="287" t="s">
        <v>159</v>
      </c>
      <c r="N11" s="287" t="s">
        <v>159</v>
      </c>
      <c r="O11" s="287" t="s">
        <v>159</v>
      </c>
      <c r="P11" s="287" t="s">
        <v>159</v>
      </c>
      <c r="Q11" s="288">
        <v>7.8</v>
      </c>
      <c r="R11" s="288"/>
      <c r="S11" s="288"/>
      <c r="T11" s="288"/>
      <c r="U11" s="288">
        <v>0</v>
      </c>
      <c r="V11" s="289">
        <v>7.8</v>
      </c>
      <c r="W11" s="289">
        <v>0</v>
      </c>
      <c r="X11" s="288">
        <v>7.7999999999999996E-3</v>
      </c>
      <c r="Y11" s="288">
        <v>0</v>
      </c>
      <c r="Z11" s="288">
        <v>0</v>
      </c>
      <c r="AA11" s="288">
        <v>0</v>
      </c>
      <c r="AB11" s="288">
        <v>0</v>
      </c>
      <c r="AC11" s="289">
        <v>7.7999999999999996E-3</v>
      </c>
      <c r="AD11" s="289">
        <v>0</v>
      </c>
    </row>
    <row r="12" spans="1:35" ht="15" customHeight="1" x14ac:dyDescent="0.25">
      <c r="A12" s="282" t="s">
        <v>150</v>
      </c>
      <c r="B12" s="282" t="s">
        <v>151</v>
      </c>
      <c r="C12" s="282" t="s">
        <v>152</v>
      </c>
      <c r="D12" s="283" t="s">
        <v>169</v>
      </c>
      <c r="E12" s="403">
        <v>44334</v>
      </c>
      <c r="F12" s="403">
        <v>46159</v>
      </c>
      <c r="G12" s="283" t="s">
        <v>154</v>
      </c>
      <c r="H12" s="282" t="s">
        <v>170</v>
      </c>
      <c r="I12" s="285"/>
      <c r="J12" s="282" t="s">
        <v>156</v>
      </c>
      <c r="K12" s="283" t="s">
        <v>167</v>
      </c>
      <c r="L12" s="286" t="s">
        <v>158</v>
      </c>
      <c r="M12" s="287" t="s">
        <v>159</v>
      </c>
      <c r="N12" s="287" t="s">
        <v>159</v>
      </c>
      <c r="O12" s="287" t="s">
        <v>159</v>
      </c>
      <c r="P12" s="287" t="s">
        <v>159</v>
      </c>
      <c r="Q12" s="288">
        <v>7.81</v>
      </c>
      <c r="R12" s="288"/>
      <c r="S12" s="288"/>
      <c r="T12" s="288"/>
      <c r="U12" s="288">
        <v>0</v>
      </c>
      <c r="V12" s="289">
        <v>7.81</v>
      </c>
      <c r="W12" s="289">
        <v>0</v>
      </c>
      <c r="X12" s="288">
        <v>7.8099999999999992E-3</v>
      </c>
      <c r="Y12" s="288">
        <v>0</v>
      </c>
      <c r="Z12" s="288">
        <v>0</v>
      </c>
      <c r="AA12" s="288">
        <v>0</v>
      </c>
      <c r="AB12" s="288">
        <v>0</v>
      </c>
      <c r="AC12" s="289">
        <v>7.8099999999999992E-3</v>
      </c>
      <c r="AD12" s="289">
        <v>0</v>
      </c>
    </row>
    <row r="13" spans="1:35" ht="15" customHeight="1" x14ac:dyDescent="0.25">
      <c r="A13" s="282" t="s">
        <v>150</v>
      </c>
      <c r="B13" s="282" t="s">
        <v>151</v>
      </c>
      <c r="C13" s="282" t="s">
        <v>152</v>
      </c>
      <c r="D13" s="283" t="s">
        <v>171</v>
      </c>
      <c r="E13" s="403">
        <v>44334</v>
      </c>
      <c r="F13" s="403">
        <v>46159</v>
      </c>
      <c r="G13" s="283" t="s">
        <v>154</v>
      </c>
      <c r="H13" s="282" t="s">
        <v>170</v>
      </c>
      <c r="I13" s="285"/>
      <c r="J13" s="282" t="s">
        <v>156</v>
      </c>
      <c r="K13" s="283" t="s">
        <v>172</v>
      </c>
      <c r="L13" s="286" t="s">
        <v>158</v>
      </c>
      <c r="M13" s="287" t="s">
        <v>159</v>
      </c>
      <c r="N13" s="287" t="s">
        <v>159</v>
      </c>
      <c r="O13" s="287" t="s">
        <v>159</v>
      </c>
      <c r="P13" s="287" t="s">
        <v>159</v>
      </c>
      <c r="Q13" s="288">
        <v>6.12</v>
      </c>
      <c r="R13" s="288"/>
      <c r="S13" s="288"/>
      <c r="T13" s="288"/>
      <c r="U13" s="288">
        <v>0</v>
      </c>
      <c r="V13" s="289">
        <v>6.12</v>
      </c>
      <c r="W13" s="289">
        <v>0</v>
      </c>
      <c r="X13" s="288">
        <v>6.1200000000000004E-3</v>
      </c>
      <c r="Y13" s="288">
        <v>0</v>
      </c>
      <c r="Z13" s="288">
        <v>0</v>
      </c>
      <c r="AA13" s="288">
        <v>0</v>
      </c>
      <c r="AB13" s="288">
        <v>0</v>
      </c>
      <c r="AC13" s="289">
        <v>6.1200000000000004E-3</v>
      </c>
      <c r="AD13" s="289">
        <v>0</v>
      </c>
      <c r="AE13" s="74"/>
      <c r="AI13" s="74"/>
    </row>
    <row r="14" spans="1:35" ht="15" customHeight="1" x14ac:dyDescent="0.25">
      <c r="A14" s="282" t="s">
        <v>150</v>
      </c>
      <c r="B14" s="282" t="s">
        <v>151</v>
      </c>
      <c r="C14" s="282" t="s">
        <v>152</v>
      </c>
      <c r="D14" s="283" t="s">
        <v>173</v>
      </c>
      <c r="E14" s="403">
        <v>44334</v>
      </c>
      <c r="F14" s="403">
        <v>46159</v>
      </c>
      <c r="G14" s="283" t="s">
        <v>154</v>
      </c>
      <c r="H14" s="282" t="s">
        <v>170</v>
      </c>
      <c r="I14" s="285"/>
      <c r="J14" s="282" t="s">
        <v>156</v>
      </c>
      <c r="K14" s="283" t="s">
        <v>172</v>
      </c>
      <c r="L14" s="286" t="s">
        <v>158</v>
      </c>
      <c r="M14" s="287" t="s">
        <v>159</v>
      </c>
      <c r="N14" s="287" t="s">
        <v>159</v>
      </c>
      <c r="O14" s="287" t="s">
        <v>159</v>
      </c>
      <c r="P14" s="287" t="s">
        <v>159</v>
      </c>
      <c r="Q14" s="288">
        <v>9.24</v>
      </c>
      <c r="R14" s="288"/>
      <c r="S14" s="288"/>
      <c r="T14" s="288"/>
      <c r="U14" s="288">
        <v>0</v>
      </c>
      <c r="V14" s="289">
        <v>9.24</v>
      </c>
      <c r="W14" s="289">
        <v>0</v>
      </c>
      <c r="X14" s="288">
        <v>9.2399999999999999E-3</v>
      </c>
      <c r="Y14" s="288">
        <v>0</v>
      </c>
      <c r="Z14" s="288">
        <v>0</v>
      </c>
      <c r="AA14" s="288">
        <v>0</v>
      </c>
      <c r="AB14" s="288">
        <v>0</v>
      </c>
      <c r="AC14" s="289">
        <v>9.2399999999999999E-3</v>
      </c>
      <c r="AD14" s="289">
        <v>0</v>
      </c>
      <c r="AE14" s="74"/>
      <c r="AI14" s="74"/>
    </row>
    <row r="15" spans="1:35" ht="15" customHeight="1" x14ac:dyDescent="0.25">
      <c r="A15" s="282" t="s">
        <v>150</v>
      </c>
      <c r="B15" s="282" t="s">
        <v>151</v>
      </c>
      <c r="C15" s="282" t="s">
        <v>152</v>
      </c>
      <c r="D15" s="283" t="s">
        <v>174</v>
      </c>
      <c r="E15" s="403">
        <v>44334</v>
      </c>
      <c r="F15" s="403">
        <v>46159</v>
      </c>
      <c r="G15" s="283" t="s">
        <v>154</v>
      </c>
      <c r="H15" s="282" t="s">
        <v>170</v>
      </c>
      <c r="I15" s="285"/>
      <c r="J15" s="282" t="s">
        <v>156</v>
      </c>
      <c r="K15" s="283" t="s">
        <v>172</v>
      </c>
      <c r="L15" s="286" t="s">
        <v>158</v>
      </c>
      <c r="M15" s="287" t="s">
        <v>159</v>
      </c>
      <c r="N15" s="287" t="s">
        <v>159</v>
      </c>
      <c r="O15" s="287" t="s">
        <v>159</v>
      </c>
      <c r="P15" s="287" t="s">
        <v>159</v>
      </c>
      <c r="Q15" s="288">
        <v>8.16</v>
      </c>
      <c r="R15" s="288"/>
      <c r="S15" s="288"/>
      <c r="T15" s="288"/>
      <c r="U15" s="288">
        <v>0</v>
      </c>
      <c r="V15" s="289">
        <v>8.16</v>
      </c>
      <c r="W15" s="289">
        <v>0</v>
      </c>
      <c r="X15" s="288">
        <v>8.1600000000000006E-3</v>
      </c>
      <c r="Y15" s="288">
        <v>0</v>
      </c>
      <c r="Z15" s="288">
        <v>0</v>
      </c>
      <c r="AA15" s="288">
        <v>0</v>
      </c>
      <c r="AB15" s="288">
        <v>0</v>
      </c>
      <c r="AC15" s="289">
        <v>8.1600000000000006E-3</v>
      </c>
      <c r="AD15" s="289">
        <v>0</v>
      </c>
      <c r="AI15" s="74"/>
    </row>
    <row r="16" spans="1:35" ht="15" customHeight="1" x14ac:dyDescent="0.25">
      <c r="A16" s="282" t="s">
        <v>150</v>
      </c>
      <c r="B16" s="282" t="s">
        <v>151</v>
      </c>
      <c r="C16" s="282" t="s">
        <v>152</v>
      </c>
      <c r="D16" s="283" t="s">
        <v>175</v>
      </c>
      <c r="E16" s="403">
        <v>44334</v>
      </c>
      <c r="F16" s="403">
        <v>46159</v>
      </c>
      <c r="G16" s="283" t="s">
        <v>154</v>
      </c>
      <c r="H16" s="282" t="s">
        <v>170</v>
      </c>
      <c r="I16" s="285"/>
      <c r="J16" s="282" t="s">
        <v>156</v>
      </c>
      <c r="K16" s="283" t="s">
        <v>172</v>
      </c>
      <c r="L16" s="286" t="s">
        <v>158</v>
      </c>
      <c r="M16" s="287" t="s">
        <v>159</v>
      </c>
      <c r="N16" s="287" t="s">
        <v>159</v>
      </c>
      <c r="O16" s="287" t="s">
        <v>159</v>
      </c>
      <c r="P16" s="287" t="s">
        <v>159</v>
      </c>
      <c r="Q16" s="288">
        <v>7.98</v>
      </c>
      <c r="R16" s="288"/>
      <c r="S16" s="288"/>
      <c r="T16" s="288"/>
      <c r="U16" s="288">
        <v>0</v>
      </c>
      <c r="V16" s="289">
        <v>7.98</v>
      </c>
      <c r="W16" s="289">
        <v>0</v>
      </c>
      <c r="X16" s="288">
        <v>7.980000000000001E-3</v>
      </c>
      <c r="Y16" s="288">
        <v>0</v>
      </c>
      <c r="Z16" s="288">
        <v>0</v>
      </c>
      <c r="AA16" s="288">
        <v>0</v>
      </c>
      <c r="AB16" s="288">
        <v>0</v>
      </c>
      <c r="AC16" s="289">
        <v>7.980000000000001E-3</v>
      </c>
      <c r="AD16" s="289">
        <v>0</v>
      </c>
      <c r="AI16" s="74"/>
    </row>
    <row r="17" spans="1:32" ht="15" customHeight="1" x14ac:dyDescent="0.25">
      <c r="A17" s="282" t="s">
        <v>150</v>
      </c>
      <c r="B17" s="282" t="s">
        <v>151</v>
      </c>
      <c r="C17" s="282" t="s">
        <v>152</v>
      </c>
      <c r="D17" s="283" t="s">
        <v>176</v>
      </c>
      <c r="E17" s="403">
        <v>44334</v>
      </c>
      <c r="F17" s="403">
        <v>46159</v>
      </c>
      <c r="G17" s="283" t="s">
        <v>154</v>
      </c>
      <c r="H17" s="282" t="s">
        <v>170</v>
      </c>
      <c r="I17" s="285"/>
      <c r="J17" s="282" t="s">
        <v>156</v>
      </c>
      <c r="K17" s="283" t="s">
        <v>172</v>
      </c>
      <c r="L17" s="286" t="s">
        <v>158</v>
      </c>
      <c r="M17" s="287" t="s">
        <v>159</v>
      </c>
      <c r="N17" s="287" t="s">
        <v>159</v>
      </c>
      <c r="O17" s="287" t="s">
        <v>159</v>
      </c>
      <c r="P17" s="287" t="s">
        <v>159</v>
      </c>
      <c r="Q17" s="288">
        <v>6.17</v>
      </c>
      <c r="R17" s="288"/>
      <c r="S17" s="288"/>
      <c r="T17" s="288"/>
      <c r="U17" s="288">
        <v>0</v>
      </c>
      <c r="V17" s="289">
        <v>6.17</v>
      </c>
      <c r="W17" s="289">
        <v>0</v>
      </c>
      <c r="X17" s="288">
        <v>6.1700000000000001E-3</v>
      </c>
      <c r="Y17" s="288">
        <v>0</v>
      </c>
      <c r="Z17" s="288">
        <v>0</v>
      </c>
      <c r="AA17" s="288">
        <v>0</v>
      </c>
      <c r="AB17" s="288">
        <v>0</v>
      </c>
      <c r="AC17" s="289">
        <v>6.1700000000000001E-3</v>
      </c>
      <c r="AD17" s="289">
        <v>0</v>
      </c>
      <c r="AE17" s="74"/>
      <c r="AF17" s="74"/>
    </row>
    <row r="18" spans="1:32" ht="15" customHeight="1" x14ac:dyDescent="0.25">
      <c r="A18" s="282" t="s">
        <v>150</v>
      </c>
      <c r="B18" s="282" t="s">
        <v>151</v>
      </c>
      <c r="C18" s="282" t="s">
        <v>152</v>
      </c>
      <c r="D18" s="283" t="s">
        <v>177</v>
      </c>
      <c r="E18" s="403">
        <v>44334</v>
      </c>
      <c r="F18" s="403">
        <v>46159</v>
      </c>
      <c r="G18" s="283" t="s">
        <v>154</v>
      </c>
      <c r="H18" s="282" t="s">
        <v>170</v>
      </c>
      <c r="I18" s="285"/>
      <c r="J18" s="282" t="s">
        <v>156</v>
      </c>
      <c r="K18" s="283" t="s">
        <v>172</v>
      </c>
      <c r="L18" s="286" t="s">
        <v>158</v>
      </c>
      <c r="M18" s="287" t="s">
        <v>159</v>
      </c>
      <c r="N18" s="287" t="s">
        <v>159</v>
      </c>
      <c r="O18" s="287" t="s">
        <v>159</v>
      </c>
      <c r="P18" s="287" t="s">
        <v>159</v>
      </c>
      <c r="Q18" s="288">
        <v>3.26</v>
      </c>
      <c r="R18" s="288"/>
      <c r="S18" s="288"/>
      <c r="T18" s="288"/>
      <c r="U18" s="288">
        <v>0</v>
      </c>
      <c r="V18" s="289">
        <v>3.26</v>
      </c>
      <c r="W18" s="289">
        <v>0</v>
      </c>
      <c r="X18" s="288">
        <v>3.2599999999999999E-3</v>
      </c>
      <c r="Y18" s="288">
        <v>0</v>
      </c>
      <c r="Z18" s="288">
        <v>0</v>
      </c>
      <c r="AA18" s="288">
        <v>0</v>
      </c>
      <c r="AB18" s="288">
        <v>0</v>
      </c>
      <c r="AC18" s="289">
        <v>3.2599999999999999E-3</v>
      </c>
      <c r="AD18" s="289">
        <v>0</v>
      </c>
      <c r="AE18" s="74"/>
    </row>
    <row r="19" spans="1:32" ht="15" customHeight="1" x14ac:dyDescent="0.25">
      <c r="A19" s="282" t="s">
        <v>178</v>
      </c>
      <c r="B19" s="282" t="s">
        <v>179</v>
      </c>
      <c r="C19" s="282" t="s">
        <v>180</v>
      </c>
      <c r="D19" s="283" t="s">
        <v>181</v>
      </c>
      <c r="E19" s="403">
        <v>45005</v>
      </c>
      <c r="F19" s="403">
        <v>46828</v>
      </c>
      <c r="G19" s="283" t="s">
        <v>182</v>
      </c>
      <c r="H19" s="282" t="s">
        <v>183</v>
      </c>
      <c r="I19" s="285"/>
      <c r="J19" s="282" t="s">
        <v>184</v>
      </c>
      <c r="K19" s="283" t="s">
        <v>185</v>
      </c>
      <c r="L19" s="286" t="s">
        <v>158</v>
      </c>
      <c r="M19" s="287">
        <v>2700</v>
      </c>
      <c r="N19" s="287" t="s">
        <v>159</v>
      </c>
      <c r="O19" s="287" t="s">
        <v>159</v>
      </c>
      <c r="P19" s="287" t="s">
        <v>159</v>
      </c>
      <c r="Q19" s="288">
        <v>21700</v>
      </c>
      <c r="R19" s="288">
        <v>22400</v>
      </c>
      <c r="S19" s="288">
        <v>-0.751</v>
      </c>
      <c r="T19" s="288">
        <v>62</v>
      </c>
      <c r="U19" s="288">
        <v>0</v>
      </c>
      <c r="V19" s="289">
        <v>22462</v>
      </c>
      <c r="W19" s="289">
        <v>0</v>
      </c>
      <c r="X19" s="288">
        <v>21.7</v>
      </c>
      <c r="Y19" s="288">
        <v>22.4</v>
      </c>
      <c r="Z19" s="288">
        <v>-7.5100000000000004E-4</v>
      </c>
      <c r="AA19" s="288">
        <v>6.2E-2</v>
      </c>
      <c r="AB19" s="288">
        <v>0</v>
      </c>
      <c r="AC19" s="289">
        <v>22.462</v>
      </c>
      <c r="AD19" s="289">
        <v>0</v>
      </c>
    </row>
    <row r="20" spans="1:32" ht="15" customHeight="1" x14ac:dyDescent="0.25">
      <c r="A20" s="282" t="s">
        <v>178</v>
      </c>
      <c r="B20" s="282" t="s">
        <v>179</v>
      </c>
      <c r="C20" s="282" t="s">
        <v>180</v>
      </c>
      <c r="D20" s="283" t="s">
        <v>186</v>
      </c>
      <c r="E20" s="403">
        <v>45180</v>
      </c>
      <c r="F20" s="403">
        <v>47007</v>
      </c>
      <c r="G20" s="283" t="s">
        <v>182</v>
      </c>
      <c r="H20" s="282" t="s">
        <v>187</v>
      </c>
      <c r="I20" s="285"/>
      <c r="J20" s="282" t="s">
        <v>184</v>
      </c>
      <c r="K20" s="283" t="s">
        <v>188</v>
      </c>
      <c r="L20" s="286" t="s">
        <v>158</v>
      </c>
      <c r="M20" s="287">
        <v>2700</v>
      </c>
      <c r="N20" s="287" t="s">
        <v>159</v>
      </c>
      <c r="O20" s="287" t="s">
        <v>159</v>
      </c>
      <c r="P20" s="287" t="s">
        <v>159</v>
      </c>
      <c r="Q20" s="288">
        <v>24600</v>
      </c>
      <c r="R20" s="288">
        <v>24600</v>
      </c>
      <c r="S20" s="288">
        <v>-63.9</v>
      </c>
      <c r="T20" s="288">
        <v>61.3</v>
      </c>
      <c r="U20" s="288">
        <v>0</v>
      </c>
      <c r="V20" s="289">
        <v>24661.3</v>
      </c>
      <c r="W20" s="289">
        <v>0</v>
      </c>
      <c r="X20" s="288">
        <v>24.6</v>
      </c>
      <c r="Y20" s="288">
        <v>24.6</v>
      </c>
      <c r="Z20" s="288">
        <v>-6.3899999999999998E-2</v>
      </c>
      <c r="AA20" s="288">
        <v>6.13E-2</v>
      </c>
      <c r="AB20" s="288">
        <v>0</v>
      </c>
      <c r="AC20" s="289">
        <v>24.661300000000001</v>
      </c>
      <c r="AD20" s="289">
        <v>0</v>
      </c>
    </row>
    <row r="21" spans="1:32" ht="15" customHeight="1" x14ac:dyDescent="0.25">
      <c r="A21" s="282" t="s">
        <v>178</v>
      </c>
      <c r="B21" s="282" t="s">
        <v>179</v>
      </c>
      <c r="C21" s="282" t="s">
        <v>180</v>
      </c>
      <c r="D21" s="283" t="s">
        <v>189</v>
      </c>
      <c r="E21" s="403">
        <v>45180</v>
      </c>
      <c r="F21" s="403">
        <v>47007</v>
      </c>
      <c r="G21" s="283" t="s">
        <v>182</v>
      </c>
      <c r="H21" s="282" t="s">
        <v>190</v>
      </c>
      <c r="I21" s="285"/>
      <c r="J21" s="282" t="s">
        <v>184</v>
      </c>
      <c r="K21" s="283" t="s">
        <v>191</v>
      </c>
      <c r="L21" s="286" t="s">
        <v>158</v>
      </c>
      <c r="M21" s="287">
        <v>2700</v>
      </c>
      <c r="N21" s="287" t="s">
        <v>159</v>
      </c>
      <c r="O21" s="287" t="s">
        <v>159</v>
      </c>
      <c r="P21" s="287" t="s">
        <v>159</v>
      </c>
      <c r="Q21" s="288">
        <v>24900</v>
      </c>
      <c r="R21" s="288">
        <v>24900</v>
      </c>
      <c r="S21" s="288">
        <v>-62.199999999999996</v>
      </c>
      <c r="T21" s="288">
        <v>60.199999999999996</v>
      </c>
      <c r="U21" s="288">
        <v>0</v>
      </c>
      <c r="V21" s="289">
        <v>24960.2</v>
      </c>
      <c r="W21" s="289">
        <v>0</v>
      </c>
      <c r="X21" s="288">
        <v>24.9</v>
      </c>
      <c r="Y21" s="288">
        <v>24.9</v>
      </c>
      <c r="Z21" s="288">
        <v>-6.2199999999999998E-2</v>
      </c>
      <c r="AA21" s="288">
        <v>6.0199999999999997E-2</v>
      </c>
      <c r="AB21" s="288">
        <v>0</v>
      </c>
      <c r="AC21" s="289">
        <v>24.960199999999997</v>
      </c>
      <c r="AD21" s="289">
        <v>0</v>
      </c>
    </row>
    <row r="22" spans="1:32" ht="15" customHeight="1" x14ac:dyDescent="0.25">
      <c r="A22" s="282" t="s">
        <v>178</v>
      </c>
      <c r="B22" s="282" t="s">
        <v>179</v>
      </c>
      <c r="C22" s="282" t="s">
        <v>180</v>
      </c>
      <c r="D22" s="283" t="s">
        <v>192</v>
      </c>
      <c r="E22" s="403">
        <v>45188</v>
      </c>
      <c r="F22" s="403">
        <v>47015</v>
      </c>
      <c r="G22" s="283" t="s">
        <v>193</v>
      </c>
      <c r="H22" s="282" t="s">
        <v>194</v>
      </c>
      <c r="I22" s="285"/>
      <c r="J22" s="282" t="s">
        <v>184</v>
      </c>
      <c r="K22" s="283" t="s">
        <v>195</v>
      </c>
      <c r="L22" s="286" t="s">
        <v>158</v>
      </c>
      <c r="M22" s="287">
        <v>2700</v>
      </c>
      <c r="N22" s="287" t="s">
        <v>159</v>
      </c>
      <c r="O22" s="287" t="s">
        <v>159</v>
      </c>
      <c r="P22" s="287" t="s">
        <v>159</v>
      </c>
      <c r="Q22" s="288">
        <v>3660</v>
      </c>
      <c r="R22" s="288">
        <v>3660</v>
      </c>
      <c r="S22" s="288">
        <v>5.44</v>
      </c>
      <c r="T22" s="288">
        <v>2.1</v>
      </c>
      <c r="U22" s="288">
        <v>0</v>
      </c>
      <c r="V22" s="289">
        <v>3667.54</v>
      </c>
      <c r="W22" s="289">
        <v>0</v>
      </c>
      <c r="X22" s="288">
        <v>3.66</v>
      </c>
      <c r="Y22" s="288">
        <v>3.66</v>
      </c>
      <c r="Z22" s="288">
        <v>5.4400000000000004E-3</v>
      </c>
      <c r="AA22" s="288">
        <v>2.1000000000000003E-3</v>
      </c>
      <c r="AB22" s="288">
        <v>0</v>
      </c>
      <c r="AC22" s="289">
        <v>3.6675400000000002</v>
      </c>
      <c r="AD22" s="289">
        <v>0</v>
      </c>
    </row>
    <row r="23" spans="1:32" ht="15" customHeight="1" x14ac:dyDescent="0.25">
      <c r="A23" s="282" t="s">
        <v>178</v>
      </c>
      <c r="B23" s="282" t="s">
        <v>179</v>
      </c>
      <c r="C23" s="282" t="s">
        <v>180</v>
      </c>
      <c r="D23" s="283" t="s">
        <v>196</v>
      </c>
      <c r="E23" s="403">
        <v>45001</v>
      </c>
      <c r="F23" s="403">
        <v>46828</v>
      </c>
      <c r="G23" s="283" t="s">
        <v>197</v>
      </c>
      <c r="H23" s="282" t="s">
        <v>198</v>
      </c>
      <c r="I23" s="285"/>
      <c r="J23" s="282" t="s">
        <v>184</v>
      </c>
      <c r="K23" s="283" t="s">
        <v>199</v>
      </c>
      <c r="L23" s="286" t="s">
        <v>158</v>
      </c>
      <c r="M23" s="287">
        <v>2700</v>
      </c>
      <c r="N23" s="287" t="s">
        <v>159</v>
      </c>
      <c r="O23" s="287" t="s">
        <v>159</v>
      </c>
      <c r="P23" s="287" t="s">
        <v>159</v>
      </c>
      <c r="Q23" s="288">
        <v>9030</v>
      </c>
      <c r="R23" s="288">
        <v>9010</v>
      </c>
      <c r="S23" s="288">
        <v>-185</v>
      </c>
      <c r="T23" s="288">
        <v>26.200000000000003</v>
      </c>
      <c r="U23" s="288">
        <v>0</v>
      </c>
      <c r="V23" s="289">
        <v>9036.2000000000007</v>
      </c>
      <c r="W23" s="289">
        <v>0</v>
      </c>
      <c r="X23" s="288">
        <v>9.0299999999999994</v>
      </c>
      <c r="Y23" s="288">
        <v>9.01</v>
      </c>
      <c r="Z23" s="288">
        <v>-0.185</v>
      </c>
      <c r="AA23" s="288">
        <v>2.6200000000000005E-2</v>
      </c>
      <c r="AB23" s="288">
        <v>0</v>
      </c>
      <c r="AC23" s="289">
        <v>9.0361999999999991</v>
      </c>
      <c r="AD23" s="289">
        <v>0</v>
      </c>
    </row>
    <row r="24" spans="1:32" ht="15" customHeight="1" x14ac:dyDescent="0.25">
      <c r="A24" s="282" t="s">
        <v>178</v>
      </c>
      <c r="B24" s="282" t="s">
        <v>179</v>
      </c>
      <c r="C24" s="282" t="s">
        <v>180</v>
      </c>
      <c r="D24" s="283" t="s">
        <v>200</v>
      </c>
      <c r="E24" s="403">
        <v>45027</v>
      </c>
      <c r="F24" s="403">
        <v>46853</v>
      </c>
      <c r="G24" s="283" t="s">
        <v>201</v>
      </c>
      <c r="H24" s="282" t="s">
        <v>202</v>
      </c>
      <c r="I24" s="285"/>
      <c r="J24" s="282" t="s">
        <v>184</v>
      </c>
      <c r="K24" s="283" t="s">
        <v>203</v>
      </c>
      <c r="L24" s="286" t="s">
        <v>158</v>
      </c>
      <c r="M24" s="287">
        <v>2700</v>
      </c>
      <c r="N24" s="287" t="s">
        <v>159</v>
      </c>
      <c r="O24" s="287" t="s">
        <v>159</v>
      </c>
      <c r="P24" s="287" t="s">
        <v>159</v>
      </c>
      <c r="Q24" s="288">
        <v>24600</v>
      </c>
      <c r="R24" s="288">
        <v>24600</v>
      </c>
      <c r="S24" s="288">
        <v>3.19</v>
      </c>
      <c r="T24" s="288">
        <v>4.38</v>
      </c>
      <c r="U24" s="288">
        <v>0</v>
      </c>
      <c r="V24" s="289">
        <v>24607.57</v>
      </c>
      <c r="W24" s="289">
        <v>0</v>
      </c>
      <c r="X24" s="288">
        <v>24.6</v>
      </c>
      <c r="Y24" s="288">
        <v>24.6</v>
      </c>
      <c r="Z24" s="288">
        <v>3.1900000000000001E-3</v>
      </c>
      <c r="AA24" s="288">
        <v>4.3800000000000002E-3</v>
      </c>
      <c r="AB24" s="288">
        <v>0</v>
      </c>
      <c r="AC24" s="289">
        <v>24.607570000000003</v>
      </c>
      <c r="AD24" s="289">
        <v>0</v>
      </c>
    </row>
    <row r="25" spans="1:32" ht="15" customHeight="1" x14ac:dyDescent="0.25">
      <c r="A25" s="282" t="s">
        <v>178</v>
      </c>
      <c r="B25" s="282" t="s">
        <v>179</v>
      </c>
      <c r="C25" s="282" t="s">
        <v>180</v>
      </c>
      <c r="D25" s="283" t="s">
        <v>204</v>
      </c>
      <c r="E25" s="403"/>
      <c r="F25" s="403"/>
      <c r="G25" s="283" t="s">
        <v>182</v>
      </c>
      <c r="H25" s="282"/>
      <c r="I25" s="285"/>
      <c r="J25" s="282" t="s">
        <v>205</v>
      </c>
      <c r="K25" s="283" t="s">
        <v>206</v>
      </c>
      <c r="L25" s="286" t="s">
        <v>158</v>
      </c>
      <c r="M25" s="287">
        <v>2700</v>
      </c>
      <c r="N25" s="287" t="s">
        <v>159</v>
      </c>
      <c r="O25" s="287" t="s">
        <v>159</v>
      </c>
      <c r="P25" s="287" t="s">
        <v>159</v>
      </c>
      <c r="Q25" s="288">
        <v>21741.300000000003</v>
      </c>
      <c r="R25" s="288"/>
      <c r="S25" s="288"/>
      <c r="T25" s="288"/>
      <c r="U25" s="288">
        <v>0</v>
      </c>
      <c r="V25" s="289">
        <v>21741.300000000003</v>
      </c>
      <c r="W25" s="289">
        <v>0</v>
      </c>
      <c r="X25" s="288">
        <v>21.741300000000003</v>
      </c>
      <c r="Y25" s="288">
        <v>0</v>
      </c>
      <c r="Z25" s="288">
        <v>0</v>
      </c>
      <c r="AA25" s="288">
        <v>0</v>
      </c>
      <c r="AB25" s="288">
        <v>0</v>
      </c>
      <c r="AC25" s="289">
        <v>21.741300000000003</v>
      </c>
      <c r="AD25" s="289">
        <v>0</v>
      </c>
    </row>
    <row r="26" spans="1:32" ht="15" customHeight="1" x14ac:dyDescent="0.25">
      <c r="A26" s="282" t="s">
        <v>178</v>
      </c>
      <c r="B26" s="282" t="s">
        <v>179</v>
      </c>
      <c r="C26" s="282" t="s">
        <v>180</v>
      </c>
      <c r="D26" s="283" t="s">
        <v>207</v>
      </c>
      <c r="E26" s="403"/>
      <c r="F26" s="403"/>
      <c r="G26" s="283" t="s">
        <v>208</v>
      </c>
      <c r="H26" s="282"/>
      <c r="I26" s="285"/>
      <c r="J26" s="282" t="s">
        <v>205</v>
      </c>
      <c r="K26" s="283" t="s">
        <v>206</v>
      </c>
      <c r="L26" s="286" t="s">
        <v>158</v>
      </c>
      <c r="M26" s="287">
        <v>2700</v>
      </c>
      <c r="N26" s="287" t="s">
        <v>159</v>
      </c>
      <c r="O26" s="287" t="s">
        <v>159</v>
      </c>
      <c r="P26" s="287" t="s">
        <v>159</v>
      </c>
      <c r="Q26" s="288">
        <v>12741.300000000001</v>
      </c>
      <c r="R26" s="288"/>
      <c r="S26" s="288"/>
      <c r="T26" s="288"/>
      <c r="U26" s="288">
        <v>0</v>
      </c>
      <c r="V26" s="289">
        <v>12741.300000000001</v>
      </c>
      <c r="W26" s="289">
        <v>0</v>
      </c>
      <c r="X26" s="288">
        <v>12.741300000000001</v>
      </c>
      <c r="Y26" s="288">
        <v>0</v>
      </c>
      <c r="Z26" s="288">
        <v>0</v>
      </c>
      <c r="AA26" s="288">
        <v>0</v>
      </c>
      <c r="AB26" s="288">
        <v>0</v>
      </c>
      <c r="AC26" s="289">
        <v>12.741300000000001</v>
      </c>
      <c r="AD26" s="289">
        <v>0</v>
      </c>
    </row>
    <row r="27" spans="1:32" ht="15" customHeight="1" x14ac:dyDescent="0.25">
      <c r="A27" s="282" t="s">
        <v>178</v>
      </c>
      <c r="B27" s="282" t="s">
        <v>179</v>
      </c>
      <c r="C27" s="282" t="s">
        <v>180</v>
      </c>
      <c r="D27" s="283" t="s">
        <v>209</v>
      </c>
      <c r="E27" s="403"/>
      <c r="F27" s="403"/>
      <c r="G27" s="283" t="s">
        <v>210</v>
      </c>
      <c r="H27" s="282"/>
      <c r="I27" s="285"/>
      <c r="J27" s="282" t="s">
        <v>205</v>
      </c>
      <c r="K27" s="283" t="s">
        <v>206</v>
      </c>
      <c r="L27" s="286" t="s">
        <v>158</v>
      </c>
      <c r="M27" s="287">
        <v>2700</v>
      </c>
      <c r="N27" s="287" t="s">
        <v>159</v>
      </c>
      <c r="O27" s="287" t="s">
        <v>159</v>
      </c>
      <c r="P27" s="287" t="s">
        <v>159</v>
      </c>
      <c r="Q27" s="288">
        <v>8841.3000000000011</v>
      </c>
      <c r="R27" s="288"/>
      <c r="S27" s="288"/>
      <c r="T27" s="288"/>
      <c r="U27" s="288">
        <v>0</v>
      </c>
      <c r="V27" s="289">
        <v>8841.3000000000011</v>
      </c>
      <c r="W27" s="289">
        <v>0</v>
      </c>
      <c r="X27" s="288">
        <v>8.8413000000000004</v>
      </c>
      <c r="Y27" s="288">
        <v>0</v>
      </c>
      <c r="Z27" s="288">
        <v>0</v>
      </c>
      <c r="AA27" s="288">
        <v>0</v>
      </c>
      <c r="AB27" s="288">
        <v>0</v>
      </c>
      <c r="AC27" s="289">
        <v>8.8413000000000004</v>
      </c>
      <c r="AD27" s="289">
        <v>0</v>
      </c>
    </row>
    <row r="28" spans="1:32" ht="15" customHeight="1" x14ac:dyDescent="0.25">
      <c r="A28" s="282" t="s">
        <v>178</v>
      </c>
      <c r="B28" s="282" t="s">
        <v>179</v>
      </c>
      <c r="C28" s="282" t="s">
        <v>180</v>
      </c>
      <c r="D28" s="283" t="s">
        <v>211</v>
      </c>
      <c r="E28" s="403"/>
      <c r="F28" s="403"/>
      <c r="G28" s="283" t="s">
        <v>212</v>
      </c>
      <c r="H28" s="282"/>
      <c r="I28" s="285"/>
      <c r="J28" s="282" t="s">
        <v>205</v>
      </c>
      <c r="K28" s="283" t="s">
        <v>206</v>
      </c>
      <c r="L28" s="286" t="s">
        <v>158</v>
      </c>
      <c r="M28" s="287">
        <v>2700</v>
      </c>
      <c r="N28" s="287" t="s">
        <v>159</v>
      </c>
      <c r="O28" s="287" t="s">
        <v>159</v>
      </c>
      <c r="P28" s="287" t="s">
        <v>159</v>
      </c>
      <c r="Q28" s="288">
        <v>6841.3</v>
      </c>
      <c r="R28" s="288"/>
      <c r="S28" s="288"/>
      <c r="T28" s="288"/>
      <c r="U28" s="288">
        <v>0</v>
      </c>
      <c r="V28" s="289">
        <v>6841.3</v>
      </c>
      <c r="W28" s="289">
        <v>0</v>
      </c>
      <c r="X28" s="288">
        <v>6.8413000000000004</v>
      </c>
      <c r="Y28" s="288">
        <v>0</v>
      </c>
      <c r="Z28" s="288">
        <v>0</v>
      </c>
      <c r="AA28" s="288">
        <v>0</v>
      </c>
      <c r="AB28" s="288">
        <v>0</v>
      </c>
      <c r="AC28" s="289">
        <v>6.8413000000000004</v>
      </c>
      <c r="AD28" s="289">
        <v>0</v>
      </c>
    </row>
    <row r="29" spans="1:32" ht="15" customHeight="1" x14ac:dyDescent="0.25">
      <c r="A29" s="282" t="s">
        <v>178</v>
      </c>
      <c r="B29" s="282" t="s">
        <v>179</v>
      </c>
      <c r="C29" s="282" t="s">
        <v>180</v>
      </c>
      <c r="D29" s="283" t="s">
        <v>213</v>
      </c>
      <c r="E29" s="403"/>
      <c r="F29" s="403"/>
      <c r="G29" s="283" t="s">
        <v>154</v>
      </c>
      <c r="H29" s="282"/>
      <c r="I29" s="285"/>
      <c r="J29" s="282" t="s">
        <v>205</v>
      </c>
      <c r="K29" s="283" t="s">
        <v>206</v>
      </c>
      <c r="L29" s="286" t="s">
        <v>158</v>
      </c>
      <c r="M29" s="287">
        <v>2700</v>
      </c>
      <c r="N29" s="287" t="s">
        <v>159</v>
      </c>
      <c r="O29" s="287" t="s">
        <v>159</v>
      </c>
      <c r="P29" s="287" t="s">
        <v>159</v>
      </c>
      <c r="Q29" s="288">
        <v>12741.300000000001</v>
      </c>
      <c r="R29" s="288"/>
      <c r="S29" s="288"/>
      <c r="T29" s="288"/>
      <c r="U29" s="288">
        <v>0</v>
      </c>
      <c r="V29" s="289">
        <v>12741.300000000001</v>
      </c>
      <c r="W29" s="289">
        <v>0</v>
      </c>
      <c r="X29" s="288">
        <v>12.741300000000001</v>
      </c>
      <c r="Y29" s="288">
        <v>0</v>
      </c>
      <c r="Z29" s="288">
        <v>0</v>
      </c>
      <c r="AA29" s="288">
        <v>0</v>
      </c>
      <c r="AB29" s="288">
        <v>0</v>
      </c>
      <c r="AC29" s="289">
        <v>12.741300000000001</v>
      </c>
      <c r="AD29" s="289">
        <v>0</v>
      </c>
    </row>
    <row r="30" spans="1:32" ht="15" customHeight="1" x14ac:dyDescent="0.25">
      <c r="A30" s="282" t="s">
        <v>178</v>
      </c>
      <c r="B30" s="282" t="s">
        <v>214</v>
      </c>
      <c r="C30" s="282" t="s">
        <v>214</v>
      </c>
      <c r="D30" s="283" t="s">
        <v>215</v>
      </c>
      <c r="E30" s="403">
        <v>43641</v>
      </c>
      <c r="F30" s="403">
        <v>45468</v>
      </c>
      <c r="G30" s="283" t="s">
        <v>216</v>
      </c>
      <c r="H30" s="282" t="s">
        <v>217</v>
      </c>
      <c r="I30" s="285"/>
      <c r="J30" s="282" t="s">
        <v>184</v>
      </c>
      <c r="K30" s="283" t="s">
        <v>218</v>
      </c>
      <c r="L30" s="286" t="s">
        <v>219</v>
      </c>
      <c r="M30" s="287">
        <v>2710</v>
      </c>
      <c r="N30" s="287">
        <v>1.897</v>
      </c>
      <c r="O30" s="287" t="s">
        <v>159</v>
      </c>
      <c r="P30" s="287" t="s">
        <v>159</v>
      </c>
      <c r="Q30" s="288">
        <v>17.501317870321561</v>
      </c>
      <c r="R30" s="288"/>
      <c r="S30" s="288"/>
      <c r="T30" s="288"/>
      <c r="U30" s="288">
        <v>0</v>
      </c>
      <c r="V30" s="289">
        <v>17.501317870321561</v>
      </c>
      <c r="W30" s="289">
        <v>0</v>
      </c>
      <c r="X30" s="288">
        <v>17.501317870321561</v>
      </c>
      <c r="Y30" s="288">
        <v>0</v>
      </c>
      <c r="Z30" s="288">
        <v>0</v>
      </c>
      <c r="AA30" s="288">
        <v>0</v>
      </c>
      <c r="AB30" s="288">
        <v>0</v>
      </c>
      <c r="AC30" s="289">
        <v>17.501317870321561</v>
      </c>
      <c r="AD30" s="289">
        <v>0</v>
      </c>
    </row>
    <row r="31" spans="1:32" ht="15" customHeight="1" x14ac:dyDescent="0.25">
      <c r="A31" s="282" t="s">
        <v>178</v>
      </c>
      <c r="B31" s="282" t="s">
        <v>214</v>
      </c>
      <c r="C31" s="282" t="s">
        <v>214</v>
      </c>
      <c r="D31" s="283" t="s">
        <v>220</v>
      </c>
      <c r="E31" s="403">
        <v>43641</v>
      </c>
      <c r="F31" s="403">
        <v>45468</v>
      </c>
      <c r="G31" s="283" t="s">
        <v>216</v>
      </c>
      <c r="H31" s="282" t="s">
        <v>221</v>
      </c>
      <c r="I31" s="285"/>
      <c r="J31" s="282" t="s">
        <v>184</v>
      </c>
      <c r="K31" s="283" t="s">
        <v>218</v>
      </c>
      <c r="L31" s="286" t="s">
        <v>219</v>
      </c>
      <c r="M31" s="287">
        <v>2710</v>
      </c>
      <c r="N31" s="287">
        <v>2.4390000000000001</v>
      </c>
      <c r="O31" s="287" t="s">
        <v>159</v>
      </c>
      <c r="P31" s="287" t="s">
        <v>159</v>
      </c>
      <c r="Q31" s="288">
        <v>17.548175481754814</v>
      </c>
      <c r="R31" s="288"/>
      <c r="S31" s="288"/>
      <c r="T31" s="288"/>
      <c r="U31" s="288">
        <v>0</v>
      </c>
      <c r="V31" s="289">
        <v>17.548175481754814</v>
      </c>
      <c r="W31" s="289">
        <v>0</v>
      </c>
      <c r="X31" s="288">
        <v>17.548175481754814</v>
      </c>
      <c r="Y31" s="288">
        <v>0</v>
      </c>
      <c r="Z31" s="288">
        <v>0</v>
      </c>
      <c r="AA31" s="288">
        <v>0</v>
      </c>
      <c r="AB31" s="288">
        <v>0</v>
      </c>
      <c r="AC31" s="289">
        <v>17.548175481754814</v>
      </c>
      <c r="AD31" s="289">
        <v>0</v>
      </c>
    </row>
    <row r="32" spans="1:32" ht="15" customHeight="1" x14ac:dyDescent="0.25">
      <c r="A32" s="282" t="s">
        <v>178</v>
      </c>
      <c r="B32" s="282" t="s">
        <v>179</v>
      </c>
      <c r="C32" s="282" t="s">
        <v>180</v>
      </c>
      <c r="D32" s="283" t="s">
        <v>222</v>
      </c>
      <c r="E32" s="403">
        <v>44813</v>
      </c>
      <c r="F32" s="403">
        <v>46638</v>
      </c>
      <c r="G32" s="283" t="s">
        <v>182</v>
      </c>
      <c r="H32" s="282" t="s">
        <v>223</v>
      </c>
      <c r="I32" s="285"/>
      <c r="J32" s="282" t="s">
        <v>184</v>
      </c>
      <c r="K32" s="283" t="s">
        <v>224</v>
      </c>
      <c r="L32" s="286" t="s">
        <v>158</v>
      </c>
      <c r="M32" s="287">
        <v>2700</v>
      </c>
      <c r="N32" s="287" t="s">
        <v>159</v>
      </c>
      <c r="O32" s="287" t="s">
        <v>159</v>
      </c>
      <c r="P32" s="287" t="s">
        <v>159</v>
      </c>
      <c r="Q32" s="288">
        <v>28800</v>
      </c>
      <c r="R32" s="288"/>
      <c r="S32" s="288"/>
      <c r="T32" s="288"/>
      <c r="U32" s="288">
        <v>0</v>
      </c>
      <c r="V32" s="289">
        <v>28800</v>
      </c>
      <c r="W32" s="289">
        <v>0</v>
      </c>
      <c r="X32" s="288">
        <v>28.8</v>
      </c>
      <c r="Y32" s="288">
        <v>0</v>
      </c>
      <c r="Z32" s="288">
        <v>0</v>
      </c>
      <c r="AA32" s="288">
        <v>0</v>
      </c>
      <c r="AB32" s="288">
        <v>0</v>
      </c>
      <c r="AC32" s="289">
        <v>28.8</v>
      </c>
      <c r="AD32" s="289">
        <v>0</v>
      </c>
    </row>
    <row r="33" spans="1:30" ht="15" customHeight="1" x14ac:dyDescent="0.25">
      <c r="A33" s="282" t="s">
        <v>178</v>
      </c>
      <c r="B33" s="282" t="s">
        <v>179</v>
      </c>
      <c r="C33" s="282" t="s">
        <v>180</v>
      </c>
      <c r="D33" s="283" t="s">
        <v>225</v>
      </c>
      <c r="E33" s="403">
        <v>45089</v>
      </c>
      <c r="F33" s="403">
        <v>46915</v>
      </c>
      <c r="G33" s="283" t="s">
        <v>226</v>
      </c>
      <c r="H33" s="282" t="s">
        <v>227</v>
      </c>
      <c r="I33" s="285"/>
      <c r="J33" s="282" t="s">
        <v>184</v>
      </c>
      <c r="K33" s="283" t="s">
        <v>228</v>
      </c>
      <c r="L33" s="286" t="s">
        <v>158</v>
      </c>
      <c r="M33" s="287">
        <v>2700</v>
      </c>
      <c r="N33" s="287" t="s">
        <v>159</v>
      </c>
      <c r="O33" s="287" t="s">
        <v>159</v>
      </c>
      <c r="P33" s="287" t="s">
        <v>159</v>
      </c>
      <c r="Q33" s="288">
        <v>3500</v>
      </c>
      <c r="R33" s="288">
        <v>3470</v>
      </c>
      <c r="S33" s="288">
        <v>9.65</v>
      </c>
      <c r="T33" s="288">
        <v>14.5</v>
      </c>
      <c r="U33" s="288">
        <v>0</v>
      </c>
      <c r="V33" s="289">
        <v>3494.15</v>
      </c>
      <c r="W33" s="289">
        <v>0</v>
      </c>
      <c r="X33" s="288">
        <v>3.5</v>
      </c>
      <c r="Y33" s="288">
        <v>3.47</v>
      </c>
      <c r="Z33" s="288">
        <v>9.6500000000000006E-3</v>
      </c>
      <c r="AA33" s="288">
        <v>1.4500000000000001E-2</v>
      </c>
      <c r="AB33" s="288">
        <v>0</v>
      </c>
      <c r="AC33" s="289">
        <v>3.4941500000000003</v>
      </c>
      <c r="AD33" s="289">
        <v>0</v>
      </c>
    </row>
    <row r="34" spans="1:30" ht="15" customHeight="1" x14ac:dyDescent="0.25">
      <c r="A34" s="282" t="s">
        <v>229</v>
      </c>
      <c r="B34" s="282" t="s">
        <v>179</v>
      </c>
      <c r="C34" s="282" t="s">
        <v>180</v>
      </c>
      <c r="D34" s="283" t="s">
        <v>230</v>
      </c>
      <c r="E34" s="403">
        <v>45191</v>
      </c>
      <c r="F34" s="403">
        <v>47017</v>
      </c>
      <c r="G34" s="283" t="s">
        <v>231</v>
      </c>
      <c r="H34" s="282" t="s">
        <v>232</v>
      </c>
      <c r="I34" s="285"/>
      <c r="J34" s="282" t="s">
        <v>184</v>
      </c>
      <c r="K34" s="283" t="s">
        <v>191</v>
      </c>
      <c r="L34" s="286" t="s">
        <v>158</v>
      </c>
      <c r="M34" s="287">
        <v>2700</v>
      </c>
      <c r="N34" s="287" t="s">
        <v>159</v>
      </c>
      <c r="O34" s="287" t="s">
        <v>159</v>
      </c>
      <c r="P34" s="287" t="s">
        <v>159</v>
      </c>
      <c r="Q34" s="288">
        <v>12900</v>
      </c>
      <c r="R34" s="288"/>
      <c r="S34" s="288"/>
      <c r="T34" s="288"/>
      <c r="U34" s="288">
        <v>0</v>
      </c>
      <c r="V34" s="289">
        <v>12900</v>
      </c>
      <c r="W34" s="289">
        <v>0</v>
      </c>
      <c r="X34" s="288">
        <v>12.9</v>
      </c>
      <c r="Y34" s="288">
        <v>0</v>
      </c>
      <c r="Z34" s="288">
        <v>0</v>
      </c>
      <c r="AA34" s="288">
        <v>0</v>
      </c>
      <c r="AB34" s="288">
        <v>0</v>
      </c>
      <c r="AC34" s="289">
        <v>12.9</v>
      </c>
      <c r="AD34" s="289">
        <v>0</v>
      </c>
    </row>
    <row r="35" spans="1:30" ht="15" customHeight="1" x14ac:dyDescent="0.25">
      <c r="A35" s="282" t="s">
        <v>229</v>
      </c>
      <c r="B35" s="282" t="s">
        <v>179</v>
      </c>
      <c r="C35" s="282" t="s">
        <v>180</v>
      </c>
      <c r="D35" s="283" t="s">
        <v>233</v>
      </c>
      <c r="E35" s="403">
        <v>45127</v>
      </c>
      <c r="F35" s="403">
        <v>46953</v>
      </c>
      <c r="G35" s="283" t="s">
        <v>231</v>
      </c>
      <c r="H35" s="282" t="s">
        <v>234</v>
      </c>
      <c r="I35" s="285"/>
      <c r="J35" s="282" t="s">
        <v>184</v>
      </c>
      <c r="K35" s="283" t="s">
        <v>235</v>
      </c>
      <c r="L35" s="286" t="s">
        <v>158</v>
      </c>
      <c r="M35" s="287">
        <v>2700</v>
      </c>
      <c r="N35" s="287" t="s">
        <v>159</v>
      </c>
      <c r="O35" s="287" t="s">
        <v>159</v>
      </c>
      <c r="P35" s="287" t="s">
        <v>159</v>
      </c>
      <c r="Q35" s="288">
        <v>5170</v>
      </c>
      <c r="R35" s="288"/>
      <c r="S35" s="288"/>
      <c r="T35" s="288"/>
      <c r="U35" s="288">
        <v>0</v>
      </c>
      <c r="V35" s="289">
        <v>5170</v>
      </c>
      <c r="W35" s="289">
        <v>0</v>
      </c>
      <c r="X35" s="288">
        <v>5.17</v>
      </c>
      <c r="Y35" s="288">
        <v>0</v>
      </c>
      <c r="Z35" s="288">
        <v>0</v>
      </c>
      <c r="AA35" s="288">
        <v>0</v>
      </c>
      <c r="AB35" s="288">
        <v>0</v>
      </c>
      <c r="AC35" s="289">
        <v>5.17</v>
      </c>
      <c r="AD35" s="289">
        <v>0</v>
      </c>
    </row>
    <row r="36" spans="1:30" ht="15" customHeight="1" x14ac:dyDescent="0.25">
      <c r="A36" s="282" t="s">
        <v>229</v>
      </c>
      <c r="B36" s="282" t="s">
        <v>179</v>
      </c>
      <c r="C36" s="282" t="s">
        <v>180</v>
      </c>
      <c r="D36" s="283" t="s">
        <v>236</v>
      </c>
      <c r="E36" s="403">
        <v>44936</v>
      </c>
      <c r="F36" s="403">
        <v>46761</v>
      </c>
      <c r="G36" s="283" t="s">
        <v>237</v>
      </c>
      <c r="H36" s="282" t="s">
        <v>238</v>
      </c>
      <c r="I36" s="285"/>
      <c r="J36" s="282" t="s">
        <v>184</v>
      </c>
      <c r="K36" s="283" t="s">
        <v>239</v>
      </c>
      <c r="L36" s="286" t="s">
        <v>158</v>
      </c>
      <c r="M36" s="287">
        <v>2700</v>
      </c>
      <c r="N36" s="287" t="s">
        <v>159</v>
      </c>
      <c r="O36" s="287" t="s">
        <v>159</v>
      </c>
      <c r="P36" s="287" t="s">
        <v>159</v>
      </c>
      <c r="Q36" s="288">
        <v>17670</v>
      </c>
      <c r="R36" s="288"/>
      <c r="S36" s="288"/>
      <c r="T36" s="288"/>
      <c r="U36" s="288">
        <v>0</v>
      </c>
      <c r="V36" s="289">
        <v>17670</v>
      </c>
      <c r="W36" s="289">
        <v>0</v>
      </c>
      <c r="X36" s="288">
        <v>17.670000000000002</v>
      </c>
      <c r="Y36" s="288">
        <v>0</v>
      </c>
      <c r="Z36" s="288">
        <v>0</v>
      </c>
      <c r="AA36" s="288">
        <v>0</v>
      </c>
      <c r="AB36" s="288">
        <v>0</v>
      </c>
      <c r="AC36" s="289">
        <v>17.670000000000002</v>
      </c>
      <c r="AD36" s="289">
        <v>0</v>
      </c>
    </row>
    <row r="37" spans="1:30" ht="15" customHeight="1" x14ac:dyDescent="0.25">
      <c r="A37" s="282" t="s">
        <v>229</v>
      </c>
      <c r="B37" s="282" t="s">
        <v>179</v>
      </c>
      <c r="C37" s="282" t="s">
        <v>180</v>
      </c>
      <c r="D37" s="283" t="s">
        <v>240</v>
      </c>
      <c r="E37" s="403">
        <v>44913</v>
      </c>
      <c r="F37" s="403">
        <v>46738</v>
      </c>
      <c r="G37" s="283" t="s">
        <v>231</v>
      </c>
      <c r="H37" s="282" t="s">
        <v>241</v>
      </c>
      <c r="I37" s="285"/>
      <c r="J37" s="282" t="s">
        <v>184</v>
      </c>
      <c r="K37" s="283" t="s">
        <v>191</v>
      </c>
      <c r="L37" s="286" t="s">
        <v>158</v>
      </c>
      <c r="M37" s="287">
        <v>2700</v>
      </c>
      <c r="N37" s="287" t="s">
        <v>159</v>
      </c>
      <c r="O37" s="287" t="s">
        <v>159</v>
      </c>
      <c r="P37" s="287" t="s">
        <v>159</v>
      </c>
      <c r="Q37" s="288">
        <v>11700</v>
      </c>
      <c r="R37" s="288"/>
      <c r="S37" s="288"/>
      <c r="T37" s="288"/>
      <c r="U37" s="288">
        <v>0</v>
      </c>
      <c r="V37" s="289">
        <v>11700</v>
      </c>
      <c r="W37" s="289">
        <v>0</v>
      </c>
      <c r="X37" s="288">
        <v>11.7</v>
      </c>
      <c r="Y37" s="288">
        <v>0</v>
      </c>
      <c r="Z37" s="288">
        <v>0</v>
      </c>
      <c r="AA37" s="288">
        <v>0</v>
      </c>
      <c r="AB37" s="288">
        <v>0</v>
      </c>
      <c r="AC37" s="289">
        <v>11.7</v>
      </c>
      <c r="AD37" s="289">
        <v>0</v>
      </c>
    </row>
    <row r="38" spans="1:30" ht="15" customHeight="1" x14ac:dyDescent="0.25">
      <c r="A38" s="282" t="s">
        <v>229</v>
      </c>
      <c r="B38" s="282" t="s">
        <v>179</v>
      </c>
      <c r="C38" s="282" t="s">
        <v>180</v>
      </c>
      <c r="D38" s="283" t="s">
        <v>242</v>
      </c>
      <c r="E38" s="403">
        <v>44733</v>
      </c>
      <c r="F38" s="403">
        <v>46558</v>
      </c>
      <c r="G38" s="283" t="s">
        <v>231</v>
      </c>
      <c r="H38" s="282" t="s">
        <v>243</v>
      </c>
      <c r="I38" s="285"/>
      <c r="J38" s="282" t="s">
        <v>184</v>
      </c>
      <c r="K38" s="283" t="s">
        <v>244</v>
      </c>
      <c r="L38" s="286" t="s">
        <v>158</v>
      </c>
      <c r="M38" s="287">
        <v>2700</v>
      </c>
      <c r="N38" s="287" t="s">
        <v>159</v>
      </c>
      <c r="O38" s="287" t="s">
        <v>159</v>
      </c>
      <c r="P38" s="287" t="s">
        <v>159</v>
      </c>
      <c r="Q38" s="288">
        <v>13900</v>
      </c>
      <c r="R38" s="288"/>
      <c r="S38" s="288"/>
      <c r="T38" s="288"/>
      <c r="U38" s="288">
        <v>0</v>
      </c>
      <c r="V38" s="289">
        <v>13900</v>
      </c>
      <c r="W38" s="289">
        <v>0</v>
      </c>
      <c r="X38" s="288">
        <v>13.9</v>
      </c>
      <c r="Y38" s="288">
        <v>0</v>
      </c>
      <c r="Z38" s="288">
        <v>0</v>
      </c>
      <c r="AA38" s="288">
        <v>0</v>
      </c>
      <c r="AB38" s="288">
        <v>0</v>
      </c>
      <c r="AC38" s="289">
        <v>13.9</v>
      </c>
      <c r="AD38" s="289">
        <v>0</v>
      </c>
    </row>
    <row r="39" spans="1:30" ht="15" customHeight="1" x14ac:dyDescent="0.25">
      <c r="A39" s="282" t="s">
        <v>229</v>
      </c>
      <c r="B39" s="282" t="s">
        <v>179</v>
      </c>
      <c r="C39" s="282" t="s">
        <v>180</v>
      </c>
      <c r="D39" s="283" t="s">
        <v>245</v>
      </c>
      <c r="E39" s="403">
        <v>44529</v>
      </c>
      <c r="F39" s="403">
        <v>46354</v>
      </c>
      <c r="G39" s="283" t="s">
        <v>237</v>
      </c>
      <c r="H39" s="282" t="s">
        <v>246</v>
      </c>
      <c r="I39" s="285"/>
      <c r="J39" s="282" t="s">
        <v>184</v>
      </c>
      <c r="K39" s="283" t="s">
        <v>247</v>
      </c>
      <c r="L39" s="286" t="s">
        <v>158</v>
      </c>
      <c r="M39" s="287">
        <v>2700</v>
      </c>
      <c r="N39" s="287" t="s">
        <v>159</v>
      </c>
      <c r="O39" s="287" t="s">
        <v>159</v>
      </c>
      <c r="P39" s="287" t="s">
        <v>159</v>
      </c>
      <c r="Q39" s="288">
        <v>19100</v>
      </c>
      <c r="R39" s="288"/>
      <c r="S39" s="288"/>
      <c r="T39" s="288"/>
      <c r="U39" s="288">
        <v>0</v>
      </c>
      <c r="V39" s="289">
        <v>19100</v>
      </c>
      <c r="W39" s="289">
        <v>0</v>
      </c>
      <c r="X39" s="288">
        <v>19.100000000000001</v>
      </c>
      <c r="Y39" s="288">
        <v>0</v>
      </c>
      <c r="Z39" s="288">
        <v>0</v>
      </c>
      <c r="AA39" s="288">
        <v>0</v>
      </c>
      <c r="AB39" s="288">
        <v>0</v>
      </c>
      <c r="AC39" s="289">
        <v>19.100000000000001</v>
      </c>
      <c r="AD39" s="289">
        <v>0</v>
      </c>
    </row>
    <row r="40" spans="1:30" ht="15" customHeight="1" x14ac:dyDescent="0.25">
      <c r="A40" s="282" t="s">
        <v>229</v>
      </c>
      <c r="B40" s="282" t="s">
        <v>179</v>
      </c>
      <c r="C40" s="282" t="s">
        <v>180</v>
      </c>
      <c r="D40" s="283" t="s">
        <v>248</v>
      </c>
      <c r="E40" s="403">
        <v>43948</v>
      </c>
      <c r="F40" s="403">
        <v>45774</v>
      </c>
      <c r="G40" s="283" t="s">
        <v>249</v>
      </c>
      <c r="H40" s="282" t="s">
        <v>250</v>
      </c>
      <c r="I40" s="285"/>
      <c r="J40" s="282" t="s">
        <v>184</v>
      </c>
      <c r="K40" s="283" t="s">
        <v>251</v>
      </c>
      <c r="L40" s="286" t="s">
        <v>158</v>
      </c>
      <c r="M40" s="287">
        <v>2700</v>
      </c>
      <c r="N40" s="287" t="s">
        <v>159</v>
      </c>
      <c r="O40" s="287" t="s">
        <v>159</v>
      </c>
      <c r="P40" s="287" t="s">
        <v>159</v>
      </c>
      <c r="Q40" s="288">
        <v>7430</v>
      </c>
      <c r="R40" s="288"/>
      <c r="S40" s="288"/>
      <c r="T40" s="288"/>
      <c r="U40" s="288">
        <v>0</v>
      </c>
      <c r="V40" s="289">
        <v>7430</v>
      </c>
      <c r="W40" s="289">
        <v>0</v>
      </c>
      <c r="X40" s="288">
        <v>7.43</v>
      </c>
      <c r="Y40" s="288">
        <v>0</v>
      </c>
      <c r="Z40" s="288">
        <v>0</v>
      </c>
      <c r="AA40" s="288">
        <v>0</v>
      </c>
      <c r="AB40" s="288">
        <v>0</v>
      </c>
      <c r="AC40" s="289">
        <v>7.43</v>
      </c>
      <c r="AD40" s="289">
        <v>0</v>
      </c>
    </row>
    <row r="41" spans="1:30" ht="15" customHeight="1" x14ac:dyDescent="0.25">
      <c r="A41" s="282" t="s">
        <v>229</v>
      </c>
      <c r="B41" s="282" t="s">
        <v>179</v>
      </c>
      <c r="C41" s="282" t="s">
        <v>180</v>
      </c>
      <c r="D41" s="283" t="s">
        <v>252</v>
      </c>
      <c r="E41" s="403">
        <v>44443</v>
      </c>
      <c r="F41" s="403">
        <v>46268</v>
      </c>
      <c r="G41" s="283" t="s">
        <v>231</v>
      </c>
      <c r="H41" s="282" t="s">
        <v>253</v>
      </c>
      <c r="I41" s="285"/>
      <c r="J41" s="282" t="s">
        <v>184</v>
      </c>
      <c r="K41" s="283" t="s">
        <v>254</v>
      </c>
      <c r="L41" s="286" t="s">
        <v>158</v>
      </c>
      <c r="M41" s="287">
        <v>2700</v>
      </c>
      <c r="N41" s="287" t="s">
        <v>159</v>
      </c>
      <c r="O41" s="287" t="s">
        <v>159</v>
      </c>
      <c r="P41" s="287" t="s">
        <v>159</v>
      </c>
      <c r="Q41" s="288">
        <v>9870</v>
      </c>
      <c r="R41" s="288"/>
      <c r="S41" s="288"/>
      <c r="T41" s="288"/>
      <c r="U41" s="288">
        <v>0</v>
      </c>
      <c r="V41" s="289">
        <v>9870</v>
      </c>
      <c r="W41" s="289">
        <v>0</v>
      </c>
      <c r="X41" s="288">
        <v>9.8699999999999992</v>
      </c>
      <c r="Y41" s="288">
        <v>0</v>
      </c>
      <c r="Z41" s="288">
        <v>0</v>
      </c>
      <c r="AA41" s="288">
        <v>0</v>
      </c>
      <c r="AB41" s="288">
        <v>0</v>
      </c>
      <c r="AC41" s="289">
        <v>9.8699999999999992</v>
      </c>
      <c r="AD41" s="289">
        <v>0</v>
      </c>
    </row>
    <row r="42" spans="1:30" ht="15" customHeight="1" x14ac:dyDescent="0.25">
      <c r="A42" s="282" t="s">
        <v>229</v>
      </c>
      <c r="B42" s="282" t="s">
        <v>179</v>
      </c>
      <c r="C42" s="282" t="s">
        <v>180</v>
      </c>
      <c r="D42" s="283" t="s">
        <v>255</v>
      </c>
      <c r="E42" s="403">
        <v>44362</v>
      </c>
      <c r="F42" s="403">
        <v>46187</v>
      </c>
      <c r="G42" s="283" t="s">
        <v>256</v>
      </c>
      <c r="H42" s="282" t="s">
        <v>257</v>
      </c>
      <c r="I42" s="285"/>
      <c r="J42" s="282" t="s">
        <v>184</v>
      </c>
      <c r="K42" s="283" t="s">
        <v>258</v>
      </c>
      <c r="L42" s="286" t="s">
        <v>158</v>
      </c>
      <c r="M42" s="287">
        <v>2700</v>
      </c>
      <c r="N42" s="287" t="s">
        <v>159</v>
      </c>
      <c r="O42" s="287" t="s">
        <v>159</v>
      </c>
      <c r="P42" s="287" t="s">
        <v>159</v>
      </c>
      <c r="Q42" s="288">
        <v>15600</v>
      </c>
      <c r="R42" s="288"/>
      <c r="S42" s="288"/>
      <c r="T42" s="288"/>
      <c r="U42" s="288">
        <v>0</v>
      </c>
      <c r="V42" s="289">
        <v>15600</v>
      </c>
      <c r="W42" s="289">
        <v>0</v>
      </c>
      <c r="X42" s="288">
        <v>15.6</v>
      </c>
      <c r="Y42" s="288">
        <v>0</v>
      </c>
      <c r="Z42" s="288">
        <v>0</v>
      </c>
      <c r="AA42" s="288">
        <v>0</v>
      </c>
      <c r="AB42" s="288">
        <v>0</v>
      </c>
      <c r="AC42" s="289">
        <v>15.6</v>
      </c>
      <c r="AD42" s="289">
        <v>0</v>
      </c>
    </row>
    <row r="43" spans="1:30" ht="15" customHeight="1" x14ac:dyDescent="0.25">
      <c r="A43" s="282" t="s">
        <v>259</v>
      </c>
      <c r="B43" s="282" t="s">
        <v>259</v>
      </c>
      <c r="C43" s="282" t="s">
        <v>260</v>
      </c>
      <c r="D43" s="283" t="s">
        <v>261</v>
      </c>
      <c r="E43" s="403" t="s">
        <v>262</v>
      </c>
      <c r="F43" s="403" t="s">
        <v>263</v>
      </c>
      <c r="G43" s="284" t="s">
        <v>264</v>
      </c>
      <c r="H43" s="284" t="s">
        <v>265</v>
      </c>
      <c r="I43" s="283">
        <v>1</v>
      </c>
      <c r="J43" s="284" t="s">
        <v>156</v>
      </c>
      <c r="K43" s="283" t="s">
        <v>266</v>
      </c>
      <c r="L43" s="286" t="s">
        <v>158</v>
      </c>
      <c r="M43" s="287">
        <v>2400</v>
      </c>
      <c r="N43" s="287"/>
      <c r="O43" s="287"/>
      <c r="P43" s="287"/>
      <c r="Q43" s="288">
        <v>9.0299999999999994</v>
      </c>
      <c r="R43" s="288">
        <v>61</v>
      </c>
      <c r="S43" s="288">
        <v>-52</v>
      </c>
      <c r="T43" s="288">
        <v>3.48E-3</v>
      </c>
      <c r="U43" s="288">
        <v>0</v>
      </c>
      <c r="V43" s="289">
        <v>61.003479999999996</v>
      </c>
      <c r="W43" s="289">
        <v>0</v>
      </c>
      <c r="X43" s="288">
        <v>9.0299999999999998E-3</v>
      </c>
      <c r="Y43" s="288">
        <v>6.0999999999999999E-2</v>
      </c>
      <c r="Z43" s="288">
        <v>-5.1999999999999998E-2</v>
      </c>
      <c r="AA43" s="288">
        <v>3.4800000000000001E-6</v>
      </c>
      <c r="AB43" s="288">
        <v>0</v>
      </c>
      <c r="AC43" s="289">
        <v>6.1003479999999999E-2</v>
      </c>
      <c r="AD43" s="289">
        <v>0</v>
      </c>
    </row>
    <row r="44" spans="1:30" ht="15" customHeight="1" x14ac:dyDescent="0.25">
      <c r="A44" s="282" t="s">
        <v>259</v>
      </c>
      <c r="B44" s="282" t="s">
        <v>259</v>
      </c>
      <c r="C44" s="282" t="s">
        <v>259</v>
      </c>
      <c r="D44" s="283" t="s">
        <v>267</v>
      </c>
      <c r="E44" s="403">
        <v>44626</v>
      </c>
      <c r="F44" s="403">
        <v>46452</v>
      </c>
      <c r="G44" s="284" t="s">
        <v>264</v>
      </c>
      <c r="H44" s="284" t="s">
        <v>268</v>
      </c>
      <c r="I44" s="283">
        <v>0</v>
      </c>
      <c r="J44" s="284" t="s">
        <v>156</v>
      </c>
      <c r="K44" s="283" t="s">
        <v>269</v>
      </c>
      <c r="L44" s="286" t="s">
        <v>158</v>
      </c>
      <c r="M44" s="287">
        <v>2400</v>
      </c>
      <c r="N44" s="287"/>
      <c r="O44" s="287"/>
      <c r="P44" s="287"/>
      <c r="Q44" s="288">
        <v>73.900000000000006</v>
      </c>
      <c r="R44" s="288">
        <v>75</v>
      </c>
      <c r="S44" s="288">
        <v>-1.1599999999999999</v>
      </c>
      <c r="T44" s="288">
        <v>-2.5600000000000002E-3</v>
      </c>
      <c r="U44" s="288">
        <v>0</v>
      </c>
      <c r="V44" s="289">
        <v>74.997439999999997</v>
      </c>
      <c r="W44" s="289">
        <v>0</v>
      </c>
      <c r="X44" s="288">
        <v>7.3900000000000007E-2</v>
      </c>
      <c r="Y44" s="288">
        <v>7.4999999999999997E-2</v>
      </c>
      <c r="Z44" s="288">
        <v>-1.16E-3</v>
      </c>
      <c r="AA44" s="288">
        <v>-2.5600000000000001E-6</v>
      </c>
      <c r="AB44" s="288">
        <v>0</v>
      </c>
      <c r="AC44" s="289">
        <v>7.4997439999999999E-2</v>
      </c>
      <c r="AD44" s="289">
        <v>0</v>
      </c>
    </row>
    <row r="45" spans="1:30" ht="15" customHeight="1" x14ac:dyDescent="0.25">
      <c r="A45" s="282" t="s">
        <v>259</v>
      </c>
      <c r="B45" s="282" t="s">
        <v>259</v>
      </c>
      <c r="C45" s="282" t="s">
        <v>259</v>
      </c>
      <c r="D45" s="283" t="s">
        <v>270</v>
      </c>
      <c r="E45" s="403">
        <v>44626</v>
      </c>
      <c r="F45" s="403">
        <v>46452</v>
      </c>
      <c r="G45" s="284" t="s">
        <v>264</v>
      </c>
      <c r="H45" s="284" t="s">
        <v>268</v>
      </c>
      <c r="I45" s="283">
        <v>0</v>
      </c>
      <c r="J45" s="284" t="s">
        <v>156</v>
      </c>
      <c r="K45" s="283" t="s">
        <v>269</v>
      </c>
      <c r="L45" s="286" t="s">
        <v>158</v>
      </c>
      <c r="M45" s="287">
        <v>2400</v>
      </c>
      <c r="N45" s="287"/>
      <c r="O45" s="287"/>
      <c r="P45" s="287"/>
      <c r="Q45" s="288">
        <v>67.8</v>
      </c>
      <c r="R45" s="288">
        <v>68.099999999999994</v>
      </c>
      <c r="S45" s="288">
        <v>-0.24099999999999999</v>
      </c>
      <c r="T45" s="288">
        <v>-2.32E-4</v>
      </c>
      <c r="U45" s="288">
        <v>0</v>
      </c>
      <c r="V45" s="289">
        <v>68.099767999999997</v>
      </c>
      <c r="W45" s="289">
        <v>0</v>
      </c>
      <c r="X45" s="288">
        <v>6.7799999999999999E-2</v>
      </c>
      <c r="Y45" s="288">
        <v>6.8099999999999994E-2</v>
      </c>
      <c r="Z45" s="288">
        <v>-2.41E-4</v>
      </c>
      <c r="AA45" s="288">
        <v>-2.3200000000000001E-7</v>
      </c>
      <c r="AB45" s="288">
        <v>0</v>
      </c>
      <c r="AC45" s="289">
        <v>6.8099767999999991E-2</v>
      </c>
      <c r="AD45" s="289">
        <v>0</v>
      </c>
    </row>
    <row r="46" spans="1:30" ht="15" customHeight="1" x14ac:dyDescent="0.25">
      <c r="A46" s="282" t="s">
        <v>259</v>
      </c>
      <c r="B46" s="282" t="s">
        <v>259</v>
      </c>
      <c r="C46" s="282" t="s">
        <v>259</v>
      </c>
      <c r="D46" s="283" t="s">
        <v>271</v>
      </c>
      <c r="E46" s="403">
        <v>44626</v>
      </c>
      <c r="F46" s="403">
        <v>46452</v>
      </c>
      <c r="G46" s="284" t="s">
        <v>264</v>
      </c>
      <c r="H46" s="284" t="s">
        <v>268</v>
      </c>
      <c r="I46" s="283">
        <v>0</v>
      </c>
      <c r="J46" s="284" t="s">
        <v>156</v>
      </c>
      <c r="K46" s="283" t="s">
        <v>269</v>
      </c>
      <c r="L46" s="286" t="s">
        <v>158</v>
      </c>
      <c r="M46" s="287">
        <v>2400</v>
      </c>
      <c r="N46" s="287"/>
      <c r="O46" s="287"/>
      <c r="P46" s="287"/>
      <c r="Q46" s="288">
        <v>83.3</v>
      </c>
      <c r="R46" s="288">
        <v>83.5</v>
      </c>
      <c r="S46" s="288">
        <v>-0.23400000000000001</v>
      </c>
      <c r="T46" s="288">
        <v>-1.55E-4</v>
      </c>
      <c r="U46" s="288">
        <v>0</v>
      </c>
      <c r="V46" s="289">
        <v>83.499844999999993</v>
      </c>
      <c r="W46" s="289">
        <v>0</v>
      </c>
      <c r="X46" s="288">
        <v>8.3299999999999999E-2</v>
      </c>
      <c r="Y46" s="288">
        <v>8.3500000000000005E-2</v>
      </c>
      <c r="Z46" s="288">
        <v>-2.3400000000000002E-4</v>
      </c>
      <c r="AA46" s="288">
        <v>-1.55E-7</v>
      </c>
      <c r="AB46" s="288">
        <v>0</v>
      </c>
      <c r="AC46" s="289">
        <v>8.3499845000000003E-2</v>
      </c>
      <c r="AD46" s="289">
        <v>0</v>
      </c>
    </row>
    <row r="47" spans="1:30" ht="15" customHeight="1" x14ac:dyDescent="0.25">
      <c r="A47" s="282" t="s">
        <v>259</v>
      </c>
      <c r="B47" s="282" t="s">
        <v>259</v>
      </c>
      <c r="C47" s="282" t="s">
        <v>259</v>
      </c>
      <c r="D47" s="283" t="s">
        <v>272</v>
      </c>
      <c r="E47" s="403" t="s">
        <v>273</v>
      </c>
      <c r="F47" s="403" t="s">
        <v>274</v>
      </c>
      <c r="G47" s="284" t="s">
        <v>264</v>
      </c>
      <c r="H47" s="284" t="s">
        <v>275</v>
      </c>
      <c r="I47" s="283">
        <v>1</v>
      </c>
      <c r="J47" s="284" t="s">
        <v>156</v>
      </c>
      <c r="K47" s="283" t="s">
        <v>276</v>
      </c>
      <c r="L47" s="286" t="s">
        <v>158</v>
      </c>
      <c r="M47" s="287">
        <v>2400</v>
      </c>
      <c r="N47" s="287"/>
      <c r="O47" s="287"/>
      <c r="P47" s="287"/>
      <c r="Q47" s="288">
        <v>110</v>
      </c>
      <c r="R47" s="288">
        <v>110</v>
      </c>
      <c r="S47" s="288">
        <v>0.26200000000000001</v>
      </c>
      <c r="T47" s="288">
        <v>1.37E-4</v>
      </c>
      <c r="U47" s="288">
        <v>0</v>
      </c>
      <c r="V47" s="289">
        <v>110.262137</v>
      </c>
      <c r="W47" s="289">
        <v>0</v>
      </c>
      <c r="X47" s="288">
        <v>0.11</v>
      </c>
      <c r="Y47" s="288">
        <v>0.11</v>
      </c>
      <c r="Z47" s="288">
        <v>2.6200000000000003E-4</v>
      </c>
      <c r="AA47" s="288">
        <v>1.37E-7</v>
      </c>
      <c r="AB47" s="288">
        <v>0</v>
      </c>
      <c r="AC47" s="289">
        <v>0.110262137</v>
      </c>
      <c r="AD47" s="289">
        <v>0</v>
      </c>
    </row>
    <row r="48" spans="1:30" ht="15" customHeight="1" x14ac:dyDescent="0.25">
      <c r="A48" s="282" t="s">
        <v>259</v>
      </c>
      <c r="B48" s="282" t="s">
        <v>259</v>
      </c>
      <c r="C48" s="282" t="s">
        <v>259</v>
      </c>
      <c r="D48" s="283" t="s">
        <v>277</v>
      </c>
      <c r="E48" s="403" t="s">
        <v>273</v>
      </c>
      <c r="F48" s="403" t="s">
        <v>274</v>
      </c>
      <c r="G48" s="284" t="s">
        <v>264</v>
      </c>
      <c r="H48" s="284" t="s">
        <v>275</v>
      </c>
      <c r="I48" s="283">
        <v>1</v>
      </c>
      <c r="J48" s="284" t="s">
        <v>156</v>
      </c>
      <c r="K48" s="283" t="s">
        <v>276</v>
      </c>
      <c r="L48" s="286" t="s">
        <v>158</v>
      </c>
      <c r="M48" s="287">
        <v>2400</v>
      </c>
      <c r="N48" s="287"/>
      <c r="O48" s="287"/>
      <c r="P48" s="287"/>
      <c r="Q48" s="288">
        <v>114</v>
      </c>
      <c r="R48" s="288">
        <v>114</v>
      </c>
      <c r="S48" s="288">
        <v>0.26700000000000002</v>
      </c>
      <c r="T48" s="288">
        <v>1.4999999999999999E-4</v>
      </c>
      <c r="U48" s="288">
        <v>0</v>
      </c>
      <c r="V48" s="289">
        <v>114.26715</v>
      </c>
      <c r="W48" s="289">
        <v>0</v>
      </c>
      <c r="X48" s="288">
        <v>0.114</v>
      </c>
      <c r="Y48" s="288">
        <v>0.114</v>
      </c>
      <c r="Z48" s="288">
        <v>2.6700000000000004E-4</v>
      </c>
      <c r="AA48" s="288">
        <v>1.4999999999999999E-7</v>
      </c>
      <c r="AB48" s="288">
        <v>0</v>
      </c>
      <c r="AC48" s="289">
        <v>0.11426715000000001</v>
      </c>
      <c r="AD48" s="289">
        <v>0</v>
      </c>
    </row>
    <row r="49" spans="1:30" ht="15" customHeight="1" x14ac:dyDescent="0.25">
      <c r="A49" s="282" t="s">
        <v>259</v>
      </c>
      <c r="B49" s="282" t="s">
        <v>259</v>
      </c>
      <c r="C49" s="282" t="s">
        <v>259</v>
      </c>
      <c r="D49" s="283" t="s">
        <v>278</v>
      </c>
      <c r="E49" s="403" t="s">
        <v>273</v>
      </c>
      <c r="F49" s="403" t="s">
        <v>274</v>
      </c>
      <c r="G49" s="284" t="s">
        <v>264</v>
      </c>
      <c r="H49" s="284" t="s">
        <v>275</v>
      </c>
      <c r="I49" s="283">
        <v>1</v>
      </c>
      <c r="J49" s="284" t="s">
        <v>156</v>
      </c>
      <c r="K49" s="283" t="s">
        <v>276</v>
      </c>
      <c r="L49" s="286" t="s">
        <v>158</v>
      </c>
      <c r="M49" s="287">
        <v>2400</v>
      </c>
      <c r="N49" s="287"/>
      <c r="O49" s="287"/>
      <c r="P49" s="287"/>
      <c r="Q49" s="288">
        <v>116</v>
      </c>
      <c r="R49" s="288">
        <v>116</v>
      </c>
      <c r="S49" s="288">
        <v>0.27</v>
      </c>
      <c r="T49" s="288">
        <v>1.54E-4</v>
      </c>
      <c r="U49" s="288">
        <v>0</v>
      </c>
      <c r="V49" s="289">
        <v>116.27015399999999</v>
      </c>
      <c r="W49" s="289">
        <v>0</v>
      </c>
      <c r="X49" s="288">
        <v>0.11600000000000001</v>
      </c>
      <c r="Y49" s="288">
        <v>0.11600000000000001</v>
      </c>
      <c r="Z49" s="288">
        <v>2.7E-4</v>
      </c>
      <c r="AA49" s="288">
        <v>1.54E-7</v>
      </c>
      <c r="AB49" s="288">
        <v>0</v>
      </c>
      <c r="AC49" s="289">
        <v>0.11627015400000001</v>
      </c>
      <c r="AD49" s="289">
        <v>0</v>
      </c>
    </row>
    <row r="50" spans="1:30" ht="15" customHeight="1" x14ac:dyDescent="0.25">
      <c r="A50" s="282" t="s">
        <v>259</v>
      </c>
      <c r="B50" s="282" t="s">
        <v>259</v>
      </c>
      <c r="C50" s="282" t="s">
        <v>259</v>
      </c>
      <c r="D50" s="283" t="s">
        <v>279</v>
      </c>
      <c r="E50" s="403">
        <v>44626</v>
      </c>
      <c r="F50" s="403">
        <v>46452</v>
      </c>
      <c r="G50" s="284" t="s">
        <v>264</v>
      </c>
      <c r="H50" s="284" t="s">
        <v>268</v>
      </c>
      <c r="I50" s="283">
        <v>0</v>
      </c>
      <c r="J50" s="284" t="s">
        <v>156</v>
      </c>
      <c r="K50" s="283" t="s">
        <v>269</v>
      </c>
      <c r="L50" s="286" t="s">
        <v>158</v>
      </c>
      <c r="M50" s="287">
        <v>2400</v>
      </c>
      <c r="N50" s="287"/>
      <c r="O50" s="287"/>
      <c r="P50" s="287"/>
      <c r="Q50" s="288">
        <v>90.5</v>
      </c>
      <c r="R50" s="288">
        <v>90.7</v>
      </c>
      <c r="S50" s="288">
        <v>-0.223</v>
      </c>
      <c r="T50" s="288">
        <v>-5.9200000000000002E-5</v>
      </c>
      <c r="U50" s="288">
        <v>0</v>
      </c>
      <c r="V50" s="289">
        <v>90.699940800000007</v>
      </c>
      <c r="W50" s="289">
        <v>0</v>
      </c>
      <c r="X50" s="288">
        <v>9.0499999999999997E-2</v>
      </c>
      <c r="Y50" s="288">
        <v>9.0700000000000003E-2</v>
      </c>
      <c r="Z50" s="288">
        <v>-2.23E-4</v>
      </c>
      <c r="AA50" s="288">
        <v>-5.9200000000000001E-8</v>
      </c>
      <c r="AB50" s="288">
        <v>0</v>
      </c>
      <c r="AC50" s="289">
        <v>9.0699940800000003E-2</v>
      </c>
      <c r="AD50" s="289">
        <v>0</v>
      </c>
    </row>
    <row r="51" spans="1:30" ht="15" customHeight="1" x14ac:dyDescent="0.25">
      <c r="A51" s="282" t="s">
        <v>259</v>
      </c>
      <c r="B51" s="282" t="s">
        <v>259</v>
      </c>
      <c r="C51" s="282" t="s">
        <v>259</v>
      </c>
      <c r="D51" s="283" t="s">
        <v>280</v>
      </c>
      <c r="E51" s="403" t="s">
        <v>273</v>
      </c>
      <c r="F51" s="403" t="s">
        <v>274</v>
      </c>
      <c r="G51" s="284" t="s">
        <v>281</v>
      </c>
      <c r="H51" s="284" t="s">
        <v>275</v>
      </c>
      <c r="I51" s="283">
        <v>1</v>
      </c>
      <c r="J51" s="284" t="s">
        <v>156</v>
      </c>
      <c r="K51" s="283" t="s">
        <v>276</v>
      </c>
      <c r="L51" s="286" t="s">
        <v>158</v>
      </c>
      <c r="M51" s="287">
        <v>2400</v>
      </c>
      <c r="N51" s="287"/>
      <c r="O51" s="287"/>
      <c r="P51" s="287"/>
      <c r="Q51" s="288">
        <v>63.6</v>
      </c>
      <c r="R51" s="288">
        <v>63.5</v>
      </c>
      <c r="S51" s="288">
        <v>0.19600000000000001</v>
      </c>
      <c r="T51" s="288">
        <v>1.06E-4</v>
      </c>
      <c r="U51" s="288">
        <v>0</v>
      </c>
      <c r="V51" s="289">
        <v>63.696106</v>
      </c>
      <c r="W51" s="289">
        <v>0</v>
      </c>
      <c r="X51" s="288">
        <v>6.3600000000000004E-2</v>
      </c>
      <c r="Y51" s="288">
        <v>6.3500000000000001E-2</v>
      </c>
      <c r="Z51" s="288">
        <v>1.9600000000000002E-4</v>
      </c>
      <c r="AA51" s="288">
        <v>1.06E-7</v>
      </c>
      <c r="AB51" s="288">
        <v>0</v>
      </c>
      <c r="AC51" s="289">
        <v>6.3696106000000002E-2</v>
      </c>
      <c r="AD51" s="289">
        <v>0</v>
      </c>
    </row>
    <row r="52" spans="1:30" ht="15" customHeight="1" x14ac:dyDescent="0.25">
      <c r="A52" s="282" t="s">
        <v>259</v>
      </c>
      <c r="B52" s="282" t="s">
        <v>259</v>
      </c>
      <c r="C52" s="282" t="s">
        <v>259</v>
      </c>
      <c r="D52" s="283" t="s">
        <v>282</v>
      </c>
      <c r="E52" s="403" t="s">
        <v>273</v>
      </c>
      <c r="F52" s="403" t="s">
        <v>274</v>
      </c>
      <c r="G52" s="284" t="s">
        <v>283</v>
      </c>
      <c r="H52" s="284" t="s">
        <v>275</v>
      </c>
      <c r="I52" s="283">
        <v>1</v>
      </c>
      <c r="J52" s="284" t="s">
        <v>156</v>
      </c>
      <c r="K52" s="283" t="s">
        <v>276</v>
      </c>
      <c r="L52" s="286" t="s">
        <v>158</v>
      </c>
      <c r="M52" s="287">
        <v>2400</v>
      </c>
      <c r="N52" s="287"/>
      <c r="O52" s="287"/>
      <c r="P52" s="287"/>
      <c r="Q52" s="288">
        <v>100</v>
      </c>
      <c r="R52" s="288">
        <v>100</v>
      </c>
      <c r="S52" s="288">
        <v>0.12</v>
      </c>
      <c r="T52" s="288">
        <v>1.7000000000000001E-4</v>
      </c>
      <c r="U52" s="288">
        <v>0</v>
      </c>
      <c r="V52" s="289">
        <v>100.12017</v>
      </c>
      <c r="W52" s="289">
        <v>0</v>
      </c>
      <c r="X52" s="288">
        <v>0.1</v>
      </c>
      <c r="Y52" s="288">
        <v>0.1</v>
      </c>
      <c r="Z52" s="288">
        <v>1.1999999999999999E-4</v>
      </c>
      <c r="AA52" s="288">
        <v>1.7000000000000001E-7</v>
      </c>
      <c r="AB52" s="288">
        <v>0</v>
      </c>
      <c r="AC52" s="289">
        <v>0.10012016999999999</v>
      </c>
      <c r="AD52" s="289">
        <v>0</v>
      </c>
    </row>
    <row r="53" spans="1:30" ht="15" customHeight="1" x14ac:dyDescent="0.25">
      <c r="A53" s="282" t="s">
        <v>259</v>
      </c>
      <c r="B53" s="282" t="s">
        <v>259</v>
      </c>
      <c r="C53" s="282" t="s">
        <v>259</v>
      </c>
      <c r="D53" s="283" t="s">
        <v>284</v>
      </c>
      <c r="E53" s="403" t="s">
        <v>273</v>
      </c>
      <c r="F53" s="403" t="s">
        <v>274</v>
      </c>
      <c r="G53" s="284" t="s">
        <v>283</v>
      </c>
      <c r="H53" s="284" t="s">
        <v>275</v>
      </c>
      <c r="I53" s="283">
        <v>1</v>
      </c>
      <c r="J53" s="284" t="s">
        <v>156</v>
      </c>
      <c r="K53" s="283" t="s">
        <v>276</v>
      </c>
      <c r="L53" s="286" t="s">
        <v>158</v>
      </c>
      <c r="M53" s="287">
        <v>2400</v>
      </c>
      <c r="N53" s="287"/>
      <c r="O53" s="287"/>
      <c r="P53" s="287"/>
      <c r="Q53" s="288">
        <v>102</v>
      </c>
      <c r="R53" s="288">
        <v>102</v>
      </c>
      <c r="S53" s="288">
        <v>0.122</v>
      </c>
      <c r="T53" s="288">
        <v>1.76E-4</v>
      </c>
      <c r="U53" s="288">
        <v>0</v>
      </c>
      <c r="V53" s="289">
        <v>102.122176</v>
      </c>
      <c r="W53" s="289">
        <v>0</v>
      </c>
      <c r="X53" s="288">
        <v>0.10199999999999999</v>
      </c>
      <c r="Y53" s="288">
        <v>0.10199999999999999</v>
      </c>
      <c r="Z53" s="288">
        <v>1.22E-4</v>
      </c>
      <c r="AA53" s="288">
        <v>1.7599999999999999E-7</v>
      </c>
      <c r="AB53" s="288">
        <v>0</v>
      </c>
      <c r="AC53" s="289">
        <v>0.102122176</v>
      </c>
      <c r="AD53" s="289">
        <v>0</v>
      </c>
    </row>
    <row r="54" spans="1:30" ht="15" customHeight="1" x14ac:dyDescent="0.25">
      <c r="A54" s="282" t="s">
        <v>259</v>
      </c>
      <c r="B54" s="282" t="s">
        <v>259</v>
      </c>
      <c r="C54" s="282" t="s">
        <v>259</v>
      </c>
      <c r="D54" s="283" t="s">
        <v>285</v>
      </c>
      <c r="E54" s="403" t="s">
        <v>262</v>
      </c>
      <c r="F54" s="403" t="s">
        <v>263</v>
      </c>
      <c r="G54" s="284" t="s">
        <v>286</v>
      </c>
      <c r="H54" s="284" t="s">
        <v>287</v>
      </c>
      <c r="I54" s="283">
        <v>1</v>
      </c>
      <c r="J54" s="284" t="s">
        <v>156</v>
      </c>
      <c r="K54" s="283" t="s">
        <v>288</v>
      </c>
      <c r="L54" s="286" t="s">
        <v>158</v>
      </c>
      <c r="M54" s="287">
        <v>2400</v>
      </c>
      <c r="N54" s="287"/>
      <c r="O54" s="287"/>
      <c r="P54" s="287"/>
      <c r="Q54" s="288">
        <v>73.400000000000006</v>
      </c>
      <c r="R54" s="288">
        <v>73.400000000000006</v>
      </c>
      <c r="S54" s="288">
        <v>8.2699999999999996E-2</v>
      </c>
      <c r="T54" s="288">
        <v>2.0799999999999999E-4</v>
      </c>
      <c r="U54" s="288">
        <v>0</v>
      </c>
      <c r="V54" s="289">
        <v>73.482908000000009</v>
      </c>
      <c r="W54" s="289">
        <v>0</v>
      </c>
      <c r="X54" s="288">
        <v>7.3400000000000007E-2</v>
      </c>
      <c r="Y54" s="288">
        <v>7.3400000000000007E-2</v>
      </c>
      <c r="Z54" s="288">
        <v>8.2699999999999991E-5</v>
      </c>
      <c r="AA54" s="288">
        <v>2.0799999999999998E-7</v>
      </c>
      <c r="AB54" s="288">
        <v>0</v>
      </c>
      <c r="AC54" s="289">
        <v>7.3482908000000013E-2</v>
      </c>
      <c r="AD54" s="289">
        <v>0</v>
      </c>
    </row>
    <row r="55" spans="1:30" ht="15" customHeight="1" x14ac:dyDescent="0.25">
      <c r="A55" s="282" t="s">
        <v>259</v>
      </c>
      <c r="B55" s="282" t="s">
        <v>259</v>
      </c>
      <c r="C55" s="282" t="s">
        <v>259</v>
      </c>
      <c r="D55" s="283" t="s">
        <v>289</v>
      </c>
      <c r="E55" s="403" t="s">
        <v>262</v>
      </c>
      <c r="F55" s="403" t="s">
        <v>263</v>
      </c>
      <c r="G55" s="284" t="s">
        <v>286</v>
      </c>
      <c r="H55" s="284" t="s">
        <v>287</v>
      </c>
      <c r="I55" s="283">
        <v>1</v>
      </c>
      <c r="J55" s="284" t="s">
        <v>156</v>
      </c>
      <c r="K55" s="283" t="s">
        <v>288</v>
      </c>
      <c r="L55" s="286" t="s">
        <v>158</v>
      </c>
      <c r="M55" s="287">
        <v>2400</v>
      </c>
      <c r="N55" s="287"/>
      <c r="O55" s="287"/>
      <c r="P55" s="287"/>
      <c r="Q55" s="288">
        <v>58.6</v>
      </c>
      <c r="R55" s="288">
        <v>58.5</v>
      </c>
      <c r="S55" s="288">
        <v>0.16600000000000001</v>
      </c>
      <c r="T55" s="288">
        <v>1.25E-4</v>
      </c>
      <c r="U55" s="288">
        <v>0</v>
      </c>
      <c r="V55" s="289">
        <v>58.666124999999994</v>
      </c>
      <c r="W55" s="289">
        <v>0</v>
      </c>
      <c r="X55" s="288">
        <v>5.8599999999999999E-2</v>
      </c>
      <c r="Y55" s="288">
        <v>5.8500000000000003E-2</v>
      </c>
      <c r="Z55" s="288">
        <v>1.66E-4</v>
      </c>
      <c r="AA55" s="288">
        <v>1.2499999999999999E-7</v>
      </c>
      <c r="AB55" s="288">
        <v>0</v>
      </c>
      <c r="AC55" s="289">
        <v>5.8666125E-2</v>
      </c>
      <c r="AD55" s="289">
        <v>0</v>
      </c>
    </row>
    <row r="56" spans="1:30" ht="15" customHeight="1" x14ac:dyDescent="0.25">
      <c r="A56" s="282" t="s">
        <v>259</v>
      </c>
      <c r="B56" s="282" t="s">
        <v>259</v>
      </c>
      <c r="C56" s="282" t="s">
        <v>259</v>
      </c>
      <c r="D56" s="283" t="s">
        <v>290</v>
      </c>
      <c r="E56" s="403" t="s">
        <v>273</v>
      </c>
      <c r="F56" s="403" t="s">
        <v>274</v>
      </c>
      <c r="G56" s="284" t="s">
        <v>283</v>
      </c>
      <c r="H56" s="284" t="s">
        <v>275</v>
      </c>
      <c r="I56" s="283">
        <v>1</v>
      </c>
      <c r="J56" s="284" t="s">
        <v>156</v>
      </c>
      <c r="K56" s="283" t="s">
        <v>276</v>
      </c>
      <c r="L56" s="286" t="s">
        <v>158</v>
      </c>
      <c r="M56" s="287">
        <v>2400</v>
      </c>
      <c r="N56" s="287"/>
      <c r="O56" s="287"/>
      <c r="P56" s="287"/>
      <c r="Q56" s="288">
        <v>84.8</v>
      </c>
      <c r="R56" s="288">
        <v>84.8</v>
      </c>
      <c r="S56" s="288">
        <v>9.5399999999999999E-2</v>
      </c>
      <c r="T56" s="288">
        <v>1.3999999999999999E-4</v>
      </c>
      <c r="U56" s="288">
        <v>0</v>
      </c>
      <c r="V56" s="289">
        <v>84.895539999999997</v>
      </c>
      <c r="W56" s="289">
        <v>0</v>
      </c>
      <c r="X56" s="288">
        <v>8.48E-2</v>
      </c>
      <c r="Y56" s="288">
        <v>8.48E-2</v>
      </c>
      <c r="Z56" s="288">
        <v>9.5400000000000001E-5</v>
      </c>
      <c r="AA56" s="288">
        <v>1.3999999999999998E-7</v>
      </c>
      <c r="AB56" s="288">
        <v>0</v>
      </c>
      <c r="AC56" s="289">
        <v>8.4895539999999992E-2</v>
      </c>
      <c r="AD56" s="289">
        <v>0</v>
      </c>
    </row>
    <row r="57" spans="1:30" ht="15" customHeight="1" x14ac:dyDescent="0.25">
      <c r="A57" s="282" t="s">
        <v>259</v>
      </c>
      <c r="B57" s="282" t="s">
        <v>259</v>
      </c>
      <c r="C57" s="282" t="s">
        <v>259</v>
      </c>
      <c r="D57" s="283" t="s">
        <v>291</v>
      </c>
      <c r="E57" s="403" t="s">
        <v>273</v>
      </c>
      <c r="F57" s="403" t="s">
        <v>274</v>
      </c>
      <c r="G57" s="284" t="s">
        <v>286</v>
      </c>
      <c r="H57" s="284" t="s">
        <v>275</v>
      </c>
      <c r="I57" s="283">
        <v>1</v>
      </c>
      <c r="J57" s="284" t="s">
        <v>156</v>
      </c>
      <c r="K57" s="283" t="s">
        <v>276</v>
      </c>
      <c r="L57" s="286" t="s">
        <v>158</v>
      </c>
      <c r="M57" s="287">
        <v>2400</v>
      </c>
      <c r="N57" s="287"/>
      <c r="O57" s="287"/>
      <c r="P57" s="287"/>
      <c r="Q57" s="288">
        <v>71.8</v>
      </c>
      <c r="R57" s="288">
        <v>71.8</v>
      </c>
      <c r="S57" s="288">
        <v>8.0399999999999999E-2</v>
      </c>
      <c r="T57" s="288">
        <v>8.5799999999999998E-5</v>
      </c>
      <c r="U57" s="288">
        <v>0</v>
      </c>
      <c r="V57" s="289">
        <v>71.880485799999988</v>
      </c>
      <c r="W57" s="289">
        <v>0</v>
      </c>
      <c r="X57" s="288">
        <v>7.1800000000000003E-2</v>
      </c>
      <c r="Y57" s="288">
        <v>7.1800000000000003E-2</v>
      </c>
      <c r="Z57" s="288">
        <v>8.0400000000000003E-5</v>
      </c>
      <c r="AA57" s="288">
        <v>8.5800000000000001E-8</v>
      </c>
      <c r="AB57" s="288">
        <v>0</v>
      </c>
      <c r="AC57" s="289">
        <v>7.1880485799999991E-2</v>
      </c>
      <c r="AD57" s="289">
        <v>0</v>
      </c>
    </row>
    <row r="58" spans="1:30" ht="15" customHeight="1" x14ac:dyDescent="0.25">
      <c r="A58" s="282" t="s">
        <v>259</v>
      </c>
      <c r="B58" s="282" t="s">
        <v>259</v>
      </c>
      <c r="C58" s="282" t="s">
        <v>259</v>
      </c>
      <c r="D58" s="283" t="s">
        <v>292</v>
      </c>
      <c r="E58" s="403" t="s">
        <v>273</v>
      </c>
      <c r="F58" s="403" t="s">
        <v>274</v>
      </c>
      <c r="G58" s="284" t="s">
        <v>264</v>
      </c>
      <c r="H58" s="284" t="s">
        <v>275</v>
      </c>
      <c r="I58" s="283">
        <v>1</v>
      </c>
      <c r="J58" s="284" t="s">
        <v>156</v>
      </c>
      <c r="K58" s="283" t="s">
        <v>276</v>
      </c>
      <c r="L58" s="286" t="s">
        <v>158</v>
      </c>
      <c r="M58" s="287">
        <v>2400</v>
      </c>
      <c r="N58" s="287"/>
      <c r="O58" s="287"/>
      <c r="P58" s="287"/>
      <c r="Q58" s="288">
        <v>127</v>
      </c>
      <c r="R58" s="288">
        <v>127</v>
      </c>
      <c r="S58" s="288">
        <v>0.14099999999999999</v>
      </c>
      <c r="T58" s="288">
        <v>1.8200000000000001E-4</v>
      </c>
      <c r="U58" s="288">
        <v>0</v>
      </c>
      <c r="V58" s="289">
        <v>127.141182</v>
      </c>
      <c r="W58" s="289">
        <v>0</v>
      </c>
      <c r="X58" s="288">
        <v>0.127</v>
      </c>
      <c r="Y58" s="288">
        <v>0.127</v>
      </c>
      <c r="Z58" s="288">
        <v>1.4099999999999998E-4</v>
      </c>
      <c r="AA58" s="288">
        <v>1.8200000000000002E-7</v>
      </c>
      <c r="AB58" s="288">
        <v>0</v>
      </c>
      <c r="AC58" s="289">
        <v>0.12714118199999999</v>
      </c>
      <c r="AD58" s="289">
        <v>0</v>
      </c>
    </row>
    <row r="59" spans="1:30" ht="15" customHeight="1" x14ac:dyDescent="0.25">
      <c r="A59" s="282" t="s">
        <v>259</v>
      </c>
      <c r="B59" s="282" t="s">
        <v>259</v>
      </c>
      <c r="C59" s="282" t="s">
        <v>259</v>
      </c>
      <c r="D59" s="283" t="s">
        <v>293</v>
      </c>
      <c r="E59" s="403" t="s">
        <v>273</v>
      </c>
      <c r="F59" s="403" t="s">
        <v>274</v>
      </c>
      <c r="G59" s="284" t="s">
        <v>286</v>
      </c>
      <c r="H59" s="284" t="s">
        <v>275</v>
      </c>
      <c r="I59" s="283">
        <v>1</v>
      </c>
      <c r="J59" s="284" t="s">
        <v>156</v>
      </c>
      <c r="K59" s="283" t="s">
        <v>276</v>
      </c>
      <c r="L59" s="286" t="s">
        <v>158</v>
      </c>
      <c r="M59" s="287">
        <v>2400</v>
      </c>
      <c r="N59" s="287"/>
      <c r="O59" s="287"/>
      <c r="P59" s="287"/>
      <c r="Q59" s="288">
        <v>91</v>
      </c>
      <c r="R59" s="288">
        <v>91.1</v>
      </c>
      <c r="S59" s="288">
        <v>-2.5700000000000001E-2</v>
      </c>
      <c r="T59" s="288">
        <v>3.1799999999999998E-4</v>
      </c>
      <c r="U59" s="288">
        <v>0</v>
      </c>
      <c r="V59" s="289">
        <v>91.100317999999987</v>
      </c>
      <c r="W59" s="289">
        <v>0</v>
      </c>
      <c r="X59" s="288">
        <v>9.0999999999999998E-2</v>
      </c>
      <c r="Y59" s="288">
        <v>9.11E-2</v>
      </c>
      <c r="Z59" s="288">
        <v>-2.5700000000000001E-5</v>
      </c>
      <c r="AA59" s="288">
        <v>3.1799999999999996E-7</v>
      </c>
      <c r="AB59" s="288">
        <v>0</v>
      </c>
      <c r="AC59" s="289">
        <v>9.1100318E-2</v>
      </c>
      <c r="AD59" s="289">
        <v>0</v>
      </c>
    </row>
    <row r="60" spans="1:30" ht="15" customHeight="1" x14ac:dyDescent="0.25">
      <c r="A60" s="282" t="s">
        <v>259</v>
      </c>
      <c r="B60" s="282" t="s">
        <v>259</v>
      </c>
      <c r="C60" s="282" t="s">
        <v>259</v>
      </c>
      <c r="D60" s="283" t="s">
        <v>294</v>
      </c>
      <c r="E60" s="403" t="s">
        <v>262</v>
      </c>
      <c r="F60" s="403" t="s">
        <v>263</v>
      </c>
      <c r="G60" s="284" t="s">
        <v>264</v>
      </c>
      <c r="H60" s="284" t="s">
        <v>265</v>
      </c>
      <c r="I60" s="283">
        <v>1</v>
      </c>
      <c r="J60" s="284" t="s">
        <v>156</v>
      </c>
      <c r="K60" s="283" t="s">
        <v>266</v>
      </c>
      <c r="L60" s="286" t="s">
        <v>158</v>
      </c>
      <c r="M60" s="287">
        <v>2400</v>
      </c>
      <c r="N60" s="287"/>
      <c r="O60" s="287"/>
      <c r="P60" s="287"/>
      <c r="Q60" s="288">
        <v>103</v>
      </c>
      <c r="R60" s="288">
        <v>103</v>
      </c>
      <c r="S60" s="288">
        <v>0.112</v>
      </c>
      <c r="T60" s="288">
        <v>2.1900000000000001E-4</v>
      </c>
      <c r="U60" s="288">
        <v>0</v>
      </c>
      <c r="V60" s="289">
        <v>103.112219</v>
      </c>
      <c r="W60" s="289">
        <v>0</v>
      </c>
      <c r="X60" s="288">
        <v>0.10299999999999999</v>
      </c>
      <c r="Y60" s="288">
        <v>0.10299999999999999</v>
      </c>
      <c r="Z60" s="288">
        <v>1.12E-4</v>
      </c>
      <c r="AA60" s="288">
        <v>2.1900000000000002E-7</v>
      </c>
      <c r="AB60" s="288">
        <v>0</v>
      </c>
      <c r="AC60" s="289">
        <v>0.10311221899999999</v>
      </c>
      <c r="AD60" s="289">
        <v>0</v>
      </c>
    </row>
    <row r="61" spans="1:30" ht="15" customHeight="1" x14ac:dyDescent="0.25">
      <c r="A61" s="282" t="s">
        <v>259</v>
      </c>
      <c r="B61" s="282" t="s">
        <v>259</v>
      </c>
      <c r="C61" s="282" t="s">
        <v>259</v>
      </c>
      <c r="D61" s="283" t="s">
        <v>295</v>
      </c>
      <c r="E61" s="403" t="s">
        <v>273</v>
      </c>
      <c r="F61" s="403" t="s">
        <v>274</v>
      </c>
      <c r="G61" s="284" t="s">
        <v>286</v>
      </c>
      <c r="H61" s="284" t="s">
        <v>275</v>
      </c>
      <c r="I61" s="283">
        <v>1</v>
      </c>
      <c r="J61" s="284" t="s">
        <v>156</v>
      </c>
      <c r="K61" s="283" t="s">
        <v>276</v>
      </c>
      <c r="L61" s="286" t="s">
        <v>158</v>
      </c>
      <c r="M61" s="287">
        <v>2400</v>
      </c>
      <c r="N61" s="287"/>
      <c r="O61" s="287"/>
      <c r="P61" s="287"/>
      <c r="Q61" s="288">
        <v>78.099999999999994</v>
      </c>
      <c r="R61" s="288">
        <v>78.099999999999994</v>
      </c>
      <c r="S61" s="288">
        <v>8.3000000000000004E-2</v>
      </c>
      <c r="T61" s="288">
        <v>1.0900000000000001E-4</v>
      </c>
      <c r="U61" s="288">
        <v>0</v>
      </c>
      <c r="V61" s="289">
        <v>78.183108999999988</v>
      </c>
      <c r="W61" s="289">
        <v>0</v>
      </c>
      <c r="X61" s="288">
        <v>7.8099999999999989E-2</v>
      </c>
      <c r="Y61" s="288">
        <v>7.8099999999999989E-2</v>
      </c>
      <c r="Z61" s="288">
        <v>8.2999999999999998E-5</v>
      </c>
      <c r="AA61" s="288">
        <v>1.0900000000000001E-7</v>
      </c>
      <c r="AB61" s="288">
        <v>0</v>
      </c>
      <c r="AC61" s="289">
        <v>7.8183108999999987E-2</v>
      </c>
      <c r="AD61" s="289">
        <v>0</v>
      </c>
    </row>
    <row r="62" spans="1:30" ht="15" customHeight="1" x14ac:dyDescent="0.25">
      <c r="A62" s="282" t="s">
        <v>259</v>
      </c>
      <c r="B62" s="282" t="s">
        <v>259</v>
      </c>
      <c r="C62" s="282" t="s">
        <v>259</v>
      </c>
      <c r="D62" s="283" t="s">
        <v>296</v>
      </c>
      <c r="E62" s="403" t="s">
        <v>262</v>
      </c>
      <c r="F62" s="403" t="s">
        <v>263</v>
      </c>
      <c r="G62" s="284" t="s">
        <v>264</v>
      </c>
      <c r="H62" s="284" t="s">
        <v>265</v>
      </c>
      <c r="I62" s="283">
        <v>1</v>
      </c>
      <c r="J62" s="284" t="s">
        <v>156</v>
      </c>
      <c r="K62" s="283" t="s">
        <v>266</v>
      </c>
      <c r="L62" s="286" t="s">
        <v>158</v>
      </c>
      <c r="M62" s="287">
        <v>2400</v>
      </c>
      <c r="N62" s="287"/>
      <c r="O62" s="287"/>
      <c r="P62" s="287"/>
      <c r="Q62" s="288">
        <v>110</v>
      </c>
      <c r="R62" s="288">
        <v>110</v>
      </c>
      <c r="S62" s="288">
        <v>0.113</v>
      </c>
      <c r="T62" s="288">
        <v>2.1800000000000001E-4</v>
      </c>
      <c r="U62" s="288">
        <v>0</v>
      </c>
      <c r="V62" s="289">
        <v>110.113218</v>
      </c>
      <c r="W62" s="289">
        <v>0</v>
      </c>
      <c r="X62" s="288">
        <v>0.11</v>
      </c>
      <c r="Y62" s="288">
        <v>0.11</v>
      </c>
      <c r="Z62" s="288">
        <v>1.1300000000000001E-4</v>
      </c>
      <c r="AA62" s="288">
        <v>2.1800000000000002E-7</v>
      </c>
      <c r="AB62" s="288">
        <v>0</v>
      </c>
      <c r="AC62" s="289">
        <v>0.110113218</v>
      </c>
      <c r="AD62" s="289">
        <v>0</v>
      </c>
    </row>
    <row r="63" spans="1:30" ht="15" customHeight="1" x14ac:dyDescent="0.25">
      <c r="A63" s="282" t="s">
        <v>259</v>
      </c>
      <c r="B63" s="282" t="s">
        <v>259</v>
      </c>
      <c r="C63" s="282" t="s">
        <v>259</v>
      </c>
      <c r="D63" s="283" t="s">
        <v>297</v>
      </c>
      <c r="E63" s="403" t="s">
        <v>262</v>
      </c>
      <c r="F63" s="403" t="s">
        <v>263</v>
      </c>
      <c r="G63" s="284" t="s">
        <v>264</v>
      </c>
      <c r="H63" s="284" t="s">
        <v>265</v>
      </c>
      <c r="I63" s="283">
        <v>1</v>
      </c>
      <c r="J63" s="284" t="s">
        <v>156</v>
      </c>
      <c r="K63" s="283" t="s">
        <v>266</v>
      </c>
      <c r="L63" s="286" t="s">
        <v>158</v>
      </c>
      <c r="M63" s="287">
        <v>2400</v>
      </c>
      <c r="N63" s="287"/>
      <c r="O63" s="287"/>
      <c r="P63" s="287"/>
      <c r="Q63" s="288">
        <v>98.4</v>
      </c>
      <c r="R63" s="288">
        <v>98.5</v>
      </c>
      <c r="S63" s="288">
        <v>-4.9399999999999999E-2</v>
      </c>
      <c r="T63" s="288">
        <v>3.4099999999999999E-4</v>
      </c>
      <c r="U63" s="288">
        <v>0</v>
      </c>
      <c r="V63" s="289">
        <v>98.500341000000006</v>
      </c>
      <c r="W63" s="289">
        <v>0</v>
      </c>
      <c r="X63" s="288">
        <v>9.8400000000000001E-2</v>
      </c>
      <c r="Y63" s="288">
        <v>9.8500000000000004E-2</v>
      </c>
      <c r="Z63" s="288">
        <v>-4.9400000000000001E-5</v>
      </c>
      <c r="AA63" s="288">
        <v>3.41E-7</v>
      </c>
      <c r="AB63" s="288">
        <v>0</v>
      </c>
      <c r="AC63" s="289">
        <v>9.8500341000000005E-2</v>
      </c>
      <c r="AD63" s="289">
        <v>0</v>
      </c>
    </row>
    <row r="64" spans="1:30" ht="15" customHeight="1" x14ac:dyDescent="0.25">
      <c r="A64" s="282" t="s">
        <v>259</v>
      </c>
      <c r="B64" s="282" t="s">
        <v>259</v>
      </c>
      <c r="C64" s="282" t="s">
        <v>259</v>
      </c>
      <c r="D64" s="283" t="s">
        <v>298</v>
      </c>
      <c r="E64" s="403" t="s">
        <v>273</v>
      </c>
      <c r="F64" s="403" t="s">
        <v>274</v>
      </c>
      <c r="G64" s="284" t="s">
        <v>299</v>
      </c>
      <c r="H64" s="284" t="s">
        <v>275</v>
      </c>
      <c r="I64" s="283">
        <v>1</v>
      </c>
      <c r="J64" s="284" t="s">
        <v>156</v>
      </c>
      <c r="K64" s="283" t="s">
        <v>276</v>
      </c>
      <c r="L64" s="286" t="s">
        <v>158</v>
      </c>
      <c r="M64" s="287">
        <v>2400</v>
      </c>
      <c r="N64" s="287"/>
      <c r="O64" s="287"/>
      <c r="P64" s="287"/>
      <c r="Q64" s="288">
        <v>70.400000000000006</v>
      </c>
      <c r="R64" s="288">
        <v>70.400000000000006</v>
      </c>
      <c r="S64" s="288">
        <v>7.1599999999999997E-2</v>
      </c>
      <c r="T64" s="288">
        <v>1.12E-4</v>
      </c>
      <c r="U64" s="288">
        <v>0</v>
      </c>
      <c r="V64" s="289">
        <v>70.471712000000011</v>
      </c>
      <c r="W64" s="289">
        <v>0</v>
      </c>
      <c r="X64" s="288">
        <v>7.0400000000000004E-2</v>
      </c>
      <c r="Y64" s="288">
        <v>7.0400000000000004E-2</v>
      </c>
      <c r="Z64" s="288">
        <v>7.1599999999999992E-5</v>
      </c>
      <c r="AA64" s="288">
        <v>1.12E-7</v>
      </c>
      <c r="AB64" s="288">
        <v>0</v>
      </c>
      <c r="AC64" s="289">
        <v>7.0471712000000006E-2</v>
      </c>
      <c r="AD64" s="289">
        <v>0</v>
      </c>
    </row>
    <row r="65" spans="1:30" ht="15" customHeight="1" x14ac:dyDescent="0.25">
      <c r="A65" s="282" t="s">
        <v>259</v>
      </c>
      <c r="B65" s="282" t="s">
        <v>259</v>
      </c>
      <c r="C65" s="282" t="s">
        <v>259</v>
      </c>
      <c r="D65" s="283" t="s">
        <v>300</v>
      </c>
      <c r="E65" s="403" t="s">
        <v>273</v>
      </c>
      <c r="F65" s="403" t="s">
        <v>274</v>
      </c>
      <c r="G65" s="284" t="s">
        <v>299</v>
      </c>
      <c r="H65" s="284" t="s">
        <v>275</v>
      </c>
      <c r="I65" s="283">
        <v>1</v>
      </c>
      <c r="J65" s="284" t="s">
        <v>156</v>
      </c>
      <c r="K65" s="283" t="s">
        <v>276</v>
      </c>
      <c r="L65" s="286" t="s">
        <v>158</v>
      </c>
      <c r="M65" s="287">
        <v>2400</v>
      </c>
      <c r="N65" s="287"/>
      <c r="O65" s="287"/>
      <c r="P65" s="287"/>
      <c r="Q65" s="288">
        <v>60.8</v>
      </c>
      <c r="R65" s="288">
        <v>60.8</v>
      </c>
      <c r="S65" s="288">
        <v>6.1199999999999997E-2</v>
      </c>
      <c r="T65" s="288">
        <v>9.2399999999999996E-5</v>
      </c>
      <c r="U65" s="288">
        <v>0</v>
      </c>
      <c r="V65" s="289">
        <v>60.861292399999996</v>
      </c>
      <c r="W65" s="289">
        <v>0</v>
      </c>
      <c r="X65" s="288">
        <v>6.08E-2</v>
      </c>
      <c r="Y65" s="288">
        <v>6.08E-2</v>
      </c>
      <c r="Z65" s="288">
        <v>6.1199999999999997E-5</v>
      </c>
      <c r="AA65" s="288">
        <v>9.2399999999999994E-8</v>
      </c>
      <c r="AB65" s="288">
        <v>0</v>
      </c>
      <c r="AC65" s="289">
        <v>6.0861292399999996E-2</v>
      </c>
      <c r="AD65" s="289">
        <v>0</v>
      </c>
    </row>
    <row r="66" spans="1:30" ht="15" customHeight="1" x14ac:dyDescent="0.25">
      <c r="A66" s="282" t="s">
        <v>259</v>
      </c>
      <c r="B66" s="282" t="s">
        <v>259</v>
      </c>
      <c r="C66" s="282" t="s">
        <v>259</v>
      </c>
      <c r="D66" s="283" t="s">
        <v>301</v>
      </c>
      <c r="E66" s="403" t="s">
        <v>273</v>
      </c>
      <c r="F66" s="403" t="s">
        <v>274</v>
      </c>
      <c r="G66" s="284" t="s">
        <v>264</v>
      </c>
      <c r="H66" s="284" t="s">
        <v>275</v>
      </c>
      <c r="I66" s="283">
        <v>1</v>
      </c>
      <c r="J66" s="284" t="s">
        <v>156</v>
      </c>
      <c r="K66" s="283" t="s">
        <v>276</v>
      </c>
      <c r="L66" s="286" t="s">
        <v>158</v>
      </c>
      <c r="M66" s="287">
        <v>2400</v>
      </c>
      <c r="N66" s="287"/>
      <c r="O66" s="287"/>
      <c r="P66" s="287"/>
      <c r="Q66" s="288">
        <v>66.2</v>
      </c>
      <c r="R66" s="288">
        <v>66.2</v>
      </c>
      <c r="S66" s="288">
        <v>6.5600000000000006E-2</v>
      </c>
      <c r="T66" s="288">
        <v>1.11E-4</v>
      </c>
      <c r="U66" s="288">
        <v>0</v>
      </c>
      <c r="V66" s="289">
        <v>66.26571100000001</v>
      </c>
      <c r="W66" s="289">
        <v>0</v>
      </c>
      <c r="X66" s="288">
        <v>6.6200000000000009E-2</v>
      </c>
      <c r="Y66" s="288">
        <v>6.6200000000000009E-2</v>
      </c>
      <c r="Z66" s="288">
        <v>6.5600000000000009E-5</v>
      </c>
      <c r="AA66" s="288">
        <v>1.11E-7</v>
      </c>
      <c r="AB66" s="288">
        <v>0</v>
      </c>
      <c r="AC66" s="289">
        <v>6.6265711000000005E-2</v>
      </c>
      <c r="AD66" s="289">
        <v>0</v>
      </c>
    </row>
    <row r="67" spans="1:30" ht="15" customHeight="1" x14ac:dyDescent="0.25">
      <c r="A67" s="282" t="s">
        <v>259</v>
      </c>
      <c r="B67" s="282" t="s">
        <v>259</v>
      </c>
      <c r="C67" s="282" t="s">
        <v>259</v>
      </c>
      <c r="D67" s="283" t="s">
        <v>302</v>
      </c>
      <c r="E67" s="403" t="s">
        <v>262</v>
      </c>
      <c r="F67" s="403" t="s">
        <v>263</v>
      </c>
      <c r="G67" s="284" t="s">
        <v>264</v>
      </c>
      <c r="H67" s="284" t="s">
        <v>265</v>
      </c>
      <c r="I67" s="283">
        <v>1</v>
      </c>
      <c r="J67" s="284" t="s">
        <v>156</v>
      </c>
      <c r="K67" s="283" t="s">
        <v>266</v>
      </c>
      <c r="L67" s="286" t="s">
        <v>158</v>
      </c>
      <c r="M67" s="287">
        <v>2400</v>
      </c>
      <c r="N67" s="287"/>
      <c r="O67" s="287"/>
      <c r="P67" s="287"/>
      <c r="Q67" s="288">
        <v>59.6</v>
      </c>
      <c r="R67" s="288">
        <v>59.4</v>
      </c>
      <c r="S67" s="288">
        <v>0.25900000000000001</v>
      </c>
      <c r="T67" s="288">
        <v>9.1000000000000003E-5</v>
      </c>
      <c r="U67" s="288">
        <v>0</v>
      </c>
      <c r="V67" s="289">
        <v>59.659090999999997</v>
      </c>
      <c r="W67" s="289">
        <v>0</v>
      </c>
      <c r="X67" s="288">
        <v>5.96E-2</v>
      </c>
      <c r="Y67" s="288">
        <v>5.9400000000000001E-2</v>
      </c>
      <c r="Z67" s="288">
        <v>2.5900000000000001E-4</v>
      </c>
      <c r="AA67" s="288">
        <v>9.1000000000000008E-8</v>
      </c>
      <c r="AB67" s="288">
        <v>0</v>
      </c>
      <c r="AC67" s="289">
        <v>5.9659091000000004E-2</v>
      </c>
      <c r="AD67" s="289">
        <v>0</v>
      </c>
    </row>
    <row r="68" spans="1:30" ht="15" customHeight="1" x14ac:dyDescent="0.25">
      <c r="A68" s="282" t="s">
        <v>259</v>
      </c>
      <c r="B68" s="282" t="s">
        <v>259</v>
      </c>
      <c r="C68" s="282" t="s">
        <v>259</v>
      </c>
      <c r="D68" s="283" t="s">
        <v>303</v>
      </c>
      <c r="E68" s="403" t="s">
        <v>273</v>
      </c>
      <c r="F68" s="403" t="s">
        <v>274</v>
      </c>
      <c r="G68" s="284" t="s">
        <v>264</v>
      </c>
      <c r="H68" s="284" t="s">
        <v>275</v>
      </c>
      <c r="I68" s="283">
        <v>1</v>
      </c>
      <c r="J68" s="284" t="s">
        <v>156</v>
      </c>
      <c r="K68" s="283" t="s">
        <v>276</v>
      </c>
      <c r="L68" s="286" t="s">
        <v>158</v>
      </c>
      <c r="M68" s="287">
        <v>2400</v>
      </c>
      <c r="N68" s="287"/>
      <c r="O68" s="287"/>
      <c r="P68" s="287"/>
      <c r="Q68" s="288">
        <v>58.8</v>
      </c>
      <c r="R68" s="288">
        <v>58.8</v>
      </c>
      <c r="S68" s="288">
        <v>5.8099999999999999E-2</v>
      </c>
      <c r="T68" s="288">
        <v>8.9099999999999997E-5</v>
      </c>
      <c r="U68" s="288">
        <v>0</v>
      </c>
      <c r="V68" s="289">
        <v>58.858189099999997</v>
      </c>
      <c r="W68" s="289">
        <v>0</v>
      </c>
      <c r="X68" s="288">
        <v>5.8799999999999998E-2</v>
      </c>
      <c r="Y68" s="288">
        <v>5.8799999999999998E-2</v>
      </c>
      <c r="Z68" s="288">
        <v>5.8099999999999996E-5</v>
      </c>
      <c r="AA68" s="288">
        <v>8.9099999999999997E-8</v>
      </c>
      <c r="AB68" s="288">
        <v>0</v>
      </c>
      <c r="AC68" s="289">
        <v>5.88581891E-2</v>
      </c>
      <c r="AD68" s="289">
        <v>0</v>
      </c>
    </row>
    <row r="69" spans="1:30" ht="15" customHeight="1" x14ac:dyDescent="0.25">
      <c r="A69" s="282" t="s">
        <v>259</v>
      </c>
      <c r="B69" s="282" t="s">
        <v>259</v>
      </c>
      <c r="C69" s="282" t="s">
        <v>259</v>
      </c>
      <c r="D69" s="283" t="s">
        <v>304</v>
      </c>
      <c r="E69" s="403" t="s">
        <v>273</v>
      </c>
      <c r="F69" s="403" t="s">
        <v>274</v>
      </c>
      <c r="G69" s="284" t="s">
        <v>299</v>
      </c>
      <c r="H69" s="284" t="s">
        <v>275</v>
      </c>
      <c r="I69" s="283">
        <v>1</v>
      </c>
      <c r="J69" s="284" t="s">
        <v>156</v>
      </c>
      <c r="K69" s="283" t="s">
        <v>276</v>
      </c>
      <c r="L69" s="286" t="s">
        <v>158</v>
      </c>
      <c r="M69" s="287">
        <v>2400</v>
      </c>
      <c r="N69" s="287"/>
      <c r="O69" s="287"/>
      <c r="P69" s="287"/>
      <c r="Q69" s="288">
        <v>57.6</v>
      </c>
      <c r="R69" s="288">
        <v>57.6</v>
      </c>
      <c r="S69" s="288">
        <v>5.6800000000000003E-2</v>
      </c>
      <c r="T69" s="288">
        <v>8.4900000000000004E-5</v>
      </c>
      <c r="U69" s="288">
        <v>0</v>
      </c>
      <c r="V69" s="289">
        <v>57.656884900000001</v>
      </c>
      <c r="W69" s="289">
        <v>0</v>
      </c>
      <c r="X69" s="288">
        <v>5.7599999999999998E-2</v>
      </c>
      <c r="Y69" s="288">
        <v>5.7599999999999998E-2</v>
      </c>
      <c r="Z69" s="288">
        <v>5.6800000000000005E-5</v>
      </c>
      <c r="AA69" s="288">
        <v>8.4899999999999999E-8</v>
      </c>
      <c r="AB69" s="288">
        <v>0</v>
      </c>
      <c r="AC69" s="289">
        <v>5.7656884900000004E-2</v>
      </c>
      <c r="AD69" s="289">
        <v>0</v>
      </c>
    </row>
    <row r="70" spans="1:30" ht="15" customHeight="1" x14ac:dyDescent="0.25">
      <c r="A70" s="282" t="s">
        <v>259</v>
      </c>
      <c r="B70" s="282" t="s">
        <v>259</v>
      </c>
      <c r="C70" s="282" t="s">
        <v>259</v>
      </c>
      <c r="D70" s="283" t="s">
        <v>305</v>
      </c>
      <c r="E70" s="403" t="s">
        <v>273</v>
      </c>
      <c r="F70" s="403" t="s">
        <v>274</v>
      </c>
      <c r="G70" s="284" t="s">
        <v>286</v>
      </c>
      <c r="H70" s="284" t="s">
        <v>275</v>
      </c>
      <c r="I70" s="283">
        <v>1</v>
      </c>
      <c r="J70" s="284" t="s">
        <v>156</v>
      </c>
      <c r="K70" s="283" t="s">
        <v>276</v>
      </c>
      <c r="L70" s="286" t="s">
        <v>158</v>
      </c>
      <c r="M70" s="287">
        <v>2400</v>
      </c>
      <c r="N70" s="287"/>
      <c r="O70" s="287"/>
      <c r="P70" s="287"/>
      <c r="Q70" s="288">
        <v>51.8</v>
      </c>
      <c r="R70" s="288">
        <v>51.8</v>
      </c>
      <c r="S70" s="288">
        <v>4.8800000000000003E-2</v>
      </c>
      <c r="T70" s="288">
        <v>5.5300000000000002E-5</v>
      </c>
      <c r="U70" s="288">
        <v>0</v>
      </c>
      <c r="V70" s="289">
        <v>51.848855299999997</v>
      </c>
      <c r="W70" s="289">
        <v>0</v>
      </c>
      <c r="X70" s="288">
        <v>5.1799999999999999E-2</v>
      </c>
      <c r="Y70" s="288">
        <v>5.1799999999999999E-2</v>
      </c>
      <c r="Z70" s="288">
        <v>4.88E-5</v>
      </c>
      <c r="AA70" s="288">
        <v>5.5300000000000005E-8</v>
      </c>
      <c r="AB70" s="288">
        <v>0</v>
      </c>
      <c r="AC70" s="289">
        <v>5.1848855300000003E-2</v>
      </c>
      <c r="AD70" s="289">
        <v>0</v>
      </c>
    </row>
    <row r="71" spans="1:30" ht="15" customHeight="1" x14ac:dyDescent="0.25">
      <c r="A71" s="282" t="s">
        <v>259</v>
      </c>
      <c r="B71" s="282" t="s">
        <v>259</v>
      </c>
      <c r="C71" s="282" t="s">
        <v>259</v>
      </c>
      <c r="D71" s="283" t="s">
        <v>306</v>
      </c>
      <c r="E71" s="403" t="s">
        <v>262</v>
      </c>
      <c r="F71" s="403" t="s">
        <v>263</v>
      </c>
      <c r="G71" s="284" t="s">
        <v>286</v>
      </c>
      <c r="H71" s="284" t="s">
        <v>287</v>
      </c>
      <c r="I71" s="283">
        <v>1</v>
      </c>
      <c r="J71" s="284" t="s">
        <v>156</v>
      </c>
      <c r="K71" s="283" t="s">
        <v>288</v>
      </c>
      <c r="L71" s="286" t="s">
        <v>158</v>
      </c>
      <c r="M71" s="287">
        <v>2400</v>
      </c>
      <c r="N71" s="287"/>
      <c r="O71" s="287"/>
      <c r="P71" s="287"/>
      <c r="Q71" s="288">
        <v>79.7</v>
      </c>
      <c r="R71" s="288">
        <v>79.7</v>
      </c>
      <c r="S71" s="288">
        <v>7.4800000000000005E-2</v>
      </c>
      <c r="T71" s="288">
        <v>2.7599999999999999E-4</v>
      </c>
      <c r="U71" s="288">
        <v>0</v>
      </c>
      <c r="V71" s="289">
        <v>79.775075999999999</v>
      </c>
      <c r="W71" s="289">
        <v>0</v>
      </c>
      <c r="X71" s="288">
        <v>7.9700000000000007E-2</v>
      </c>
      <c r="Y71" s="288">
        <v>7.9700000000000007E-2</v>
      </c>
      <c r="Z71" s="288">
        <v>7.4800000000000002E-5</v>
      </c>
      <c r="AA71" s="288">
        <v>2.7599999999999998E-7</v>
      </c>
      <c r="AB71" s="288">
        <v>0</v>
      </c>
      <c r="AC71" s="289">
        <v>7.9775076E-2</v>
      </c>
      <c r="AD71" s="289">
        <v>0</v>
      </c>
    </row>
    <row r="72" spans="1:30" ht="15" customHeight="1" x14ac:dyDescent="0.25">
      <c r="A72" s="282" t="s">
        <v>259</v>
      </c>
      <c r="B72" s="282" t="s">
        <v>259</v>
      </c>
      <c r="C72" s="282" t="s">
        <v>259</v>
      </c>
      <c r="D72" s="283" t="s">
        <v>307</v>
      </c>
      <c r="E72" s="403" t="s">
        <v>273</v>
      </c>
      <c r="F72" s="403" t="s">
        <v>274</v>
      </c>
      <c r="G72" s="284" t="s">
        <v>264</v>
      </c>
      <c r="H72" s="284" t="s">
        <v>275</v>
      </c>
      <c r="I72" s="283">
        <v>1</v>
      </c>
      <c r="J72" s="284" t="s">
        <v>156</v>
      </c>
      <c r="K72" s="283" t="s">
        <v>276</v>
      </c>
      <c r="L72" s="286" t="s">
        <v>158</v>
      </c>
      <c r="M72" s="287">
        <v>2400</v>
      </c>
      <c r="N72" s="287"/>
      <c r="O72" s="287"/>
      <c r="P72" s="287"/>
      <c r="Q72" s="288">
        <v>67.900000000000006</v>
      </c>
      <c r="R72" s="288">
        <v>67.900000000000006</v>
      </c>
      <c r="S72" s="288">
        <v>6.1600000000000002E-2</v>
      </c>
      <c r="T72" s="288">
        <v>1.1400000000000001E-4</v>
      </c>
      <c r="U72" s="288">
        <v>0</v>
      </c>
      <c r="V72" s="289">
        <v>67.961714000000001</v>
      </c>
      <c r="W72" s="289">
        <v>0</v>
      </c>
      <c r="X72" s="288">
        <v>6.7900000000000002E-2</v>
      </c>
      <c r="Y72" s="288">
        <v>6.7900000000000002E-2</v>
      </c>
      <c r="Z72" s="288">
        <v>6.1600000000000007E-5</v>
      </c>
      <c r="AA72" s="288">
        <v>1.14E-7</v>
      </c>
      <c r="AB72" s="288">
        <v>0</v>
      </c>
      <c r="AC72" s="289">
        <v>6.7961713999999993E-2</v>
      </c>
      <c r="AD72" s="289">
        <v>0</v>
      </c>
    </row>
    <row r="73" spans="1:30" ht="15" customHeight="1" x14ac:dyDescent="0.25">
      <c r="A73" s="282" t="s">
        <v>259</v>
      </c>
      <c r="B73" s="282" t="s">
        <v>259</v>
      </c>
      <c r="C73" s="282" t="s">
        <v>259</v>
      </c>
      <c r="D73" s="283" t="s">
        <v>308</v>
      </c>
      <c r="E73" s="403" t="s">
        <v>273</v>
      </c>
      <c r="F73" s="403" t="s">
        <v>274</v>
      </c>
      <c r="G73" s="284" t="s">
        <v>299</v>
      </c>
      <c r="H73" s="284" t="s">
        <v>275</v>
      </c>
      <c r="I73" s="283">
        <v>1</v>
      </c>
      <c r="J73" s="284" t="s">
        <v>156</v>
      </c>
      <c r="K73" s="283" t="s">
        <v>276</v>
      </c>
      <c r="L73" s="286" t="s">
        <v>158</v>
      </c>
      <c r="M73" s="287">
        <v>2400</v>
      </c>
      <c r="N73" s="287"/>
      <c r="O73" s="287"/>
      <c r="P73" s="287"/>
      <c r="Q73" s="288">
        <v>65.7</v>
      </c>
      <c r="R73" s="288">
        <v>65.7</v>
      </c>
      <c r="S73" s="288">
        <v>5.7599999999999998E-2</v>
      </c>
      <c r="T73" s="288">
        <v>6.8999999999999997E-5</v>
      </c>
      <c r="U73" s="288">
        <v>0</v>
      </c>
      <c r="V73" s="289">
        <v>65.757668999999993</v>
      </c>
      <c r="W73" s="289">
        <v>0</v>
      </c>
      <c r="X73" s="288">
        <v>6.5700000000000008E-2</v>
      </c>
      <c r="Y73" s="288">
        <v>6.5700000000000008E-2</v>
      </c>
      <c r="Z73" s="288">
        <v>5.7599999999999997E-5</v>
      </c>
      <c r="AA73" s="288">
        <v>6.8999999999999996E-8</v>
      </c>
      <c r="AB73" s="288">
        <v>0</v>
      </c>
      <c r="AC73" s="289">
        <v>6.5757669000000019E-2</v>
      </c>
      <c r="AD73" s="289">
        <v>0</v>
      </c>
    </row>
    <row r="74" spans="1:30" ht="15" customHeight="1" x14ac:dyDescent="0.25">
      <c r="A74" s="282" t="s">
        <v>259</v>
      </c>
      <c r="B74" s="282" t="s">
        <v>259</v>
      </c>
      <c r="C74" s="282" t="s">
        <v>259</v>
      </c>
      <c r="D74" s="283" t="s">
        <v>309</v>
      </c>
      <c r="E74" s="403" t="s">
        <v>273</v>
      </c>
      <c r="F74" s="403" t="s">
        <v>274</v>
      </c>
      <c r="G74" s="284" t="s">
        <v>264</v>
      </c>
      <c r="H74" s="284" t="s">
        <v>275</v>
      </c>
      <c r="I74" s="283">
        <v>1</v>
      </c>
      <c r="J74" s="284" t="s">
        <v>156</v>
      </c>
      <c r="K74" s="283" t="s">
        <v>276</v>
      </c>
      <c r="L74" s="286" t="s">
        <v>158</v>
      </c>
      <c r="M74" s="287">
        <v>2400</v>
      </c>
      <c r="N74" s="287"/>
      <c r="O74" s="287"/>
      <c r="P74" s="287"/>
      <c r="Q74" s="288">
        <v>59.1</v>
      </c>
      <c r="R74" s="288">
        <v>59.1</v>
      </c>
      <c r="S74" s="288">
        <v>5.16E-2</v>
      </c>
      <c r="T74" s="288">
        <v>7.2200000000000007E-5</v>
      </c>
      <c r="U74" s="288">
        <v>0</v>
      </c>
      <c r="V74" s="289">
        <v>59.1516722</v>
      </c>
      <c r="W74" s="289">
        <v>0</v>
      </c>
      <c r="X74" s="288">
        <v>5.91E-2</v>
      </c>
      <c r="Y74" s="288">
        <v>5.91E-2</v>
      </c>
      <c r="Z74" s="288">
        <v>5.1600000000000001E-5</v>
      </c>
      <c r="AA74" s="288">
        <v>7.2200000000000011E-8</v>
      </c>
      <c r="AB74" s="288">
        <v>0</v>
      </c>
      <c r="AC74" s="289">
        <v>5.9151672199999998E-2</v>
      </c>
      <c r="AD74" s="289">
        <v>0</v>
      </c>
    </row>
    <row r="75" spans="1:30" ht="15" customHeight="1" x14ac:dyDescent="0.25">
      <c r="A75" s="282" t="s">
        <v>259</v>
      </c>
      <c r="B75" s="282" t="s">
        <v>259</v>
      </c>
      <c r="C75" s="282" t="s">
        <v>259</v>
      </c>
      <c r="D75" s="283" t="s">
        <v>310</v>
      </c>
      <c r="E75" s="403" t="s">
        <v>273</v>
      </c>
      <c r="F75" s="403" t="s">
        <v>274</v>
      </c>
      <c r="G75" s="284" t="s">
        <v>286</v>
      </c>
      <c r="H75" s="284" t="s">
        <v>275</v>
      </c>
      <c r="I75" s="283">
        <v>1</v>
      </c>
      <c r="J75" s="284" t="s">
        <v>156</v>
      </c>
      <c r="K75" s="283" t="s">
        <v>276</v>
      </c>
      <c r="L75" s="286" t="s">
        <v>158</v>
      </c>
      <c r="M75" s="287">
        <v>2400</v>
      </c>
      <c r="N75" s="287"/>
      <c r="O75" s="287"/>
      <c r="P75" s="287"/>
      <c r="Q75" s="288">
        <v>60.6</v>
      </c>
      <c r="R75" s="288">
        <v>60.6</v>
      </c>
      <c r="S75" s="288">
        <v>5.2699999999999997E-2</v>
      </c>
      <c r="T75" s="288">
        <v>8.4099999999999998E-5</v>
      </c>
      <c r="U75" s="288">
        <v>0</v>
      </c>
      <c r="V75" s="289">
        <v>60.652784100000005</v>
      </c>
      <c r="W75" s="289">
        <v>0</v>
      </c>
      <c r="X75" s="288">
        <v>6.0600000000000001E-2</v>
      </c>
      <c r="Y75" s="288">
        <v>6.0600000000000001E-2</v>
      </c>
      <c r="Z75" s="288">
        <v>5.2699999999999993E-5</v>
      </c>
      <c r="AA75" s="288">
        <v>8.4099999999999992E-8</v>
      </c>
      <c r="AB75" s="288">
        <v>0</v>
      </c>
      <c r="AC75" s="289">
        <v>6.0652784100000003E-2</v>
      </c>
      <c r="AD75" s="289">
        <v>0</v>
      </c>
    </row>
    <row r="76" spans="1:30" ht="15" customHeight="1" x14ac:dyDescent="0.25">
      <c r="A76" s="282" t="s">
        <v>259</v>
      </c>
      <c r="B76" s="282" t="s">
        <v>259</v>
      </c>
      <c r="C76" s="282" t="s">
        <v>259</v>
      </c>
      <c r="D76" s="283" t="s">
        <v>311</v>
      </c>
      <c r="E76" s="403" t="s">
        <v>273</v>
      </c>
      <c r="F76" s="403" t="s">
        <v>274</v>
      </c>
      <c r="G76" s="284" t="s">
        <v>264</v>
      </c>
      <c r="H76" s="284" t="s">
        <v>275</v>
      </c>
      <c r="I76" s="283">
        <v>1</v>
      </c>
      <c r="J76" s="284" t="s">
        <v>156</v>
      </c>
      <c r="K76" s="283" t="s">
        <v>276</v>
      </c>
      <c r="L76" s="286" t="s">
        <v>158</v>
      </c>
      <c r="M76" s="287">
        <v>2400</v>
      </c>
      <c r="N76" s="287"/>
      <c r="O76" s="287"/>
      <c r="P76" s="287"/>
      <c r="Q76" s="288">
        <v>78.3</v>
      </c>
      <c r="R76" s="288">
        <v>78.3</v>
      </c>
      <c r="S76" s="288">
        <v>6.7400000000000002E-2</v>
      </c>
      <c r="T76" s="288">
        <v>9.2499999999999999E-5</v>
      </c>
      <c r="U76" s="288">
        <v>0</v>
      </c>
      <c r="V76" s="289">
        <v>78.367492499999997</v>
      </c>
      <c r="W76" s="289">
        <v>0</v>
      </c>
      <c r="X76" s="288">
        <v>7.8299999999999995E-2</v>
      </c>
      <c r="Y76" s="288">
        <v>7.8299999999999995E-2</v>
      </c>
      <c r="Z76" s="288">
        <v>6.7399999999999998E-5</v>
      </c>
      <c r="AA76" s="288">
        <v>9.2500000000000001E-8</v>
      </c>
      <c r="AB76" s="288">
        <v>0</v>
      </c>
      <c r="AC76" s="289">
        <v>7.8367492499999997E-2</v>
      </c>
      <c r="AD76" s="289">
        <v>0</v>
      </c>
    </row>
    <row r="77" spans="1:30" ht="15" customHeight="1" x14ac:dyDescent="0.25">
      <c r="A77" s="282" t="s">
        <v>259</v>
      </c>
      <c r="B77" s="282" t="s">
        <v>259</v>
      </c>
      <c r="C77" s="282" t="s">
        <v>259</v>
      </c>
      <c r="D77" s="283" t="s">
        <v>312</v>
      </c>
      <c r="E77" s="403" t="s">
        <v>273</v>
      </c>
      <c r="F77" s="403" t="s">
        <v>274</v>
      </c>
      <c r="G77" s="284" t="s">
        <v>264</v>
      </c>
      <c r="H77" s="284" t="s">
        <v>275</v>
      </c>
      <c r="I77" s="283">
        <v>1</v>
      </c>
      <c r="J77" s="284" t="s">
        <v>156</v>
      </c>
      <c r="K77" s="283" t="s">
        <v>276</v>
      </c>
      <c r="L77" s="286" t="s">
        <v>158</v>
      </c>
      <c r="M77" s="287">
        <v>2400</v>
      </c>
      <c r="N77" s="287"/>
      <c r="O77" s="287"/>
      <c r="P77" s="287"/>
      <c r="Q77" s="288">
        <v>78.599999999999994</v>
      </c>
      <c r="R77" s="288">
        <v>78.599999999999994</v>
      </c>
      <c r="S77" s="288">
        <v>6.7000000000000004E-2</v>
      </c>
      <c r="T77" s="288">
        <v>9.4199999999999999E-5</v>
      </c>
      <c r="U77" s="288">
        <v>0</v>
      </c>
      <c r="V77" s="289">
        <v>78.667094199999994</v>
      </c>
      <c r="W77" s="289">
        <v>0</v>
      </c>
      <c r="X77" s="288">
        <v>7.8599999999999989E-2</v>
      </c>
      <c r="Y77" s="288">
        <v>7.8599999999999989E-2</v>
      </c>
      <c r="Z77" s="288">
        <v>6.7000000000000002E-5</v>
      </c>
      <c r="AA77" s="288">
        <v>9.4199999999999996E-8</v>
      </c>
      <c r="AB77" s="288">
        <v>0</v>
      </c>
      <c r="AC77" s="289">
        <v>7.8667094199999982E-2</v>
      </c>
      <c r="AD77" s="289">
        <v>0</v>
      </c>
    </row>
    <row r="78" spans="1:30" ht="15" customHeight="1" x14ac:dyDescent="0.25">
      <c r="A78" s="282" t="s">
        <v>259</v>
      </c>
      <c r="B78" s="282" t="s">
        <v>259</v>
      </c>
      <c r="C78" s="282" t="s">
        <v>259</v>
      </c>
      <c r="D78" s="283" t="s">
        <v>313</v>
      </c>
      <c r="E78" s="403" t="s">
        <v>273</v>
      </c>
      <c r="F78" s="403" t="s">
        <v>274</v>
      </c>
      <c r="G78" s="284" t="s">
        <v>264</v>
      </c>
      <c r="H78" s="284" t="s">
        <v>275</v>
      </c>
      <c r="I78" s="283">
        <v>1</v>
      </c>
      <c r="J78" s="284" t="s">
        <v>156</v>
      </c>
      <c r="K78" s="283" t="s">
        <v>276</v>
      </c>
      <c r="L78" s="286" t="s">
        <v>158</v>
      </c>
      <c r="M78" s="287">
        <v>2400</v>
      </c>
      <c r="N78" s="287"/>
      <c r="O78" s="287"/>
      <c r="P78" s="287"/>
      <c r="Q78" s="288">
        <v>63.3</v>
      </c>
      <c r="R78" s="288">
        <v>63.3</v>
      </c>
      <c r="S78" s="288">
        <v>5.3100000000000001E-2</v>
      </c>
      <c r="T78" s="288">
        <v>8.4099999999999998E-5</v>
      </c>
      <c r="U78" s="288">
        <v>0</v>
      </c>
      <c r="V78" s="289">
        <v>63.3531841</v>
      </c>
      <c r="W78" s="289">
        <v>0</v>
      </c>
      <c r="X78" s="288">
        <v>6.3299999999999995E-2</v>
      </c>
      <c r="Y78" s="288">
        <v>6.3299999999999995E-2</v>
      </c>
      <c r="Z78" s="288">
        <v>5.3100000000000003E-5</v>
      </c>
      <c r="AA78" s="288">
        <v>8.4099999999999992E-8</v>
      </c>
      <c r="AB78" s="288">
        <v>0</v>
      </c>
      <c r="AC78" s="289">
        <v>6.3353184100000001E-2</v>
      </c>
      <c r="AD78" s="289">
        <v>0</v>
      </c>
    </row>
    <row r="79" spans="1:30" ht="15" customHeight="1" x14ac:dyDescent="0.25">
      <c r="A79" s="282" t="s">
        <v>259</v>
      </c>
      <c r="B79" s="282" t="s">
        <v>259</v>
      </c>
      <c r="C79" s="282" t="s">
        <v>259</v>
      </c>
      <c r="D79" s="283" t="s">
        <v>314</v>
      </c>
      <c r="E79" s="403" t="s">
        <v>273</v>
      </c>
      <c r="F79" s="403" t="s">
        <v>274</v>
      </c>
      <c r="G79" s="284" t="s">
        <v>286</v>
      </c>
      <c r="H79" s="284" t="s">
        <v>275</v>
      </c>
      <c r="I79" s="283">
        <v>1</v>
      </c>
      <c r="J79" s="284" t="s">
        <v>156</v>
      </c>
      <c r="K79" s="283" t="s">
        <v>276</v>
      </c>
      <c r="L79" s="286" t="s">
        <v>158</v>
      </c>
      <c r="M79" s="287">
        <v>2400</v>
      </c>
      <c r="N79" s="287"/>
      <c r="O79" s="287"/>
      <c r="P79" s="287"/>
      <c r="Q79" s="288">
        <v>49.6</v>
      </c>
      <c r="R79" s="288">
        <v>49.6</v>
      </c>
      <c r="S79" s="288">
        <v>4.1399999999999999E-2</v>
      </c>
      <c r="T79" s="288">
        <v>6.9800000000000003E-5</v>
      </c>
      <c r="U79" s="288">
        <v>0</v>
      </c>
      <c r="V79" s="289">
        <v>49.641469800000003</v>
      </c>
      <c r="W79" s="289">
        <v>0</v>
      </c>
      <c r="X79" s="288">
        <v>4.9599999999999998E-2</v>
      </c>
      <c r="Y79" s="288">
        <v>4.9599999999999998E-2</v>
      </c>
      <c r="Z79" s="288">
        <v>4.1399999999999997E-5</v>
      </c>
      <c r="AA79" s="288">
        <v>6.9800000000000003E-8</v>
      </c>
      <c r="AB79" s="288">
        <v>0</v>
      </c>
      <c r="AC79" s="289">
        <v>4.9641469799999997E-2</v>
      </c>
      <c r="AD79" s="289">
        <v>0</v>
      </c>
    </row>
    <row r="80" spans="1:30" ht="15" customHeight="1" x14ac:dyDescent="0.25">
      <c r="A80" s="282" t="s">
        <v>259</v>
      </c>
      <c r="B80" s="282" t="s">
        <v>259</v>
      </c>
      <c r="C80" s="282" t="s">
        <v>259</v>
      </c>
      <c r="D80" s="283" t="s">
        <v>315</v>
      </c>
      <c r="E80" s="403" t="s">
        <v>273</v>
      </c>
      <c r="F80" s="403" t="s">
        <v>274</v>
      </c>
      <c r="G80" s="284" t="s">
        <v>316</v>
      </c>
      <c r="H80" s="284" t="s">
        <v>275</v>
      </c>
      <c r="I80" s="283">
        <v>1</v>
      </c>
      <c r="J80" s="284" t="s">
        <v>156</v>
      </c>
      <c r="K80" s="283" t="s">
        <v>276</v>
      </c>
      <c r="L80" s="286" t="s">
        <v>158</v>
      </c>
      <c r="M80" s="287">
        <v>2400</v>
      </c>
      <c r="N80" s="287"/>
      <c r="O80" s="287"/>
      <c r="P80" s="287"/>
      <c r="Q80" s="288">
        <v>60.1</v>
      </c>
      <c r="R80" s="288">
        <v>60.1</v>
      </c>
      <c r="S80" s="288">
        <v>4.9299999999999997E-2</v>
      </c>
      <c r="T80" s="288">
        <v>8.6199999999999995E-5</v>
      </c>
      <c r="U80" s="288">
        <v>0</v>
      </c>
      <c r="V80" s="289">
        <v>60.149386200000002</v>
      </c>
      <c r="W80" s="289">
        <v>0</v>
      </c>
      <c r="X80" s="288">
        <v>6.0100000000000001E-2</v>
      </c>
      <c r="Y80" s="288">
        <v>6.0100000000000001E-2</v>
      </c>
      <c r="Z80" s="288">
        <v>4.9299999999999999E-5</v>
      </c>
      <c r="AA80" s="288">
        <v>8.6199999999999991E-8</v>
      </c>
      <c r="AB80" s="288">
        <v>0</v>
      </c>
      <c r="AC80" s="289">
        <v>6.0149386200000002E-2</v>
      </c>
      <c r="AD80" s="289">
        <v>0</v>
      </c>
    </row>
    <row r="81" spans="1:30" ht="15" customHeight="1" x14ac:dyDescent="0.25">
      <c r="A81" s="282" t="s">
        <v>259</v>
      </c>
      <c r="B81" s="282" t="s">
        <v>259</v>
      </c>
      <c r="C81" s="282" t="s">
        <v>260</v>
      </c>
      <c r="D81" s="283" t="s">
        <v>317</v>
      </c>
      <c r="E81" s="403">
        <v>43840</v>
      </c>
      <c r="F81" s="403" t="s">
        <v>318</v>
      </c>
      <c r="G81" s="284" t="s">
        <v>316</v>
      </c>
      <c r="H81" s="284" t="s">
        <v>319</v>
      </c>
      <c r="I81" s="283">
        <v>0</v>
      </c>
      <c r="J81" s="284" t="s">
        <v>156</v>
      </c>
      <c r="K81" s="283" t="s">
        <v>320</v>
      </c>
      <c r="L81" s="286" t="s">
        <v>321</v>
      </c>
      <c r="M81" s="287">
        <v>2400</v>
      </c>
      <c r="N81" s="287"/>
      <c r="O81" s="287"/>
      <c r="P81" s="287"/>
      <c r="Q81" s="288">
        <v>4.4000000000000004</v>
      </c>
      <c r="R81" s="288">
        <v>4.4000000000000004</v>
      </c>
      <c r="S81" s="288">
        <v>3.48E-3</v>
      </c>
      <c r="T81" s="288">
        <v>3.4E-5</v>
      </c>
      <c r="U81" s="288">
        <v>0</v>
      </c>
      <c r="V81" s="289">
        <v>4.4035140000000004</v>
      </c>
      <c r="W81" s="289">
        <v>0</v>
      </c>
      <c r="X81" s="288" t="s">
        <v>159</v>
      </c>
      <c r="Y81" s="288" t="s">
        <v>159</v>
      </c>
      <c r="Z81" s="288" t="s">
        <v>159</v>
      </c>
      <c r="AA81" s="288" t="s">
        <v>159</v>
      </c>
      <c r="AB81" s="288" t="s">
        <v>159</v>
      </c>
      <c r="AC81" s="289">
        <v>0</v>
      </c>
      <c r="AD81" s="289">
        <v>0</v>
      </c>
    </row>
    <row r="82" spans="1:30" ht="15" customHeight="1" x14ac:dyDescent="0.25">
      <c r="A82" s="282" t="s">
        <v>259</v>
      </c>
      <c r="B82" s="282" t="s">
        <v>259</v>
      </c>
      <c r="C82" s="282" t="s">
        <v>259</v>
      </c>
      <c r="D82" s="283" t="s">
        <v>322</v>
      </c>
      <c r="E82" s="403" t="s">
        <v>273</v>
      </c>
      <c r="F82" s="403" t="s">
        <v>274</v>
      </c>
      <c r="G82" s="284" t="s">
        <v>286</v>
      </c>
      <c r="H82" s="284" t="s">
        <v>275</v>
      </c>
      <c r="I82" s="283">
        <v>1</v>
      </c>
      <c r="J82" s="284" t="s">
        <v>156</v>
      </c>
      <c r="K82" s="283" t="s">
        <v>276</v>
      </c>
      <c r="L82" s="286" t="s">
        <v>158</v>
      </c>
      <c r="M82" s="287">
        <v>2400</v>
      </c>
      <c r="N82" s="287"/>
      <c r="O82" s="287"/>
      <c r="P82" s="287"/>
      <c r="Q82" s="288">
        <v>79.599999999999994</v>
      </c>
      <c r="R82" s="288">
        <v>79.599999999999994</v>
      </c>
      <c r="S82" s="288">
        <v>6.2799999999999995E-2</v>
      </c>
      <c r="T82" s="288">
        <v>1.06E-4</v>
      </c>
      <c r="U82" s="288">
        <v>0</v>
      </c>
      <c r="V82" s="289">
        <v>79.662905999999992</v>
      </c>
      <c r="W82" s="289">
        <v>0</v>
      </c>
      <c r="X82" s="288">
        <v>7.959999999999999E-2</v>
      </c>
      <c r="Y82" s="288">
        <v>7.959999999999999E-2</v>
      </c>
      <c r="Z82" s="288">
        <v>6.2799999999999995E-5</v>
      </c>
      <c r="AA82" s="288">
        <v>1.06E-7</v>
      </c>
      <c r="AB82" s="288">
        <v>0</v>
      </c>
      <c r="AC82" s="289">
        <v>7.9662905999999992E-2</v>
      </c>
      <c r="AD82" s="289">
        <v>0</v>
      </c>
    </row>
    <row r="83" spans="1:30" ht="15" customHeight="1" x14ac:dyDescent="0.25">
      <c r="A83" s="282" t="s">
        <v>259</v>
      </c>
      <c r="B83" s="282" t="s">
        <v>259</v>
      </c>
      <c r="C83" s="282" t="s">
        <v>259</v>
      </c>
      <c r="D83" s="283" t="s">
        <v>323</v>
      </c>
      <c r="E83" s="403" t="s">
        <v>273</v>
      </c>
      <c r="F83" s="403" t="s">
        <v>274</v>
      </c>
      <c r="G83" s="284" t="s">
        <v>286</v>
      </c>
      <c r="H83" s="284" t="s">
        <v>275</v>
      </c>
      <c r="I83" s="283">
        <v>1</v>
      </c>
      <c r="J83" s="284" t="s">
        <v>156</v>
      </c>
      <c r="K83" s="283" t="s">
        <v>276</v>
      </c>
      <c r="L83" s="286" t="s">
        <v>158</v>
      </c>
      <c r="M83" s="287">
        <v>2400</v>
      </c>
      <c r="N83" s="287"/>
      <c r="O83" s="287"/>
      <c r="P83" s="287"/>
      <c r="Q83" s="288">
        <v>79.599999999999994</v>
      </c>
      <c r="R83" s="288">
        <v>79.599999999999994</v>
      </c>
      <c r="S83" s="288">
        <v>6.2799999999999995E-2</v>
      </c>
      <c r="T83" s="288">
        <v>1.06E-4</v>
      </c>
      <c r="U83" s="288">
        <v>0</v>
      </c>
      <c r="V83" s="289">
        <v>79.662905999999992</v>
      </c>
      <c r="W83" s="289">
        <v>0</v>
      </c>
      <c r="X83" s="288">
        <v>7.959999999999999E-2</v>
      </c>
      <c r="Y83" s="288">
        <v>7.959999999999999E-2</v>
      </c>
      <c r="Z83" s="288">
        <v>6.2799999999999995E-5</v>
      </c>
      <c r="AA83" s="288">
        <v>1.06E-7</v>
      </c>
      <c r="AB83" s="288">
        <v>0</v>
      </c>
      <c r="AC83" s="289">
        <v>7.9662905999999992E-2</v>
      </c>
      <c r="AD83" s="289">
        <v>0</v>
      </c>
    </row>
    <row r="84" spans="1:30" ht="15" customHeight="1" x14ac:dyDescent="0.25">
      <c r="A84" s="282" t="s">
        <v>259</v>
      </c>
      <c r="B84" s="282" t="s">
        <v>259</v>
      </c>
      <c r="C84" s="282" t="s">
        <v>259</v>
      </c>
      <c r="D84" s="283" t="s">
        <v>324</v>
      </c>
      <c r="E84" s="403" t="s">
        <v>273</v>
      </c>
      <c r="F84" s="403" t="s">
        <v>274</v>
      </c>
      <c r="G84" s="284" t="s">
        <v>286</v>
      </c>
      <c r="H84" s="284" t="s">
        <v>275</v>
      </c>
      <c r="I84" s="283">
        <v>1</v>
      </c>
      <c r="J84" s="284" t="s">
        <v>156</v>
      </c>
      <c r="K84" s="283" t="s">
        <v>276</v>
      </c>
      <c r="L84" s="286" t="s">
        <v>158</v>
      </c>
      <c r="M84" s="287">
        <v>2400</v>
      </c>
      <c r="N84" s="287"/>
      <c r="O84" s="287"/>
      <c r="P84" s="287"/>
      <c r="Q84" s="288">
        <v>77.900000000000006</v>
      </c>
      <c r="R84" s="288">
        <v>77.900000000000006</v>
      </c>
      <c r="S84" s="288">
        <v>6.0600000000000001E-2</v>
      </c>
      <c r="T84" s="288">
        <v>1.05E-4</v>
      </c>
      <c r="U84" s="288">
        <v>0</v>
      </c>
      <c r="V84" s="289">
        <v>77.960705000000004</v>
      </c>
      <c r="W84" s="289">
        <v>0</v>
      </c>
      <c r="X84" s="288">
        <v>7.7900000000000011E-2</v>
      </c>
      <c r="Y84" s="288">
        <v>7.7900000000000011E-2</v>
      </c>
      <c r="Z84" s="288">
        <v>6.0600000000000003E-5</v>
      </c>
      <c r="AA84" s="288">
        <v>1.05E-7</v>
      </c>
      <c r="AB84" s="288">
        <v>0</v>
      </c>
      <c r="AC84" s="289">
        <v>7.7960705000000005E-2</v>
      </c>
      <c r="AD84" s="289">
        <v>0</v>
      </c>
    </row>
    <row r="85" spans="1:30" ht="15" customHeight="1" x14ac:dyDescent="0.25">
      <c r="A85" s="282" t="s">
        <v>259</v>
      </c>
      <c r="B85" s="282" t="s">
        <v>259</v>
      </c>
      <c r="C85" s="282" t="s">
        <v>259</v>
      </c>
      <c r="D85" s="283" t="s">
        <v>325</v>
      </c>
      <c r="E85" s="403" t="s">
        <v>273</v>
      </c>
      <c r="F85" s="403" t="s">
        <v>274</v>
      </c>
      <c r="G85" s="284" t="s">
        <v>286</v>
      </c>
      <c r="H85" s="284" t="s">
        <v>275</v>
      </c>
      <c r="I85" s="283">
        <v>1</v>
      </c>
      <c r="J85" s="284" t="s">
        <v>156</v>
      </c>
      <c r="K85" s="283" t="s">
        <v>276</v>
      </c>
      <c r="L85" s="286" t="s">
        <v>158</v>
      </c>
      <c r="M85" s="287">
        <v>2400</v>
      </c>
      <c r="N85" s="287"/>
      <c r="O85" s="287"/>
      <c r="P85" s="287"/>
      <c r="Q85" s="288">
        <v>78.400000000000006</v>
      </c>
      <c r="R85" s="288">
        <v>78.400000000000006</v>
      </c>
      <c r="S85" s="288">
        <v>6.08E-2</v>
      </c>
      <c r="T85" s="288">
        <v>1.05E-4</v>
      </c>
      <c r="U85" s="288">
        <v>0</v>
      </c>
      <c r="V85" s="289">
        <v>78.460905000000011</v>
      </c>
      <c r="W85" s="289">
        <v>0</v>
      </c>
      <c r="X85" s="288">
        <v>7.8400000000000011E-2</v>
      </c>
      <c r="Y85" s="288">
        <v>7.8400000000000011E-2</v>
      </c>
      <c r="Z85" s="288">
        <v>6.0800000000000001E-5</v>
      </c>
      <c r="AA85" s="288">
        <v>1.05E-7</v>
      </c>
      <c r="AB85" s="288">
        <v>0</v>
      </c>
      <c r="AC85" s="289">
        <v>7.8460905000000011E-2</v>
      </c>
      <c r="AD85" s="289">
        <v>0</v>
      </c>
    </row>
    <row r="86" spans="1:30" ht="15" customHeight="1" x14ac:dyDescent="0.25">
      <c r="A86" s="282" t="s">
        <v>259</v>
      </c>
      <c r="B86" s="282" t="s">
        <v>259</v>
      </c>
      <c r="C86" s="282" t="s">
        <v>259</v>
      </c>
      <c r="D86" s="283" t="s">
        <v>326</v>
      </c>
      <c r="E86" s="403" t="s">
        <v>273</v>
      </c>
      <c r="F86" s="403" t="s">
        <v>274</v>
      </c>
      <c r="G86" s="284" t="s">
        <v>286</v>
      </c>
      <c r="H86" s="284" t="s">
        <v>275</v>
      </c>
      <c r="I86" s="283">
        <v>1</v>
      </c>
      <c r="J86" s="284" t="s">
        <v>156</v>
      </c>
      <c r="K86" s="283" t="s">
        <v>276</v>
      </c>
      <c r="L86" s="286" t="s">
        <v>158</v>
      </c>
      <c r="M86" s="287">
        <v>2400</v>
      </c>
      <c r="N86" s="287"/>
      <c r="O86" s="287"/>
      <c r="P86" s="287"/>
      <c r="Q86" s="288">
        <v>73.400000000000006</v>
      </c>
      <c r="R86" s="288">
        <v>73.400000000000006</v>
      </c>
      <c r="S86" s="288">
        <v>5.6300000000000003E-2</v>
      </c>
      <c r="T86" s="288">
        <v>9.5400000000000001E-5</v>
      </c>
      <c r="U86" s="288">
        <v>0</v>
      </c>
      <c r="V86" s="289">
        <v>73.456395400000005</v>
      </c>
      <c r="W86" s="289">
        <v>0</v>
      </c>
      <c r="X86" s="288">
        <v>7.3400000000000007E-2</v>
      </c>
      <c r="Y86" s="288">
        <v>7.3400000000000007E-2</v>
      </c>
      <c r="Z86" s="288">
        <v>5.63E-5</v>
      </c>
      <c r="AA86" s="288">
        <v>9.5400000000000007E-8</v>
      </c>
      <c r="AB86" s="288">
        <v>0</v>
      </c>
      <c r="AC86" s="289">
        <v>7.3456395399999999E-2</v>
      </c>
      <c r="AD86" s="289">
        <v>0</v>
      </c>
    </row>
    <row r="87" spans="1:30" ht="15" customHeight="1" x14ac:dyDescent="0.25">
      <c r="A87" s="282" t="s">
        <v>259</v>
      </c>
      <c r="B87" s="282" t="s">
        <v>259</v>
      </c>
      <c r="C87" s="282" t="s">
        <v>259</v>
      </c>
      <c r="D87" s="283" t="s">
        <v>327</v>
      </c>
      <c r="E87" s="403" t="s">
        <v>273</v>
      </c>
      <c r="F87" s="403" t="s">
        <v>274</v>
      </c>
      <c r="G87" s="284" t="s">
        <v>281</v>
      </c>
      <c r="H87" s="284" t="s">
        <v>275</v>
      </c>
      <c r="I87" s="283">
        <v>1</v>
      </c>
      <c r="J87" s="284" t="s">
        <v>156</v>
      </c>
      <c r="K87" s="283" t="s">
        <v>276</v>
      </c>
      <c r="L87" s="286" t="s">
        <v>158</v>
      </c>
      <c r="M87" s="287">
        <v>2400</v>
      </c>
      <c r="N87" s="287"/>
      <c r="O87" s="287"/>
      <c r="P87" s="287"/>
      <c r="Q87" s="288">
        <v>57.9</v>
      </c>
      <c r="R87" s="288">
        <v>57.8</v>
      </c>
      <c r="S87" s="288">
        <v>0.14399999999999999</v>
      </c>
      <c r="T87" s="288">
        <v>8.1699999999999994E-5</v>
      </c>
      <c r="U87" s="288">
        <v>0</v>
      </c>
      <c r="V87" s="289">
        <v>57.944081699999998</v>
      </c>
      <c r="W87" s="289">
        <v>0</v>
      </c>
      <c r="X87" s="288">
        <v>5.79E-2</v>
      </c>
      <c r="Y87" s="288">
        <v>5.7799999999999997E-2</v>
      </c>
      <c r="Z87" s="288">
        <v>1.4399999999999998E-4</v>
      </c>
      <c r="AA87" s="288">
        <v>8.1699999999999997E-8</v>
      </c>
      <c r="AB87" s="288">
        <v>0</v>
      </c>
      <c r="AC87" s="289">
        <v>5.7944081699999997E-2</v>
      </c>
      <c r="AD87" s="289">
        <v>0</v>
      </c>
    </row>
    <row r="88" spans="1:30" ht="15" customHeight="1" x14ac:dyDescent="0.25">
      <c r="A88" s="282" t="s">
        <v>259</v>
      </c>
      <c r="B88" s="282" t="s">
        <v>259</v>
      </c>
      <c r="C88" s="282" t="s">
        <v>259</v>
      </c>
      <c r="D88" s="283" t="s">
        <v>328</v>
      </c>
      <c r="E88" s="403" t="s">
        <v>273</v>
      </c>
      <c r="F88" s="403" t="s">
        <v>274</v>
      </c>
      <c r="G88" s="284" t="s">
        <v>281</v>
      </c>
      <c r="H88" s="284" t="s">
        <v>275</v>
      </c>
      <c r="I88" s="283">
        <v>1</v>
      </c>
      <c r="J88" s="284" t="s">
        <v>156</v>
      </c>
      <c r="K88" s="283" t="s">
        <v>276</v>
      </c>
      <c r="L88" s="286" t="s">
        <v>158</v>
      </c>
      <c r="M88" s="287">
        <v>2400</v>
      </c>
      <c r="N88" s="287"/>
      <c r="O88" s="287"/>
      <c r="P88" s="287"/>
      <c r="Q88" s="288">
        <v>57.9</v>
      </c>
      <c r="R88" s="288">
        <v>57.8</v>
      </c>
      <c r="S88" s="288">
        <v>0.14399999999999999</v>
      </c>
      <c r="T88" s="288">
        <v>8.1699999999999994E-5</v>
      </c>
      <c r="U88" s="288">
        <v>0</v>
      </c>
      <c r="V88" s="289">
        <v>57.944081699999998</v>
      </c>
      <c r="W88" s="289">
        <v>0</v>
      </c>
      <c r="X88" s="288">
        <v>5.79E-2</v>
      </c>
      <c r="Y88" s="288">
        <v>5.7799999999999997E-2</v>
      </c>
      <c r="Z88" s="288">
        <v>1.4399999999999998E-4</v>
      </c>
      <c r="AA88" s="288">
        <v>8.1699999999999997E-8</v>
      </c>
      <c r="AB88" s="288">
        <v>0</v>
      </c>
      <c r="AC88" s="289">
        <v>5.7944081699999997E-2</v>
      </c>
      <c r="AD88" s="289">
        <v>0</v>
      </c>
    </row>
    <row r="89" spans="1:30" ht="15" customHeight="1" x14ac:dyDescent="0.25">
      <c r="A89" s="282" t="s">
        <v>259</v>
      </c>
      <c r="B89" s="282" t="s">
        <v>259</v>
      </c>
      <c r="C89" s="282" t="s">
        <v>259</v>
      </c>
      <c r="D89" s="283" t="s">
        <v>329</v>
      </c>
      <c r="E89" s="403" t="s">
        <v>273</v>
      </c>
      <c r="F89" s="403" t="s">
        <v>274</v>
      </c>
      <c r="G89" s="284" t="s">
        <v>281</v>
      </c>
      <c r="H89" s="284" t="s">
        <v>275</v>
      </c>
      <c r="I89" s="283">
        <v>1</v>
      </c>
      <c r="J89" s="284" t="s">
        <v>156</v>
      </c>
      <c r="K89" s="283" t="s">
        <v>276</v>
      </c>
      <c r="L89" s="286" t="s">
        <v>158</v>
      </c>
      <c r="M89" s="287">
        <v>2400</v>
      </c>
      <c r="N89" s="287"/>
      <c r="O89" s="287"/>
      <c r="P89" s="287"/>
      <c r="Q89" s="288">
        <v>55.5</v>
      </c>
      <c r="R89" s="288">
        <v>55.4</v>
      </c>
      <c r="S89" s="288">
        <v>0.14199999999999999</v>
      </c>
      <c r="T89" s="288">
        <v>8.6299999999999997E-5</v>
      </c>
      <c r="U89" s="288">
        <v>0</v>
      </c>
      <c r="V89" s="289">
        <v>55.542086300000001</v>
      </c>
      <c r="W89" s="289">
        <v>0</v>
      </c>
      <c r="X89" s="288">
        <v>5.5500000000000001E-2</v>
      </c>
      <c r="Y89" s="288">
        <v>5.5399999999999998E-2</v>
      </c>
      <c r="Z89" s="288">
        <v>1.4199999999999998E-4</v>
      </c>
      <c r="AA89" s="288">
        <v>8.6299999999999999E-8</v>
      </c>
      <c r="AB89" s="288">
        <v>0</v>
      </c>
      <c r="AC89" s="289">
        <v>5.5542086300000001E-2</v>
      </c>
      <c r="AD89" s="289">
        <v>0</v>
      </c>
    </row>
    <row r="90" spans="1:30" ht="15" customHeight="1" x14ac:dyDescent="0.25">
      <c r="A90" s="282" t="s">
        <v>259</v>
      </c>
      <c r="B90" s="282" t="s">
        <v>259</v>
      </c>
      <c r="C90" s="282" t="s">
        <v>259</v>
      </c>
      <c r="D90" s="283" t="s">
        <v>330</v>
      </c>
      <c r="E90" s="403" t="s">
        <v>273</v>
      </c>
      <c r="F90" s="403" t="s">
        <v>274</v>
      </c>
      <c r="G90" s="284" t="s">
        <v>283</v>
      </c>
      <c r="H90" s="284" t="s">
        <v>275</v>
      </c>
      <c r="I90" s="283">
        <v>1</v>
      </c>
      <c r="J90" s="284" t="s">
        <v>156</v>
      </c>
      <c r="K90" s="283" t="s">
        <v>276</v>
      </c>
      <c r="L90" s="286" t="s">
        <v>158</v>
      </c>
      <c r="M90" s="287">
        <v>2400</v>
      </c>
      <c r="N90" s="287"/>
      <c r="O90" s="287"/>
      <c r="P90" s="287"/>
      <c r="Q90" s="288">
        <v>84.7</v>
      </c>
      <c r="R90" s="288">
        <v>84.7</v>
      </c>
      <c r="S90" s="288">
        <v>6.3700000000000007E-2</v>
      </c>
      <c r="T90" s="288">
        <v>1.07E-4</v>
      </c>
      <c r="U90" s="288">
        <v>0</v>
      </c>
      <c r="V90" s="289">
        <v>84.763807</v>
      </c>
      <c r="W90" s="289">
        <v>0</v>
      </c>
      <c r="X90" s="288">
        <v>8.4699999999999998E-2</v>
      </c>
      <c r="Y90" s="288">
        <v>8.4699999999999998E-2</v>
      </c>
      <c r="Z90" s="288">
        <v>6.3700000000000003E-5</v>
      </c>
      <c r="AA90" s="288">
        <v>1.0700000000000001E-7</v>
      </c>
      <c r="AB90" s="288">
        <v>0</v>
      </c>
      <c r="AC90" s="289">
        <v>8.4763806999999997E-2</v>
      </c>
      <c r="AD90" s="289">
        <v>0</v>
      </c>
    </row>
    <row r="91" spans="1:30" ht="15" customHeight="1" x14ac:dyDescent="0.25">
      <c r="A91" s="282" t="s">
        <v>259</v>
      </c>
      <c r="B91" s="282" t="s">
        <v>259</v>
      </c>
      <c r="C91" s="282" t="s">
        <v>259</v>
      </c>
      <c r="D91" s="283" t="s">
        <v>331</v>
      </c>
      <c r="E91" s="403" t="s">
        <v>273</v>
      </c>
      <c r="F91" s="403" t="s">
        <v>274</v>
      </c>
      <c r="G91" s="284" t="s">
        <v>283</v>
      </c>
      <c r="H91" s="284" t="s">
        <v>275</v>
      </c>
      <c r="I91" s="283">
        <v>1</v>
      </c>
      <c r="J91" s="284" t="s">
        <v>156</v>
      </c>
      <c r="K91" s="283" t="s">
        <v>276</v>
      </c>
      <c r="L91" s="286" t="s">
        <v>158</v>
      </c>
      <c r="M91" s="287">
        <v>2400</v>
      </c>
      <c r="N91" s="287"/>
      <c r="O91" s="287"/>
      <c r="P91" s="287"/>
      <c r="Q91" s="288">
        <v>84.7</v>
      </c>
      <c r="R91" s="288">
        <v>84.7</v>
      </c>
      <c r="S91" s="288">
        <v>6.3700000000000007E-2</v>
      </c>
      <c r="T91" s="288">
        <v>1.07E-4</v>
      </c>
      <c r="U91" s="288">
        <v>0</v>
      </c>
      <c r="V91" s="289">
        <v>84.763807</v>
      </c>
      <c r="W91" s="289">
        <v>0</v>
      </c>
      <c r="X91" s="288">
        <v>8.4699999999999998E-2</v>
      </c>
      <c r="Y91" s="288">
        <v>8.4699999999999998E-2</v>
      </c>
      <c r="Z91" s="288">
        <v>6.3700000000000003E-5</v>
      </c>
      <c r="AA91" s="288">
        <v>1.0700000000000001E-7</v>
      </c>
      <c r="AB91" s="288">
        <v>0</v>
      </c>
      <c r="AC91" s="289">
        <v>8.4763806999999997E-2</v>
      </c>
      <c r="AD91" s="289">
        <v>0</v>
      </c>
    </row>
    <row r="92" spans="1:30" ht="15" customHeight="1" x14ac:dyDescent="0.25">
      <c r="A92" s="282" t="s">
        <v>259</v>
      </c>
      <c r="B92" s="282" t="s">
        <v>259</v>
      </c>
      <c r="C92" s="282" t="s">
        <v>259</v>
      </c>
      <c r="D92" s="283" t="s">
        <v>332</v>
      </c>
      <c r="E92" s="403" t="s">
        <v>273</v>
      </c>
      <c r="F92" s="403" t="s">
        <v>274</v>
      </c>
      <c r="G92" s="284" t="s">
        <v>286</v>
      </c>
      <c r="H92" s="284" t="s">
        <v>275</v>
      </c>
      <c r="I92" s="283">
        <v>1</v>
      </c>
      <c r="J92" s="284" t="s">
        <v>156</v>
      </c>
      <c r="K92" s="283" t="s">
        <v>276</v>
      </c>
      <c r="L92" s="286" t="s">
        <v>158</v>
      </c>
      <c r="M92" s="287">
        <v>2400</v>
      </c>
      <c r="N92" s="287"/>
      <c r="O92" s="287"/>
      <c r="P92" s="287"/>
      <c r="Q92" s="288">
        <v>74.900000000000006</v>
      </c>
      <c r="R92" s="288">
        <v>74.900000000000006</v>
      </c>
      <c r="S92" s="288">
        <v>5.6099999999999997E-2</v>
      </c>
      <c r="T92" s="288">
        <v>1.01E-4</v>
      </c>
      <c r="U92" s="288">
        <v>0</v>
      </c>
      <c r="V92" s="289">
        <v>74.956201000000007</v>
      </c>
      <c r="W92" s="289">
        <v>0</v>
      </c>
      <c r="X92" s="288">
        <v>7.4900000000000008E-2</v>
      </c>
      <c r="Y92" s="288">
        <v>7.4900000000000008E-2</v>
      </c>
      <c r="Z92" s="288">
        <v>5.6099999999999995E-5</v>
      </c>
      <c r="AA92" s="288">
        <v>1.01E-7</v>
      </c>
      <c r="AB92" s="288">
        <v>0</v>
      </c>
      <c r="AC92" s="289">
        <v>7.4956201000000014E-2</v>
      </c>
      <c r="AD92" s="289">
        <v>0</v>
      </c>
    </row>
    <row r="93" spans="1:30" ht="15" customHeight="1" x14ac:dyDescent="0.25">
      <c r="A93" s="282" t="s">
        <v>259</v>
      </c>
      <c r="B93" s="282" t="s">
        <v>259</v>
      </c>
      <c r="C93" s="282" t="s">
        <v>259</v>
      </c>
      <c r="D93" s="283" t="s">
        <v>333</v>
      </c>
      <c r="E93" s="403" t="s">
        <v>273</v>
      </c>
      <c r="F93" s="403" t="s">
        <v>274</v>
      </c>
      <c r="G93" s="284" t="s">
        <v>286</v>
      </c>
      <c r="H93" s="284" t="s">
        <v>275</v>
      </c>
      <c r="I93" s="283">
        <v>1</v>
      </c>
      <c r="J93" s="284" t="s">
        <v>156</v>
      </c>
      <c r="K93" s="283" t="s">
        <v>276</v>
      </c>
      <c r="L93" s="286" t="s">
        <v>158</v>
      </c>
      <c r="M93" s="287">
        <v>2400</v>
      </c>
      <c r="N93" s="287"/>
      <c r="O93" s="287"/>
      <c r="P93" s="287"/>
      <c r="Q93" s="288">
        <v>65</v>
      </c>
      <c r="R93" s="288">
        <v>65</v>
      </c>
      <c r="S93" s="288">
        <v>4.8599999999999997E-2</v>
      </c>
      <c r="T93" s="288">
        <v>8.1100000000000006E-5</v>
      </c>
      <c r="U93" s="288">
        <v>0</v>
      </c>
      <c r="V93" s="289">
        <v>65.048681099999996</v>
      </c>
      <c r="W93" s="289">
        <v>0</v>
      </c>
      <c r="X93" s="288">
        <v>6.5000000000000002E-2</v>
      </c>
      <c r="Y93" s="288">
        <v>6.5000000000000002E-2</v>
      </c>
      <c r="Z93" s="288">
        <v>4.8599999999999995E-5</v>
      </c>
      <c r="AA93" s="288">
        <v>8.1100000000000005E-8</v>
      </c>
      <c r="AB93" s="288">
        <v>0</v>
      </c>
      <c r="AC93" s="289">
        <v>6.5048681099999991E-2</v>
      </c>
      <c r="AD93" s="289">
        <v>0</v>
      </c>
    </row>
    <row r="94" spans="1:30" ht="15" customHeight="1" x14ac:dyDescent="0.25">
      <c r="A94" s="282" t="s">
        <v>259</v>
      </c>
      <c r="B94" s="282" t="s">
        <v>259</v>
      </c>
      <c r="C94" s="282" t="s">
        <v>259</v>
      </c>
      <c r="D94" s="283" t="s">
        <v>334</v>
      </c>
      <c r="E94" s="403" t="s">
        <v>273</v>
      </c>
      <c r="F94" s="403" t="s">
        <v>274</v>
      </c>
      <c r="G94" s="284" t="s">
        <v>281</v>
      </c>
      <c r="H94" s="284" t="s">
        <v>275</v>
      </c>
      <c r="I94" s="283">
        <v>1</v>
      </c>
      <c r="J94" s="284" t="s">
        <v>156</v>
      </c>
      <c r="K94" s="283" t="s">
        <v>276</v>
      </c>
      <c r="L94" s="286" t="s">
        <v>158</v>
      </c>
      <c r="M94" s="287">
        <v>2400</v>
      </c>
      <c r="N94" s="287"/>
      <c r="O94" s="287"/>
      <c r="P94" s="287"/>
      <c r="Q94" s="288">
        <v>60.1</v>
      </c>
      <c r="R94" s="288">
        <v>60</v>
      </c>
      <c r="S94" s="288">
        <v>0.14299999999999999</v>
      </c>
      <c r="T94" s="288">
        <v>9.6899999999999997E-5</v>
      </c>
      <c r="U94" s="288">
        <v>0</v>
      </c>
      <c r="V94" s="289">
        <v>60.143096900000003</v>
      </c>
      <c r="W94" s="289">
        <v>0</v>
      </c>
      <c r="X94" s="288">
        <v>6.0100000000000001E-2</v>
      </c>
      <c r="Y94" s="288">
        <v>0.06</v>
      </c>
      <c r="Z94" s="288">
        <v>1.4299999999999998E-4</v>
      </c>
      <c r="AA94" s="288">
        <v>9.6900000000000001E-8</v>
      </c>
      <c r="AB94" s="288">
        <v>0</v>
      </c>
      <c r="AC94" s="289">
        <v>6.0143096899999998E-2</v>
      </c>
      <c r="AD94" s="289">
        <v>0</v>
      </c>
    </row>
    <row r="95" spans="1:30" ht="15" customHeight="1" x14ac:dyDescent="0.25">
      <c r="A95" s="282" t="s">
        <v>259</v>
      </c>
      <c r="B95" s="282" t="s">
        <v>259</v>
      </c>
      <c r="C95" s="282" t="s">
        <v>259</v>
      </c>
      <c r="D95" s="283" t="s">
        <v>335</v>
      </c>
      <c r="E95" s="403" t="s">
        <v>273</v>
      </c>
      <c r="F95" s="403" t="s">
        <v>274</v>
      </c>
      <c r="G95" s="284" t="s">
        <v>264</v>
      </c>
      <c r="H95" s="284" t="s">
        <v>275</v>
      </c>
      <c r="I95" s="283">
        <v>1</v>
      </c>
      <c r="J95" s="284" t="s">
        <v>156</v>
      </c>
      <c r="K95" s="283" t="s">
        <v>276</v>
      </c>
      <c r="L95" s="286" t="s">
        <v>158</v>
      </c>
      <c r="M95" s="287">
        <v>2400</v>
      </c>
      <c r="N95" s="287"/>
      <c r="O95" s="287"/>
      <c r="P95" s="287"/>
      <c r="Q95" s="288">
        <v>79.3</v>
      </c>
      <c r="R95" s="288">
        <v>79.3</v>
      </c>
      <c r="S95" s="288">
        <v>5.6300000000000003E-2</v>
      </c>
      <c r="T95" s="288">
        <v>1.16E-4</v>
      </c>
      <c r="U95" s="288">
        <v>0</v>
      </c>
      <c r="V95" s="289">
        <v>79.356415999999996</v>
      </c>
      <c r="W95" s="289">
        <v>0</v>
      </c>
      <c r="X95" s="288">
        <v>7.9299999999999995E-2</v>
      </c>
      <c r="Y95" s="288">
        <v>7.9299999999999995E-2</v>
      </c>
      <c r="Z95" s="288">
        <v>5.63E-5</v>
      </c>
      <c r="AA95" s="288">
        <v>1.1600000000000001E-7</v>
      </c>
      <c r="AB95" s="288">
        <v>0</v>
      </c>
      <c r="AC95" s="289">
        <v>7.9356415999999985E-2</v>
      </c>
      <c r="AD95" s="289">
        <v>0</v>
      </c>
    </row>
    <row r="96" spans="1:30" ht="15" customHeight="1" x14ac:dyDescent="0.25">
      <c r="A96" s="282" t="s">
        <v>259</v>
      </c>
      <c r="B96" s="282" t="s">
        <v>259</v>
      </c>
      <c r="C96" s="282" t="s">
        <v>259</v>
      </c>
      <c r="D96" s="283" t="s">
        <v>336</v>
      </c>
      <c r="E96" s="403" t="s">
        <v>273</v>
      </c>
      <c r="F96" s="403" t="s">
        <v>274</v>
      </c>
      <c r="G96" s="284" t="s">
        <v>281</v>
      </c>
      <c r="H96" s="284" t="s">
        <v>275</v>
      </c>
      <c r="I96" s="283">
        <v>1</v>
      </c>
      <c r="J96" s="284" t="s">
        <v>156</v>
      </c>
      <c r="K96" s="283" t="s">
        <v>276</v>
      </c>
      <c r="L96" s="286" t="s">
        <v>158</v>
      </c>
      <c r="M96" s="287">
        <v>2400</v>
      </c>
      <c r="N96" s="287"/>
      <c r="O96" s="287"/>
      <c r="P96" s="287"/>
      <c r="Q96" s="288">
        <v>61.1</v>
      </c>
      <c r="R96" s="288">
        <v>61</v>
      </c>
      <c r="S96" s="288">
        <v>0.14299999999999999</v>
      </c>
      <c r="T96" s="288">
        <v>8.7200000000000005E-5</v>
      </c>
      <c r="U96" s="288">
        <v>0</v>
      </c>
      <c r="V96" s="289">
        <v>61.143087200000004</v>
      </c>
      <c r="W96" s="289">
        <v>0</v>
      </c>
      <c r="X96" s="288">
        <v>6.1100000000000002E-2</v>
      </c>
      <c r="Y96" s="288">
        <v>6.0999999999999999E-2</v>
      </c>
      <c r="Z96" s="288">
        <v>1.4299999999999998E-4</v>
      </c>
      <c r="AA96" s="288">
        <v>8.72E-8</v>
      </c>
      <c r="AB96" s="288">
        <v>0</v>
      </c>
      <c r="AC96" s="289">
        <v>6.1143087199999994E-2</v>
      </c>
      <c r="AD96" s="289">
        <v>0</v>
      </c>
    </row>
    <row r="97" spans="1:30" ht="15" customHeight="1" x14ac:dyDescent="0.25">
      <c r="A97" s="282" t="s">
        <v>259</v>
      </c>
      <c r="B97" s="282" t="s">
        <v>259</v>
      </c>
      <c r="C97" s="282" t="s">
        <v>259</v>
      </c>
      <c r="D97" s="283" t="s">
        <v>337</v>
      </c>
      <c r="E97" s="403" t="s">
        <v>273</v>
      </c>
      <c r="F97" s="403" t="s">
        <v>274</v>
      </c>
      <c r="G97" s="284" t="s">
        <v>264</v>
      </c>
      <c r="H97" s="284" t="s">
        <v>275</v>
      </c>
      <c r="I97" s="283">
        <v>1</v>
      </c>
      <c r="J97" s="284" t="s">
        <v>156</v>
      </c>
      <c r="K97" s="283" t="s">
        <v>276</v>
      </c>
      <c r="L97" s="286" t="s">
        <v>158</v>
      </c>
      <c r="M97" s="287">
        <v>2400</v>
      </c>
      <c r="N97" s="287"/>
      <c r="O97" s="287"/>
      <c r="P97" s="287"/>
      <c r="Q97" s="288">
        <v>87.1</v>
      </c>
      <c r="R97" s="288">
        <v>87.1</v>
      </c>
      <c r="S97" s="288">
        <v>6.0999999999999999E-2</v>
      </c>
      <c r="T97" s="288">
        <v>1.3100000000000001E-4</v>
      </c>
      <c r="U97" s="288">
        <v>0</v>
      </c>
      <c r="V97" s="289">
        <v>87.161130999999997</v>
      </c>
      <c r="W97" s="289">
        <v>0</v>
      </c>
      <c r="X97" s="288">
        <v>8.7099999999999997E-2</v>
      </c>
      <c r="Y97" s="288">
        <v>8.7099999999999997E-2</v>
      </c>
      <c r="Z97" s="288">
        <v>6.0999999999999999E-5</v>
      </c>
      <c r="AA97" s="288">
        <v>1.3100000000000002E-7</v>
      </c>
      <c r="AB97" s="288">
        <v>0</v>
      </c>
      <c r="AC97" s="289">
        <v>8.7161131000000003E-2</v>
      </c>
      <c r="AD97" s="289">
        <v>0</v>
      </c>
    </row>
    <row r="98" spans="1:30" ht="15" customHeight="1" x14ac:dyDescent="0.25">
      <c r="A98" s="282" t="s">
        <v>259</v>
      </c>
      <c r="B98" s="282" t="s">
        <v>259</v>
      </c>
      <c r="C98" s="282" t="s">
        <v>259</v>
      </c>
      <c r="D98" s="283" t="s">
        <v>338</v>
      </c>
      <c r="E98" s="403" t="s">
        <v>273</v>
      </c>
      <c r="F98" s="403" t="s">
        <v>274</v>
      </c>
      <c r="G98" s="284" t="s">
        <v>283</v>
      </c>
      <c r="H98" s="284" t="s">
        <v>275</v>
      </c>
      <c r="I98" s="283">
        <v>1</v>
      </c>
      <c r="J98" s="284" t="s">
        <v>156</v>
      </c>
      <c r="K98" s="283" t="s">
        <v>276</v>
      </c>
      <c r="L98" s="286" t="s">
        <v>158</v>
      </c>
      <c r="M98" s="287">
        <v>2400</v>
      </c>
      <c r="N98" s="287"/>
      <c r="O98" s="287"/>
      <c r="P98" s="287"/>
      <c r="Q98" s="288">
        <v>76.7</v>
      </c>
      <c r="R98" s="288">
        <v>76.7</v>
      </c>
      <c r="S98" s="288">
        <v>5.3600000000000002E-2</v>
      </c>
      <c r="T98" s="288">
        <v>1.08E-4</v>
      </c>
      <c r="U98" s="288">
        <v>0</v>
      </c>
      <c r="V98" s="289">
        <v>76.753708000000003</v>
      </c>
      <c r="W98" s="289">
        <v>0</v>
      </c>
      <c r="X98" s="288">
        <v>7.6700000000000004E-2</v>
      </c>
      <c r="Y98" s="288">
        <v>7.6700000000000004E-2</v>
      </c>
      <c r="Z98" s="288">
        <v>5.3600000000000002E-5</v>
      </c>
      <c r="AA98" s="288">
        <v>1.08E-7</v>
      </c>
      <c r="AB98" s="288">
        <v>0</v>
      </c>
      <c r="AC98" s="289">
        <v>7.6753708000000004E-2</v>
      </c>
      <c r="AD98" s="289">
        <v>0</v>
      </c>
    </row>
    <row r="99" spans="1:30" ht="15" customHeight="1" x14ac:dyDescent="0.25">
      <c r="A99" s="282" t="s">
        <v>259</v>
      </c>
      <c r="B99" s="282" t="s">
        <v>259</v>
      </c>
      <c r="C99" s="282" t="s">
        <v>259</v>
      </c>
      <c r="D99" s="283" t="s">
        <v>339</v>
      </c>
      <c r="E99" s="403" t="s">
        <v>262</v>
      </c>
      <c r="F99" s="403" t="s">
        <v>263</v>
      </c>
      <c r="G99" s="284" t="s">
        <v>286</v>
      </c>
      <c r="H99" s="284" t="s">
        <v>287</v>
      </c>
      <c r="I99" s="283">
        <v>1</v>
      </c>
      <c r="J99" s="284" t="s">
        <v>156</v>
      </c>
      <c r="K99" s="283" t="s">
        <v>288</v>
      </c>
      <c r="L99" s="286" t="s">
        <v>158</v>
      </c>
      <c r="M99" s="287">
        <v>2400</v>
      </c>
      <c r="N99" s="287"/>
      <c r="O99" s="287"/>
      <c r="P99" s="287"/>
      <c r="Q99" s="288">
        <v>73.2</v>
      </c>
      <c r="R99" s="288">
        <v>73.2</v>
      </c>
      <c r="S99" s="288">
        <v>4.9099999999999998E-2</v>
      </c>
      <c r="T99" s="288">
        <v>2.42E-4</v>
      </c>
      <c r="U99" s="288">
        <v>0</v>
      </c>
      <c r="V99" s="289">
        <v>73.249341999999999</v>
      </c>
      <c r="W99" s="289">
        <v>0</v>
      </c>
      <c r="X99" s="288">
        <v>7.3200000000000001E-2</v>
      </c>
      <c r="Y99" s="288">
        <v>7.3200000000000001E-2</v>
      </c>
      <c r="Z99" s="288">
        <v>4.9100000000000001E-5</v>
      </c>
      <c r="AA99" s="288">
        <v>2.4200000000000002E-7</v>
      </c>
      <c r="AB99" s="288">
        <v>0</v>
      </c>
      <c r="AC99" s="289">
        <v>7.3249341999999995E-2</v>
      </c>
      <c r="AD99" s="289">
        <v>0</v>
      </c>
    </row>
    <row r="100" spans="1:30" ht="15" customHeight="1" x14ac:dyDescent="0.25">
      <c r="A100" s="282" t="s">
        <v>259</v>
      </c>
      <c r="B100" s="282" t="s">
        <v>259</v>
      </c>
      <c r="C100" s="282" t="s">
        <v>259</v>
      </c>
      <c r="D100" s="283" t="s">
        <v>340</v>
      </c>
      <c r="E100" s="403" t="s">
        <v>273</v>
      </c>
      <c r="F100" s="403" t="s">
        <v>274</v>
      </c>
      <c r="G100" s="284" t="s">
        <v>283</v>
      </c>
      <c r="H100" s="284" t="s">
        <v>275</v>
      </c>
      <c r="I100" s="283">
        <v>1</v>
      </c>
      <c r="J100" s="284" t="s">
        <v>156</v>
      </c>
      <c r="K100" s="283" t="s">
        <v>276</v>
      </c>
      <c r="L100" s="286" t="s">
        <v>158</v>
      </c>
      <c r="M100" s="287">
        <v>2400</v>
      </c>
      <c r="N100" s="287"/>
      <c r="O100" s="287"/>
      <c r="P100" s="287"/>
      <c r="Q100" s="288">
        <v>74.400000000000006</v>
      </c>
      <c r="R100" s="288">
        <v>74.400000000000006</v>
      </c>
      <c r="S100" s="288">
        <v>4.9799999999999997E-2</v>
      </c>
      <c r="T100" s="288">
        <v>9.0000000000000006E-5</v>
      </c>
      <c r="U100" s="288">
        <v>0</v>
      </c>
      <c r="V100" s="289">
        <v>74.449890000000011</v>
      </c>
      <c r="W100" s="289">
        <v>0</v>
      </c>
      <c r="X100" s="288">
        <v>7.4400000000000008E-2</v>
      </c>
      <c r="Y100" s="288">
        <v>7.4400000000000008E-2</v>
      </c>
      <c r="Z100" s="288">
        <v>4.9799999999999998E-5</v>
      </c>
      <c r="AA100" s="288">
        <v>9.0000000000000012E-8</v>
      </c>
      <c r="AB100" s="288">
        <v>0</v>
      </c>
      <c r="AC100" s="289">
        <v>7.4449890000000005E-2</v>
      </c>
      <c r="AD100" s="289">
        <v>0</v>
      </c>
    </row>
    <row r="101" spans="1:30" ht="15" customHeight="1" x14ac:dyDescent="0.25">
      <c r="A101" s="282" t="s">
        <v>259</v>
      </c>
      <c r="B101" s="282" t="s">
        <v>259</v>
      </c>
      <c r="C101" s="282" t="s">
        <v>259</v>
      </c>
      <c r="D101" s="283" t="s">
        <v>341</v>
      </c>
      <c r="E101" s="403" t="s">
        <v>273</v>
      </c>
      <c r="F101" s="403" t="s">
        <v>274</v>
      </c>
      <c r="G101" s="284" t="s">
        <v>283</v>
      </c>
      <c r="H101" s="284" t="s">
        <v>275</v>
      </c>
      <c r="I101" s="283">
        <v>1</v>
      </c>
      <c r="J101" s="284" t="s">
        <v>156</v>
      </c>
      <c r="K101" s="283" t="s">
        <v>276</v>
      </c>
      <c r="L101" s="286" t="s">
        <v>158</v>
      </c>
      <c r="M101" s="287">
        <v>2400</v>
      </c>
      <c r="N101" s="287"/>
      <c r="O101" s="287"/>
      <c r="P101" s="287"/>
      <c r="Q101" s="288">
        <v>64.599999999999994</v>
      </c>
      <c r="R101" s="288">
        <v>64.599999999999994</v>
      </c>
      <c r="S101" s="288">
        <v>4.3200000000000002E-2</v>
      </c>
      <c r="T101" s="288">
        <v>9.6700000000000006E-5</v>
      </c>
      <c r="U101" s="288">
        <v>0</v>
      </c>
      <c r="V101" s="289">
        <v>64.643296699999993</v>
      </c>
      <c r="W101" s="289">
        <v>0</v>
      </c>
      <c r="X101" s="288">
        <v>6.4599999999999991E-2</v>
      </c>
      <c r="Y101" s="288">
        <v>6.4599999999999991E-2</v>
      </c>
      <c r="Z101" s="288">
        <v>4.32E-5</v>
      </c>
      <c r="AA101" s="288">
        <v>9.6700000000000012E-8</v>
      </c>
      <c r="AB101" s="288">
        <v>0</v>
      </c>
      <c r="AC101" s="289">
        <v>6.4643296699999978E-2</v>
      </c>
      <c r="AD101" s="289">
        <v>0</v>
      </c>
    </row>
    <row r="102" spans="1:30" ht="15" customHeight="1" x14ac:dyDescent="0.25">
      <c r="A102" s="282" t="s">
        <v>259</v>
      </c>
      <c r="B102" s="282" t="s">
        <v>259</v>
      </c>
      <c r="C102" s="282" t="s">
        <v>259</v>
      </c>
      <c r="D102" s="283" t="s">
        <v>342</v>
      </c>
      <c r="E102" s="403" t="s">
        <v>262</v>
      </c>
      <c r="F102" s="403" t="s">
        <v>263</v>
      </c>
      <c r="G102" s="284" t="s">
        <v>264</v>
      </c>
      <c r="H102" s="284" t="s">
        <v>265</v>
      </c>
      <c r="I102" s="283">
        <v>1</v>
      </c>
      <c r="J102" s="284" t="s">
        <v>156</v>
      </c>
      <c r="K102" s="283" t="s">
        <v>266</v>
      </c>
      <c r="L102" s="286" t="s">
        <v>158</v>
      </c>
      <c r="M102" s="287">
        <v>2400</v>
      </c>
      <c r="N102" s="287"/>
      <c r="O102" s="287"/>
      <c r="P102" s="287"/>
      <c r="Q102" s="288">
        <v>63.3</v>
      </c>
      <c r="R102" s="288">
        <v>63.3</v>
      </c>
      <c r="S102" s="288">
        <v>4.1799999999999997E-2</v>
      </c>
      <c r="T102" s="288">
        <v>1.07E-4</v>
      </c>
      <c r="U102" s="288">
        <v>0</v>
      </c>
      <c r="V102" s="289">
        <v>63.341906999999999</v>
      </c>
      <c r="W102" s="289">
        <v>0</v>
      </c>
      <c r="X102" s="288">
        <v>6.3299999999999995E-2</v>
      </c>
      <c r="Y102" s="288">
        <v>6.3299999999999995E-2</v>
      </c>
      <c r="Z102" s="288">
        <v>4.18E-5</v>
      </c>
      <c r="AA102" s="288">
        <v>1.0700000000000001E-7</v>
      </c>
      <c r="AB102" s="288">
        <v>0</v>
      </c>
      <c r="AC102" s="289">
        <v>6.3341906999999989E-2</v>
      </c>
      <c r="AD102" s="289">
        <v>0</v>
      </c>
    </row>
    <row r="103" spans="1:30" ht="15" customHeight="1" x14ac:dyDescent="0.25">
      <c r="A103" s="282" t="s">
        <v>259</v>
      </c>
      <c r="B103" s="282" t="s">
        <v>259</v>
      </c>
      <c r="C103" s="282" t="s">
        <v>259</v>
      </c>
      <c r="D103" s="283" t="s">
        <v>343</v>
      </c>
      <c r="E103" s="403" t="s">
        <v>262</v>
      </c>
      <c r="F103" s="403" t="s">
        <v>263</v>
      </c>
      <c r="G103" s="284" t="s">
        <v>264</v>
      </c>
      <c r="H103" s="284" t="s">
        <v>265</v>
      </c>
      <c r="I103" s="283">
        <v>1</v>
      </c>
      <c r="J103" s="284" t="s">
        <v>156</v>
      </c>
      <c r="K103" s="283" t="s">
        <v>266</v>
      </c>
      <c r="L103" s="286" t="s">
        <v>158</v>
      </c>
      <c r="M103" s="287">
        <v>2400</v>
      </c>
      <c r="N103" s="287"/>
      <c r="O103" s="287"/>
      <c r="P103" s="287"/>
      <c r="Q103" s="288">
        <v>54.3</v>
      </c>
      <c r="R103" s="288">
        <v>54.3</v>
      </c>
      <c r="S103" s="288">
        <v>3.5499999999999997E-2</v>
      </c>
      <c r="T103" s="288">
        <v>6.8499999999999998E-5</v>
      </c>
      <c r="U103" s="288">
        <v>0</v>
      </c>
      <c r="V103" s="289">
        <v>54.335568499999994</v>
      </c>
      <c r="W103" s="289">
        <v>0</v>
      </c>
      <c r="X103" s="288">
        <v>5.4299999999999994E-2</v>
      </c>
      <c r="Y103" s="288">
        <v>5.4299999999999994E-2</v>
      </c>
      <c r="Z103" s="288">
        <v>3.5499999999999996E-5</v>
      </c>
      <c r="AA103" s="288">
        <v>6.8499999999999998E-8</v>
      </c>
      <c r="AB103" s="288">
        <v>0</v>
      </c>
      <c r="AC103" s="289">
        <v>5.4335568499999994E-2</v>
      </c>
      <c r="AD103" s="289">
        <v>0</v>
      </c>
    </row>
    <row r="104" spans="1:30" ht="15" customHeight="1" x14ac:dyDescent="0.25">
      <c r="A104" s="282" t="s">
        <v>259</v>
      </c>
      <c r="B104" s="282" t="s">
        <v>259</v>
      </c>
      <c r="C104" s="282" t="s">
        <v>259</v>
      </c>
      <c r="D104" s="283" t="s">
        <v>344</v>
      </c>
      <c r="E104" s="403" t="s">
        <v>273</v>
      </c>
      <c r="F104" s="403" t="s">
        <v>274</v>
      </c>
      <c r="G104" s="284" t="s">
        <v>264</v>
      </c>
      <c r="H104" s="284" t="s">
        <v>275</v>
      </c>
      <c r="I104" s="283">
        <v>1</v>
      </c>
      <c r="J104" s="284" t="s">
        <v>156</v>
      </c>
      <c r="K104" s="283" t="s">
        <v>276</v>
      </c>
      <c r="L104" s="286" t="s">
        <v>158</v>
      </c>
      <c r="M104" s="287">
        <v>2400</v>
      </c>
      <c r="N104" s="287"/>
      <c r="O104" s="287"/>
      <c r="P104" s="287"/>
      <c r="Q104" s="288">
        <v>85</v>
      </c>
      <c r="R104" s="288">
        <v>85</v>
      </c>
      <c r="S104" s="288">
        <v>5.5399999999999998E-2</v>
      </c>
      <c r="T104" s="288">
        <v>1E-4</v>
      </c>
      <c r="U104" s="288">
        <v>0</v>
      </c>
      <c r="V104" s="289">
        <v>85.055500000000009</v>
      </c>
      <c r="W104" s="289">
        <v>0</v>
      </c>
      <c r="X104" s="288">
        <v>8.5000000000000006E-2</v>
      </c>
      <c r="Y104" s="288">
        <v>8.5000000000000006E-2</v>
      </c>
      <c r="Z104" s="288">
        <v>5.5399999999999998E-5</v>
      </c>
      <c r="AA104" s="288">
        <v>1.0000000000000001E-7</v>
      </c>
      <c r="AB104" s="288">
        <v>0</v>
      </c>
      <c r="AC104" s="289">
        <v>8.5055500000000006E-2</v>
      </c>
      <c r="AD104" s="289">
        <v>0</v>
      </c>
    </row>
    <row r="105" spans="1:30" ht="15" customHeight="1" x14ac:dyDescent="0.25">
      <c r="A105" s="282" t="s">
        <v>259</v>
      </c>
      <c r="B105" s="282" t="s">
        <v>259</v>
      </c>
      <c r="C105" s="282" t="s">
        <v>259</v>
      </c>
      <c r="D105" s="283" t="s">
        <v>345</v>
      </c>
      <c r="E105" s="403" t="s">
        <v>273</v>
      </c>
      <c r="F105" s="403" t="s">
        <v>274</v>
      </c>
      <c r="G105" s="284" t="s">
        <v>264</v>
      </c>
      <c r="H105" s="284" t="s">
        <v>275</v>
      </c>
      <c r="I105" s="283">
        <v>1</v>
      </c>
      <c r="J105" s="284" t="s">
        <v>156</v>
      </c>
      <c r="K105" s="283" t="s">
        <v>276</v>
      </c>
      <c r="L105" s="286" t="s">
        <v>158</v>
      </c>
      <c r="M105" s="287">
        <v>2400</v>
      </c>
      <c r="N105" s="287"/>
      <c r="O105" s="287"/>
      <c r="P105" s="287"/>
      <c r="Q105" s="288">
        <v>86.2</v>
      </c>
      <c r="R105" s="288">
        <v>86.2</v>
      </c>
      <c r="S105" s="288">
        <v>5.5300000000000002E-2</v>
      </c>
      <c r="T105" s="288">
        <v>1.02E-4</v>
      </c>
      <c r="U105" s="288">
        <v>0</v>
      </c>
      <c r="V105" s="289">
        <v>86.255402000000004</v>
      </c>
      <c r="W105" s="289">
        <v>0</v>
      </c>
      <c r="X105" s="288">
        <v>8.6199999999999999E-2</v>
      </c>
      <c r="Y105" s="288">
        <v>8.6199999999999999E-2</v>
      </c>
      <c r="Z105" s="288">
        <v>5.5300000000000002E-5</v>
      </c>
      <c r="AA105" s="288">
        <v>1.02E-7</v>
      </c>
      <c r="AB105" s="288">
        <v>0</v>
      </c>
      <c r="AC105" s="289">
        <v>8.6255401999999995E-2</v>
      </c>
      <c r="AD105" s="289">
        <v>0</v>
      </c>
    </row>
    <row r="106" spans="1:30" ht="15" customHeight="1" x14ac:dyDescent="0.25">
      <c r="A106" s="282" t="s">
        <v>259</v>
      </c>
      <c r="B106" s="282" t="s">
        <v>259</v>
      </c>
      <c r="C106" s="282" t="s">
        <v>259</v>
      </c>
      <c r="D106" s="283" t="s">
        <v>346</v>
      </c>
      <c r="E106" s="403" t="s">
        <v>262</v>
      </c>
      <c r="F106" s="403" t="s">
        <v>263</v>
      </c>
      <c r="G106" s="284" t="s">
        <v>264</v>
      </c>
      <c r="H106" s="284" t="s">
        <v>265</v>
      </c>
      <c r="I106" s="283">
        <v>1</v>
      </c>
      <c r="J106" s="284" t="s">
        <v>156</v>
      </c>
      <c r="K106" s="283" t="s">
        <v>266</v>
      </c>
      <c r="L106" s="286" t="s">
        <v>158</v>
      </c>
      <c r="M106" s="287">
        <v>2400</v>
      </c>
      <c r="N106" s="287"/>
      <c r="O106" s="287"/>
      <c r="P106" s="287"/>
      <c r="Q106" s="288">
        <v>55.7</v>
      </c>
      <c r="R106" s="288">
        <v>55.7</v>
      </c>
      <c r="S106" s="288">
        <v>3.5200000000000002E-2</v>
      </c>
      <c r="T106" s="288">
        <v>7.3800000000000005E-5</v>
      </c>
      <c r="U106" s="288">
        <v>0</v>
      </c>
      <c r="V106" s="289">
        <v>55.735273800000009</v>
      </c>
      <c r="W106" s="289">
        <v>0</v>
      </c>
      <c r="X106" s="288">
        <v>5.57E-2</v>
      </c>
      <c r="Y106" s="288">
        <v>5.57E-2</v>
      </c>
      <c r="Z106" s="288">
        <v>3.5200000000000002E-5</v>
      </c>
      <c r="AA106" s="288">
        <v>7.3799999999999999E-8</v>
      </c>
      <c r="AB106" s="288">
        <v>0</v>
      </c>
      <c r="AC106" s="289">
        <v>5.5735273799999999E-2</v>
      </c>
      <c r="AD106" s="289">
        <v>0</v>
      </c>
    </row>
    <row r="107" spans="1:30" ht="15" customHeight="1" x14ac:dyDescent="0.25">
      <c r="A107" s="282" t="s">
        <v>259</v>
      </c>
      <c r="B107" s="282" t="s">
        <v>259</v>
      </c>
      <c r="C107" s="282" t="s">
        <v>259</v>
      </c>
      <c r="D107" s="283" t="s">
        <v>347</v>
      </c>
      <c r="E107" s="403" t="s">
        <v>273</v>
      </c>
      <c r="F107" s="403" t="s">
        <v>274</v>
      </c>
      <c r="G107" s="284" t="s">
        <v>286</v>
      </c>
      <c r="H107" s="284" t="s">
        <v>275</v>
      </c>
      <c r="I107" s="283">
        <v>1</v>
      </c>
      <c r="J107" s="284" t="s">
        <v>156</v>
      </c>
      <c r="K107" s="283" t="s">
        <v>276</v>
      </c>
      <c r="L107" s="286" t="s">
        <v>158</v>
      </c>
      <c r="M107" s="287">
        <v>2400</v>
      </c>
      <c r="N107" s="287"/>
      <c r="O107" s="287"/>
      <c r="P107" s="287"/>
      <c r="Q107" s="288">
        <v>71.400000000000006</v>
      </c>
      <c r="R107" s="288">
        <v>71.099999999999994</v>
      </c>
      <c r="S107" s="288">
        <v>0.34399999999999997</v>
      </c>
      <c r="T107" s="288">
        <v>6.6500000000000001E-4</v>
      </c>
      <c r="U107" s="288">
        <v>0</v>
      </c>
      <c r="V107" s="289">
        <v>71.444664999999986</v>
      </c>
      <c r="W107" s="289">
        <v>0</v>
      </c>
      <c r="X107" s="288">
        <v>7.1400000000000005E-2</v>
      </c>
      <c r="Y107" s="288">
        <v>7.1099999999999997E-2</v>
      </c>
      <c r="Z107" s="288">
        <v>3.4399999999999996E-4</v>
      </c>
      <c r="AA107" s="288">
        <v>6.6499999999999999E-7</v>
      </c>
      <c r="AB107" s="288">
        <v>0</v>
      </c>
      <c r="AC107" s="289">
        <v>7.1444664999999991E-2</v>
      </c>
      <c r="AD107" s="289">
        <v>0</v>
      </c>
    </row>
    <row r="108" spans="1:30" ht="15" customHeight="1" x14ac:dyDescent="0.25">
      <c r="A108" s="282" t="s">
        <v>259</v>
      </c>
      <c r="B108" s="282" t="s">
        <v>259</v>
      </c>
      <c r="C108" s="282" t="s">
        <v>259</v>
      </c>
      <c r="D108" s="283" t="s">
        <v>348</v>
      </c>
      <c r="E108" s="403" t="s">
        <v>273</v>
      </c>
      <c r="F108" s="403" t="s">
        <v>274</v>
      </c>
      <c r="G108" s="284" t="s">
        <v>286</v>
      </c>
      <c r="H108" s="284" t="s">
        <v>275</v>
      </c>
      <c r="I108" s="283">
        <v>1</v>
      </c>
      <c r="J108" s="284" t="s">
        <v>156</v>
      </c>
      <c r="K108" s="283" t="s">
        <v>276</v>
      </c>
      <c r="L108" s="286" t="s">
        <v>158</v>
      </c>
      <c r="M108" s="287">
        <v>2400</v>
      </c>
      <c r="N108" s="287"/>
      <c r="O108" s="287"/>
      <c r="P108" s="287"/>
      <c r="Q108" s="288">
        <v>76.3</v>
      </c>
      <c r="R108" s="288">
        <v>76</v>
      </c>
      <c r="S108" s="288">
        <v>0.34599999999999997</v>
      </c>
      <c r="T108" s="288">
        <v>6.8400000000000004E-4</v>
      </c>
      <c r="U108" s="288">
        <v>0</v>
      </c>
      <c r="V108" s="289">
        <v>76.34668400000001</v>
      </c>
      <c r="W108" s="289">
        <v>0</v>
      </c>
      <c r="X108" s="288">
        <v>7.6299999999999993E-2</v>
      </c>
      <c r="Y108" s="288">
        <v>7.5999999999999998E-2</v>
      </c>
      <c r="Z108" s="288">
        <v>3.4599999999999995E-4</v>
      </c>
      <c r="AA108" s="288">
        <v>6.8400000000000004E-7</v>
      </c>
      <c r="AB108" s="288">
        <v>0</v>
      </c>
      <c r="AC108" s="289">
        <v>7.6346683999999998E-2</v>
      </c>
      <c r="AD108" s="289">
        <v>0</v>
      </c>
    </row>
    <row r="109" spans="1:30" ht="15" customHeight="1" x14ac:dyDescent="0.25">
      <c r="A109" s="282" t="s">
        <v>259</v>
      </c>
      <c r="B109" s="282" t="s">
        <v>259</v>
      </c>
      <c r="C109" s="282" t="s">
        <v>259</v>
      </c>
      <c r="D109" s="283" t="s">
        <v>349</v>
      </c>
      <c r="E109" s="403" t="s">
        <v>273</v>
      </c>
      <c r="F109" s="403" t="s">
        <v>274</v>
      </c>
      <c r="G109" s="284" t="s">
        <v>283</v>
      </c>
      <c r="H109" s="284" t="s">
        <v>275</v>
      </c>
      <c r="I109" s="283">
        <v>1</v>
      </c>
      <c r="J109" s="284" t="s">
        <v>156</v>
      </c>
      <c r="K109" s="283" t="s">
        <v>276</v>
      </c>
      <c r="L109" s="286" t="s">
        <v>158</v>
      </c>
      <c r="M109" s="287">
        <v>2400</v>
      </c>
      <c r="N109" s="287"/>
      <c r="O109" s="287"/>
      <c r="P109" s="287"/>
      <c r="Q109" s="288">
        <v>75.900000000000006</v>
      </c>
      <c r="R109" s="288">
        <v>75.900000000000006</v>
      </c>
      <c r="S109" s="288">
        <v>4.4499999999999998E-2</v>
      </c>
      <c r="T109" s="288">
        <v>9.1000000000000003E-5</v>
      </c>
      <c r="U109" s="288">
        <v>0</v>
      </c>
      <c r="V109" s="289">
        <v>75.944591000000003</v>
      </c>
      <c r="W109" s="289">
        <v>0</v>
      </c>
      <c r="X109" s="288">
        <v>7.5900000000000009E-2</v>
      </c>
      <c r="Y109" s="288">
        <v>7.5900000000000009E-2</v>
      </c>
      <c r="Z109" s="288">
        <v>4.4499999999999997E-5</v>
      </c>
      <c r="AA109" s="288">
        <v>9.1000000000000008E-8</v>
      </c>
      <c r="AB109" s="288">
        <v>0</v>
      </c>
      <c r="AC109" s="289">
        <v>7.5944591000000006E-2</v>
      </c>
      <c r="AD109" s="289">
        <v>0</v>
      </c>
    </row>
    <row r="110" spans="1:30" ht="15" customHeight="1" x14ac:dyDescent="0.25">
      <c r="A110" s="282" t="s">
        <v>259</v>
      </c>
      <c r="B110" s="282" t="s">
        <v>259</v>
      </c>
      <c r="C110" s="282" t="s">
        <v>259</v>
      </c>
      <c r="D110" s="283" t="s">
        <v>350</v>
      </c>
      <c r="E110" s="403" t="s">
        <v>262</v>
      </c>
      <c r="F110" s="403" t="s">
        <v>263</v>
      </c>
      <c r="G110" s="284" t="s">
        <v>264</v>
      </c>
      <c r="H110" s="284" t="s">
        <v>265</v>
      </c>
      <c r="I110" s="283">
        <v>1</v>
      </c>
      <c r="J110" s="284" t="s">
        <v>156</v>
      </c>
      <c r="K110" s="283" t="s">
        <v>266</v>
      </c>
      <c r="L110" s="286" t="s">
        <v>158</v>
      </c>
      <c r="M110" s="287">
        <v>2400</v>
      </c>
      <c r="N110" s="287"/>
      <c r="O110" s="287"/>
      <c r="P110" s="287"/>
      <c r="Q110" s="288">
        <v>61.1</v>
      </c>
      <c r="R110" s="288">
        <v>61.1</v>
      </c>
      <c r="S110" s="288">
        <v>3.5299999999999998E-2</v>
      </c>
      <c r="T110" s="288">
        <v>9.09E-5</v>
      </c>
      <c r="U110" s="288">
        <v>0</v>
      </c>
      <c r="V110" s="289">
        <v>61.135390899999997</v>
      </c>
      <c r="W110" s="289">
        <v>0</v>
      </c>
      <c r="X110" s="288">
        <v>6.1100000000000002E-2</v>
      </c>
      <c r="Y110" s="288">
        <v>6.1100000000000002E-2</v>
      </c>
      <c r="Z110" s="288">
        <v>3.5299999999999997E-5</v>
      </c>
      <c r="AA110" s="288">
        <v>9.09E-8</v>
      </c>
      <c r="AB110" s="288">
        <v>0</v>
      </c>
      <c r="AC110" s="289">
        <v>6.1135390900000003E-2</v>
      </c>
      <c r="AD110" s="289">
        <v>0</v>
      </c>
    </row>
    <row r="111" spans="1:30" ht="15" customHeight="1" x14ac:dyDescent="0.25">
      <c r="A111" s="282" t="s">
        <v>259</v>
      </c>
      <c r="B111" s="282" t="s">
        <v>259</v>
      </c>
      <c r="C111" s="282" t="s">
        <v>259</v>
      </c>
      <c r="D111" s="283" t="s">
        <v>351</v>
      </c>
      <c r="E111" s="403" t="s">
        <v>273</v>
      </c>
      <c r="F111" s="403" t="s">
        <v>274</v>
      </c>
      <c r="G111" s="284" t="s">
        <v>283</v>
      </c>
      <c r="H111" s="284" t="s">
        <v>275</v>
      </c>
      <c r="I111" s="283">
        <v>1</v>
      </c>
      <c r="J111" s="284" t="s">
        <v>156</v>
      </c>
      <c r="K111" s="283" t="s">
        <v>276</v>
      </c>
      <c r="L111" s="286" t="s">
        <v>158</v>
      </c>
      <c r="M111" s="287">
        <v>2400</v>
      </c>
      <c r="N111" s="287"/>
      <c r="O111" s="287"/>
      <c r="P111" s="287"/>
      <c r="Q111" s="288">
        <v>72.7</v>
      </c>
      <c r="R111" s="288">
        <v>72.7</v>
      </c>
      <c r="S111" s="288">
        <v>4.2000000000000003E-2</v>
      </c>
      <c r="T111" s="288">
        <v>8.5199999999999997E-5</v>
      </c>
      <c r="U111" s="288">
        <v>0</v>
      </c>
      <c r="V111" s="289">
        <v>72.742085200000005</v>
      </c>
      <c r="W111" s="289">
        <v>0</v>
      </c>
      <c r="X111" s="288">
        <v>7.2700000000000001E-2</v>
      </c>
      <c r="Y111" s="288">
        <v>7.2700000000000001E-2</v>
      </c>
      <c r="Z111" s="288">
        <v>4.2000000000000004E-5</v>
      </c>
      <c r="AA111" s="288">
        <v>8.5199999999999995E-8</v>
      </c>
      <c r="AB111" s="288">
        <v>0</v>
      </c>
      <c r="AC111" s="289">
        <v>7.2742085200000001E-2</v>
      </c>
      <c r="AD111" s="289">
        <v>0</v>
      </c>
    </row>
    <row r="112" spans="1:30" ht="15" customHeight="1" x14ac:dyDescent="0.25">
      <c r="A112" s="282" t="s">
        <v>259</v>
      </c>
      <c r="B112" s="282" t="s">
        <v>259</v>
      </c>
      <c r="C112" s="282" t="s">
        <v>259</v>
      </c>
      <c r="D112" s="283" t="s">
        <v>352</v>
      </c>
      <c r="E112" s="403" t="s">
        <v>262</v>
      </c>
      <c r="F112" s="403" t="s">
        <v>263</v>
      </c>
      <c r="G112" s="284" t="s">
        <v>264</v>
      </c>
      <c r="H112" s="284" t="s">
        <v>265</v>
      </c>
      <c r="I112" s="283">
        <v>1</v>
      </c>
      <c r="J112" s="284" t="s">
        <v>156</v>
      </c>
      <c r="K112" s="283" t="s">
        <v>266</v>
      </c>
      <c r="L112" s="286" t="s">
        <v>158</v>
      </c>
      <c r="M112" s="287">
        <v>2400</v>
      </c>
      <c r="N112" s="287"/>
      <c r="O112" s="287"/>
      <c r="P112" s="287"/>
      <c r="Q112" s="288">
        <v>80</v>
      </c>
      <c r="R112" s="288">
        <v>80</v>
      </c>
      <c r="S112" s="288">
        <v>4.48E-2</v>
      </c>
      <c r="T112" s="288">
        <v>1.17E-4</v>
      </c>
      <c r="U112" s="288">
        <v>0</v>
      </c>
      <c r="V112" s="289">
        <v>80.044916999999998</v>
      </c>
      <c r="W112" s="289">
        <v>0</v>
      </c>
      <c r="X112" s="288">
        <v>0.08</v>
      </c>
      <c r="Y112" s="288">
        <v>0.08</v>
      </c>
      <c r="Z112" s="288">
        <v>4.4799999999999998E-5</v>
      </c>
      <c r="AA112" s="288">
        <v>1.17E-7</v>
      </c>
      <c r="AB112" s="288">
        <v>0</v>
      </c>
      <c r="AC112" s="289">
        <v>8.0044916999999993E-2</v>
      </c>
      <c r="AD112" s="289">
        <v>0</v>
      </c>
    </row>
    <row r="113" spans="1:30" ht="15" customHeight="1" x14ac:dyDescent="0.25">
      <c r="A113" s="282" t="s">
        <v>259</v>
      </c>
      <c r="B113" s="282" t="s">
        <v>259</v>
      </c>
      <c r="C113" s="282" t="s">
        <v>259</v>
      </c>
      <c r="D113" s="283" t="s">
        <v>353</v>
      </c>
      <c r="E113" s="403" t="s">
        <v>262</v>
      </c>
      <c r="F113" s="403" t="s">
        <v>263</v>
      </c>
      <c r="G113" s="284" t="s">
        <v>264</v>
      </c>
      <c r="H113" s="284" t="s">
        <v>265</v>
      </c>
      <c r="I113" s="283">
        <v>1</v>
      </c>
      <c r="J113" s="284" t="s">
        <v>156</v>
      </c>
      <c r="K113" s="283" t="s">
        <v>266</v>
      </c>
      <c r="L113" s="286" t="s">
        <v>158</v>
      </c>
      <c r="M113" s="287">
        <v>2400</v>
      </c>
      <c r="N113" s="287"/>
      <c r="O113" s="287"/>
      <c r="P113" s="287"/>
      <c r="Q113" s="288">
        <v>71.900000000000006</v>
      </c>
      <c r="R113" s="288">
        <v>71.900000000000006</v>
      </c>
      <c r="S113" s="288">
        <v>3.78E-2</v>
      </c>
      <c r="T113" s="288">
        <v>1.25E-4</v>
      </c>
      <c r="U113" s="288">
        <v>0</v>
      </c>
      <c r="V113" s="289">
        <v>71.937925000000007</v>
      </c>
      <c r="W113" s="289">
        <v>0</v>
      </c>
      <c r="X113" s="288">
        <v>7.1900000000000006E-2</v>
      </c>
      <c r="Y113" s="288">
        <v>7.1900000000000006E-2</v>
      </c>
      <c r="Z113" s="288">
        <v>3.7799999999999997E-5</v>
      </c>
      <c r="AA113" s="288">
        <v>1.2499999999999999E-7</v>
      </c>
      <c r="AB113" s="288">
        <v>0</v>
      </c>
      <c r="AC113" s="289">
        <v>7.1937925000000014E-2</v>
      </c>
      <c r="AD113" s="289">
        <v>0</v>
      </c>
    </row>
    <row r="114" spans="1:30" ht="15" customHeight="1" x14ac:dyDescent="0.25">
      <c r="A114" s="282" t="s">
        <v>259</v>
      </c>
      <c r="B114" s="282" t="s">
        <v>259</v>
      </c>
      <c r="C114" s="282" t="s">
        <v>259</v>
      </c>
      <c r="D114" s="283" t="s">
        <v>354</v>
      </c>
      <c r="E114" s="403" t="s">
        <v>262</v>
      </c>
      <c r="F114" s="403" t="s">
        <v>263</v>
      </c>
      <c r="G114" s="284" t="s">
        <v>264</v>
      </c>
      <c r="H114" s="284" t="s">
        <v>265</v>
      </c>
      <c r="I114" s="283">
        <v>1</v>
      </c>
      <c r="J114" s="284" t="s">
        <v>156</v>
      </c>
      <c r="K114" s="283" t="s">
        <v>266</v>
      </c>
      <c r="L114" s="286" t="s">
        <v>158</v>
      </c>
      <c r="M114" s="287">
        <v>2400</v>
      </c>
      <c r="N114" s="287"/>
      <c r="O114" s="287"/>
      <c r="P114" s="287"/>
      <c r="Q114" s="288">
        <v>71.7</v>
      </c>
      <c r="R114" s="288">
        <v>71.7</v>
      </c>
      <c r="S114" s="288">
        <v>3.6999999999999998E-2</v>
      </c>
      <c r="T114" s="288">
        <v>1.21E-4</v>
      </c>
      <c r="U114" s="288">
        <v>0</v>
      </c>
      <c r="V114" s="289">
        <v>71.737121000000002</v>
      </c>
      <c r="W114" s="289">
        <v>0</v>
      </c>
      <c r="X114" s="288">
        <v>7.17E-2</v>
      </c>
      <c r="Y114" s="288">
        <v>7.17E-2</v>
      </c>
      <c r="Z114" s="288">
        <v>3.6999999999999998E-5</v>
      </c>
      <c r="AA114" s="288">
        <v>1.2100000000000001E-7</v>
      </c>
      <c r="AB114" s="288">
        <v>0</v>
      </c>
      <c r="AC114" s="289">
        <v>7.1737121000000001E-2</v>
      </c>
      <c r="AD114" s="289">
        <v>0</v>
      </c>
    </row>
    <row r="115" spans="1:30" ht="15" customHeight="1" x14ac:dyDescent="0.25">
      <c r="A115" s="282" t="s">
        <v>259</v>
      </c>
      <c r="B115" s="282" t="s">
        <v>259</v>
      </c>
      <c r="C115" s="282" t="s">
        <v>259</v>
      </c>
      <c r="D115" s="283" t="s">
        <v>355</v>
      </c>
      <c r="E115" s="403" t="s">
        <v>262</v>
      </c>
      <c r="F115" s="403" t="s">
        <v>263</v>
      </c>
      <c r="G115" s="284" t="s">
        <v>264</v>
      </c>
      <c r="H115" s="284" t="s">
        <v>265</v>
      </c>
      <c r="I115" s="283">
        <v>1</v>
      </c>
      <c r="J115" s="284" t="s">
        <v>156</v>
      </c>
      <c r="K115" s="283" t="s">
        <v>266</v>
      </c>
      <c r="L115" s="286" t="s">
        <v>158</v>
      </c>
      <c r="M115" s="287">
        <v>2400</v>
      </c>
      <c r="N115" s="287"/>
      <c r="O115" s="287"/>
      <c r="P115" s="287"/>
      <c r="Q115" s="288">
        <v>69</v>
      </c>
      <c r="R115" s="288">
        <v>69</v>
      </c>
      <c r="S115" s="288">
        <v>3.4099999999999998E-2</v>
      </c>
      <c r="T115" s="288">
        <v>1.1400000000000001E-4</v>
      </c>
      <c r="U115" s="288">
        <v>0</v>
      </c>
      <c r="V115" s="289">
        <v>69.034213999999992</v>
      </c>
      <c r="W115" s="289">
        <v>0</v>
      </c>
      <c r="X115" s="288">
        <v>6.9000000000000006E-2</v>
      </c>
      <c r="Y115" s="288">
        <v>6.9000000000000006E-2</v>
      </c>
      <c r="Z115" s="288">
        <v>3.4099999999999995E-5</v>
      </c>
      <c r="AA115" s="288">
        <v>1.14E-7</v>
      </c>
      <c r="AB115" s="288">
        <v>0</v>
      </c>
      <c r="AC115" s="289">
        <v>6.9034213999999997E-2</v>
      </c>
      <c r="AD115" s="289">
        <v>0</v>
      </c>
    </row>
    <row r="116" spans="1:30" ht="15" customHeight="1" x14ac:dyDescent="0.25">
      <c r="A116" s="282" t="s">
        <v>259</v>
      </c>
      <c r="B116" s="282" t="s">
        <v>259</v>
      </c>
      <c r="C116" s="282" t="s">
        <v>259</v>
      </c>
      <c r="D116" s="283" t="s">
        <v>356</v>
      </c>
      <c r="E116" s="403" t="s">
        <v>262</v>
      </c>
      <c r="F116" s="403" t="s">
        <v>263</v>
      </c>
      <c r="G116" s="284" t="s">
        <v>286</v>
      </c>
      <c r="H116" s="284" t="s">
        <v>287</v>
      </c>
      <c r="I116" s="283">
        <v>1</v>
      </c>
      <c r="J116" s="284" t="s">
        <v>156</v>
      </c>
      <c r="K116" s="283" t="s">
        <v>288</v>
      </c>
      <c r="L116" s="286" t="s">
        <v>158</v>
      </c>
      <c r="M116" s="287">
        <v>2400</v>
      </c>
      <c r="N116" s="287"/>
      <c r="O116" s="287"/>
      <c r="P116" s="287"/>
      <c r="Q116" s="288">
        <v>70.5</v>
      </c>
      <c r="R116" s="288">
        <v>70.5</v>
      </c>
      <c r="S116" s="288">
        <v>3.4700000000000002E-2</v>
      </c>
      <c r="T116" s="288">
        <v>2.2599999999999999E-4</v>
      </c>
      <c r="U116" s="288">
        <v>0</v>
      </c>
      <c r="V116" s="289">
        <v>70.534925999999999</v>
      </c>
      <c r="W116" s="289">
        <v>0</v>
      </c>
      <c r="X116" s="288">
        <v>7.0499999999999993E-2</v>
      </c>
      <c r="Y116" s="288">
        <v>7.0499999999999993E-2</v>
      </c>
      <c r="Z116" s="288">
        <v>3.4700000000000003E-5</v>
      </c>
      <c r="AA116" s="288">
        <v>2.2599999999999999E-7</v>
      </c>
      <c r="AB116" s="288">
        <v>0</v>
      </c>
      <c r="AC116" s="289">
        <v>7.0534925999999998E-2</v>
      </c>
      <c r="AD116" s="289">
        <v>0</v>
      </c>
    </row>
    <row r="117" spans="1:30" ht="15" customHeight="1" x14ac:dyDescent="0.25">
      <c r="A117" s="282" t="s">
        <v>259</v>
      </c>
      <c r="B117" s="282" t="s">
        <v>259</v>
      </c>
      <c r="C117" s="282" t="s">
        <v>259</v>
      </c>
      <c r="D117" s="283" t="s">
        <v>357</v>
      </c>
      <c r="E117" s="403" t="s">
        <v>262</v>
      </c>
      <c r="F117" s="403" t="s">
        <v>263</v>
      </c>
      <c r="G117" s="284" t="s">
        <v>264</v>
      </c>
      <c r="H117" s="284" t="s">
        <v>265</v>
      </c>
      <c r="I117" s="283">
        <v>1</v>
      </c>
      <c r="J117" s="284" t="s">
        <v>156</v>
      </c>
      <c r="K117" s="283" t="s">
        <v>266</v>
      </c>
      <c r="L117" s="286" t="s">
        <v>158</v>
      </c>
      <c r="M117" s="287">
        <v>2400</v>
      </c>
      <c r="N117" s="287"/>
      <c r="O117" s="287"/>
      <c r="P117" s="287"/>
      <c r="Q117" s="288">
        <v>78.599999999999994</v>
      </c>
      <c r="R117" s="288">
        <v>78.599999999999994</v>
      </c>
      <c r="S117" s="288">
        <v>3.8399999999999997E-2</v>
      </c>
      <c r="T117" s="288">
        <v>1.1400000000000001E-4</v>
      </c>
      <c r="U117" s="288">
        <v>0</v>
      </c>
      <c r="V117" s="289">
        <v>78.638513999999986</v>
      </c>
      <c r="W117" s="289">
        <v>0</v>
      </c>
      <c r="X117" s="288">
        <v>7.8599999999999989E-2</v>
      </c>
      <c r="Y117" s="288">
        <v>7.8599999999999989E-2</v>
      </c>
      <c r="Z117" s="288">
        <v>3.8399999999999998E-5</v>
      </c>
      <c r="AA117" s="288">
        <v>1.14E-7</v>
      </c>
      <c r="AB117" s="288">
        <v>0</v>
      </c>
      <c r="AC117" s="289">
        <v>7.8638513999999979E-2</v>
      </c>
      <c r="AD117" s="289">
        <v>0</v>
      </c>
    </row>
    <row r="118" spans="1:30" ht="15" customHeight="1" x14ac:dyDescent="0.25">
      <c r="A118" s="282" t="s">
        <v>259</v>
      </c>
      <c r="B118" s="282" t="s">
        <v>259</v>
      </c>
      <c r="C118" s="282" t="s">
        <v>259</v>
      </c>
      <c r="D118" s="283" t="s">
        <v>358</v>
      </c>
      <c r="E118" s="403" t="s">
        <v>262</v>
      </c>
      <c r="F118" s="403" t="s">
        <v>263</v>
      </c>
      <c r="G118" s="284" t="s">
        <v>286</v>
      </c>
      <c r="H118" s="284" t="s">
        <v>287</v>
      </c>
      <c r="I118" s="283">
        <v>1</v>
      </c>
      <c r="J118" s="284" t="s">
        <v>156</v>
      </c>
      <c r="K118" s="283" t="s">
        <v>288</v>
      </c>
      <c r="L118" s="286" t="s">
        <v>158</v>
      </c>
      <c r="M118" s="287">
        <v>2400</v>
      </c>
      <c r="N118" s="287"/>
      <c r="O118" s="287"/>
      <c r="P118" s="287"/>
      <c r="Q118" s="288">
        <v>61.7</v>
      </c>
      <c r="R118" s="288">
        <v>61.7</v>
      </c>
      <c r="S118" s="288">
        <v>2.9600000000000001E-2</v>
      </c>
      <c r="T118" s="288">
        <v>1.5100000000000001E-4</v>
      </c>
      <c r="U118" s="288">
        <v>0</v>
      </c>
      <c r="V118" s="289">
        <v>61.729751000000007</v>
      </c>
      <c r="W118" s="289">
        <v>0</v>
      </c>
      <c r="X118" s="288">
        <v>6.1700000000000005E-2</v>
      </c>
      <c r="Y118" s="288">
        <v>6.1700000000000005E-2</v>
      </c>
      <c r="Z118" s="288">
        <v>2.9600000000000001E-5</v>
      </c>
      <c r="AA118" s="288">
        <v>1.5100000000000002E-7</v>
      </c>
      <c r="AB118" s="288">
        <v>0</v>
      </c>
      <c r="AC118" s="289">
        <v>6.1729750999999999E-2</v>
      </c>
      <c r="AD118" s="289">
        <v>0</v>
      </c>
    </row>
    <row r="119" spans="1:30" ht="15" customHeight="1" x14ac:dyDescent="0.25">
      <c r="A119" s="282" t="s">
        <v>259</v>
      </c>
      <c r="B119" s="282" t="s">
        <v>259</v>
      </c>
      <c r="C119" s="282" t="s">
        <v>259</v>
      </c>
      <c r="D119" s="283" t="s">
        <v>359</v>
      </c>
      <c r="E119" s="403" t="s">
        <v>262</v>
      </c>
      <c r="F119" s="403" t="s">
        <v>263</v>
      </c>
      <c r="G119" s="284" t="s">
        <v>286</v>
      </c>
      <c r="H119" s="284" t="s">
        <v>287</v>
      </c>
      <c r="I119" s="283">
        <v>1</v>
      </c>
      <c r="J119" s="284" t="s">
        <v>156</v>
      </c>
      <c r="K119" s="283" t="s">
        <v>288</v>
      </c>
      <c r="L119" s="286" t="s">
        <v>158</v>
      </c>
      <c r="M119" s="287">
        <v>2400</v>
      </c>
      <c r="N119" s="287"/>
      <c r="O119" s="287"/>
      <c r="P119" s="287"/>
      <c r="Q119" s="288">
        <v>59.6</v>
      </c>
      <c r="R119" s="288">
        <v>59.4</v>
      </c>
      <c r="S119" s="288">
        <v>0.22800000000000001</v>
      </c>
      <c r="T119" s="288">
        <v>1.6899999999999999E-4</v>
      </c>
      <c r="U119" s="288">
        <v>0</v>
      </c>
      <c r="V119" s="289">
        <v>59.628169</v>
      </c>
      <c r="W119" s="289">
        <v>0</v>
      </c>
      <c r="X119" s="288">
        <v>5.96E-2</v>
      </c>
      <c r="Y119" s="288">
        <v>5.9400000000000001E-2</v>
      </c>
      <c r="Z119" s="288">
        <v>2.2800000000000001E-4</v>
      </c>
      <c r="AA119" s="288">
        <v>1.6899999999999999E-7</v>
      </c>
      <c r="AB119" s="288">
        <v>0</v>
      </c>
      <c r="AC119" s="289">
        <v>5.9628169000000002E-2</v>
      </c>
      <c r="AD119" s="289">
        <v>0</v>
      </c>
    </row>
    <row r="120" spans="1:30" ht="15" customHeight="1" x14ac:dyDescent="0.25">
      <c r="A120" s="282" t="s">
        <v>259</v>
      </c>
      <c r="B120" s="282" t="s">
        <v>259</v>
      </c>
      <c r="C120" s="282" t="s">
        <v>259</v>
      </c>
      <c r="D120" s="283" t="s">
        <v>360</v>
      </c>
      <c r="E120" s="403" t="s">
        <v>262</v>
      </c>
      <c r="F120" s="403" t="s">
        <v>263</v>
      </c>
      <c r="G120" s="284" t="s">
        <v>264</v>
      </c>
      <c r="H120" s="284" t="s">
        <v>265</v>
      </c>
      <c r="I120" s="283">
        <v>1</v>
      </c>
      <c r="J120" s="284" t="s">
        <v>156</v>
      </c>
      <c r="K120" s="283" t="s">
        <v>266</v>
      </c>
      <c r="L120" s="286" t="s">
        <v>158</v>
      </c>
      <c r="M120" s="287">
        <v>2400</v>
      </c>
      <c r="N120" s="287"/>
      <c r="O120" s="287"/>
      <c r="P120" s="287"/>
      <c r="Q120" s="288">
        <v>65.599999999999994</v>
      </c>
      <c r="R120" s="288">
        <v>65.599999999999994</v>
      </c>
      <c r="S120" s="288">
        <v>3.0800000000000001E-2</v>
      </c>
      <c r="T120" s="288">
        <v>9.7600000000000001E-5</v>
      </c>
      <c r="U120" s="288">
        <v>0</v>
      </c>
      <c r="V120" s="289">
        <v>65.630897599999997</v>
      </c>
      <c r="W120" s="289">
        <v>0</v>
      </c>
      <c r="X120" s="288">
        <v>6.5599999999999992E-2</v>
      </c>
      <c r="Y120" s="288">
        <v>6.5599999999999992E-2</v>
      </c>
      <c r="Z120" s="288">
        <v>3.0800000000000003E-5</v>
      </c>
      <c r="AA120" s="288">
        <v>9.76E-8</v>
      </c>
      <c r="AB120" s="288">
        <v>0</v>
      </c>
      <c r="AC120" s="289">
        <v>6.5630897599999988E-2</v>
      </c>
      <c r="AD120" s="289">
        <v>0</v>
      </c>
    </row>
    <row r="121" spans="1:30" ht="15" customHeight="1" x14ac:dyDescent="0.25">
      <c r="A121" s="282" t="s">
        <v>259</v>
      </c>
      <c r="B121" s="282" t="s">
        <v>259</v>
      </c>
      <c r="C121" s="282" t="s">
        <v>259</v>
      </c>
      <c r="D121" s="283" t="s">
        <v>361</v>
      </c>
      <c r="E121" s="403" t="s">
        <v>262</v>
      </c>
      <c r="F121" s="403" t="s">
        <v>263</v>
      </c>
      <c r="G121" s="284" t="s">
        <v>286</v>
      </c>
      <c r="H121" s="284" t="s">
        <v>287</v>
      </c>
      <c r="I121" s="283">
        <v>1</v>
      </c>
      <c r="J121" s="284" t="s">
        <v>156</v>
      </c>
      <c r="K121" s="283" t="s">
        <v>288</v>
      </c>
      <c r="L121" s="286" t="s">
        <v>158</v>
      </c>
      <c r="M121" s="287">
        <v>2400</v>
      </c>
      <c r="N121" s="287"/>
      <c r="O121" s="287"/>
      <c r="P121" s="287"/>
      <c r="Q121" s="288">
        <v>58.3</v>
      </c>
      <c r="R121" s="288">
        <v>58.3</v>
      </c>
      <c r="S121" s="288">
        <v>2.7300000000000001E-2</v>
      </c>
      <c r="T121" s="288">
        <v>1.35E-4</v>
      </c>
      <c r="U121" s="288">
        <v>0</v>
      </c>
      <c r="V121" s="289">
        <v>58.327434999999994</v>
      </c>
      <c r="W121" s="289">
        <v>0</v>
      </c>
      <c r="X121" s="288">
        <v>5.8299999999999998E-2</v>
      </c>
      <c r="Y121" s="288">
        <v>5.8299999999999998E-2</v>
      </c>
      <c r="Z121" s="288">
        <v>2.7300000000000003E-5</v>
      </c>
      <c r="AA121" s="288">
        <v>1.35E-7</v>
      </c>
      <c r="AB121" s="288">
        <v>0</v>
      </c>
      <c r="AC121" s="289">
        <v>5.8327434999999997E-2</v>
      </c>
      <c r="AD121" s="289">
        <v>0</v>
      </c>
    </row>
    <row r="122" spans="1:30" ht="15" customHeight="1" x14ac:dyDescent="0.25">
      <c r="A122" s="282" t="s">
        <v>259</v>
      </c>
      <c r="B122" s="282" t="s">
        <v>259</v>
      </c>
      <c r="C122" s="282" t="s">
        <v>259</v>
      </c>
      <c r="D122" s="283" t="s">
        <v>362</v>
      </c>
      <c r="E122" s="403" t="s">
        <v>262</v>
      </c>
      <c r="F122" s="403" t="s">
        <v>263</v>
      </c>
      <c r="G122" s="284" t="s">
        <v>286</v>
      </c>
      <c r="H122" s="284" t="s">
        <v>287</v>
      </c>
      <c r="I122" s="283">
        <v>1</v>
      </c>
      <c r="J122" s="284" t="s">
        <v>156</v>
      </c>
      <c r="K122" s="283" t="s">
        <v>288</v>
      </c>
      <c r="L122" s="286" t="s">
        <v>158</v>
      </c>
      <c r="M122" s="287">
        <v>2400</v>
      </c>
      <c r="N122" s="287"/>
      <c r="O122" s="287"/>
      <c r="P122" s="287"/>
      <c r="Q122" s="288">
        <v>59</v>
      </c>
      <c r="R122" s="288">
        <v>59</v>
      </c>
      <c r="S122" s="288">
        <v>2.76E-2</v>
      </c>
      <c r="T122" s="288">
        <v>1.3999999999999999E-4</v>
      </c>
      <c r="U122" s="288">
        <v>0</v>
      </c>
      <c r="V122" s="289">
        <v>59.027740000000001</v>
      </c>
      <c r="W122" s="289">
        <v>0</v>
      </c>
      <c r="X122" s="288">
        <v>5.8999999999999997E-2</v>
      </c>
      <c r="Y122" s="288">
        <v>5.8999999999999997E-2</v>
      </c>
      <c r="Z122" s="288">
        <v>2.76E-5</v>
      </c>
      <c r="AA122" s="288">
        <v>1.3999999999999998E-7</v>
      </c>
      <c r="AB122" s="288">
        <v>0</v>
      </c>
      <c r="AC122" s="289">
        <v>5.9027740000000002E-2</v>
      </c>
      <c r="AD122" s="289">
        <v>0</v>
      </c>
    </row>
    <row r="123" spans="1:30" ht="15" customHeight="1" x14ac:dyDescent="0.25">
      <c r="A123" s="282" t="s">
        <v>259</v>
      </c>
      <c r="B123" s="282" t="s">
        <v>259</v>
      </c>
      <c r="C123" s="282" t="s">
        <v>259</v>
      </c>
      <c r="D123" s="283" t="s">
        <v>363</v>
      </c>
      <c r="E123" s="403" t="s">
        <v>262</v>
      </c>
      <c r="F123" s="403" t="s">
        <v>263</v>
      </c>
      <c r="G123" s="284" t="s">
        <v>286</v>
      </c>
      <c r="H123" s="284" t="s">
        <v>287</v>
      </c>
      <c r="I123" s="283">
        <v>1</v>
      </c>
      <c r="J123" s="284" t="s">
        <v>156</v>
      </c>
      <c r="K123" s="283" t="s">
        <v>288</v>
      </c>
      <c r="L123" s="286" t="s">
        <v>158</v>
      </c>
      <c r="M123" s="287">
        <v>2400</v>
      </c>
      <c r="N123" s="287"/>
      <c r="O123" s="287"/>
      <c r="P123" s="287"/>
      <c r="Q123" s="288">
        <v>58.2</v>
      </c>
      <c r="R123" s="288">
        <v>58.2</v>
      </c>
      <c r="S123" s="288">
        <v>2.6499999999999999E-2</v>
      </c>
      <c r="T123" s="288">
        <v>1.22E-4</v>
      </c>
      <c r="U123" s="288">
        <v>0</v>
      </c>
      <c r="V123" s="289">
        <v>58.226621999999999</v>
      </c>
      <c r="W123" s="289">
        <v>0</v>
      </c>
      <c r="X123" s="288">
        <v>5.8200000000000002E-2</v>
      </c>
      <c r="Y123" s="288">
        <v>5.8200000000000002E-2</v>
      </c>
      <c r="Z123" s="288">
        <v>2.65E-5</v>
      </c>
      <c r="AA123" s="288">
        <v>1.2200000000000001E-7</v>
      </c>
      <c r="AB123" s="288">
        <v>0</v>
      </c>
      <c r="AC123" s="289">
        <v>5.8226621999999999E-2</v>
      </c>
      <c r="AD123" s="289">
        <v>0</v>
      </c>
    </row>
    <row r="124" spans="1:30" ht="15" customHeight="1" x14ac:dyDescent="0.25">
      <c r="A124" s="282" t="s">
        <v>259</v>
      </c>
      <c r="B124" s="282" t="s">
        <v>259</v>
      </c>
      <c r="C124" s="282" t="s">
        <v>259</v>
      </c>
      <c r="D124" s="283" t="s">
        <v>364</v>
      </c>
      <c r="E124" s="403" t="s">
        <v>262</v>
      </c>
      <c r="F124" s="403" t="s">
        <v>263</v>
      </c>
      <c r="G124" s="284" t="s">
        <v>286</v>
      </c>
      <c r="H124" s="284" t="s">
        <v>287</v>
      </c>
      <c r="I124" s="283">
        <v>1</v>
      </c>
      <c r="J124" s="284" t="s">
        <v>156</v>
      </c>
      <c r="K124" s="283" t="s">
        <v>288</v>
      </c>
      <c r="L124" s="286" t="s">
        <v>158</v>
      </c>
      <c r="M124" s="287">
        <v>2400</v>
      </c>
      <c r="N124" s="287"/>
      <c r="O124" s="287"/>
      <c r="P124" s="287"/>
      <c r="Q124" s="288">
        <v>60.1</v>
      </c>
      <c r="R124" s="288">
        <v>60.1</v>
      </c>
      <c r="S124" s="288">
        <v>2.7300000000000001E-2</v>
      </c>
      <c r="T124" s="288">
        <v>1.47E-4</v>
      </c>
      <c r="U124" s="288">
        <v>0</v>
      </c>
      <c r="V124" s="289">
        <v>60.127446999999997</v>
      </c>
      <c r="W124" s="289">
        <v>0</v>
      </c>
      <c r="X124" s="288">
        <v>6.0100000000000001E-2</v>
      </c>
      <c r="Y124" s="288">
        <v>6.0100000000000001E-2</v>
      </c>
      <c r="Z124" s="288">
        <v>2.7300000000000003E-5</v>
      </c>
      <c r="AA124" s="288">
        <v>1.4700000000000001E-7</v>
      </c>
      <c r="AB124" s="288">
        <v>0</v>
      </c>
      <c r="AC124" s="289">
        <v>6.0127447000000001E-2</v>
      </c>
      <c r="AD124" s="289">
        <v>0</v>
      </c>
    </row>
    <row r="125" spans="1:30" ht="15" customHeight="1" x14ac:dyDescent="0.25">
      <c r="A125" s="282" t="s">
        <v>259</v>
      </c>
      <c r="B125" s="282" t="s">
        <v>259</v>
      </c>
      <c r="C125" s="282" t="s">
        <v>259</v>
      </c>
      <c r="D125" s="283" t="s">
        <v>365</v>
      </c>
      <c r="E125" s="403" t="s">
        <v>262</v>
      </c>
      <c r="F125" s="403" t="s">
        <v>263</v>
      </c>
      <c r="G125" s="284" t="s">
        <v>264</v>
      </c>
      <c r="H125" s="284" t="s">
        <v>265</v>
      </c>
      <c r="I125" s="283">
        <v>1</v>
      </c>
      <c r="J125" s="284" t="s">
        <v>156</v>
      </c>
      <c r="K125" s="283" t="s">
        <v>266</v>
      </c>
      <c r="L125" s="286" t="s">
        <v>158</v>
      </c>
      <c r="M125" s="287">
        <v>2400</v>
      </c>
      <c r="N125" s="287"/>
      <c r="O125" s="287"/>
      <c r="P125" s="287"/>
      <c r="Q125" s="288">
        <v>63.3</v>
      </c>
      <c r="R125" s="288">
        <v>63.3</v>
      </c>
      <c r="S125" s="288">
        <v>2.87E-2</v>
      </c>
      <c r="T125" s="288">
        <v>8.7700000000000004E-5</v>
      </c>
      <c r="U125" s="288">
        <v>0</v>
      </c>
      <c r="V125" s="289">
        <v>63.328787699999999</v>
      </c>
      <c r="W125" s="289">
        <v>0</v>
      </c>
      <c r="X125" s="288">
        <v>6.3299999999999995E-2</v>
      </c>
      <c r="Y125" s="288">
        <v>6.3299999999999995E-2</v>
      </c>
      <c r="Z125" s="288">
        <v>2.87E-5</v>
      </c>
      <c r="AA125" s="288">
        <v>8.7699999999999998E-8</v>
      </c>
      <c r="AB125" s="288">
        <v>0</v>
      </c>
      <c r="AC125" s="289">
        <v>6.33287877E-2</v>
      </c>
      <c r="AD125" s="289">
        <v>0</v>
      </c>
    </row>
    <row r="126" spans="1:30" ht="15" customHeight="1" x14ac:dyDescent="0.25">
      <c r="A126" s="282" t="s">
        <v>259</v>
      </c>
      <c r="B126" s="282" t="s">
        <v>259</v>
      </c>
      <c r="C126" s="282" t="s">
        <v>259</v>
      </c>
      <c r="D126" s="283" t="s">
        <v>366</v>
      </c>
      <c r="E126" s="403" t="s">
        <v>262</v>
      </c>
      <c r="F126" s="403" t="s">
        <v>263</v>
      </c>
      <c r="G126" s="284" t="s">
        <v>286</v>
      </c>
      <c r="H126" s="284" t="s">
        <v>287</v>
      </c>
      <c r="I126" s="283">
        <v>1</v>
      </c>
      <c r="J126" s="284" t="s">
        <v>156</v>
      </c>
      <c r="K126" s="283" t="s">
        <v>288</v>
      </c>
      <c r="L126" s="286" t="s">
        <v>158</v>
      </c>
      <c r="M126" s="287">
        <v>2400</v>
      </c>
      <c r="N126" s="287"/>
      <c r="O126" s="287"/>
      <c r="P126" s="287"/>
      <c r="Q126" s="288">
        <v>55.2</v>
      </c>
      <c r="R126" s="288">
        <v>55.2</v>
      </c>
      <c r="S126" s="288">
        <v>2.4899999999999999E-2</v>
      </c>
      <c r="T126" s="288">
        <v>1.0399999999999999E-4</v>
      </c>
      <c r="U126" s="288">
        <v>0</v>
      </c>
      <c r="V126" s="289">
        <v>55.225004000000006</v>
      </c>
      <c r="W126" s="289">
        <v>0</v>
      </c>
      <c r="X126" s="288">
        <v>5.5200000000000006E-2</v>
      </c>
      <c r="Y126" s="288">
        <v>5.5200000000000006E-2</v>
      </c>
      <c r="Z126" s="288">
        <v>2.4899999999999999E-5</v>
      </c>
      <c r="AA126" s="288">
        <v>1.0399999999999999E-7</v>
      </c>
      <c r="AB126" s="288">
        <v>0</v>
      </c>
      <c r="AC126" s="289">
        <v>5.5225004000000008E-2</v>
      </c>
      <c r="AD126" s="289">
        <v>0</v>
      </c>
    </row>
    <row r="127" spans="1:30" ht="15" customHeight="1" x14ac:dyDescent="0.25">
      <c r="A127" s="282" t="s">
        <v>259</v>
      </c>
      <c r="B127" s="282" t="s">
        <v>259</v>
      </c>
      <c r="C127" s="282" t="s">
        <v>259</v>
      </c>
      <c r="D127" s="283" t="s">
        <v>367</v>
      </c>
      <c r="E127" s="403" t="s">
        <v>262</v>
      </c>
      <c r="F127" s="403" t="s">
        <v>263</v>
      </c>
      <c r="G127" s="284" t="s">
        <v>286</v>
      </c>
      <c r="H127" s="284" t="s">
        <v>287</v>
      </c>
      <c r="I127" s="283">
        <v>1</v>
      </c>
      <c r="J127" s="284" t="s">
        <v>156</v>
      </c>
      <c r="K127" s="283" t="s">
        <v>288</v>
      </c>
      <c r="L127" s="286" t="s">
        <v>158</v>
      </c>
      <c r="M127" s="287">
        <v>2400</v>
      </c>
      <c r="N127" s="287"/>
      <c r="O127" s="287"/>
      <c r="P127" s="287"/>
      <c r="Q127" s="288">
        <v>62.3</v>
      </c>
      <c r="R127" s="288">
        <v>62.3</v>
      </c>
      <c r="S127" s="288">
        <v>2.8000000000000001E-2</v>
      </c>
      <c r="T127" s="288">
        <v>1.5899999999999999E-4</v>
      </c>
      <c r="U127" s="288">
        <v>0</v>
      </c>
      <c r="V127" s="289">
        <v>62.328158999999992</v>
      </c>
      <c r="W127" s="289">
        <v>0</v>
      </c>
      <c r="X127" s="288">
        <v>6.2299999999999994E-2</v>
      </c>
      <c r="Y127" s="288">
        <v>6.2299999999999994E-2</v>
      </c>
      <c r="Z127" s="288">
        <v>2.8E-5</v>
      </c>
      <c r="AA127" s="288">
        <v>1.5899999999999998E-7</v>
      </c>
      <c r="AB127" s="288">
        <v>0</v>
      </c>
      <c r="AC127" s="289">
        <v>6.2328158999999994E-2</v>
      </c>
      <c r="AD127" s="289">
        <v>0</v>
      </c>
    </row>
    <row r="128" spans="1:30" ht="15" customHeight="1" x14ac:dyDescent="0.25">
      <c r="A128" s="282" t="s">
        <v>259</v>
      </c>
      <c r="B128" s="282" t="s">
        <v>259</v>
      </c>
      <c r="C128" s="282" t="s">
        <v>259</v>
      </c>
      <c r="D128" s="283" t="s">
        <v>368</v>
      </c>
      <c r="E128" s="403" t="s">
        <v>262</v>
      </c>
      <c r="F128" s="403" t="s">
        <v>263</v>
      </c>
      <c r="G128" s="284" t="s">
        <v>264</v>
      </c>
      <c r="H128" s="284" t="s">
        <v>265</v>
      </c>
      <c r="I128" s="283">
        <v>1</v>
      </c>
      <c r="J128" s="284" t="s">
        <v>156</v>
      </c>
      <c r="K128" s="283" t="s">
        <v>266</v>
      </c>
      <c r="L128" s="286" t="s">
        <v>158</v>
      </c>
      <c r="M128" s="287">
        <v>2400</v>
      </c>
      <c r="N128" s="287"/>
      <c r="O128" s="287"/>
      <c r="P128" s="287"/>
      <c r="Q128" s="288">
        <v>87.4</v>
      </c>
      <c r="R128" s="288">
        <v>87.4</v>
      </c>
      <c r="S128" s="288">
        <v>3.9E-2</v>
      </c>
      <c r="T128" s="288">
        <v>1.18E-4</v>
      </c>
      <c r="U128" s="288">
        <v>0</v>
      </c>
      <c r="V128" s="289">
        <v>87.439118000000008</v>
      </c>
      <c r="W128" s="289">
        <v>0</v>
      </c>
      <c r="X128" s="288">
        <v>8.7400000000000005E-2</v>
      </c>
      <c r="Y128" s="288">
        <v>8.7400000000000005E-2</v>
      </c>
      <c r="Z128" s="288">
        <v>3.8999999999999999E-5</v>
      </c>
      <c r="AA128" s="288">
        <v>1.18E-7</v>
      </c>
      <c r="AB128" s="288">
        <v>0</v>
      </c>
      <c r="AC128" s="289">
        <v>8.7439117999999996E-2</v>
      </c>
      <c r="AD128" s="289">
        <v>0</v>
      </c>
    </row>
    <row r="129" spans="1:30" ht="15" customHeight="1" x14ac:dyDescent="0.25">
      <c r="A129" s="282" t="s">
        <v>259</v>
      </c>
      <c r="B129" s="282" t="s">
        <v>259</v>
      </c>
      <c r="C129" s="282" t="s">
        <v>259</v>
      </c>
      <c r="D129" s="283" t="s">
        <v>369</v>
      </c>
      <c r="E129" s="403" t="s">
        <v>262</v>
      </c>
      <c r="F129" s="403" t="s">
        <v>263</v>
      </c>
      <c r="G129" s="284" t="s">
        <v>264</v>
      </c>
      <c r="H129" s="284" t="s">
        <v>265</v>
      </c>
      <c r="I129" s="283">
        <v>1</v>
      </c>
      <c r="J129" s="284" t="s">
        <v>156</v>
      </c>
      <c r="K129" s="283" t="s">
        <v>266</v>
      </c>
      <c r="L129" s="286" t="s">
        <v>158</v>
      </c>
      <c r="M129" s="287">
        <v>2400</v>
      </c>
      <c r="N129" s="287"/>
      <c r="O129" s="287"/>
      <c r="P129" s="287"/>
      <c r="Q129" s="288">
        <v>77.7</v>
      </c>
      <c r="R129" s="288">
        <v>77.7</v>
      </c>
      <c r="S129" s="288">
        <v>3.2899999999999999E-2</v>
      </c>
      <c r="T129" s="288">
        <v>1.03E-4</v>
      </c>
      <c r="U129" s="288">
        <v>0</v>
      </c>
      <c r="V129" s="289">
        <v>77.733002999999997</v>
      </c>
      <c r="W129" s="289">
        <v>0</v>
      </c>
      <c r="X129" s="288">
        <v>7.7700000000000005E-2</v>
      </c>
      <c r="Y129" s="288">
        <v>7.7700000000000005E-2</v>
      </c>
      <c r="Z129" s="288">
        <v>3.29E-5</v>
      </c>
      <c r="AA129" s="288">
        <v>1.03E-7</v>
      </c>
      <c r="AB129" s="288">
        <v>0</v>
      </c>
      <c r="AC129" s="289">
        <v>7.7733003000000009E-2</v>
      </c>
      <c r="AD129" s="289">
        <v>0</v>
      </c>
    </row>
    <row r="130" spans="1:30" ht="15" customHeight="1" x14ac:dyDescent="0.25">
      <c r="A130" s="282" t="s">
        <v>259</v>
      </c>
      <c r="B130" s="282" t="s">
        <v>259</v>
      </c>
      <c r="C130" s="282" t="s">
        <v>259</v>
      </c>
      <c r="D130" s="283" t="s">
        <v>370</v>
      </c>
      <c r="E130" s="403" t="s">
        <v>262</v>
      </c>
      <c r="F130" s="403" t="s">
        <v>263</v>
      </c>
      <c r="G130" s="284" t="s">
        <v>264</v>
      </c>
      <c r="H130" s="284" t="s">
        <v>265</v>
      </c>
      <c r="I130" s="283">
        <v>1</v>
      </c>
      <c r="J130" s="284" t="s">
        <v>156</v>
      </c>
      <c r="K130" s="283" t="s">
        <v>266</v>
      </c>
      <c r="L130" s="286" t="s">
        <v>158</v>
      </c>
      <c r="M130" s="287">
        <v>2400</v>
      </c>
      <c r="N130" s="287"/>
      <c r="O130" s="287"/>
      <c r="P130" s="287"/>
      <c r="Q130" s="288">
        <v>92.2</v>
      </c>
      <c r="R130" s="288">
        <v>92.2</v>
      </c>
      <c r="S130" s="288">
        <v>3.8600000000000002E-2</v>
      </c>
      <c r="T130" s="288">
        <v>1.3100000000000001E-4</v>
      </c>
      <c r="U130" s="288">
        <v>0</v>
      </c>
      <c r="V130" s="289">
        <v>92.238731000000001</v>
      </c>
      <c r="W130" s="289">
        <v>0</v>
      </c>
      <c r="X130" s="288">
        <v>9.2200000000000004E-2</v>
      </c>
      <c r="Y130" s="288">
        <v>9.2200000000000004E-2</v>
      </c>
      <c r="Z130" s="288">
        <v>3.8600000000000003E-5</v>
      </c>
      <c r="AA130" s="288">
        <v>1.3100000000000002E-7</v>
      </c>
      <c r="AB130" s="288">
        <v>0</v>
      </c>
      <c r="AC130" s="289">
        <v>9.2238731000000004E-2</v>
      </c>
      <c r="AD130" s="289">
        <v>0</v>
      </c>
    </row>
    <row r="131" spans="1:30" ht="15" customHeight="1" x14ac:dyDescent="0.25">
      <c r="A131" s="282" t="s">
        <v>259</v>
      </c>
      <c r="B131" s="282" t="s">
        <v>259</v>
      </c>
      <c r="C131" s="282" t="s">
        <v>259</v>
      </c>
      <c r="D131" s="283" t="s">
        <v>371</v>
      </c>
      <c r="E131" s="403" t="s">
        <v>262</v>
      </c>
      <c r="F131" s="403" t="s">
        <v>263</v>
      </c>
      <c r="G131" s="284" t="s">
        <v>264</v>
      </c>
      <c r="H131" s="284" t="s">
        <v>265</v>
      </c>
      <c r="I131" s="283">
        <v>1</v>
      </c>
      <c r="J131" s="284" t="s">
        <v>156</v>
      </c>
      <c r="K131" s="283" t="s">
        <v>266</v>
      </c>
      <c r="L131" s="286" t="s">
        <v>158</v>
      </c>
      <c r="M131" s="287">
        <v>2400</v>
      </c>
      <c r="N131" s="287"/>
      <c r="O131" s="287"/>
      <c r="P131" s="287"/>
      <c r="Q131" s="288">
        <v>72.7</v>
      </c>
      <c r="R131" s="288">
        <v>72.7</v>
      </c>
      <c r="S131" s="288">
        <v>2.9600000000000001E-2</v>
      </c>
      <c r="T131" s="288">
        <v>7.8100000000000001E-5</v>
      </c>
      <c r="U131" s="288">
        <v>0</v>
      </c>
      <c r="V131" s="289">
        <v>72.729678100000001</v>
      </c>
      <c r="W131" s="289">
        <v>0</v>
      </c>
      <c r="X131" s="288">
        <v>7.2700000000000001E-2</v>
      </c>
      <c r="Y131" s="288">
        <v>7.2700000000000001E-2</v>
      </c>
      <c r="Z131" s="288">
        <v>2.9600000000000001E-5</v>
      </c>
      <c r="AA131" s="288">
        <v>7.8100000000000005E-8</v>
      </c>
      <c r="AB131" s="288">
        <v>0</v>
      </c>
      <c r="AC131" s="289">
        <v>7.27296781E-2</v>
      </c>
      <c r="AD131" s="289">
        <v>0</v>
      </c>
    </row>
    <row r="132" spans="1:30" ht="15" customHeight="1" x14ac:dyDescent="0.25">
      <c r="A132" s="282" t="s">
        <v>259</v>
      </c>
      <c r="B132" s="282" t="s">
        <v>259</v>
      </c>
      <c r="C132" s="282" t="s">
        <v>259</v>
      </c>
      <c r="D132" s="283" t="s">
        <v>372</v>
      </c>
      <c r="E132" s="403" t="s">
        <v>262</v>
      </c>
      <c r="F132" s="403" t="s">
        <v>263</v>
      </c>
      <c r="G132" s="284" t="s">
        <v>264</v>
      </c>
      <c r="H132" s="284" t="s">
        <v>265</v>
      </c>
      <c r="I132" s="283">
        <v>1</v>
      </c>
      <c r="J132" s="284" t="s">
        <v>156</v>
      </c>
      <c r="K132" s="283" t="s">
        <v>266</v>
      </c>
      <c r="L132" s="286" t="s">
        <v>158</v>
      </c>
      <c r="M132" s="287">
        <v>2400</v>
      </c>
      <c r="N132" s="287"/>
      <c r="O132" s="287"/>
      <c r="P132" s="287"/>
      <c r="Q132" s="288">
        <v>74.8</v>
      </c>
      <c r="R132" s="288">
        <v>74.8</v>
      </c>
      <c r="S132" s="288">
        <v>3.0099999999999998E-2</v>
      </c>
      <c r="T132" s="288">
        <v>8.9599999999999996E-5</v>
      </c>
      <c r="U132" s="288">
        <v>0</v>
      </c>
      <c r="V132" s="289">
        <v>74.830189599999997</v>
      </c>
      <c r="W132" s="289">
        <v>0</v>
      </c>
      <c r="X132" s="288">
        <v>7.4799999999999991E-2</v>
      </c>
      <c r="Y132" s="288">
        <v>7.4799999999999991E-2</v>
      </c>
      <c r="Z132" s="288">
        <v>3.01E-5</v>
      </c>
      <c r="AA132" s="288">
        <v>8.9599999999999995E-8</v>
      </c>
      <c r="AB132" s="288">
        <v>0</v>
      </c>
      <c r="AC132" s="289">
        <v>7.4830189599999999E-2</v>
      </c>
      <c r="AD132" s="289">
        <v>0</v>
      </c>
    </row>
    <row r="133" spans="1:30" ht="15" customHeight="1" x14ac:dyDescent="0.25">
      <c r="A133" s="282" t="s">
        <v>259</v>
      </c>
      <c r="B133" s="282" t="s">
        <v>259</v>
      </c>
      <c r="C133" s="282" t="s">
        <v>259</v>
      </c>
      <c r="D133" s="283" t="s">
        <v>373</v>
      </c>
      <c r="E133" s="403" t="s">
        <v>262</v>
      </c>
      <c r="F133" s="403" t="s">
        <v>263</v>
      </c>
      <c r="G133" s="284" t="s">
        <v>264</v>
      </c>
      <c r="H133" s="284" t="s">
        <v>265</v>
      </c>
      <c r="I133" s="283">
        <v>1</v>
      </c>
      <c r="J133" s="284" t="s">
        <v>156</v>
      </c>
      <c r="K133" s="283" t="s">
        <v>266</v>
      </c>
      <c r="L133" s="286" t="s">
        <v>158</v>
      </c>
      <c r="M133" s="287">
        <v>2400</v>
      </c>
      <c r="N133" s="287"/>
      <c r="O133" s="287"/>
      <c r="P133" s="287"/>
      <c r="Q133" s="288">
        <v>89.2</v>
      </c>
      <c r="R133" s="288">
        <v>89.2</v>
      </c>
      <c r="S133" s="288">
        <v>3.4599999999999999E-2</v>
      </c>
      <c r="T133" s="288">
        <v>1.22E-4</v>
      </c>
      <c r="U133" s="288">
        <v>0</v>
      </c>
      <c r="V133" s="289">
        <v>89.234722000000005</v>
      </c>
      <c r="W133" s="289">
        <v>0</v>
      </c>
      <c r="X133" s="288">
        <v>8.9200000000000002E-2</v>
      </c>
      <c r="Y133" s="288">
        <v>8.9200000000000002E-2</v>
      </c>
      <c r="Z133" s="288">
        <v>3.4600000000000001E-5</v>
      </c>
      <c r="AA133" s="288">
        <v>1.2200000000000001E-7</v>
      </c>
      <c r="AB133" s="288">
        <v>0</v>
      </c>
      <c r="AC133" s="289">
        <v>8.9234722000000002E-2</v>
      </c>
      <c r="AD133" s="289">
        <v>0</v>
      </c>
    </row>
    <row r="134" spans="1:30" ht="15" customHeight="1" x14ac:dyDescent="0.25">
      <c r="A134" s="282" t="s">
        <v>259</v>
      </c>
      <c r="B134" s="282" t="s">
        <v>259</v>
      </c>
      <c r="C134" s="282" t="s">
        <v>259</v>
      </c>
      <c r="D134" s="283" t="s">
        <v>374</v>
      </c>
      <c r="E134" s="403" t="s">
        <v>262</v>
      </c>
      <c r="F134" s="403" t="s">
        <v>263</v>
      </c>
      <c r="G134" s="284" t="s">
        <v>286</v>
      </c>
      <c r="H134" s="284" t="s">
        <v>287</v>
      </c>
      <c r="I134" s="283">
        <v>1</v>
      </c>
      <c r="J134" s="284" t="s">
        <v>156</v>
      </c>
      <c r="K134" s="283" t="s">
        <v>288</v>
      </c>
      <c r="L134" s="286" t="s">
        <v>158</v>
      </c>
      <c r="M134" s="287">
        <v>2400</v>
      </c>
      <c r="N134" s="287"/>
      <c r="O134" s="287"/>
      <c r="P134" s="287"/>
      <c r="Q134" s="288">
        <v>64.3</v>
      </c>
      <c r="R134" s="288">
        <v>64.3</v>
      </c>
      <c r="S134" s="288">
        <v>2.4E-2</v>
      </c>
      <c r="T134" s="288">
        <v>1.7699999999999999E-4</v>
      </c>
      <c r="U134" s="288">
        <v>0</v>
      </c>
      <c r="V134" s="289">
        <v>64.324176999999992</v>
      </c>
      <c r="W134" s="289">
        <v>0</v>
      </c>
      <c r="X134" s="288">
        <v>6.4299999999999996E-2</v>
      </c>
      <c r="Y134" s="288">
        <v>6.4299999999999996E-2</v>
      </c>
      <c r="Z134" s="288">
        <v>2.4000000000000001E-5</v>
      </c>
      <c r="AA134" s="288">
        <v>1.7699999999999998E-7</v>
      </c>
      <c r="AB134" s="288">
        <v>0</v>
      </c>
      <c r="AC134" s="289">
        <v>6.4324176999999996E-2</v>
      </c>
      <c r="AD134" s="289">
        <v>0</v>
      </c>
    </row>
    <row r="135" spans="1:30" ht="15" customHeight="1" x14ac:dyDescent="0.25">
      <c r="A135" s="282" t="s">
        <v>259</v>
      </c>
      <c r="B135" s="282" t="s">
        <v>259</v>
      </c>
      <c r="C135" s="282" t="s">
        <v>259</v>
      </c>
      <c r="D135" s="283" t="s">
        <v>375</v>
      </c>
      <c r="E135" s="403" t="s">
        <v>262</v>
      </c>
      <c r="F135" s="403" t="s">
        <v>263</v>
      </c>
      <c r="G135" s="284" t="s">
        <v>264</v>
      </c>
      <c r="H135" s="284" t="s">
        <v>265</v>
      </c>
      <c r="I135" s="283">
        <v>1</v>
      </c>
      <c r="J135" s="284" t="s">
        <v>156</v>
      </c>
      <c r="K135" s="283" t="s">
        <v>266</v>
      </c>
      <c r="L135" s="286" t="s">
        <v>158</v>
      </c>
      <c r="M135" s="287">
        <v>2400</v>
      </c>
      <c r="N135" s="287"/>
      <c r="O135" s="287"/>
      <c r="P135" s="287"/>
      <c r="Q135" s="288">
        <v>77.900000000000006</v>
      </c>
      <c r="R135" s="288">
        <v>77.900000000000006</v>
      </c>
      <c r="S135" s="288">
        <v>2.86E-2</v>
      </c>
      <c r="T135" s="288">
        <v>1.0399999999999999E-4</v>
      </c>
      <c r="U135" s="288">
        <v>0</v>
      </c>
      <c r="V135" s="289">
        <v>77.928703999999996</v>
      </c>
      <c r="W135" s="289">
        <v>0</v>
      </c>
      <c r="X135" s="288">
        <v>7.7900000000000011E-2</v>
      </c>
      <c r="Y135" s="288">
        <v>7.7900000000000011E-2</v>
      </c>
      <c r="Z135" s="288">
        <v>2.8600000000000001E-5</v>
      </c>
      <c r="AA135" s="288">
        <v>1.0399999999999999E-7</v>
      </c>
      <c r="AB135" s="288">
        <v>0</v>
      </c>
      <c r="AC135" s="289">
        <v>7.7928704000000015E-2</v>
      </c>
      <c r="AD135" s="289">
        <v>0</v>
      </c>
    </row>
    <row r="136" spans="1:30" ht="15" customHeight="1" x14ac:dyDescent="0.25">
      <c r="A136" s="282" t="s">
        <v>259</v>
      </c>
      <c r="B136" s="282" t="s">
        <v>259</v>
      </c>
      <c r="C136" s="282" t="s">
        <v>259</v>
      </c>
      <c r="D136" s="283" t="s">
        <v>376</v>
      </c>
      <c r="E136" s="403" t="s">
        <v>262</v>
      </c>
      <c r="F136" s="403" t="s">
        <v>263</v>
      </c>
      <c r="G136" s="284" t="s">
        <v>286</v>
      </c>
      <c r="H136" s="284" t="s">
        <v>287</v>
      </c>
      <c r="I136" s="283">
        <v>1</v>
      </c>
      <c r="J136" s="284" t="s">
        <v>156</v>
      </c>
      <c r="K136" s="283" t="s">
        <v>288</v>
      </c>
      <c r="L136" s="286" t="s">
        <v>158</v>
      </c>
      <c r="M136" s="287">
        <v>2400</v>
      </c>
      <c r="N136" s="287"/>
      <c r="O136" s="287"/>
      <c r="P136" s="287"/>
      <c r="Q136" s="288">
        <v>63.5</v>
      </c>
      <c r="R136" s="288">
        <v>63.5</v>
      </c>
      <c r="S136" s="288">
        <v>2.2100000000000002E-2</v>
      </c>
      <c r="T136" s="288">
        <v>2.13E-4</v>
      </c>
      <c r="U136" s="288">
        <v>0</v>
      </c>
      <c r="V136" s="289">
        <v>63.522313000000004</v>
      </c>
      <c r="W136" s="289">
        <v>0</v>
      </c>
      <c r="X136" s="288">
        <v>6.3500000000000001E-2</v>
      </c>
      <c r="Y136" s="288">
        <v>6.3500000000000001E-2</v>
      </c>
      <c r="Z136" s="288">
        <v>2.2100000000000002E-5</v>
      </c>
      <c r="AA136" s="288">
        <v>2.1299999999999999E-7</v>
      </c>
      <c r="AB136" s="288">
        <v>0</v>
      </c>
      <c r="AC136" s="289">
        <v>6.3522312999999997E-2</v>
      </c>
      <c r="AD136" s="289">
        <v>0</v>
      </c>
    </row>
    <row r="137" spans="1:30" ht="15" customHeight="1" x14ac:dyDescent="0.25">
      <c r="A137" s="282" t="s">
        <v>259</v>
      </c>
      <c r="B137" s="282" t="s">
        <v>259</v>
      </c>
      <c r="C137" s="282" t="s">
        <v>259</v>
      </c>
      <c r="D137" s="283" t="s">
        <v>377</v>
      </c>
      <c r="E137" s="403" t="s">
        <v>262</v>
      </c>
      <c r="F137" s="403" t="s">
        <v>263</v>
      </c>
      <c r="G137" s="284" t="s">
        <v>286</v>
      </c>
      <c r="H137" s="284" t="s">
        <v>287</v>
      </c>
      <c r="I137" s="283">
        <v>1</v>
      </c>
      <c r="J137" s="284" t="s">
        <v>156</v>
      </c>
      <c r="K137" s="283" t="s">
        <v>288</v>
      </c>
      <c r="L137" s="286" t="s">
        <v>158</v>
      </c>
      <c r="M137" s="287">
        <v>2400</v>
      </c>
      <c r="N137" s="287"/>
      <c r="O137" s="287"/>
      <c r="P137" s="287"/>
      <c r="Q137" s="288">
        <v>61.8</v>
      </c>
      <c r="R137" s="288">
        <v>61.8</v>
      </c>
      <c r="S137" s="288">
        <v>2.1399999999999999E-2</v>
      </c>
      <c r="T137" s="288">
        <v>2.2100000000000001E-4</v>
      </c>
      <c r="U137" s="288">
        <v>0</v>
      </c>
      <c r="V137" s="289">
        <v>61.821621</v>
      </c>
      <c r="W137" s="289">
        <v>0</v>
      </c>
      <c r="X137" s="288">
        <v>6.1799999999999994E-2</v>
      </c>
      <c r="Y137" s="288">
        <v>6.1799999999999994E-2</v>
      </c>
      <c r="Z137" s="288">
        <v>2.1399999999999998E-5</v>
      </c>
      <c r="AA137" s="288">
        <v>2.2100000000000001E-7</v>
      </c>
      <c r="AB137" s="288">
        <v>0</v>
      </c>
      <c r="AC137" s="289">
        <v>6.1821620999999993E-2</v>
      </c>
      <c r="AD137" s="289">
        <v>0</v>
      </c>
    </row>
    <row r="138" spans="1:30" ht="15" customHeight="1" x14ac:dyDescent="0.25">
      <c r="A138" s="282" t="s">
        <v>259</v>
      </c>
      <c r="B138" s="282" t="s">
        <v>259</v>
      </c>
      <c r="C138" s="282" t="s">
        <v>259</v>
      </c>
      <c r="D138" s="283" t="s">
        <v>378</v>
      </c>
      <c r="E138" s="403" t="s">
        <v>262</v>
      </c>
      <c r="F138" s="403" t="s">
        <v>263</v>
      </c>
      <c r="G138" s="284" t="s">
        <v>264</v>
      </c>
      <c r="H138" s="284" t="s">
        <v>265</v>
      </c>
      <c r="I138" s="283">
        <v>1</v>
      </c>
      <c r="J138" s="284" t="s">
        <v>156</v>
      </c>
      <c r="K138" s="283" t="s">
        <v>266</v>
      </c>
      <c r="L138" s="286" t="s">
        <v>158</v>
      </c>
      <c r="M138" s="287">
        <v>2400</v>
      </c>
      <c r="N138" s="287"/>
      <c r="O138" s="287"/>
      <c r="P138" s="287"/>
      <c r="Q138" s="288">
        <v>82.3</v>
      </c>
      <c r="R138" s="288">
        <v>82.3</v>
      </c>
      <c r="S138" s="288">
        <v>2.76E-2</v>
      </c>
      <c r="T138" s="288">
        <v>8.8599999999999999E-5</v>
      </c>
      <c r="U138" s="288">
        <v>0</v>
      </c>
      <c r="V138" s="289">
        <v>82.327688600000002</v>
      </c>
      <c r="W138" s="289">
        <v>0</v>
      </c>
      <c r="X138" s="288">
        <v>8.2299999999999998E-2</v>
      </c>
      <c r="Y138" s="288">
        <v>8.2299999999999998E-2</v>
      </c>
      <c r="Z138" s="288">
        <v>2.76E-5</v>
      </c>
      <c r="AA138" s="288">
        <v>8.8599999999999999E-8</v>
      </c>
      <c r="AB138" s="288">
        <v>0</v>
      </c>
      <c r="AC138" s="289">
        <v>8.2327688600000004E-2</v>
      </c>
      <c r="AD138" s="289">
        <v>0</v>
      </c>
    </row>
    <row r="139" spans="1:30" ht="15" customHeight="1" x14ac:dyDescent="0.25">
      <c r="A139" s="282" t="s">
        <v>259</v>
      </c>
      <c r="B139" s="282" t="s">
        <v>259</v>
      </c>
      <c r="C139" s="282" t="s">
        <v>259</v>
      </c>
      <c r="D139" s="283" t="s">
        <v>379</v>
      </c>
      <c r="E139" s="403" t="s">
        <v>262</v>
      </c>
      <c r="F139" s="403" t="s">
        <v>263</v>
      </c>
      <c r="G139" s="284" t="s">
        <v>286</v>
      </c>
      <c r="H139" s="284" t="s">
        <v>287</v>
      </c>
      <c r="I139" s="283">
        <v>1</v>
      </c>
      <c r="J139" s="284" t="s">
        <v>156</v>
      </c>
      <c r="K139" s="283" t="s">
        <v>288</v>
      </c>
      <c r="L139" s="286" t="s">
        <v>158</v>
      </c>
      <c r="M139" s="287">
        <v>2400</v>
      </c>
      <c r="N139" s="287"/>
      <c r="O139" s="287"/>
      <c r="P139" s="287"/>
      <c r="Q139" s="288">
        <v>56.1</v>
      </c>
      <c r="R139" s="288">
        <v>56.1</v>
      </c>
      <c r="S139" s="288">
        <v>1.8599999999999998E-2</v>
      </c>
      <c r="T139" s="288">
        <v>1.7699999999999999E-4</v>
      </c>
      <c r="U139" s="288">
        <v>0</v>
      </c>
      <c r="V139" s="289">
        <v>56.118777000000001</v>
      </c>
      <c r="W139" s="289">
        <v>0</v>
      </c>
      <c r="X139" s="288">
        <v>5.6100000000000004E-2</v>
      </c>
      <c r="Y139" s="288">
        <v>5.6100000000000004E-2</v>
      </c>
      <c r="Z139" s="288">
        <v>1.8599999999999998E-5</v>
      </c>
      <c r="AA139" s="288">
        <v>1.7699999999999998E-7</v>
      </c>
      <c r="AB139" s="288">
        <v>0</v>
      </c>
      <c r="AC139" s="289">
        <v>5.6118777000000002E-2</v>
      </c>
      <c r="AD139" s="289">
        <v>0</v>
      </c>
    </row>
    <row r="140" spans="1:30" ht="15" customHeight="1" x14ac:dyDescent="0.25">
      <c r="A140" s="282" t="s">
        <v>259</v>
      </c>
      <c r="B140" s="282" t="s">
        <v>259</v>
      </c>
      <c r="C140" s="282" t="s">
        <v>259</v>
      </c>
      <c r="D140" s="283" t="s">
        <v>380</v>
      </c>
      <c r="E140" s="403" t="s">
        <v>262</v>
      </c>
      <c r="F140" s="403" t="s">
        <v>263</v>
      </c>
      <c r="G140" s="284" t="s">
        <v>286</v>
      </c>
      <c r="H140" s="284" t="s">
        <v>287</v>
      </c>
      <c r="I140" s="283">
        <v>1</v>
      </c>
      <c r="J140" s="284" t="s">
        <v>156</v>
      </c>
      <c r="K140" s="283" t="s">
        <v>288</v>
      </c>
      <c r="L140" s="286" t="s">
        <v>158</v>
      </c>
      <c r="M140" s="287">
        <v>2400</v>
      </c>
      <c r="N140" s="287"/>
      <c r="O140" s="287"/>
      <c r="P140" s="287"/>
      <c r="Q140" s="288">
        <v>62.1</v>
      </c>
      <c r="R140" s="288">
        <v>62.1</v>
      </c>
      <c r="S140" s="288">
        <v>2.0299999999999999E-2</v>
      </c>
      <c r="T140" s="288">
        <v>2.1100000000000001E-4</v>
      </c>
      <c r="U140" s="288">
        <v>0</v>
      </c>
      <c r="V140" s="289">
        <v>62.120511</v>
      </c>
      <c r="W140" s="289">
        <v>0</v>
      </c>
      <c r="X140" s="288">
        <v>6.2100000000000002E-2</v>
      </c>
      <c r="Y140" s="288">
        <v>6.2100000000000002E-2</v>
      </c>
      <c r="Z140" s="288">
        <v>2.0299999999999999E-5</v>
      </c>
      <c r="AA140" s="288">
        <v>2.11E-7</v>
      </c>
      <c r="AB140" s="288">
        <v>0</v>
      </c>
      <c r="AC140" s="289">
        <v>6.2120511000000003E-2</v>
      </c>
      <c r="AD140" s="289">
        <v>0</v>
      </c>
    </row>
    <row r="141" spans="1:30" ht="15" customHeight="1" x14ac:dyDescent="0.25">
      <c r="A141" s="282" t="s">
        <v>259</v>
      </c>
      <c r="B141" s="282" t="s">
        <v>259</v>
      </c>
      <c r="C141" s="282" t="s">
        <v>259</v>
      </c>
      <c r="D141" s="283" t="s">
        <v>381</v>
      </c>
      <c r="E141" s="403" t="s">
        <v>262</v>
      </c>
      <c r="F141" s="403" t="s">
        <v>263</v>
      </c>
      <c r="G141" s="284" t="s">
        <v>286</v>
      </c>
      <c r="H141" s="284" t="s">
        <v>287</v>
      </c>
      <c r="I141" s="283">
        <v>1</v>
      </c>
      <c r="J141" s="284" t="s">
        <v>156</v>
      </c>
      <c r="K141" s="283" t="s">
        <v>288</v>
      </c>
      <c r="L141" s="286" t="s">
        <v>158</v>
      </c>
      <c r="M141" s="287">
        <v>2400</v>
      </c>
      <c r="N141" s="287"/>
      <c r="O141" s="287"/>
      <c r="P141" s="287"/>
      <c r="Q141" s="288">
        <v>64.8</v>
      </c>
      <c r="R141" s="288">
        <v>64.8</v>
      </c>
      <c r="S141" s="288">
        <v>2.06E-2</v>
      </c>
      <c r="T141" s="288">
        <v>2.1100000000000001E-4</v>
      </c>
      <c r="U141" s="288">
        <v>0</v>
      </c>
      <c r="V141" s="289">
        <v>64.820810999999992</v>
      </c>
      <c r="W141" s="289">
        <v>0</v>
      </c>
      <c r="X141" s="288">
        <v>6.4799999999999996E-2</v>
      </c>
      <c r="Y141" s="288">
        <v>6.4799999999999996E-2</v>
      </c>
      <c r="Z141" s="288">
        <v>2.0599999999999999E-5</v>
      </c>
      <c r="AA141" s="288">
        <v>2.11E-7</v>
      </c>
      <c r="AB141" s="288">
        <v>0</v>
      </c>
      <c r="AC141" s="289">
        <v>6.4820810999999992E-2</v>
      </c>
      <c r="AD141" s="289">
        <v>0</v>
      </c>
    </row>
    <row r="142" spans="1:30" ht="15" customHeight="1" x14ac:dyDescent="0.25">
      <c r="A142" s="282" t="s">
        <v>259</v>
      </c>
      <c r="B142" s="282" t="s">
        <v>259</v>
      </c>
      <c r="C142" s="282" t="s">
        <v>259</v>
      </c>
      <c r="D142" s="283" t="s">
        <v>382</v>
      </c>
      <c r="E142" s="403" t="s">
        <v>273</v>
      </c>
      <c r="F142" s="403" t="s">
        <v>274</v>
      </c>
      <c r="G142" s="284" t="s">
        <v>299</v>
      </c>
      <c r="H142" s="284" t="s">
        <v>275</v>
      </c>
      <c r="I142" s="283">
        <v>1</v>
      </c>
      <c r="J142" s="284" t="s">
        <v>156</v>
      </c>
      <c r="K142" s="283" t="s">
        <v>276</v>
      </c>
      <c r="L142" s="286" t="s">
        <v>158</v>
      </c>
      <c r="M142" s="287">
        <v>2400</v>
      </c>
      <c r="N142" s="287"/>
      <c r="O142" s="287"/>
      <c r="P142" s="287"/>
      <c r="Q142" s="288">
        <v>79.3</v>
      </c>
      <c r="R142" s="288">
        <v>79.2</v>
      </c>
      <c r="S142" s="288">
        <v>0.125</v>
      </c>
      <c r="T142" s="288">
        <v>1.3799999999999999E-4</v>
      </c>
      <c r="U142" s="288">
        <v>0</v>
      </c>
      <c r="V142" s="289">
        <v>79.32513800000001</v>
      </c>
      <c r="W142" s="289">
        <v>0</v>
      </c>
      <c r="X142" s="288">
        <v>7.9299999999999995E-2</v>
      </c>
      <c r="Y142" s="288">
        <v>7.9200000000000007E-2</v>
      </c>
      <c r="Z142" s="288">
        <v>1.25E-4</v>
      </c>
      <c r="AA142" s="288">
        <v>1.3799999999999999E-7</v>
      </c>
      <c r="AB142" s="288">
        <v>0</v>
      </c>
      <c r="AC142" s="289">
        <v>7.9325138000000003E-2</v>
      </c>
      <c r="AD142" s="289">
        <v>0</v>
      </c>
    </row>
    <row r="143" spans="1:30" ht="15" customHeight="1" x14ac:dyDescent="0.25">
      <c r="A143" s="282" t="s">
        <v>259</v>
      </c>
      <c r="B143" s="282" t="s">
        <v>259</v>
      </c>
      <c r="C143" s="282" t="s">
        <v>259</v>
      </c>
      <c r="D143" s="283" t="s">
        <v>383</v>
      </c>
      <c r="E143" s="403" t="s">
        <v>273</v>
      </c>
      <c r="F143" s="403" t="s">
        <v>274</v>
      </c>
      <c r="G143" s="284" t="s">
        <v>286</v>
      </c>
      <c r="H143" s="284" t="s">
        <v>275</v>
      </c>
      <c r="I143" s="283">
        <v>1</v>
      </c>
      <c r="J143" s="284" t="s">
        <v>156</v>
      </c>
      <c r="K143" s="283" t="s">
        <v>276</v>
      </c>
      <c r="L143" s="286" t="s">
        <v>158</v>
      </c>
      <c r="M143" s="287">
        <v>2400</v>
      </c>
      <c r="N143" s="287"/>
      <c r="O143" s="287"/>
      <c r="P143" s="287"/>
      <c r="Q143" s="288">
        <v>82.7</v>
      </c>
      <c r="R143" s="288">
        <v>82.6</v>
      </c>
      <c r="S143" s="288">
        <v>0.126</v>
      </c>
      <c r="T143" s="288">
        <v>1.64E-4</v>
      </c>
      <c r="U143" s="288">
        <v>0</v>
      </c>
      <c r="V143" s="289">
        <v>82.726163999999997</v>
      </c>
      <c r="W143" s="289">
        <v>0</v>
      </c>
      <c r="X143" s="288">
        <v>8.270000000000001E-2</v>
      </c>
      <c r="Y143" s="288">
        <v>8.2599999999999993E-2</v>
      </c>
      <c r="Z143" s="288">
        <v>1.26E-4</v>
      </c>
      <c r="AA143" s="288">
        <v>1.6400000000000001E-7</v>
      </c>
      <c r="AB143" s="288">
        <v>0</v>
      </c>
      <c r="AC143" s="289">
        <v>8.2726163999999991E-2</v>
      </c>
      <c r="AD143" s="289">
        <v>0</v>
      </c>
    </row>
    <row r="144" spans="1:30" ht="15" customHeight="1" x14ac:dyDescent="0.25">
      <c r="A144" s="282" t="s">
        <v>259</v>
      </c>
      <c r="B144" s="282" t="s">
        <v>259</v>
      </c>
      <c r="C144" s="282" t="s">
        <v>259</v>
      </c>
      <c r="D144" s="283" t="s">
        <v>384</v>
      </c>
      <c r="E144" s="403" t="s">
        <v>262</v>
      </c>
      <c r="F144" s="403" t="s">
        <v>263</v>
      </c>
      <c r="G144" s="284" t="s">
        <v>286</v>
      </c>
      <c r="H144" s="284" t="s">
        <v>287</v>
      </c>
      <c r="I144" s="283">
        <v>1</v>
      </c>
      <c r="J144" s="284" t="s">
        <v>156</v>
      </c>
      <c r="K144" s="283" t="s">
        <v>288</v>
      </c>
      <c r="L144" s="286" t="s">
        <v>158</v>
      </c>
      <c r="M144" s="287">
        <v>2400</v>
      </c>
      <c r="N144" s="287"/>
      <c r="O144" s="287"/>
      <c r="P144" s="287"/>
      <c r="Q144" s="288">
        <v>61.2</v>
      </c>
      <c r="R144" s="288">
        <v>61.2</v>
      </c>
      <c r="S144" s="288">
        <v>1.9099999999999999E-2</v>
      </c>
      <c r="T144" s="288">
        <v>2.02E-4</v>
      </c>
      <c r="U144" s="288">
        <v>0</v>
      </c>
      <c r="V144" s="289">
        <v>61.219302000000006</v>
      </c>
      <c r="W144" s="289">
        <v>0</v>
      </c>
      <c r="X144" s="288">
        <v>6.1200000000000004E-2</v>
      </c>
      <c r="Y144" s="288">
        <v>6.1200000000000004E-2</v>
      </c>
      <c r="Z144" s="288">
        <v>1.91E-5</v>
      </c>
      <c r="AA144" s="288">
        <v>2.0200000000000001E-7</v>
      </c>
      <c r="AB144" s="288">
        <v>0</v>
      </c>
      <c r="AC144" s="289">
        <v>6.1219302000000003E-2</v>
      </c>
      <c r="AD144" s="289">
        <v>0</v>
      </c>
    </row>
    <row r="145" spans="1:30" ht="15" customHeight="1" x14ac:dyDescent="0.25">
      <c r="A145" s="282" t="s">
        <v>259</v>
      </c>
      <c r="B145" s="282" t="s">
        <v>259</v>
      </c>
      <c r="C145" s="282" t="s">
        <v>259</v>
      </c>
      <c r="D145" s="283" t="s">
        <v>385</v>
      </c>
      <c r="E145" s="403" t="s">
        <v>262</v>
      </c>
      <c r="F145" s="403" t="s">
        <v>263</v>
      </c>
      <c r="G145" s="284" t="s">
        <v>286</v>
      </c>
      <c r="H145" s="284" t="s">
        <v>287</v>
      </c>
      <c r="I145" s="283">
        <v>1</v>
      </c>
      <c r="J145" s="284" t="s">
        <v>156</v>
      </c>
      <c r="K145" s="283" t="s">
        <v>288</v>
      </c>
      <c r="L145" s="286" t="s">
        <v>158</v>
      </c>
      <c r="M145" s="287">
        <v>2400</v>
      </c>
      <c r="N145" s="287"/>
      <c r="O145" s="287"/>
      <c r="P145" s="287"/>
      <c r="Q145" s="288">
        <v>66.3</v>
      </c>
      <c r="R145" s="288">
        <v>66.3</v>
      </c>
      <c r="S145" s="288">
        <v>2.0500000000000001E-2</v>
      </c>
      <c r="T145" s="288">
        <v>2.0900000000000001E-4</v>
      </c>
      <c r="U145" s="288">
        <v>0</v>
      </c>
      <c r="V145" s="289">
        <v>66.320708999999994</v>
      </c>
      <c r="W145" s="289">
        <v>0</v>
      </c>
      <c r="X145" s="288">
        <v>6.6299999999999998E-2</v>
      </c>
      <c r="Y145" s="288">
        <v>6.6299999999999998E-2</v>
      </c>
      <c r="Z145" s="288">
        <v>2.05E-5</v>
      </c>
      <c r="AA145" s="288">
        <v>2.0900000000000001E-7</v>
      </c>
      <c r="AB145" s="288">
        <v>0</v>
      </c>
      <c r="AC145" s="289">
        <v>6.6320709000000005E-2</v>
      </c>
      <c r="AD145" s="289">
        <v>0</v>
      </c>
    </row>
    <row r="146" spans="1:30" ht="15" customHeight="1" x14ac:dyDescent="0.25">
      <c r="A146" s="282" t="s">
        <v>259</v>
      </c>
      <c r="B146" s="282" t="s">
        <v>259</v>
      </c>
      <c r="C146" s="282" t="s">
        <v>259</v>
      </c>
      <c r="D146" s="283" t="s">
        <v>386</v>
      </c>
      <c r="E146" s="403" t="s">
        <v>262</v>
      </c>
      <c r="F146" s="403" t="s">
        <v>263</v>
      </c>
      <c r="G146" s="284" t="s">
        <v>264</v>
      </c>
      <c r="H146" s="284" t="s">
        <v>265</v>
      </c>
      <c r="I146" s="283">
        <v>1</v>
      </c>
      <c r="J146" s="284" t="s">
        <v>156</v>
      </c>
      <c r="K146" s="283" t="s">
        <v>266</v>
      </c>
      <c r="L146" s="286" t="s">
        <v>158</v>
      </c>
      <c r="M146" s="287">
        <v>2400</v>
      </c>
      <c r="N146" s="287"/>
      <c r="O146" s="287"/>
      <c r="P146" s="287"/>
      <c r="Q146" s="288">
        <v>82.2</v>
      </c>
      <c r="R146" s="288">
        <v>82.2</v>
      </c>
      <c r="S146" s="288">
        <v>2.5399999999999999E-2</v>
      </c>
      <c r="T146" s="288">
        <v>9.1000000000000003E-5</v>
      </c>
      <c r="U146" s="288">
        <v>0</v>
      </c>
      <c r="V146" s="289">
        <v>82.225491000000005</v>
      </c>
      <c r="W146" s="289">
        <v>0</v>
      </c>
      <c r="X146" s="288">
        <v>8.2200000000000009E-2</v>
      </c>
      <c r="Y146" s="288">
        <v>8.2200000000000009E-2</v>
      </c>
      <c r="Z146" s="288">
        <v>2.5399999999999997E-5</v>
      </c>
      <c r="AA146" s="288">
        <v>9.1000000000000008E-8</v>
      </c>
      <c r="AB146" s="288">
        <v>0</v>
      </c>
      <c r="AC146" s="289">
        <v>8.2225490999999998E-2</v>
      </c>
      <c r="AD146" s="289">
        <v>0</v>
      </c>
    </row>
    <row r="147" spans="1:30" ht="15" customHeight="1" x14ac:dyDescent="0.25">
      <c r="A147" s="282" t="s">
        <v>259</v>
      </c>
      <c r="B147" s="282" t="s">
        <v>259</v>
      </c>
      <c r="C147" s="282" t="s">
        <v>259</v>
      </c>
      <c r="D147" s="283" t="s">
        <v>387</v>
      </c>
      <c r="E147" s="403" t="s">
        <v>262</v>
      </c>
      <c r="F147" s="403" t="s">
        <v>263</v>
      </c>
      <c r="G147" s="284" t="s">
        <v>286</v>
      </c>
      <c r="H147" s="284" t="s">
        <v>287</v>
      </c>
      <c r="I147" s="283">
        <v>1</v>
      </c>
      <c r="J147" s="284" t="s">
        <v>156</v>
      </c>
      <c r="K147" s="283" t="s">
        <v>288</v>
      </c>
      <c r="L147" s="286" t="s">
        <v>158</v>
      </c>
      <c r="M147" s="287">
        <v>2400</v>
      </c>
      <c r="N147" s="287"/>
      <c r="O147" s="287"/>
      <c r="P147" s="287"/>
      <c r="Q147" s="288">
        <v>61.4</v>
      </c>
      <c r="R147" s="288">
        <v>61.4</v>
      </c>
      <c r="S147" s="288">
        <v>1.78E-2</v>
      </c>
      <c r="T147" s="288">
        <v>1.76E-4</v>
      </c>
      <c r="U147" s="288">
        <v>0</v>
      </c>
      <c r="V147" s="289">
        <v>61.417976000000003</v>
      </c>
      <c r="W147" s="289">
        <v>0</v>
      </c>
      <c r="X147" s="288">
        <v>6.1399999999999996E-2</v>
      </c>
      <c r="Y147" s="288">
        <v>6.1399999999999996E-2</v>
      </c>
      <c r="Z147" s="288">
        <v>1.7799999999999999E-5</v>
      </c>
      <c r="AA147" s="288">
        <v>1.7599999999999999E-7</v>
      </c>
      <c r="AB147" s="288">
        <v>0</v>
      </c>
      <c r="AC147" s="289">
        <v>6.1417975999999992E-2</v>
      </c>
      <c r="AD147" s="289">
        <v>0</v>
      </c>
    </row>
    <row r="148" spans="1:30" ht="15" customHeight="1" x14ac:dyDescent="0.25">
      <c r="A148" s="282" t="s">
        <v>259</v>
      </c>
      <c r="B148" s="282" t="s">
        <v>259</v>
      </c>
      <c r="C148" s="282" t="s">
        <v>259</v>
      </c>
      <c r="D148" s="283" t="s">
        <v>388</v>
      </c>
      <c r="E148" s="403" t="s">
        <v>262</v>
      </c>
      <c r="F148" s="403" t="s">
        <v>263</v>
      </c>
      <c r="G148" s="284" t="s">
        <v>286</v>
      </c>
      <c r="H148" s="284" t="s">
        <v>287</v>
      </c>
      <c r="I148" s="283">
        <v>1</v>
      </c>
      <c r="J148" s="284" t="s">
        <v>156</v>
      </c>
      <c r="K148" s="283" t="s">
        <v>288</v>
      </c>
      <c r="L148" s="286" t="s">
        <v>158</v>
      </c>
      <c r="M148" s="287">
        <v>2400</v>
      </c>
      <c r="N148" s="287"/>
      <c r="O148" s="287"/>
      <c r="P148" s="287"/>
      <c r="Q148" s="288">
        <v>62.9</v>
      </c>
      <c r="R148" s="288">
        <v>62.9</v>
      </c>
      <c r="S148" s="288">
        <v>1.8100000000000002E-2</v>
      </c>
      <c r="T148" s="288">
        <v>1.93E-4</v>
      </c>
      <c r="U148" s="288">
        <v>0</v>
      </c>
      <c r="V148" s="289">
        <v>62.918292999999998</v>
      </c>
      <c r="W148" s="289">
        <v>0</v>
      </c>
      <c r="X148" s="288">
        <v>6.2899999999999998E-2</v>
      </c>
      <c r="Y148" s="288">
        <v>6.2899999999999998E-2</v>
      </c>
      <c r="Z148" s="288">
        <v>1.8100000000000003E-5</v>
      </c>
      <c r="AA148" s="288">
        <v>1.9299999999999999E-7</v>
      </c>
      <c r="AB148" s="288">
        <v>0</v>
      </c>
      <c r="AC148" s="289">
        <v>6.2918292999999986E-2</v>
      </c>
      <c r="AD148" s="289">
        <v>0</v>
      </c>
    </row>
    <row r="149" spans="1:30" ht="15" customHeight="1" x14ac:dyDescent="0.25">
      <c r="A149" s="282" t="s">
        <v>259</v>
      </c>
      <c r="B149" s="282" t="s">
        <v>259</v>
      </c>
      <c r="C149" s="282" t="s">
        <v>259</v>
      </c>
      <c r="D149" s="283" t="s">
        <v>389</v>
      </c>
      <c r="E149" s="403" t="s">
        <v>273</v>
      </c>
      <c r="F149" s="403" t="s">
        <v>274</v>
      </c>
      <c r="G149" s="284" t="s">
        <v>316</v>
      </c>
      <c r="H149" s="284" t="s">
        <v>275</v>
      </c>
      <c r="I149" s="283">
        <v>1</v>
      </c>
      <c r="J149" s="284" t="s">
        <v>156</v>
      </c>
      <c r="K149" s="283" t="s">
        <v>276</v>
      </c>
      <c r="L149" s="286" t="s">
        <v>158</v>
      </c>
      <c r="M149" s="287">
        <v>2400</v>
      </c>
      <c r="N149" s="287"/>
      <c r="O149" s="287"/>
      <c r="P149" s="287"/>
      <c r="Q149" s="288">
        <v>83.4</v>
      </c>
      <c r="R149" s="288">
        <v>83.3</v>
      </c>
      <c r="S149" s="288">
        <v>0.124</v>
      </c>
      <c r="T149" s="288">
        <v>1.7799999999999999E-4</v>
      </c>
      <c r="U149" s="288">
        <v>0</v>
      </c>
      <c r="V149" s="289">
        <v>83.424177999999998</v>
      </c>
      <c r="W149" s="289">
        <v>0</v>
      </c>
      <c r="X149" s="288">
        <v>8.3400000000000002E-2</v>
      </c>
      <c r="Y149" s="288">
        <v>8.3299999999999999E-2</v>
      </c>
      <c r="Z149" s="288">
        <v>1.2400000000000001E-4</v>
      </c>
      <c r="AA149" s="288">
        <v>1.7799999999999998E-7</v>
      </c>
      <c r="AB149" s="288">
        <v>0</v>
      </c>
      <c r="AC149" s="289">
        <v>8.3424178000000002E-2</v>
      </c>
      <c r="AD149" s="289">
        <v>0</v>
      </c>
    </row>
    <row r="150" spans="1:30" ht="15" customHeight="1" x14ac:dyDescent="0.25">
      <c r="A150" s="282" t="s">
        <v>259</v>
      </c>
      <c r="B150" s="282" t="s">
        <v>259</v>
      </c>
      <c r="C150" s="282" t="s">
        <v>259</v>
      </c>
      <c r="D150" s="283" t="s">
        <v>390</v>
      </c>
      <c r="E150" s="403" t="s">
        <v>262</v>
      </c>
      <c r="F150" s="403" t="s">
        <v>263</v>
      </c>
      <c r="G150" s="284" t="s">
        <v>286</v>
      </c>
      <c r="H150" s="284" t="s">
        <v>287</v>
      </c>
      <c r="I150" s="283">
        <v>1</v>
      </c>
      <c r="J150" s="284" t="s">
        <v>156</v>
      </c>
      <c r="K150" s="283" t="s">
        <v>288</v>
      </c>
      <c r="L150" s="286" t="s">
        <v>158</v>
      </c>
      <c r="M150" s="287">
        <v>2400</v>
      </c>
      <c r="N150" s="287"/>
      <c r="O150" s="287"/>
      <c r="P150" s="287"/>
      <c r="Q150" s="288">
        <v>60.5</v>
      </c>
      <c r="R150" s="288">
        <v>60.5</v>
      </c>
      <c r="S150" s="288">
        <v>1.7299999999999999E-2</v>
      </c>
      <c r="T150" s="288">
        <v>1.7100000000000001E-4</v>
      </c>
      <c r="U150" s="288">
        <v>0</v>
      </c>
      <c r="V150" s="289">
        <v>60.517471</v>
      </c>
      <c r="W150" s="289">
        <v>0</v>
      </c>
      <c r="X150" s="288">
        <v>6.0499999999999998E-2</v>
      </c>
      <c r="Y150" s="288">
        <v>6.0499999999999998E-2</v>
      </c>
      <c r="Z150" s="288">
        <v>1.73E-5</v>
      </c>
      <c r="AA150" s="288">
        <v>1.7100000000000001E-7</v>
      </c>
      <c r="AB150" s="288">
        <v>0</v>
      </c>
      <c r="AC150" s="289">
        <v>6.0517470999999996E-2</v>
      </c>
      <c r="AD150" s="289">
        <v>0</v>
      </c>
    </row>
    <row r="151" spans="1:30" ht="15" customHeight="1" x14ac:dyDescent="0.25">
      <c r="A151" s="282" t="s">
        <v>259</v>
      </c>
      <c r="B151" s="282" t="s">
        <v>259</v>
      </c>
      <c r="C151" s="282" t="s">
        <v>259</v>
      </c>
      <c r="D151" s="283" t="s">
        <v>391</v>
      </c>
      <c r="E151" s="403" t="s">
        <v>262</v>
      </c>
      <c r="F151" s="403" t="s">
        <v>263</v>
      </c>
      <c r="G151" s="284" t="s">
        <v>286</v>
      </c>
      <c r="H151" s="284" t="s">
        <v>287</v>
      </c>
      <c r="I151" s="283">
        <v>1</v>
      </c>
      <c r="J151" s="284" t="s">
        <v>156</v>
      </c>
      <c r="K151" s="283" t="s">
        <v>288</v>
      </c>
      <c r="L151" s="286" t="s">
        <v>158</v>
      </c>
      <c r="M151" s="287">
        <v>2400</v>
      </c>
      <c r="N151" s="287"/>
      <c r="O151" s="287"/>
      <c r="P151" s="287"/>
      <c r="Q151" s="288">
        <v>62.2</v>
      </c>
      <c r="R151" s="288">
        <v>62.2</v>
      </c>
      <c r="S151" s="288">
        <v>1.77E-2</v>
      </c>
      <c r="T151" s="288">
        <v>1.7200000000000001E-4</v>
      </c>
      <c r="U151" s="288">
        <v>0</v>
      </c>
      <c r="V151" s="289">
        <v>62.217872</v>
      </c>
      <c r="W151" s="289">
        <v>0</v>
      </c>
      <c r="X151" s="288">
        <v>6.2200000000000005E-2</v>
      </c>
      <c r="Y151" s="288">
        <v>6.2200000000000005E-2</v>
      </c>
      <c r="Z151" s="288">
        <v>1.77E-5</v>
      </c>
      <c r="AA151" s="288">
        <v>1.72E-7</v>
      </c>
      <c r="AB151" s="288">
        <v>0</v>
      </c>
      <c r="AC151" s="289">
        <v>6.2217872000000007E-2</v>
      </c>
      <c r="AD151" s="289">
        <v>0</v>
      </c>
    </row>
    <row r="152" spans="1:30" ht="15" customHeight="1" x14ac:dyDescent="0.25">
      <c r="A152" s="282" t="s">
        <v>259</v>
      </c>
      <c r="B152" s="282" t="s">
        <v>259</v>
      </c>
      <c r="C152" s="282" t="s">
        <v>259</v>
      </c>
      <c r="D152" s="283" t="s">
        <v>392</v>
      </c>
      <c r="E152" s="403" t="s">
        <v>262</v>
      </c>
      <c r="F152" s="403" t="s">
        <v>263</v>
      </c>
      <c r="G152" s="284" t="s">
        <v>286</v>
      </c>
      <c r="H152" s="284" t="s">
        <v>287</v>
      </c>
      <c r="I152" s="283">
        <v>1</v>
      </c>
      <c r="J152" s="284" t="s">
        <v>156</v>
      </c>
      <c r="K152" s="283" t="s">
        <v>288</v>
      </c>
      <c r="L152" s="286" t="s">
        <v>158</v>
      </c>
      <c r="M152" s="287">
        <v>2400</v>
      </c>
      <c r="N152" s="287"/>
      <c r="O152" s="287"/>
      <c r="P152" s="287"/>
      <c r="Q152" s="288">
        <v>59</v>
      </c>
      <c r="R152" s="288">
        <v>59</v>
      </c>
      <c r="S152" s="288">
        <v>1.6400000000000001E-2</v>
      </c>
      <c r="T152" s="288">
        <v>1.6200000000000001E-4</v>
      </c>
      <c r="U152" s="288">
        <v>0</v>
      </c>
      <c r="V152" s="289">
        <v>59.016562</v>
      </c>
      <c r="W152" s="289">
        <v>0</v>
      </c>
      <c r="X152" s="288">
        <v>5.8999999999999997E-2</v>
      </c>
      <c r="Y152" s="288">
        <v>5.8999999999999997E-2</v>
      </c>
      <c r="Z152" s="288">
        <v>1.6400000000000002E-5</v>
      </c>
      <c r="AA152" s="288">
        <v>1.6199999999999999E-7</v>
      </c>
      <c r="AB152" s="288">
        <v>0</v>
      </c>
      <c r="AC152" s="289">
        <v>5.9016561999999995E-2</v>
      </c>
      <c r="AD152" s="289">
        <v>0</v>
      </c>
    </row>
    <row r="153" spans="1:30" ht="15" customHeight="1" x14ac:dyDescent="0.25">
      <c r="A153" s="282" t="s">
        <v>259</v>
      </c>
      <c r="B153" s="282" t="s">
        <v>259</v>
      </c>
      <c r="C153" s="282" t="s">
        <v>259</v>
      </c>
      <c r="D153" s="283" t="s">
        <v>393</v>
      </c>
      <c r="E153" s="403" t="s">
        <v>262</v>
      </c>
      <c r="F153" s="403" t="s">
        <v>263</v>
      </c>
      <c r="G153" s="284" t="s">
        <v>264</v>
      </c>
      <c r="H153" s="284" t="s">
        <v>265</v>
      </c>
      <c r="I153" s="283">
        <v>1</v>
      </c>
      <c r="J153" s="284" t="s">
        <v>156</v>
      </c>
      <c r="K153" s="283" t="s">
        <v>266</v>
      </c>
      <c r="L153" s="286" t="s">
        <v>158</v>
      </c>
      <c r="M153" s="287">
        <v>2400</v>
      </c>
      <c r="N153" s="287"/>
      <c r="O153" s="287"/>
      <c r="P153" s="287"/>
      <c r="Q153" s="288">
        <v>86.9</v>
      </c>
      <c r="R153" s="288">
        <v>86.9</v>
      </c>
      <c r="S153" s="288">
        <v>2.3699999999999999E-2</v>
      </c>
      <c r="T153" s="288">
        <v>9.5799999999999998E-5</v>
      </c>
      <c r="U153" s="288">
        <v>0</v>
      </c>
      <c r="V153" s="289">
        <v>86.923795800000008</v>
      </c>
      <c r="W153" s="289">
        <v>0</v>
      </c>
      <c r="X153" s="288">
        <v>8.6900000000000005E-2</v>
      </c>
      <c r="Y153" s="288">
        <v>8.6900000000000005E-2</v>
      </c>
      <c r="Z153" s="288">
        <v>2.37E-5</v>
      </c>
      <c r="AA153" s="288">
        <v>9.5799999999999998E-8</v>
      </c>
      <c r="AB153" s="288">
        <v>0</v>
      </c>
      <c r="AC153" s="289">
        <v>8.6923795800000009E-2</v>
      </c>
      <c r="AD153" s="289">
        <v>0</v>
      </c>
    </row>
    <row r="154" spans="1:30" ht="15" customHeight="1" x14ac:dyDescent="0.25">
      <c r="A154" s="282" t="s">
        <v>259</v>
      </c>
      <c r="B154" s="282" t="s">
        <v>259</v>
      </c>
      <c r="C154" s="282" t="s">
        <v>259</v>
      </c>
      <c r="D154" s="283" t="s">
        <v>394</v>
      </c>
      <c r="E154" s="403" t="s">
        <v>262</v>
      </c>
      <c r="F154" s="403" t="s">
        <v>263</v>
      </c>
      <c r="G154" s="284" t="s">
        <v>286</v>
      </c>
      <c r="H154" s="284" t="s">
        <v>287</v>
      </c>
      <c r="I154" s="283">
        <v>1</v>
      </c>
      <c r="J154" s="284" t="s">
        <v>156</v>
      </c>
      <c r="K154" s="283" t="s">
        <v>288</v>
      </c>
      <c r="L154" s="286" t="s">
        <v>158</v>
      </c>
      <c r="M154" s="287">
        <v>2400</v>
      </c>
      <c r="N154" s="287"/>
      <c r="O154" s="287"/>
      <c r="P154" s="287"/>
      <c r="Q154" s="288">
        <v>55</v>
      </c>
      <c r="R154" s="288">
        <v>55</v>
      </c>
      <c r="S154" s="288">
        <v>1.41E-2</v>
      </c>
      <c r="T154" s="288">
        <v>1.3799999999999999E-4</v>
      </c>
      <c r="U154" s="288">
        <v>0</v>
      </c>
      <c r="V154" s="289">
        <v>55.014237999999999</v>
      </c>
      <c r="W154" s="289">
        <v>0</v>
      </c>
      <c r="X154" s="288">
        <v>5.5E-2</v>
      </c>
      <c r="Y154" s="288">
        <v>5.5E-2</v>
      </c>
      <c r="Z154" s="288">
        <v>1.4100000000000001E-5</v>
      </c>
      <c r="AA154" s="288">
        <v>1.3799999999999999E-7</v>
      </c>
      <c r="AB154" s="288">
        <v>0</v>
      </c>
      <c r="AC154" s="289">
        <v>5.5014238E-2</v>
      </c>
      <c r="AD154" s="289">
        <v>0</v>
      </c>
    </row>
    <row r="155" spans="1:30" ht="15" customHeight="1" x14ac:dyDescent="0.25">
      <c r="A155" s="282" t="s">
        <v>259</v>
      </c>
      <c r="B155" s="282" t="s">
        <v>259</v>
      </c>
      <c r="C155" s="282" t="s">
        <v>259</v>
      </c>
      <c r="D155" s="283" t="s">
        <v>395</v>
      </c>
      <c r="E155" s="403" t="s">
        <v>262</v>
      </c>
      <c r="F155" s="403" t="s">
        <v>263</v>
      </c>
      <c r="G155" s="284" t="s">
        <v>286</v>
      </c>
      <c r="H155" s="284" t="s">
        <v>287</v>
      </c>
      <c r="I155" s="283">
        <v>1</v>
      </c>
      <c r="J155" s="284" t="s">
        <v>156</v>
      </c>
      <c r="K155" s="283" t="s">
        <v>288</v>
      </c>
      <c r="L155" s="286" t="s">
        <v>158</v>
      </c>
      <c r="M155" s="287">
        <v>2400</v>
      </c>
      <c r="N155" s="287"/>
      <c r="O155" s="287"/>
      <c r="P155" s="287"/>
      <c r="Q155" s="288">
        <v>52.8</v>
      </c>
      <c r="R155" s="288">
        <v>52.8</v>
      </c>
      <c r="S155" s="288">
        <v>1.2699999999999999E-2</v>
      </c>
      <c r="T155" s="288">
        <v>1.26E-4</v>
      </c>
      <c r="U155" s="288">
        <v>0</v>
      </c>
      <c r="V155" s="289">
        <v>52.812826000000001</v>
      </c>
      <c r="W155" s="289">
        <v>0</v>
      </c>
      <c r="X155" s="288">
        <v>5.28E-2</v>
      </c>
      <c r="Y155" s="288">
        <v>5.28E-2</v>
      </c>
      <c r="Z155" s="288">
        <v>1.2699999999999999E-5</v>
      </c>
      <c r="AA155" s="288">
        <v>1.2599999999999999E-7</v>
      </c>
      <c r="AB155" s="288">
        <v>0</v>
      </c>
      <c r="AC155" s="289">
        <v>5.2812826E-2</v>
      </c>
      <c r="AD155" s="289">
        <v>0</v>
      </c>
    </row>
    <row r="156" spans="1:30" ht="15" customHeight="1" x14ac:dyDescent="0.25">
      <c r="A156" s="282" t="s">
        <v>259</v>
      </c>
      <c r="B156" s="282" t="s">
        <v>259</v>
      </c>
      <c r="C156" s="282" t="s">
        <v>259</v>
      </c>
      <c r="D156" s="283" t="s">
        <v>396</v>
      </c>
      <c r="E156" s="403" t="s">
        <v>262</v>
      </c>
      <c r="F156" s="403" t="s">
        <v>263</v>
      </c>
      <c r="G156" s="284" t="s">
        <v>286</v>
      </c>
      <c r="H156" s="284" t="s">
        <v>287</v>
      </c>
      <c r="I156" s="283">
        <v>1</v>
      </c>
      <c r="J156" s="284" t="s">
        <v>156</v>
      </c>
      <c r="K156" s="283" t="s">
        <v>288</v>
      </c>
      <c r="L156" s="286" t="s">
        <v>158</v>
      </c>
      <c r="M156" s="287">
        <v>2400</v>
      </c>
      <c r="N156" s="287"/>
      <c r="O156" s="287"/>
      <c r="P156" s="287"/>
      <c r="Q156" s="288">
        <v>52.7</v>
      </c>
      <c r="R156" s="288">
        <v>52.7</v>
      </c>
      <c r="S156" s="288">
        <v>1.2500000000000001E-2</v>
      </c>
      <c r="T156" s="288">
        <v>1.3100000000000001E-4</v>
      </c>
      <c r="U156" s="288">
        <v>0</v>
      </c>
      <c r="V156" s="289">
        <v>52.712631000000009</v>
      </c>
      <c r="W156" s="289">
        <v>0</v>
      </c>
      <c r="X156" s="288">
        <v>5.2700000000000004E-2</v>
      </c>
      <c r="Y156" s="288">
        <v>5.2700000000000004E-2</v>
      </c>
      <c r="Z156" s="288">
        <v>1.2500000000000001E-5</v>
      </c>
      <c r="AA156" s="288">
        <v>1.3100000000000002E-7</v>
      </c>
      <c r="AB156" s="288">
        <v>0</v>
      </c>
      <c r="AC156" s="289">
        <v>5.2712631000000003E-2</v>
      </c>
      <c r="AD156" s="289">
        <v>0</v>
      </c>
    </row>
    <row r="157" spans="1:30" ht="15" customHeight="1" x14ac:dyDescent="0.25">
      <c r="A157" s="282" t="s">
        <v>259</v>
      </c>
      <c r="B157" s="282" t="s">
        <v>259</v>
      </c>
      <c r="C157" s="282" t="s">
        <v>259</v>
      </c>
      <c r="D157" s="283" t="s">
        <v>397</v>
      </c>
      <c r="E157" s="403" t="s">
        <v>273</v>
      </c>
      <c r="F157" s="403" t="s">
        <v>274</v>
      </c>
      <c r="G157" s="284" t="s">
        <v>316</v>
      </c>
      <c r="H157" s="284" t="s">
        <v>275</v>
      </c>
      <c r="I157" s="283">
        <v>1</v>
      </c>
      <c r="J157" s="284" t="s">
        <v>156</v>
      </c>
      <c r="K157" s="283" t="s">
        <v>276</v>
      </c>
      <c r="L157" s="286" t="s">
        <v>158</v>
      </c>
      <c r="M157" s="287">
        <v>2400</v>
      </c>
      <c r="N157" s="287"/>
      <c r="O157" s="287"/>
      <c r="P157" s="287"/>
      <c r="Q157" s="288">
        <v>79.7</v>
      </c>
      <c r="R157" s="288">
        <v>79.599999999999994</v>
      </c>
      <c r="S157" s="288">
        <v>0.11799999999999999</v>
      </c>
      <c r="T157" s="288">
        <v>1.7000000000000001E-4</v>
      </c>
      <c r="U157" s="288">
        <v>0</v>
      </c>
      <c r="V157" s="289">
        <v>79.718169999999986</v>
      </c>
      <c r="W157" s="289">
        <v>0</v>
      </c>
      <c r="X157" s="288">
        <v>7.9700000000000007E-2</v>
      </c>
      <c r="Y157" s="288">
        <v>7.959999999999999E-2</v>
      </c>
      <c r="Z157" s="288">
        <v>1.18E-4</v>
      </c>
      <c r="AA157" s="288">
        <v>1.7000000000000001E-7</v>
      </c>
      <c r="AB157" s="288">
        <v>0</v>
      </c>
      <c r="AC157" s="289">
        <v>7.9718169999999977E-2</v>
      </c>
      <c r="AD157" s="289">
        <v>0</v>
      </c>
    </row>
    <row r="158" spans="1:30" ht="15" customHeight="1" x14ac:dyDescent="0.25">
      <c r="A158" s="282" t="s">
        <v>259</v>
      </c>
      <c r="B158" s="282" t="s">
        <v>259</v>
      </c>
      <c r="C158" s="282" t="s">
        <v>259</v>
      </c>
      <c r="D158" s="283" t="s">
        <v>398</v>
      </c>
      <c r="E158" s="403" t="s">
        <v>262</v>
      </c>
      <c r="F158" s="403" t="s">
        <v>263</v>
      </c>
      <c r="G158" s="284" t="s">
        <v>264</v>
      </c>
      <c r="H158" s="284" t="s">
        <v>265</v>
      </c>
      <c r="I158" s="283">
        <v>1</v>
      </c>
      <c r="J158" s="284" t="s">
        <v>156</v>
      </c>
      <c r="K158" s="283" t="s">
        <v>266</v>
      </c>
      <c r="L158" s="286" t="s">
        <v>158</v>
      </c>
      <c r="M158" s="287">
        <v>2400</v>
      </c>
      <c r="N158" s="287"/>
      <c r="O158" s="287"/>
      <c r="P158" s="287"/>
      <c r="Q158" s="288">
        <v>63.6</v>
      </c>
      <c r="R158" s="288">
        <v>62.7</v>
      </c>
      <c r="S158" s="288">
        <v>0.91300000000000003</v>
      </c>
      <c r="T158" s="288">
        <v>8.7399999999999997E-5</v>
      </c>
      <c r="U158" s="288">
        <v>0</v>
      </c>
      <c r="V158" s="289">
        <v>63.613087399999998</v>
      </c>
      <c r="W158" s="289">
        <v>0</v>
      </c>
      <c r="X158" s="288">
        <v>6.3600000000000004E-2</v>
      </c>
      <c r="Y158" s="288">
        <v>6.2700000000000006E-2</v>
      </c>
      <c r="Z158" s="288">
        <v>9.1300000000000007E-4</v>
      </c>
      <c r="AA158" s="288">
        <v>8.7400000000000002E-8</v>
      </c>
      <c r="AB158" s="288">
        <v>0</v>
      </c>
      <c r="AC158" s="289">
        <v>6.3613087400000004E-2</v>
      </c>
      <c r="AD158" s="289">
        <v>0</v>
      </c>
    </row>
    <row r="159" spans="1:30" ht="15" customHeight="1" x14ac:dyDescent="0.25">
      <c r="A159" s="282" t="s">
        <v>259</v>
      </c>
      <c r="B159" s="282" t="s">
        <v>259</v>
      </c>
      <c r="C159" s="282" t="s">
        <v>259</v>
      </c>
      <c r="D159" s="283" t="s">
        <v>399</v>
      </c>
      <c r="E159" s="403" t="s">
        <v>262</v>
      </c>
      <c r="F159" s="403" t="s">
        <v>263</v>
      </c>
      <c r="G159" s="284" t="s">
        <v>264</v>
      </c>
      <c r="H159" s="284" t="s">
        <v>265</v>
      </c>
      <c r="I159" s="283">
        <v>1</v>
      </c>
      <c r="J159" s="284" t="s">
        <v>156</v>
      </c>
      <c r="K159" s="283" t="s">
        <v>266</v>
      </c>
      <c r="L159" s="286" t="s">
        <v>158</v>
      </c>
      <c r="M159" s="287">
        <v>2400</v>
      </c>
      <c r="N159" s="287"/>
      <c r="O159" s="287"/>
      <c r="P159" s="287"/>
      <c r="Q159" s="288">
        <v>73.5</v>
      </c>
      <c r="R159" s="288">
        <v>72.599999999999994</v>
      </c>
      <c r="S159" s="288">
        <v>0.91500000000000004</v>
      </c>
      <c r="T159" s="288">
        <v>8.8700000000000001E-5</v>
      </c>
      <c r="U159" s="288">
        <v>0</v>
      </c>
      <c r="V159" s="289">
        <v>73.515088700000007</v>
      </c>
      <c r="W159" s="289">
        <v>0</v>
      </c>
      <c r="X159" s="288">
        <v>7.3499999999999996E-2</v>
      </c>
      <c r="Y159" s="288">
        <v>7.2599999999999998E-2</v>
      </c>
      <c r="Z159" s="288">
        <v>9.1500000000000001E-4</v>
      </c>
      <c r="AA159" s="288">
        <v>8.8700000000000007E-8</v>
      </c>
      <c r="AB159" s="288">
        <v>0</v>
      </c>
      <c r="AC159" s="289">
        <v>7.3515088699999995E-2</v>
      </c>
      <c r="AD159" s="289">
        <v>0</v>
      </c>
    </row>
    <row r="160" spans="1:30" ht="15" customHeight="1" x14ac:dyDescent="0.25">
      <c r="A160" s="282" t="s">
        <v>259</v>
      </c>
      <c r="B160" s="282" t="s">
        <v>259</v>
      </c>
      <c r="C160" s="282" t="s">
        <v>259</v>
      </c>
      <c r="D160" s="283" t="s">
        <v>400</v>
      </c>
      <c r="E160" s="403" t="s">
        <v>273</v>
      </c>
      <c r="F160" s="403" t="s">
        <v>274</v>
      </c>
      <c r="G160" s="284" t="s">
        <v>264</v>
      </c>
      <c r="H160" s="284" t="s">
        <v>275</v>
      </c>
      <c r="I160" s="283">
        <v>1</v>
      </c>
      <c r="J160" s="284" t="s">
        <v>156</v>
      </c>
      <c r="K160" s="283" t="s">
        <v>276</v>
      </c>
      <c r="L160" s="286" t="s">
        <v>158</v>
      </c>
      <c r="M160" s="287">
        <v>2400</v>
      </c>
      <c r="N160" s="287"/>
      <c r="O160" s="287"/>
      <c r="P160" s="287"/>
      <c r="Q160" s="288">
        <v>58.2</v>
      </c>
      <c r="R160" s="288">
        <v>58.1</v>
      </c>
      <c r="S160" s="288">
        <v>0.11</v>
      </c>
      <c r="T160" s="288">
        <v>9.5799999999999998E-5</v>
      </c>
      <c r="U160" s="288">
        <v>0</v>
      </c>
      <c r="V160" s="289">
        <v>58.210095799999998</v>
      </c>
      <c r="W160" s="289">
        <v>0</v>
      </c>
      <c r="X160" s="288">
        <v>5.8200000000000002E-2</v>
      </c>
      <c r="Y160" s="288">
        <v>5.8099999999999999E-2</v>
      </c>
      <c r="Z160" s="288">
        <v>1.1E-4</v>
      </c>
      <c r="AA160" s="288">
        <v>9.5799999999999998E-8</v>
      </c>
      <c r="AB160" s="288">
        <v>0</v>
      </c>
      <c r="AC160" s="289">
        <v>5.82100958E-2</v>
      </c>
      <c r="AD160" s="289">
        <v>0</v>
      </c>
    </row>
    <row r="161" spans="1:30" ht="15" customHeight="1" x14ac:dyDescent="0.25">
      <c r="A161" s="282" t="s">
        <v>259</v>
      </c>
      <c r="B161" s="282" t="s">
        <v>259</v>
      </c>
      <c r="C161" s="282" t="s">
        <v>259</v>
      </c>
      <c r="D161" s="283" t="s">
        <v>401</v>
      </c>
      <c r="E161" s="403" t="s">
        <v>273</v>
      </c>
      <c r="F161" s="403" t="s">
        <v>274</v>
      </c>
      <c r="G161" s="284" t="s">
        <v>316</v>
      </c>
      <c r="H161" s="284" t="s">
        <v>275</v>
      </c>
      <c r="I161" s="283">
        <v>1</v>
      </c>
      <c r="J161" s="284" t="s">
        <v>156</v>
      </c>
      <c r="K161" s="283" t="s">
        <v>276</v>
      </c>
      <c r="L161" s="286" t="s">
        <v>158</v>
      </c>
      <c r="M161" s="287">
        <v>2400</v>
      </c>
      <c r="N161" s="287"/>
      <c r="O161" s="287"/>
      <c r="P161" s="287"/>
      <c r="Q161" s="288">
        <v>76.400000000000006</v>
      </c>
      <c r="R161" s="288">
        <v>76.3</v>
      </c>
      <c r="S161" s="288">
        <v>0.113</v>
      </c>
      <c r="T161" s="288">
        <v>1.5799999999999999E-4</v>
      </c>
      <c r="U161" s="288">
        <v>0</v>
      </c>
      <c r="V161" s="289">
        <v>76.413157999999996</v>
      </c>
      <c r="W161" s="289">
        <v>0</v>
      </c>
      <c r="X161" s="288">
        <v>7.640000000000001E-2</v>
      </c>
      <c r="Y161" s="288">
        <v>7.6299999999999993E-2</v>
      </c>
      <c r="Z161" s="288">
        <v>1.1300000000000001E-4</v>
      </c>
      <c r="AA161" s="288">
        <v>1.5799999999999999E-7</v>
      </c>
      <c r="AB161" s="288">
        <v>0</v>
      </c>
      <c r="AC161" s="289">
        <v>7.6413157999999995E-2</v>
      </c>
      <c r="AD161" s="289">
        <v>0</v>
      </c>
    </row>
    <row r="162" spans="1:30" ht="15" customHeight="1" x14ac:dyDescent="0.25">
      <c r="A162" s="282" t="s">
        <v>259</v>
      </c>
      <c r="B162" s="282" t="s">
        <v>259</v>
      </c>
      <c r="C162" s="282" t="s">
        <v>259</v>
      </c>
      <c r="D162" s="283" t="s">
        <v>402</v>
      </c>
      <c r="E162" s="403" t="s">
        <v>273</v>
      </c>
      <c r="F162" s="403" t="s">
        <v>274</v>
      </c>
      <c r="G162" s="284" t="s">
        <v>264</v>
      </c>
      <c r="H162" s="284" t="s">
        <v>275</v>
      </c>
      <c r="I162" s="283">
        <v>1</v>
      </c>
      <c r="J162" s="284" t="s">
        <v>156</v>
      </c>
      <c r="K162" s="283" t="s">
        <v>276</v>
      </c>
      <c r="L162" s="286" t="s">
        <v>158</v>
      </c>
      <c r="M162" s="287">
        <v>2400</v>
      </c>
      <c r="N162" s="287"/>
      <c r="O162" s="287"/>
      <c r="P162" s="287"/>
      <c r="Q162" s="288">
        <v>94.1</v>
      </c>
      <c r="R162" s="288">
        <v>94</v>
      </c>
      <c r="S162" s="288">
        <v>0.11600000000000001</v>
      </c>
      <c r="T162" s="288">
        <v>1.55E-4</v>
      </c>
      <c r="U162" s="288">
        <v>0</v>
      </c>
      <c r="V162" s="289">
        <v>94.116155000000006</v>
      </c>
      <c r="W162" s="289">
        <v>0</v>
      </c>
      <c r="X162" s="288">
        <v>9.4099999999999989E-2</v>
      </c>
      <c r="Y162" s="288">
        <v>9.4E-2</v>
      </c>
      <c r="Z162" s="288">
        <v>1.16E-4</v>
      </c>
      <c r="AA162" s="288">
        <v>1.55E-7</v>
      </c>
      <c r="AB162" s="288">
        <v>0</v>
      </c>
      <c r="AC162" s="289">
        <v>9.4116155000000007E-2</v>
      </c>
      <c r="AD162" s="289">
        <v>0</v>
      </c>
    </row>
    <row r="163" spans="1:30" ht="15" customHeight="1" x14ac:dyDescent="0.25">
      <c r="A163" s="282" t="s">
        <v>259</v>
      </c>
      <c r="B163" s="282" t="s">
        <v>259</v>
      </c>
      <c r="C163" s="282" t="s">
        <v>259</v>
      </c>
      <c r="D163" s="283" t="s">
        <v>403</v>
      </c>
      <c r="E163" s="403" t="s">
        <v>262</v>
      </c>
      <c r="F163" s="403" t="s">
        <v>263</v>
      </c>
      <c r="G163" s="284" t="s">
        <v>264</v>
      </c>
      <c r="H163" s="284" t="s">
        <v>265</v>
      </c>
      <c r="I163" s="283">
        <v>1</v>
      </c>
      <c r="J163" s="284" t="s">
        <v>156</v>
      </c>
      <c r="K163" s="283" t="s">
        <v>266</v>
      </c>
      <c r="L163" s="286" t="s">
        <v>158</v>
      </c>
      <c r="M163" s="287">
        <v>2400</v>
      </c>
      <c r="N163" s="287"/>
      <c r="O163" s="287"/>
      <c r="P163" s="287"/>
      <c r="Q163" s="288">
        <v>70.5</v>
      </c>
      <c r="R163" s="288">
        <v>69.599999999999994</v>
      </c>
      <c r="S163" s="288">
        <v>0.91200000000000003</v>
      </c>
      <c r="T163" s="288">
        <v>7.7000000000000001E-5</v>
      </c>
      <c r="U163" s="288">
        <v>0</v>
      </c>
      <c r="V163" s="289">
        <v>70.512077000000005</v>
      </c>
      <c r="W163" s="289">
        <v>0</v>
      </c>
      <c r="X163" s="288">
        <v>7.0499999999999993E-2</v>
      </c>
      <c r="Y163" s="288">
        <v>6.9599999999999995E-2</v>
      </c>
      <c r="Z163" s="288">
        <v>9.1200000000000005E-4</v>
      </c>
      <c r="AA163" s="288">
        <v>7.7000000000000001E-8</v>
      </c>
      <c r="AB163" s="288">
        <v>0</v>
      </c>
      <c r="AC163" s="289">
        <v>7.0512076999999992E-2</v>
      </c>
      <c r="AD163" s="289">
        <v>0</v>
      </c>
    </row>
    <row r="164" spans="1:30" ht="15" customHeight="1" x14ac:dyDescent="0.25">
      <c r="A164" s="282" t="s">
        <v>259</v>
      </c>
      <c r="B164" s="282" t="s">
        <v>259</v>
      </c>
      <c r="C164" s="282" t="s">
        <v>259</v>
      </c>
      <c r="D164" s="283" t="s">
        <v>404</v>
      </c>
      <c r="E164" s="403" t="s">
        <v>273</v>
      </c>
      <c r="F164" s="403" t="s">
        <v>274</v>
      </c>
      <c r="G164" s="284" t="s">
        <v>283</v>
      </c>
      <c r="H164" s="284" t="s">
        <v>275</v>
      </c>
      <c r="I164" s="283">
        <v>1</v>
      </c>
      <c r="J164" s="284" t="s">
        <v>156</v>
      </c>
      <c r="K164" s="283" t="s">
        <v>276</v>
      </c>
      <c r="L164" s="286" t="s">
        <v>158</v>
      </c>
      <c r="M164" s="287">
        <v>2400</v>
      </c>
      <c r="N164" s="287"/>
      <c r="O164" s="287"/>
      <c r="P164" s="287"/>
      <c r="Q164" s="288">
        <v>48.4</v>
      </c>
      <c r="R164" s="288">
        <v>48.1</v>
      </c>
      <c r="S164" s="288">
        <v>0.307</v>
      </c>
      <c r="T164" s="288">
        <v>6.3599999999999996E-4</v>
      </c>
      <c r="U164" s="288">
        <v>0</v>
      </c>
      <c r="V164" s="289">
        <v>48.407636000000004</v>
      </c>
      <c r="W164" s="289">
        <v>0</v>
      </c>
      <c r="X164" s="288">
        <v>4.8399999999999999E-2</v>
      </c>
      <c r="Y164" s="288">
        <v>4.8100000000000004E-2</v>
      </c>
      <c r="Z164" s="288">
        <v>3.0699999999999998E-4</v>
      </c>
      <c r="AA164" s="288">
        <v>6.3599999999999992E-7</v>
      </c>
      <c r="AB164" s="288">
        <v>0</v>
      </c>
      <c r="AC164" s="289">
        <v>4.8407636000000004E-2</v>
      </c>
      <c r="AD164" s="289">
        <v>0</v>
      </c>
    </row>
    <row r="165" spans="1:30" ht="15" customHeight="1" x14ac:dyDescent="0.25">
      <c r="A165" s="282" t="s">
        <v>259</v>
      </c>
      <c r="B165" s="282" t="s">
        <v>259</v>
      </c>
      <c r="C165" s="282" t="s">
        <v>259</v>
      </c>
      <c r="D165" s="283" t="s">
        <v>405</v>
      </c>
      <c r="E165" s="403" t="s">
        <v>262</v>
      </c>
      <c r="F165" s="403" t="s">
        <v>263</v>
      </c>
      <c r="G165" s="284" t="s">
        <v>264</v>
      </c>
      <c r="H165" s="284" t="s">
        <v>265</v>
      </c>
      <c r="I165" s="283">
        <v>1</v>
      </c>
      <c r="J165" s="284" t="s">
        <v>156</v>
      </c>
      <c r="K165" s="283" t="s">
        <v>266</v>
      </c>
      <c r="L165" s="286" t="s">
        <v>158</v>
      </c>
      <c r="M165" s="287">
        <v>2400</v>
      </c>
      <c r="N165" s="287"/>
      <c r="O165" s="287"/>
      <c r="P165" s="287"/>
      <c r="Q165" s="288">
        <v>99.2</v>
      </c>
      <c r="R165" s="288">
        <v>99.1</v>
      </c>
      <c r="S165" s="288">
        <v>0.112</v>
      </c>
      <c r="T165" s="288">
        <v>2.1800000000000001E-4</v>
      </c>
      <c r="U165" s="288">
        <v>0</v>
      </c>
      <c r="V165" s="289">
        <v>99.212217999999993</v>
      </c>
      <c r="W165" s="289">
        <v>0</v>
      </c>
      <c r="X165" s="288">
        <v>9.9199999999999997E-2</v>
      </c>
      <c r="Y165" s="288">
        <v>9.9099999999999994E-2</v>
      </c>
      <c r="Z165" s="288">
        <v>1.12E-4</v>
      </c>
      <c r="AA165" s="288">
        <v>2.1800000000000002E-7</v>
      </c>
      <c r="AB165" s="288">
        <v>0</v>
      </c>
      <c r="AC165" s="289">
        <v>9.9212217999999991E-2</v>
      </c>
      <c r="AD165" s="289">
        <v>0</v>
      </c>
    </row>
    <row r="166" spans="1:30" ht="15" customHeight="1" x14ac:dyDescent="0.25">
      <c r="A166" s="282" t="s">
        <v>259</v>
      </c>
      <c r="B166" s="282" t="s">
        <v>259</v>
      </c>
      <c r="C166" s="282" t="s">
        <v>259</v>
      </c>
      <c r="D166" s="283" t="s">
        <v>406</v>
      </c>
      <c r="E166" s="403" t="s">
        <v>262</v>
      </c>
      <c r="F166" s="403" t="s">
        <v>263</v>
      </c>
      <c r="G166" s="284" t="s">
        <v>264</v>
      </c>
      <c r="H166" s="284" t="s">
        <v>265</v>
      </c>
      <c r="I166" s="283">
        <v>1</v>
      </c>
      <c r="J166" s="284" t="s">
        <v>156</v>
      </c>
      <c r="K166" s="283" t="s">
        <v>266</v>
      </c>
      <c r="L166" s="286" t="s">
        <v>158</v>
      </c>
      <c r="M166" s="287">
        <v>2400</v>
      </c>
      <c r="N166" s="287"/>
      <c r="O166" s="287"/>
      <c r="P166" s="287"/>
      <c r="Q166" s="288">
        <v>94.7</v>
      </c>
      <c r="R166" s="288">
        <v>94.4</v>
      </c>
      <c r="S166" s="288">
        <v>0.311</v>
      </c>
      <c r="T166" s="288">
        <v>1.76E-4</v>
      </c>
      <c r="U166" s="288">
        <v>0</v>
      </c>
      <c r="V166" s="289">
        <v>94.711176000000009</v>
      </c>
      <c r="W166" s="289">
        <v>0</v>
      </c>
      <c r="X166" s="288">
        <v>9.4700000000000006E-2</v>
      </c>
      <c r="Y166" s="288">
        <v>9.4400000000000012E-2</v>
      </c>
      <c r="Z166" s="288">
        <v>3.1100000000000002E-4</v>
      </c>
      <c r="AA166" s="288">
        <v>1.7599999999999999E-7</v>
      </c>
      <c r="AB166" s="288">
        <v>0</v>
      </c>
      <c r="AC166" s="289">
        <v>9.4711176000000022E-2</v>
      </c>
      <c r="AD166" s="289">
        <v>0</v>
      </c>
    </row>
    <row r="167" spans="1:30" ht="15" customHeight="1" x14ac:dyDescent="0.25">
      <c r="A167" s="282" t="s">
        <v>259</v>
      </c>
      <c r="B167" s="282" t="s">
        <v>259</v>
      </c>
      <c r="C167" s="282" t="s">
        <v>259</v>
      </c>
      <c r="D167" s="283" t="s">
        <v>407</v>
      </c>
      <c r="E167" s="403" t="s">
        <v>273</v>
      </c>
      <c r="F167" s="403" t="s">
        <v>274</v>
      </c>
      <c r="G167" s="284" t="s">
        <v>286</v>
      </c>
      <c r="H167" s="284" t="s">
        <v>275</v>
      </c>
      <c r="I167" s="283">
        <v>1</v>
      </c>
      <c r="J167" s="284" t="s">
        <v>156</v>
      </c>
      <c r="K167" s="283" t="s">
        <v>276</v>
      </c>
      <c r="L167" s="286" t="s">
        <v>158</v>
      </c>
      <c r="M167" s="287">
        <v>2400</v>
      </c>
      <c r="N167" s="287"/>
      <c r="O167" s="287"/>
      <c r="P167" s="287"/>
      <c r="Q167" s="288">
        <v>90.7</v>
      </c>
      <c r="R167" s="288">
        <v>90.3</v>
      </c>
      <c r="S167" s="288">
        <v>0.40799999999999997</v>
      </c>
      <c r="T167" s="288">
        <v>7.4200000000000004E-4</v>
      </c>
      <c r="U167" s="288">
        <v>0</v>
      </c>
      <c r="V167" s="289">
        <v>90.708742000000001</v>
      </c>
      <c r="W167" s="289">
        <v>0</v>
      </c>
      <c r="X167" s="288">
        <v>9.0700000000000003E-2</v>
      </c>
      <c r="Y167" s="288">
        <v>9.0299999999999991E-2</v>
      </c>
      <c r="Z167" s="288">
        <v>4.08E-4</v>
      </c>
      <c r="AA167" s="288">
        <v>7.4200000000000005E-7</v>
      </c>
      <c r="AB167" s="288">
        <v>0</v>
      </c>
      <c r="AC167" s="289">
        <v>9.0708741999999995E-2</v>
      </c>
      <c r="AD167" s="289">
        <v>0</v>
      </c>
    </row>
    <row r="168" spans="1:30" ht="15" customHeight="1" x14ac:dyDescent="0.25">
      <c r="A168" s="282" t="s">
        <v>259</v>
      </c>
      <c r="B168" s="282" t="s">
        <v>259</v>
      </c>
      <c r="C168" s="282" t="s">
        <v>259</v>
      </c>
      <c r="D168" s="283" t="s">
        <v>408</v>
      </c>
      <c r="E168" s="403" t="s">
        <v>262</v>
      </c>
      <c r="F168" s="403" t="s">
        <v>263</v>
      </c>
      <c r="G168" s="284" t="s">
        <v>286</v>
      </c>
      <c r="H168" s="284" t="s">
        <v>287</v>
      </c>
      <c r="I168" s="283">
        <v>1</v>
      </c>
      <c r="J168" s="284" t="s">
        <v>156</v>
      </c>
      <c r="K168" s="283" t="s">
        <v>288</v>
      </c>
      <c r="L168" s="286" t="s">
        <v>158</v>
      </c>
      <c r="M168" s="287">
        <v>2400</v>
      </c>
      <c r="N168" s="287"/>
      <c r="O168" s="287"/>
      <c r="P168" s="287"/>
      <c r="Q168" s="288">
        <v>69.5</v>
      </c>
      <c r="R168" s="288">
        <v>69.5</v>
      </c>
      <c r="S168" s="288">
        <v>6.1000000000000004E-3</v>
      </c>
      <c r="T168" s="288">
        <v>1.94E-4</v>
      </c>
      <c r="U168" s="288">
        <v>0</v>
      </c>
      <c r="V168" s="289">
        <v>69.506293999999997</v>
      </c>
      <c r="W168" s="289">
        <v>0</v>
      </c>
      <c r="X168" s="288">
        <v>6.9500000000000006E-2</v>
      </c>
      <c r="Y168" s="288">
        <v>6.9500000000000006E-2</v>
      </c>
      <c r="Z168" s="288">
        <v>6.1E-6</v>
      </c>
      <c r="AA168" s="288">
        <v>1.9399999999999999E-7</v>
      </c>
      <c r="AB168" s="288">
        <v>0</v>
      </c>
      <c r="AC168" s="289">
        <v>6.9506293999999996E-2</v>
      </c>
      <c r="AD168" s="289">
        <v>0</v>
      </c>
    </row>
    <row r="169" spans="1:30" ht="15" customHeight="1" x14ac:dyDescent="0.25">
      <c r="A169" s="282" t="s">
        <v>259</v>
      </c>
      <c r="B169" s="282" t="s">
        <v>259</v>
      </c>
      <c r="C169" s="282" t="s">
        <v>259</v>
      </c>
      <c r="D169" s="283" t="s">
        <v>409</v>
      </c>
      <c r="E169" s="403" t="s">
        <v>273</v>
      </c>
      <c r="F169" s="403" t="s">
        <v>274</v>
      </c>
      <c r="G169" s="284" t="s">
        <v>316</v>
      </c>
      <c r="H169" s="284" t="s">
        <v>275</v>
      </c>
      <c r="I169" s="283">
        <v>1</v>
      </c>
      <c r="J169" s="284" t="s">
        <v>156</v>
      </c>
      <c r="K169" s="283" t="s">
        <v>276</v>
      </c>
      <c r="L169" s="286" t="s">
        <v>158</v>
      </c>
      <c r="M169" s="287">
        <v>2400</v>
      </c>
      <c r="N169" s="287"/>
      <c r="O169" s="287"/>
      <c r="P169" s="287"/>
      <c r="Q169" s="288">
        <v>77.599999999999994</v>
      </c>
      <c r="R169" s="288">
        <v>77.5</v>
      </c>
      <c r="S169" s="288">
        <v>0.106</v>
      </c>
      <c r="T169" s="288">
        <v>1.4300000000000001E-4</v>
      </c>
      <c r="U169" s="288">
        <v>0</v>
      </c>
      <c r="V169" s="289">
        <v>77.606142999999989</v>
      </c>
      <c r="W169" s="289">
        <v>0</v>
      </c>
      <c r="X169" s="288">
        <v>7.7599999999999988E-2</v>
      </c>
      <c r="Y169" s="288">
        <v>7.7499999999999999E-2</v>
      </c>
      <c r="Z169" s="288">
        <v>1.06E-4</v>
      </c>
      <c r="AA169" s="288">
        <v>1.43E-7</v>
      </c>
      <c r="AB169" s="288">
        <v>0</v>
      </c>
      <c r="AC169" s="289">
        <v>7.7606142999999989E-2</v>
      </c>
      <c r="AD169" s="289">
        <v>0</v>
      </c>
    </row>
    <row r="170" spans="1:30" ht="15" customHeight="1" x14ac:dyDescent="0.25">
      <c r="A170" s="282" t="s">
        <v>259</v>
      </c>
      <c r="B170" s="282" t="s">
        <v>259</v>
      </c>
      <c r="C170" s="282" t="s">
        <v>259</v>
      </c>
      <c r="D170" s="283" t="s">
        <v>410</v>
      </c>
      <c r="E170" s="403" t="s">
        <v>273</v>
      </c>
      <c r="F170" s="403" t="s">
        <v>274</v>
      </c>
      <c r="G170" s="284" t="s">
        <v>264</v>
      </c>
      <c r="H170" s="284" t="s">
        <v>275</v>
      </c>
      <c r="I170" s="283">
        <v>1</v>
      </c>
      <c r="J170" s="284" t="s">
        <v>156</v>
      </c>
      <c r="K170" s="283" t="s">
        <v>276</v>
      </c>
      <c r="L170" s="286" t="s">
        <v>158</v>
      </c>
      <c r="M170" s="287">
        <v>2400</v>
      </c>
      <c r="N170" s="287"/>
      <c r="O170" s="287"/>
      <c r="P170" s="287"/>
      <c r="Q170" s="288">
        <v>99.2</v>
      </c>
      <c r="R170" s="288">
        <v>99.1</v>
      </c>
      <c r="S170" s="288">
        <v>0.106</v>
      </c>
      <c r="T170" s="288">
        <v>1.5899999999999999E-4</v>
      </c>
      <c r="U170" s="288">
        <v>0</v>
      </c>
      <c r="V170" s="289">
        <v>99.206158999999985</v>
      </c>
      <c r="W170" s="289">
        <v>0</v>
      </c>
      <c r="X170" s="288">
        <v>9.9199999999999997E-2</v>
      </c>
      <c r="Y170" s="288">
        <v>9.9099999999999994E-2</v>
      </c>
      <c r="Z170" s="288">
        <v>1.06E-4</v>
      </c>
      <c r="AA170" s="288">
        <v>1.5899999999999998E-7</v>
      </c>
      <c r="AB170" s="288">
        <v>0</v>
      </c>
      <c r="AC170" s="289">
        <v>9.9206158999999988E-2</v>
      </c>
      <c r="AD170" s="289">
        <v>0</v>
      </c>
    </row>
    <row r="171" spans="1:30" ht="15" customHeight="1" x14ac:dyDescent="0.25">
      <c r="A171" s="282" t="s">
        <v>259</v>
      </c>
      <c r="B171" s="282" t="s">
        <v>259</v>
      </c>
      <c r="C171" s="282" t="s">
        <v>259</v>
      </c>
      <c r="D171" s="283" t="s">
        <v>411</v>
      </c>
      <c r="E171" s="403" t="s">
        <v>273</v>
      </c>
      <c r="F171" s="403" t="s">
        <v>274</v>
      </c>
      <c r="G171" s="284" t="s">
        <v>283</v>
      </c>
      <c r="H171" s="284" t="s">
        <v>275</v>
      </c>
      <c r="I171" s="283">
        <v>1</v>
      </c>
      <c r="J171" s="284" t="s">
        <v>156</v>
      </c>
      <c r="K171" s="283" t="s">
        <v>276</v>
      </c>
      <c r="L171" s="286" t="s">
        <v>158</v>
      </c>
      <c r="M171" s="287">
        <v>2400</v>
      </c>
      <c r="N171" s="287"/>
      <c r="O171" s="287"/>
      <c r="P171" s="287"/>
      <c r="Q171" s="288">
        <v>87.8</v>
      </c>
      <c r="R171" s="288">
        <v>87.7</v>
      </c>
      <c r="S171" s="288">
        <v>0.105</v>
      </c>
      <c r="T171" s="288">
        <v>1.7000000000000001E-4</v>
      </c>
      <c r="U171" s="288">
        <v>0</v>
      </c>
      <c r="V171" s="289">
        <v>87.805170000000004</v>
      </c>
      <c r="W171" s="289">
        <v>0</v>
      </c>
      <c r="X171" s="288">
        <v>8.7800000000000003E-2</v>
      </c>
      <c r="Y171" s="288">
        <v>8.77E-2</v>
      </c>
      <c r="Z171" s="288">
        <v>1.0499999999999999E-4</v>
      </c>
      <c r="AA171" s="288">
        <v>1.7000000000000001E-7</v>
      </c>
      <c r="AB171" s="288">
        <v>0</v>
      </c>
      <c r="AC171" s="289">
        <v>8.7805169999999988E-2</v>
      </c>
      <c r="AD171" s="289">
        <v>0</v>
      </c>
    </row>
    <row r="172" spans="1:30" ht="15" customHeight="1" x14ac:dyDescent="0.25">
      <c r="A172" s="282" t="s">
        <v>259</v>
      </c>
      <c r="B172" s="282" t="s">
        <v>259</v>
      </c>
      <c r="C172" s="282" t="s">
        <v>259</v>
      </c>
      <c r="D172" s="283" t="s">
        <v>412</v>
      </c>
      <c r="E172" s="403" t="s">
        <v>273</v>
      </c>
      <c r="F172" s="403" t="s">
        <v>274</v>
      </c>
      <c r="G172" s="284" t="s">
        <v>283</v>
      </c>
      <c r="H172" s="284" t="s">
        <v>275</v>
      </c>
      <c r="I172" s="283">
        <v>1</v>
      </c>
      <c r="J172" s="284" t="s">
        <v>156</v>
      </c>
      <c r="K172" s="283" t="s">
        <v>276</v>
      </c>
      <c r="L172" s="286" t="s">
        <v>158</v>
      </c>
      <c r="M172" s="287">
        <v>2400</v>
      </c>
      <c r="N172" s="287"/>
      <c r="O172" s="287"/>
      <c r="P172" s="287"/>
      <c r="Q172" s="288">
        <v>90.2</v>
      </c>
      <c r="R172" s="288">
        <v>90.1</v>
      </c>
      <c r="S172" s="288">
        <v>0.10199999999999999</v>
      </c>
      <c r="T172" s="288">
        <v>1.54E-4</v>
      </c>
      <c r="U172" s="288">
        <v>0</v>
      </c>
      <c r="V172" s="289">
        <v>90.202153999999993</v>
      </c>
      <c r="W172" s="289">
        <v>0</v>
      </c>
      <c r="X172" s="288">
        <v>9.0200000000000002E-2</v>
      </c>
      <c r="Y172" s="288">
        <v>9.01E-2</v>
      </c>
      <c r="Z172" s="288">
        <v>1.02E-4</v>
      </c>
      <c r="AA172" s="288">
        <v>1.54E-7</v>
      </c>
      <c r="AB172" s="288">
        <v>0</v>
      </c>
      <c r="AC172" s="289">
        <v>9.0202154000000007E-2</v>
      </c>
      <c r="AD172" s="289">
        <v>0</v>
      </c>
    </row>
    <row r="173" spans="1:30" ht="15" customHeight="1" x14ac:dyDescent="0.25">
      <c r="A173" s="282" t="s">
        <v>259</v>
      </c>
      <c r="B173" s="282" t="s">
        <v>259</v>
      </c>
      <c r="C173" s="282" t="s">
        <v>259</v>
      </c>
      <c r="D173" s="283" t="s">
        <v>413</v>
      </c>
      <c r="E173" s="403" t="s">
        <v>262</v>
      </c>
      <c r="F173" s="403" t="s">
        <v>263</v>
      </c>
      <c r="G173" s="284" t="s">
        <v>264</v>
      </c>
      <c r="H173" s="284" t="s">
        <v>265</v>
      </c>
      <c r="I173" s="283">
        <v>1</v>
      </c>
      <c r="J173" s="284" t="s">
        <v>156</v>
      </c>
      <c r="K173" s="283" t="s">
        <v>266</v>
      </c>
      <c r="L173" s="286" t="s">
        <v>158</v>
      </c>
      <c r="M173" s="287">
        <v>2400</v>
      </c>
      <c r="N173" s="287"/>
      <c r="O173" s="287"/>
      <c r="P173" s="287"/>
      <c r="Q173" s="288">
        <v>82.5</v>
      </c>
      <c r="R173" s="288">
        <v>82.4</v>
      </c>
      <c r="S173" s="288">
        <v>0.10100000000000001</v>
      </c>
      <c r="T173" s="288">
        <v>1.7200000000000001E-4</v>
      </c>
      <c r="U173" s="288">
        <v>0</v>
      </c>
      <c r="V173" s="289">
        <v>82.501172000000011</v>
      </c>
      <c r="W173" s="289">
        <v>0</v>
      </c>
      <c r="X173" s="288">
        <v>8.2500000000000004E-2</v>
      </c>
      <c r="Y173" s="288">
        <v>8.2400000000000001E-2</v>
      </c>
      <c r="Z173" s="288">
        <v>1.01E-4</v>
      </c>
      <c r="AA173" s="288">
        <v>1.72E-7</v>
      </c>
      <c r="AB173" s="288">
        <v>0</v>
      </c>
      <c r="AC173" s="289">
        <v>8.2501172000000011E-2</v>
      </c>
      <c r="AD173" s="289">
        <v>0</v>
      </c>
    </row>
    <row r="174" spans="1:30" ht="15" customHeight="1" x14ac:dyDescent="0.25">
      <c r="A174" s="282" t="s">
        <v>259</v>
      </c>
      <c r="B174" s="282" t="s">
        <v>259</v>
      </c>
      <c r="C174" s="282" t="s">
        <v>259</v>
      </c>
      <c r="D174" s="283" t="s">
        <v>414</v>
      </c>
      <c r="E174" s="403" t="s">
        <v>262</v>
      </c>
      <c r="F174" s="403" t="s">
        <v>263</v>
      </c>
      <c r="G174" s="284" t="s">
        <v>286</v>
      </c>
      <c r="H174" s="284" t="s">
        <v>287</v>
      </c>
      <c r="I174" s="283">
        <v>1</v>
      </c>
      <c r="J174" s="284" t="s">
        <v>156</v>
      </c>
      <c r="K174" s="283" t="s">
        <v>288</v>
      </c>
      <c r="L174" s="286" t="s">
        <v>158</v>
      </c>
      <c r="M174" s="287">
        <v>2400</v>
      </c>
      <c r="N174" s="287"/>
      <c r="O174" s="287"/>
      <c r="P174" s="287"/>
      <c r="Q174" s="288">
        <v>79</v>
      </c>
      <c r="R174" s="288">
        <v>79</v>
      </c>
      <c r="S174" s="288">
        <v>-7.3300000000000004E-2</v>
      </c>
      <c r="T174" s="288">
        <v>4.2099999999999999E-4</v>
      </c>
      <c r="U174" s="288">
        <v>0</v>
      </c>
      <c r="V174" s="289">
        <v>79.000421000000003</v>
      </c>
      <c r="W174" s="289">
        <v>0</v>
      </c>
      <c r="X174" s="288">
        <v>7.9000000000000001E-2</v>
      </c>
      <c r="Y174" s="288">
        <v>7.9000000000000001E-2</v>
      </c>
      <c r="Z174" s="288">
        <v>-7.3300000000000006E-5</v>
      </c>
      <c r="AA174" s="288">
        <v>4.2099999999999997E-7</v>
      </c>
      <c r="AB174" s="288">
        <v>0</v>
      </c>
      <c r="AC174" s="289">
        <v>7.9000421000000001E-2</v>
      </c>
      <c r="AD174" s="289">
        <v>0</v>
      </c>
    </row>
    <row r="175" spans="1:30" ht="15" customHeight="1" x14ac:dyDescent="0.25">
      <c r="A175" s="282" t="s">
        <v>259</v>
      </c>
      <c r="B175" s="282" t="s">
        <v>259</v>
      </c>
      <c r="C175" s="282" t="s">
        <v>259</v>
      </c>
      <c r="D175" s="283" t="s">
        <v>415</v>
      </c>
      <c r="E175" s="403" t="s">
        <v>262</v>
      </c>
      <c r="F175" s="403" t="s">
        <v>263</v>
      </c>
      <c r="G175" s="284" t="s">
        <v>286</v>
      </c>
      <c r="H175" s="284" t="s">
        <v>287</v>
      </c>
      <c r="I175" s="283">
        <v>1</v>
      </c>
      <c r="J175" s="284" t="s">
        <v>156</v>
      </c>
      <c r="K175" s="283" t="s">
        <v>288</v>
      </c>
      <c r="L175" s="286" t="s">
        <v>158</v>
      </c>
      <c r="M175" s="287">
        <v>2400</v>
      </c>
      <c r="N175" s="287"/>
      <c r="O175" s="287"/>
      <c r="P175" s="287"/>
      <c r="Q175" s="288">
        <v>83.1</v>
      </c>
      <c r="R175" s="288">
        <v>83.1</v>
      </c>
      <c r="S175" s="288">
        <v>-6.4199999999999993E-2</v>
      </c>
      <c r="T175" s="288">
        <v>3.48E-4</v>
      </c>
      <c r="U175" s="288">
        <v>0</v>
      </c>
      <c r="V175" s="289">
        <v>83.100347999999997</v>
      </c>
      <c r="W175" s="289">
        <v>0</v>
      </c>
      <c r="X175" s="288">
        <v>8.3099999999999993E-2</v>
      </c>
      <c r="Y175" s="288">
        <v>8.3099999999999993E-2</v>
      </c>
      <c r="Z175" s="288">
        <v>-6.4199999999999988E-5</v>
      </c>
      <c r="AA175" s="288">
        <v>3.4799999999999999E-7</v>
      </c>
      <c r="AB175" s="288">
        <v>0</v>
      </c>
      <c r="AC175" s="289">
        <v>8.3100347999999991E-2</v>
      </c>
      <c r="AD175" s="289">
        <v>0</v>
      </c>
    </row>
    <row r="176" spans="1:30" ht="15" customHeight="1" x14ac:dyDescent="0.25">
      <c r="A176" s="282" t="s">
        <v>259</v>
      </c>
      <c r="B176" s="282" t="s">
        <v>259</v>
      </c>
      <c r="C176" s="282" t="s">
        <v>259</v>
      </c>
      <c r="D176" s="283" t="s">
        <v>416</v>
      </c>
      <c r="E176" s="403" t="s">
        <v>262</v>
      </c>
      <c r="F176" s="403" t="s">
        <v>263</v>
      </c>
      <c r="G176" s="284" t="s">
        <v>264</v>
      </c>
      <c r="H176" s="284" t="s">
        <v>265</v>
      </c>
      <c r="I176" s="283">
        <v>1</v>
      </c>
      <c r="J176" s="284" t="s">
        <v>156</v>
      </c>
      <c r="K176" s="283" t="s">
        <v>266</v>
      </c>
      <c r="L176" s="286" t="s">
        <v>158</v>
      </c>
      <c r="M176" s="287">
        <v>2400</v>
      </c>
      <c r="N176" s="287"/>
      <c r="O176" s="287"/>
      <c r="P176" s="287"/>
      <c r="Q176" s="288">
        <v>98.5</v>
      </c>
      <c r="R176" s="288">
        <v>98.5</v>
      </c>
      <c r="S176" s="288">
        <v>-4.9399999999999999E-2</v>
      </c>
      <c r="T176" s="288">
        <v>3.4099999999999999E-4</v>
      </c>
      <c r="U176" s="288">
        <v>0</v>
      </c>
      <c r="V176" s="289">
        <v>98.500341000000006</v>
      </c>
      <c r="W176" s="289">
        <v>0</v>
      </c>
      <c r="X176" s="288">
        <v>9.8500000000000004E-2</v>
      </c>
      <c r="Y176" s="288">
        <v>9.8500000000000004E-2</v>
      </c>
      <c r="Z176" s="288">
        <v>-4.9400000000000001E-5</v>
      </c>
      <c r="AA176" s="288">
        <v>3.41E-7</v>
      </c>
      <c r="AB176" s="288">
        <v>0</v>
      </c>
      <c r="AC176" s="289">
        <v>9.8500341000000005E-2</v>
      </c>
      <c r="AD176" s="289">
        <v>0</v>
      </c>
    </row>
    <row r="177" spans="1:30" ht="15" customHeight="1" x14ac:dyDescent="0.25">
      <c r="A177" s="282" t="s">
        <v>259</v>
      </c>
      <c r="B177" s="282" t="s">
        <v>259</v>
      </c>
      <c r="C177" s="282" t="s">
        <v>259</v>
      </c>
      <c r="D177" s="283" t="s">
        <v>417</v>
      </c>
      <c r="E177" s="403" t="s">
        <v>262</v>
      </c>
      <c r="F177" s="403" t="s">
        <v>263</v>
      </c>
      <c r="G177" s="284" t="s">
        <v>264</v>
      </c>
      <c r="H177" s="284" t="s">
        <v>265</v>
      </c>
      <c r="I177" s="283">
        <v>1</v>
      </c>
      <c r="J177" s="284" t="s">
        <v>156</v>
      </c>
      <c r="K177" s="283" t="s">
        <v>266</v>
      </c>
      <c r="L177" s="286" t="s">
        <v>158</v>
      </c>
      <c r="M177" s="287">
        <v>2400</v>
      </c>
      <c r="N177" s="287"/>
      <c r="O177" s="287"/>
      <c r="P177" s="287"/>
      <c r="Q177" s="288">
        <v>107</v>
      </c>
      <c r="R177" s="288">
        <v>107</v>
      </c>
      <c r="S177" s="288">
        <v>-5.8900000000000001E-2</v>
      </c>
      <c r="T177" s="288">
        <v>3.5100000000000002E-4</v>
      </c>
      <c r="U177" s="288">
        <v>0</v>
      </c>
      <c r="V177" s="289">
        <v>107.00035099999999</v>
      </c>
      <c r="W177" s="289">
        <v>0</v>
      </c>
      <c r="X177" s="288">
        <v>0.107</v>
      </c>
      <c r="Y177" s="288">
        <v>0.107</v>
      </c>
      <c r="Z177" s="288">
        <v>-5.8900000000000002E-5</v>
      </c>
      <c r="AA177" s="288">
        <v>3.5100000000000001E-7</v>
      </c>
      <c r="AB177" s="288">
        <v>0</v>
      </c>
      <c r="AC177" s="289">
        <v>0.10700035099999999</v>
      </c>
      <c r="AD177" s="289">
        <v>0</v>
      </c>
    </row>
    <row r="178" spans="1:30" ht="15" customHeight="1" x14ac:dyDescent="0.25">
      <c r="A178" s="282" t="s">
        <v>259</v>
      </c>
      <c r="B178" s="282" t="s">
        <v>259</v>
      </c>
      <c r="C178" s="282" t="s">
        <v>259</v>
      </c>
      <c r="D178" s="283" t="s">
        <v>418</v>
      </c>
      <c r="E178" s="403" t="s">
        <v>262</v>
      </c>
      <c r="F178" s="403" t="s">
        <v>263</v>
      </c>
      <c r="G178" s="284" t="s">
        <v>264</v>
      </c>
      <c r="H178" s="284" t="s">
        <v>265</v>
      </c>
      <c r="I178" s="283">
        <v>1</v>
      </c>
      <c r="J178" s="284" t="s">
        <v>156</v>
      </c>
      <c r="K178" s="283" t="s">
        <v>266</v>
      </c>
      <c r="L178" s="286" t="s">
        <v>158</v>
      </c>
      <c r="M178" s="287">
        <v>2400</v>
      </c>
      <c r="N178" s="287"/>
      <c r="O178" s="287"/>
      <c r="P178" s="287"/>
      <c r="Q178" s="288">
        <v>108</v>
      </c>
      <c r="R178" s="288">
        <v>108</v>
      </c>
      <c r="S178" s="288">
        <v>-5.9400000000000001E-2</v>
      </c>
      <c r="T178" s="288">
        <v>3.4600000000000001E-4</v>
      </c>
      <c r="U178" s="288">
        <v>0</v>
      </c>
      <c r="V178" s="289">
        <v>108.00034599999999</v>
      </c>
      <c r="W178" s="289">
        <v>0</v>
      </c>
      <c r="X178" s="288">
        <v>0.108</v>
      </c>
      <c r="Y178" s="288">
        <v>0.108</v>
      </c>
      <c r="Z178" s="288">
        <v>-5.94E-5</v>
      </c>
      <c r="AA178" s="288">
        <v>3.46E-7</v>
      </c>
      <c r="AB178" s="288">
        <v>0</v>
      </c>
      <c r="AC178" s="289">
        <v>0.108000346</v>
      </c>
      <c r="AD178" s="289">
        <v>0</v>
      </c>
    </row>
    <row r="179" spans="1:30" ht="15" customHeight="1" x14ac:dyDescent="0.25">
      <c r="A179" s="282" t="s">
        <v>259</v>
      </c>
      <c r="B179" s="282" t="s">
        <v>259</v>
      </c>
      <c r="C179" s="282" t="s">
        <v>259</v>
      </c>
      <c r="D179" s="283" t="s">
        <v>419</v>
      </c>
      <c r="E179" s="403" t="s">
        <v>273</v>
      </c>
      <c r="F179" s="403" t="s">
        <v>274</v>
      </c>
      <c r="G179" s="284" t="s">
        <v>283</v>
      </c>
      <c r="H179" s="284" t="s">
        <v>275</v>
      </c>
      <c r="I179" s="283">
        <v>1</v>
      </c>
      <c r="J179" s="284" t="s">
        <v>156</v>
      </c>
      <c r="K179" s="283" t="s">
        <v>276</v>
      </c>
      <c r="L179" s="286" t="s">
        <v>158</v>
      </c>
      <c r="M179" s="287">
        <v>2400</v>
      </c>
      <c r="N179" s="287"/>
      <c r="O179" s="287"/>
      <c r="P179" s="287"/>
      <c r="Q179" s="288">
        <v>134</v>
      </c>
      <c r="R179" s="288">
        <v>134</v>
      </c>
      <c r="S179" s="288">
        <v>-4.4499999999999998E-2</v>
      </c>
      <c r="T179" s="288">
        <v>3.3100000000000002E-4</v>
      </c>
      <c r="U179" s="288">
        <v>0</v>
      </c>
      <c r="V179" s="289">
        <v>134.00033099999999</v>
      </c>
      <c r="W179" s="289">
        <v>0</v>
      </c>
      <c r="X179" s="288">
        <v>0.13400000000000001</v>
      </c>
      <c r="Y179" s="288">
        <v>0.13400000000000001</v>
      </c>
      <c r="Z179" s="288">
        <v>-4.4499999999999997E-5</v>
      </c>
      <c r="AA179" s="288">
        <v>3.3100000000000004E-7</v>
      </c>
      <c r="AB179" s="288">
        <v>0</v>
      </c>
      <c r="AC179" s="289">
        <v>0.134000331</v>
      </c>
      <c r="AD179" s="289">
        <v>0</v>
      </c>
    </row>
    <row r="180" spans="1:30" ht="15" customHeight="1" x14ac:dyDescent="0.25">
      <c r="A180" s="282" t="s">
        <v>259</v>
      </c>
      <c r="B180" s="282" t="s">
        <v>259</v>
      </c>
      <c r="C180" s="282" t="s">
        <v>259</v>
      </c>
      <c r="D180" s="283" t="s">
        <v>420</v>
      </c>
      <c r="E180" s="403" t="s">
        <v>421</v>
      </c>
      <c r="F180" s="403" t="s">
        <v>422</v>
      </c>
      <c r="G180" s="284" t="s">
        <v>423</v>
      </c>
      <c r="H180" s="284" t="s">
        <v>424</v>
      </c>
      <c r="I180" s="283">
        <v>1.1000000000000001</v>
      </c>
      <c r="J180" s="284" t="s">
        <v>156</v>
      </c>
      <c r="K180" s="283" t="s">
        <v>425</v>
      </c>
      <c r="L180" s="286" t="s">
        <v>158</v>
      </c>
      <c r="M180" s="287">
        <v>2400</v>
      </c>
      <c r="N180" s="287"/>
      <c r="O180" s="287"/>
      <c r="P180" s="287"/>
      <c r="Q180" s="288">
        <v>56.4</v>
      </c>
      <c r="R180" s="288"/>
      <c r="S180" s="288"/>
      <c r="T180" s="288"/>
      <c r="U180" s="288">
        <v>0</v>
      </c>
      <c r="V180" s="289">
        <v>56.4</v>
      </c>
      <c r="W180" s="289">
        <v>0</v>
      </c>
      <c r="X180" s="288">
        <v>5.6399999999999999E-2</v>
      </c>
      <c r="Y180" s="288">
        <v>0</v>
      </c>
      <c r="Z180" s="288">
        <v>0</v>
      </c>
      <c r="AA180" s="288">
        <v>0</v>
      </c>
      <c r="AB180" s="288">
        <v>0</v>
      </c>
      <c r="AC180" s="289">
        <v>5.6399999999999999E-2</v>
      </c>
      <c r="AD180" s="289">
        <v>0</v>
      </c>
    </row>
    <row r="181" spans="1:30" ht="15" customHeight="1" x14ac:dyDescent="0.25">
      <c r="A181" s="282" t="s">
        <v>259</v>
      </c>
      <c r="B181" s="282" t="s">
        <v>259</v>
      </c>
      <c r="C181" s="282" t="s">
        <v>259</v>
      </c>
      <c r="D181" s="283" t="s">
        <v>426</v>
      </c>
      <c r="E181" s="403" t="s">
        <v>421</v>
      </c>
      <c r="F181" s="403" t="s">
        <v>422</v>
      </c>
      <c r="G181" s="284" t="s">
        <v>423</v>
      </c>
      <c r="H181" s="284" t="s">
        <v>424</v>
      </c>
      <c r="I181" s="283">
        <v>1.1000000000000001</v>
      </c>
      <c r="J181" s="284" t="s">
        <v>156</v>
      </c>
      <c r="K181" s="283" t="s">
        <v>425</v>
      </c>
      <c r="L181" s="286" t="s">
        <v>158</v>
      </c>
      <c r="M181" s="287">
        <v>2400</v>
      </c>
      <c r="N181" s="287"/>
      <c r="O181" s="287"/>
      <c r="P181" s="287"/>
      <c r="Q181" s="288">
        <v>57.2</v>
      </c>
      <c r="R181" s="288"/>
      <c r="S181" s="288"/>
      <c r="T181" s="288"/>
      <c r="U181" s="288">
        <v>0</v>
      </c>
      <c r="V181" s="289">
        <v>57.2</v>
      </c>
      <c r="W181" s="289">
        <v>0</v>
      </c>
      <c r="X181" s="288">
        <v>5.7200000000000001E-2</v>
      </c>
      <c r="Y181" s="288">
        <v>0</v>
      </c>
      <c r="Z181" s="288">
        <v>0</v>
      </c>
      <c r="AA181" s="288">
        <v>0</v>
      </c>
      <c r="AB181" s="288">
        <v>0</v>
      </c>
      <c r="AC181" s="289">
        <v>5.7200000000000001E-2</v>
      </c>
      <c r="AD181" s="289">
        <v>0</v>
      </c>
    </row>
    <row r="182" spans="1:30" ht="15" customHeight="1" x14ac:dyDescent="0.25">
      <c r="A182" s="282" t="s">
        <v>259</v>
      </c>
      <c r="B182" s="282" t="s">
        <v>259</v>
      </c>
      <c r="C182" s="282" t="s">
        <v>259</v>
      </c>
      <c r="D182" s="283" t="s">
        <v>427</v>
      </c>
      <c r="E182" s="403" t="s">
        <v>421</v>
      </c>
      <c r="F182" s="403" t="s">
        <v>422</v>
      </c>
      <c r="G182" s="284" t="s">
        <v>423</v>
      </c>
      <c r="H182" s="284" t="s">
        <v>424</v>
      </c>
      <c r="I182" s="283">
        <v>1.1000000000000001</v>
      </c>
      <c r="J182" s="284" t="s">
        <v>156</v>
      </c>
      <c r="K182" s="283" t="s">
        <v>425</v>
      </c>
      <c r="L182" s="286" t="s">
        <v>158</v>
      </c>
      <c r="M182" s="287">
        <v>2400</v>
      </c>
      <c r="N182" s="287"/>
      <c r="O182" s="287"/>
      <c r="P182" s="287"/>
      <c r="Q182" s="288">
        <v>64.599999999999994</v>
      </c>
      <c r="R182" s="288"/>
      <c r="S182" s="288"/>
      <c r="T182" s="288"/>
      <c r="U182" s="288">
        <v>0</v>
      </c>
      <c r="V182" s="289">
        <v>64.599999999999994</v>
      </c>
      <c r="W182" s="289">
        <v>0</v>
      </c>
      <c r="X182" s="288">
        <v>6.4599999999999991E-2</v>
      </c>
      <c r="Y182" s="288">
        <v>0</v>
      </c>
      <c r="Z182" s="288">
        <v>0</v>
      </c>
      <c r="AA182" s="288">
        <v>0</v>
      </c>
      <c r="AB182" s="288">
        <v>0</v>
      </c>
      <c r="AC182" s="289">
        <v>6.4599999999999991E-2</v>
      </c>
      <c r="AD182" s="289">
        <v>0</v>
      </c>
    </row>
    <row r="183" spans="1:30" ht="15" customHeight="1" x14ac:dyDescent="0.25">
      <c r="A183" s="282" t="s">
        <v>259</v>
      </c>
      <c r="B183" s="282" t="s">
        <v>259</v>
      </c>
      <c r="C183" s="282" t="s">
        <v>259</v>
      </c>
      <c r="D183" s="283" t="s">
        <v>428</v>
      </c>
      <c r="E183" s="403" t="s">
        <v>421</v>
      </c>
      <c r="F183" s="403" t="s">
        <v>422</v>
      </c>
      <c r="G183" s="284" t="s">
        <v>264</v>
      </c>
      <c r="H183" s="284" t="s">
        <v>424</v>
      </c>
      <c r="I183" s="283">
        <v>1.1000000000000001</v>
      </c>
      <c r="J183" s="284" t="s">
        <v>156</v>
      </c>
      <c r="K183" s="283" t="s">
        <v>425</v>
      </c>
      <c r="L183" s="286" t="s">
        <v>158</v>
      </c>
      <c r="M183" s="287">
        <v>2400</v>
      </c>
      <c r="N183" s="287"/>
      <c r="O183" s="287"/>
      <c r="P183" s="287"/>
      <c r="Q183" s="288">
        <v>56.4</v>
      </c>
      <c r="R183" s="288"/>
      <c r="S183" s="288"/>
      <c r="T183" s="288"/>
      <c r="U183" s="288">
        <v>0</v>
      </c>
      <c r="V183" s="289">
        <v>56.4</v>
      </c>
      <c r="W183" s="289">
        <v>0</v>
      </c>
      <c r="X183" s="288">
        <v>5.6399999999999999E-2</v>
      </c>
      <c r="Y183" s="288">
        <v>0</v>
      </c>
      <c r="Z183" s="288">
        <v>0</v>
      </c>
      <c r="AA183" s="288">
        <v>0</v>
      </c>
      <c r="AB183" s="288">
        <v>0</v>
      </c>
      <c r="AC183" s="289">
        <v>5.6399999999999999E-2</v>
      </c>
      <c r="AD183" s="289">
        <v>0</v>
      </c>
    </row>
    <row r="184" spans="1:30" ht="15" customHeight="1" x14ac:dyDescent="0.25">
      <c r="A184" s="282" t="s">
        <v>259</v>
      </c>
      <c r="B184" s="282" t="s">
        <v>259</v>
      </c>
      <c r="C184" s="282" t="s">
        <v>259</v>
      </c>
      <c r="D184" s="283" t="s">
        <v>429</v>
      </c>
      <c r="E184" s="403" t="s">
        <v>421</v>
      </c>
      <c r="F184" s="403" t="s">
        <v>422</v>
      </c>
      <c r="G184" s="284" t="s">
        <v>264</v>
      </c>
      <c r="H184" s="284" t="s">
        <v>424</v>
      </c>
      <c r="I184" s="283">
        <v>1.1000000000000001</v>
      </c>
      <c r="J184" s="284" t="s">
        <v>156</v>
      </c>
      <c r="K184" s="283" t="s">
        <v>425</v>
      </c>
      <c r="L184" s="286" t="s">
        <v>158</v>
      </c>
      <c r="M184" s="287">
        <v>2400</v>
      </c>
      <c r="N184" s="287"/>
      <c r="O184" s="287"/>
      <c r="P184" s="287"/>
      <c r="Q184" s="288">
        <v>81</v>
      </c>
      <c r="R184" s="288"/>
      <c r="S184" s="288"/>
      <c r="T184" s="288"/>
      <c r="U184" s="288">
        <v>0</v>
      </c>
      <c r="V184" s="289">
        <v>81</v>
      </c>
      <c r="W184" s="289">
        <v>0</v>
      </c>
      <c r="X184" s="288">
        <v>8.1000000000000003E-2</v>
      </c>
      <c r="Y184" s="288">
        <v>0</v>
      </c>
      <c r="Z184" s="288">
        <v>0</v>
      </c>
      <c r="AA184" s="288">
        <v>0</v>
      </c>
      <c r="AB184" s="288">
        <v>0</v>
      </c>
      <c r="AC184" s="289">
        <v>8.1000000000000003E-2</v>
      </c>
      <c r="AD184" s="289">
        <v>0</v>
      </c>
    </row>
    <row r="185" spans="1:30" ht="15" customHeight="1" x14ac:dyDescent="0.25">
      <c r="A185" s="282" t="s">
        <v>259</v>
      </c>
      <c r="B185" s="282" t="s">
        <v>259</v>
      </c>
      <c r="C185" s="282" t="s">
        <v>259</v>
      </c>
      <c r="D185" s="283" t="s">
        <v>430</v>
      </c>
      <c r="E185" s="403" t="s">
        <v>421</v>
      </c>
      <c r="F185" s="403" t="s">
        <v>422</v>
      </c>
      <c r="G185" s="284" t="s">
        <v>283</v>
      </c>
      <c r="H185" s="284" t="s">
        <v>424</v>
      </c>
      <c r="I185" s="283">
        <v>1.1000000000000001</v>
      </c>
      <c r="J185" s="284" t="s">
        <v>156</v>
      </c>
      <c r="K185" s="283" t="s">
        <v>425</v>
      </c>
      <c r="L185" s="286" t="s">
        <v>158</v>
      </c>
      <c r="M185" s="287">
        <v>2400</v>
      </c>
      <c r="N185" s="287"/>
      <c r="O185" s="287"/>
      <c r="P185" s="287"/>
      <c r="Q185" s="288">
        <v>63.8</v>
      </c>
      <c r="R185" s="288"/>
      <c r="S185" s="288"/>
      <c r="T185" s="288"/>
      <c r="U185" s="288">
        <v>0</v>
      </c>
      <c r="V185" s="289">
        <v>63.8</v>
      </c>
      <c r="W185" s="289">
        <v>0</v>
      </c>
      <c r="X185" s="288">
        <v>6.3799999999999996E-2</v>
      </c>
      <c r="Y185" s="288">
        <v>0</v>
      </c>
      <c r="Z185" s="288">
        <v>0</v>
      </c>
      <c r="AA185" s="288">
        <v>0</v>
      </c>
      <c r="AB185" s="288">
        <v>0</v>
      </c>
      <c r="AC185" s="289">
        <v>6.3799999999999996E-2</v>
      </c>
      <c r="AD185" s="289">
        <v>0</v>
      </c>
    </row>
    <row r="186" spans="1:30" ht="15" customHeight="1" x14ac:dyDescent="0.25">
      <c r="A186" s="282" t="s">
        <v>259</v>
      </c>
      <c r="B186" s="282" t="s">
        <v>259</v>
      </c>
      <c r="C186" s="282" t="s">
        <v>259</v>
      </c>
      <c r="D186" s="283" t="s">
        <v>431</v>
      </c>
      <c r="E186" s="403" t="s">
        <v>421</v>
      </c>
      <c r="F186" s="403" t="s">
        <v>422</v>
      </c>
      <c r="G186" s="284" t="s">
        <v>283</v>
      </c>
      <c r="H186" s="284" t="s">
        <v>424</v>
      </c>
      <c r="I186" s="283">
        <v>1.1000000000000001</v>
      </c>
      <c r="J186" s="284" t="s">
        <v>156</v>
      </c>
      <c r="K186" s="283" t="s">
        <v>425</v>
      </c>
      <c r="L186" s="286" t="s">
        <v>158</v>
      </c>
      <c r="M186" s="287">
        <v>2400</v>
      </c>
      <c r="N186" s="287"/>
      <c r="O186" s="287"/>
      <c r="P186" s="287"/>
      <c r="Q186" s="288">
        <v>54.4</v>
      </c>
      <c r="R186" s="288"/>
      <c r="S186" s="288"/>
      <c r="T186" s="288"/>
      <c r="U186" s="288">
        <v>0</v>
      </c>
      <c r="V186" s="289">
        <v>54.4</v>
      </c>
      <c r="W186" s="289">
        <v>0</v>
      </c>
      <c r="X186" s="288">
        <v>5.4399999999999997E-2</v>
      </c>
      <c r="Y186" s="288">
        <v>0</v>
      </c>
      <c r="Z186" s="288">
        <v>0</v>
      </c>
      <c r="AA186" s="288">
        <v>0</v>
      </c>
      <c r="AB186" s="288">
        <v>0</v>
      </c>
      <c r="AC186" s="289">
        <v>5.4399999999999997E-2</v>
      </c>
      <c r="AD186" s="289">
        <v>0</v>
      </c>
    </row>
    <row r="187" spans="1:30" ht="15" customHeight="1" x14ac:dyDescent="0.25">
      <c r="A187" s="282" t="s">
        <v>259</v>
      </c>
      <c r="B187" s="282" t="s">
        <v>259</v>
      </c>
      <c r="C187" s="282" t="s">
        <v>259</v>
      </c>
      <c r="D187" s="283" t="s">
        <v>432</v>
      </c>
      <c r="E187" s="403" t="s">
        <v>421</v>
      </c>
      <c r="F187" s="403" t="s">
        <v>422</v>
      </c>
      <c r="G187" s="284" t="s">
        <v>283</v>
      </c>
      <c r="H187" s="284" t="s">
        <v>424</v>
      </c>
      <c r="I187" s="283">
        <v>1.1000000000000001</v>
      </c>
      <c r="J187" s="284" t="s">
        <v>156</v>
      </c>
      <c r="K187" s="283" t="s">
        <v>425</v>
      </c>
      <c r="L187" s="286" t="s">
        <v>158</v>
      </c>
      <c r="M187" s="287">
        <v>2400</v>
      </c>
      <c r="N187" s="287"/>
      <c r="O187" s="287"/>
      <c r="P187" s="287"/>
      <c r="Q187" s="288">
        <v>54.4</v>
      </c>
      <c r="R187" s="288"/>
      <c r="S187" s="288"/>
      <c r="T187" s="288"/>
      <c r="U187" s="288">
        <v>0</v>
      </c>
      <c r="V187" s="289">
        <v>54.4</v>
      </c>
      <c r="W187" s="289">
        <v>0</v>
      </c>
      <c r="X187" s="288">
        <v>5.4399999999999997E-2</v>
      </c>
      <c r="Y187" s="288">
        <v>0</v>
      </c>
      <c r="Z187" s="288">
        <v>0</v>
      </c>
      <c r="AA187" s="288">
        <v>0</v>
      </c>
      <c r="AB187" s="288">
        <v>0</v>
      </c>
      <c r="AC187" s="289">
        <v>5.4399999999999997E-2</v>
      </c>
      <c r="AD187" s="289">
        <v>0</v>
      </c>
    </row>
    <row r="188" spans="1:30" ht="15" customHeight="1" x14ac:dyDescent="0.25">
      <c r="A188" s="282" t="s">
        <v>259</v>
      </c>
      <c r="B188" s="282" t="s">
        <v>259</v>
      </c>
      <c r="C188" s="282" t="s">
        <v>259</v>
      </c>
      <c r="D188" s="283" t="s">
        <v>433</v>
      </c>
      <c r="E188" s="403" t="s">
        <v>421</v>
      </c>
      <c r="F188" s="403" t="s">
        <v>422</v>
      </c>
      <c r="G188" s="284" t="s">
        <v>283</v>
      </c>
      <c r="H188" s="284" t="s">
        <v>424</v>
      </c>
      <c r="I188" s="283">
        <v>1.1000000000000001</v>
      </c>
      <c r="J188" s="284" t="s">
        <v>156</v>
      </c>
      <c r="K188" s="283" t="s">
        <v>425</v>
      </c>
      <c r="L188" s="286" t="s">
        <v>158</v>
      </c>
      <c r="M188" s="287">
        <v>2400</v>
      </c>
      <c r="N188" s="287"/>
      <c r="O188" s="287"/>
      <c r="P188" s="287"/>
      <c r="Q188" s="288">
        <v>70.5</v>
      </c>
      <c r="R188" s="288"/>
      <c r="S188" s="288"/>
      <c r="T188" s="288"/>
      <c r="U188" s="288">
        <v>0</v>
      </c>
      <c r="V188" s="289">
        <v>70.5</v>
      </c>
      <c r="W188" s="289">
        <v>0</v>
      </c>
      <c r="X188" s="288">
        <v>7.0499999999999993E-2</v>
      </c>
      <c r="Y188" s="288">
        <v>0</v>
      </c>
      <c r="Z188" s="288">
        <v>0</v>
      </c>
      <c r="AA188" s="288">
        <v>0</v>
      </c>
      <c r="AB188" s="288">
        <v>0</v>
      </c>
      <c r="AC188" s="289">
        <v>7.0499999999999993E-2</v>
      </c>
      <c r="AD188" s="289">
        <v>0</v>
      </c>
    </row>
    <row r="189" spans="1:30" ht="15" customHeight="1" x14ac:dyDescent="0.25">
      <c r="A189" s="282" t="s">
        <v>259</v>
      </c>
      <c r="B189" s="282" t="s">
        <v>259</v>
      </c>
      <c r="C189" s="282" t="s">
        <v>259</v>
      </c>
      <c r="D189" s="283" t="s">
        <v>434</v>
      </c>
      <c r="E189" s="403" t="s">
        <v>421</v>
      </c>
      <c r="F189" s="403" t="s">
        <v>422</v>
      </c>
      <c r="G189" s="284" t="s">
        <v>283</v>
      </c>
      <c r="H189" s="284" t="s">
        <v>424</v>
      </c>
      <c r="I189" s="283">
        <v>1.1000000000000001</v>
      </c>
      <c r="J189" s="284" t="s">
        <v>156</v>
      </c>
      <c r="K189" s="283" t="s">
        <v>425</v>
      </c>
      <c r="L189" s="286" t="s">
        <v>158</v>
      </c>
      <c r="M189" s="287">
        <v>2400</v>
      </c>
      <c r="N189" s="287"/>
      <c r="O189" s="287"/>
      <c r="P189" s="287"/>
      <c r="Q189" s="288">
        <v>69.400000000000006</v>
      </c>
      <c r="R189" s="288"/>
      <c r="S189" s="288"/>
      <c r="T189" s="288"/>
      <c r="U189" s="288">
        <v>0</v>
      </c>
      <c r="V189" s="289">
        <v>69.400000000000006</v>
      </c>
      <c r="W189" s="289">
        <v>0</v>
      </c>
      <c r="X189" s="288">
        <v>6.9400000000000003E-2</v>
      </c>
      <c r="Y189" s="288">
        <v>0</v>
      </c>
      <c r="Z189" s="288">
        <v>0</v>
      </c>
      <c r="AA189" s="288">
        <v>0</v>
      </c>
      <c r="AB189" s="288">
        <v>0</v>
      </c>
      <c r="AC189" s="289">
        <v>6.9400000000000003E-2</v>
      </c>
      <c r="AD189" s="289">
        <v>0</v>
      </c>
    </row>
    <row r="190" spans="1:30" ht="15" customHeight="1" x14ac:dyDescent="0.25">
      <c r="A190" s="282" t="s">
        <v>259</v>
      </c>
      <c r="B190" s="282" t="s">
        <v>259</v>
      </c>
      <c r="C190" s="282" t="s">
        <v>259</v>
      </c>
      <c r="D190" s="283" t="s">
        <v>435</v>
      </c>
      <c r="E190" s="403" t="s">
        <v>421</v>
      </c>
      <c r="F190" s="403" t="s">
        <v>422</v>
      </c>
      <c r="G190" s="284" t="s">
        <v>283</v>
      </c>
      <c r="H190" s="284" t="s">
        <v>424</v>
      </c>
      <c r="I190" s="283">
        <v>1.1000000000000001</v>
      </c>
      <c r="J190" s="284" t="s">
        <v>156</v>
      </c>
      <c r="K190" s="283" t="s">
        <v>425</v>
      </c>
      <c r="L190" s="286" t="s">
        <v>158</v>
      </c>
      <c r="M190" s="287">
        <v>2400</v>
      </c>
      <c r="N190" s="287"/>
      <c r="O190" s="287"/>
      <c r="P190" s="287"/>
      <c r="Q190" s="288">
        <v>62.7</v>
      </c>
      <c r="R190" s="288"/>
      <c r="S190" s="288"/>
      <c r="T190" s="288"/>
      <c r="U190" s="288">
        <v>0</v>
      </c>
      <c r="V190" s="289">
        <v>62.7</v>
      </c>
      <c r="W190" s="289">
        <v>0</v>
      </c>
      <c r="X190" s="288">
        <v>6.2700000000000006E-2</v>
      </c>
      <c r="Y190" s="288">
        <v>0</v>
      </c>
      <c r="Z190" s="288">
        <v>0</v>
      </c>
      <c r="AA190" s="288">
        <v>0</v>
      </c>
      <c r="AB190" s="288">
        <v>0</v>
      </c>
      <c r="AC190" s="289">
        <v>6.2700000000000006E-2</v>
      </c>
      <c r="AD190" s="289">
        <v>0</v>
      </c>
    </row>
    <row r="191" spans="1:30" ht="15" customHeight="1" x14ac:dyDescent="0.25">
      <c r="A191" s="282" t="s">
        <v>259</v>
      </c>
      <c r="B191" s="282" t="s">
        <v>259</v>
      </c>
      <c r="C191" s="282" t="s">
        <v>259</v>
      </c>
      <c r="D191" s="283" t="s">
        <v>436</v>
      </c>
      <c r="E191" s="403" t="s">
        <v>421</v>
      </c>
      <c r="F191" s="403" t="s">
        <v>422</v>
      </c>
      <c r="G191" s="284" t="s">
        <v>283</v>
      </c>
      <c r="H191" s="284" t="s">
        <v>424</v>
      </c>
      <c r="I191" s="283">
        <v>1.1000000000000001</v>
      </c>
      <c r="J191" s="284" t="s">
        <v>156</v>
      </c>
      <c r="K191" s="283" t="s">
        <v>425</v>
      </c>
      <c r="L191" s="286" t="s">
        <v>158</v>
      </c>
      <c r="M191" s="287">
        <v>2400</v>
      </c>
      <c r="N191" s="287"/>
      <c r="O191" s="287"/>
      <c r="P191" s="287"/>
      <c r="Q191" s="288">
        <v>72.5</v>
      </c>
      <c r="R191" s="288"/>
      <c r="S191" s="288"/>
      <c r="T191" s="288"/>
      <c r="U191" s="288">
        <v>0</v>
      </c>
      <c r="V191" s="289">
        <v>72.5</v>
      </c>
      <c r="W191" s="289">
        <v>0</v>
      </c>
      <c r="X191" s="288">
        <v>7.2499999999999995E-2</v>
      </c>
      <c r="Y191" s="288">
        <v>0</v>
      </c>
      <c r="Z191" s="288">
        <v>0</v>
      </c>
      <c r="AA191" s="288">
        <v>0</v>
      </c>
      <c r="AB191" s="288">
        <v>0</v>
      </c>
      <c r="AC191" s="289">
        <v>7.2499999999999995E-2</v>
      </c>
      <c r="AD191" s="289">
        <v>0</v>
      </c>
    </row>
    <row r="192" spans="1:30" ht="15" customHeight="1" x14ac:dyDescent="0.25">
      <c r="A192" s="282" t="s">
        <v>259</v>
      </c>
      <c r="B192" s="282" t="s">
        <v>259</v>
      </c>
      <c r="C192" s="282" t="s">
        <v>259</v>
      </c>
      <c r="D192" s="283" t="s">
        <v>437</v>
      </c>
      <c r="E192" s="403" t="s">
        <v>421</v>
      </c>
      <c r="F192" s="403" t="s">
        <v>422</v>
      </c>
      <c r="G192" s="284" t="s">
        <v>283</v>
      </c>
      <c r="H192" s="284" t="s">
        <v>424</v>
      </c>
      <c r="I192" s="283">
        <v>1.1000000000000001</v>
      </c>
      <c r="J192" s="284" t="s">
        <v>156</v>
      </c>
      <c r="K192" s="283" t="s">
        <v>425</v>
      </c>
      <c r="L192" s="286" t="s">
        <v>158</v>
      </c>
      <c r="M192" s="287">
        <v>2400</v>
      </c>
      <c r="N192" s="287"/>
      <c r="O192" s="287"/>
      <c r="P192" s="287"/>
      <c r="Q192" s="288">
        <v>79.400000000000006</v>
      </c>
      <c r="R192" s="288"/>
      <c r="S192" s="288"/>
      <c r="T192" s="288"/>
      <c r="U192" s="288">
        <v>0</v>
      </c>
      <c r="V192" s="289">
        <v>79.400000000000006</v>
      </c>
      <c r="W192" s="289">
        <v>0</v>
      </c>
      <c r="X192" s="288">
        <v>7.9400000000000012E-2</v>
      </c>
      <c r="Y192" s="288">
        <v>0</v>
      </c>
      <c r="Z192" s="288">
        <v>0</v>
      </c>
      <c r="AA192" s="288">
        <v>0</v>
      </c>
      <c r="AB192" s="288">
        <v>0</v>
      </c>
      <c r="AC192" s="289">
        <v>7.9400000000000012E-2</v>
      </c>
      <c r="AD192" s="289">
        <v>0</v>
      </c>
    </row>
    <row r="193" spans="1:30" ht="15" customHeight="1" x14ac:dyDescent="0.25">
      <c r="A193" s="282" t="s">
        <v>259</v>
      </c>
      <c r="B193" s="282" t="s">
        <v>259</v>
      </c>
      <c r="C193" s="282" t="s">
        <v>259</v>
      </c>
      <c r="D193" s="283" t="s">
        <v>438</v>
      </c>
      <c r="E193" s="403" t="s">
        <v>421</v>
      </c>
      <c r="F193" s="403" t="s">
        <v>422</v>
      </c>
      <c r="G193" s="284" t="s">
        <v>283</v>
      </c>
      <c r="H193" s="284" t="s">
        <v>424</v>
      </c>
      <c r="I193" s="283">
        <v>1.1000000000000001</v>
      </c>
      <c r="J193" s="284" t="s">
        <v>156</v>
      </c>
      <c r="K193" s="283" t="s">
        <v>425</v>
      </c>
      <c r="L193" s="286" t="s">
        <v>158</v>
      </c>
      <c r="M193" s="287">
        <v>2400</v>
      </c>
      <c r="N193" s="287"/>
      <c r="O193" s="287"/>
      <c r="P193" s="287"/>
      <c r="Q193" s="288">
        <v>77.599999999999994</v>
      </c>
      <c r="R193" s="288"/>
      <c r="S193" s="288"/>
      <c r="T193" s="288"/>
      <c r="U193" s="288">
        <v>0</v>
      </c>
      <c r="V193" s="289">
        <v>77.599999999999994</v>
      </c>
      <c r="W193" s="289">
        <v>0</v>
      </c>
      <c r="X193" s="288">
        <v>7.7599999999999988E-2</v>
      </c>
      <c r="Y193" s="288">
        <v>0</v>
      </c>
      <c r="Z193" s="288">
        <v>0</v>
      </c>
      <c r="AA193" s="288">
        <v>0</v>
      </c>
      <c r="AB193" s="288">
        <v>0</v>
      </c>
      <c r="AC193" s="289">
        <v>7.7599999999999988E-2</v>
      </c>
      <c r="AD193" s="289">
        <v>0</v>
      </c>
    </row>
    <row r="194" spans="1:30" ht="15" customHeight="1" x14ac:dyDescent="0.25">
      <c r="A194" s="282" t="s">
        <v>259</v>
      </c>
      <c r="B194" s="282" t="s">
        <v>259</v>
      </c>
      <c r="C194" s="282" t="s">
        <v>259</v>
      </c>
      <c r="D194" s="283" t="s">
        <v>439</v>
      </c>
      <c r="E194" s="403" t="s">
        <v>421</v>
      </c>
      <c r="F194" s="403" t="s">
        <v>422</v>
      </c>
      <c r="G194" s="284" t="s">
        <v>283</v>
      </c>
      <c r="H194" s="284" t="s">
        <v>424</v>
      </c>
      <c r="I194" s="283">
        <v>1.1000000000000001</v>
      </c>
      <c r="J194" s="284" t="s">
        <v>156</v>
      </c>
      <c r="K194" s="283" t="s">
        <v>425</v>
      </c>
      <c r="L194" s="286" t="s">
        <v>158</v>
      </c>
      <c r="M194" s="287">
        <v>2400</v>
      </c>
      <c r="N194" s="287"/>
      <c r="O194" s="287"/>
      <c r="P194" s="287"/>
      <c r="Q194" s="288">
        <v>55.8</v>
      </c>
      <c r="R194" s="288"/>
      <c r="S194" s="288"/>
      <c r="T194" s="288"/>
      <c r="U194" s="288">
        <v>0</v>
      </c>
      <c r="V194" s="289">
        <v>55.8</v>
      </c>
      <c r="W194" s="289">
        <v>0</v>
      </c>
      <c r="X194" s="288">
        <v>5.5799999999999995E-2</v>
      </c>
      <c r="Y194" s="288">
        <v>0</v>
      </c>
      <c r="Z194" s="288">
        <v>0</v>
      </c>
      <c r="AA194" s="288">
        <v>0</v>
      </c>
      <c r="AB194" s="288">
        <v>0</v>
      </c>
      <c r="AC194" s="289">
        <v>5.5799999999999995E-2</v>
      </c>
      <c r="AD194" s="289">
        <v>0</v>
      </c>
    </row>
    <row r="195" spans="1:30" ht="15" customHeight="1" x14ac:dyDescent="0.25">
      <c r="A195" s="282" t="s">
        <v>259</v>
      </c>
      <c r="B195" s="282" t="s">
        <v>259</v>
      </c>
      <c r="C195" s="282" t="s">
        <v>259</v>
      </c>
      <c r="D195" s="283" t="s">
        <v>440</v>
      </c>
      <c r="E195" s="403" t="s">
        <v>421</v>
      </c>
      <c r="F195" s="403" t="s">
        <v>422</v>
      </c>
      <c r="G195" s="284" t="s">
        <v>283</v>
      </c>
      <c r="H195" s="284" t="s">
        <v>424</v>
      </c>
      <c r="I195" s="283">
        <v>1.1000000000000001</v>
      </c>
      <c r="J195" s="284" t="s">
        <v>156</v>
      </c>
      <c r="K195" s="283" t="s">
        <v>425</v>
      </c>
      <c r="L195" s="286" t="s">
        <v>158</v>
      </c>
      <c r="M195" s="287">
        <v>2400</v>
      </c>
      <c r="N195" s="287"/>
      <c r="O195" s="287"/>
      <c r="P195" s="287"/>
      <c r="Q195" s="288">
        <v>67.900000000000006</v>
      </c>
      <c r="R195" s="288"/>
      <c r="S195" s="288"/>
      <c r="T195" s="288"/>
      <c r="U195" s="288">
        <v>0</v>
      </c>
      <c r="V195" s="289">
        <v>67.900000000000006</v>
      </c>
      <c r="W195" s="289">
        <v>0</v>
      </c>
      <c r="X195" s="288">
        <v>6.7900000000000002E-2</v>
      </c>
      <c r="Y195" s="288">
        <v>0</v>
      </c>
      <c r="Z195" s="288">
        <v>0</v>
      </c>
      <c r="AA195" s="288">
        <v>0</v>
      </c>
      <c r="AB195" s="288">
        <v>0</v>
      </c>
      <c r="AC195" s="289">
        <v>6.7900000000000002E-2</v>
      </c>
      <c r="AD195" s="289">
        <v>0</v>
      </c>
    </row>
    <row r="196" spans="1:30" ht="15" customHeight="1" x14ac:dyDescent="0.25">
      <c r="A196" s="282" t="s">
        <v>259</v>
      </c>
      <c r="B196" s="282" t="s">
        <v>259</v>
      </c>
      <c r="C196" s="282" t="s">
        <v>259</v>
      </c>
      <c r="D196" s="283" t="s">
        <v>441</v>
      </c>
      <c r="E196" s="403" t="s">
        <v>421</v>
      </c>
      <c r="F196" s="403" t="s">
        <v>422</v>
      </c>
      <c r="G196" s="284" t="s">
        <v>283</v>
      </c>
      <c r="H196" s="284" t="s">
        <v>424</v>
      </c>
      <c r="I196" s="283">
        <v>1.1000000000000001</v>
      </c>
      <c r="J196" s="284" t="s">
        <v>156</v>
      </c>
      <c r="K196" s="283" t="s">
        <v>425</v>
      </c>
      <c r="L196" s="286" t="s">
        <v>158</v>
      </c>
      <c r="M196" s="287">
        <v>2400</v>
      </c>
      <c r="N196" s="287"/>
      <c r="O196" s="287"/>
      <c r="P196" s="287"/>
      <c r="Q196" s="288">
        <v>66.7</v>
      </c>
      <c r="R196" s="288"/>
      <c r="S196" s="288"/>
      <c r="T196" s="288"/>
      <c r="U196" s="288">
        <v>0</v>
      </c>
      <c r="V196" s="289">
        <v>66.7</v>
      </c>
      <c r="W196" s="289">
        <v>0</v>
      </c>
      <c r="X196" s="288">
        <v>6.6700000000000009E-2</v>
      </c>
      <c r="Y196" s="288">
        <v>0</v>
      </c>
      <c r="Z196" s="288">
        <v>0</v>
      </c>
      <c r="AA196" s="288">
        <v>0</v>
      </c>
      <c r="AB196" s="288">
        <v>0</v>
      </c>
      <c r="AC196" s="289">
        <v>6.6700000000000009E-2</v>
      </c>
      <c r="AD196" s="289">
        <v>0</v>
      </c>
    </row>
    <row r="197" spans="1:30" ht="15" customHeight="1" x14ac:dyDescent="0.25">
      <c r="A197" s="282" t="s">
        <v>259</v>
      </c>
      <c r="B197" s="282" t="s">
        <v>259</v>
      </c>
      <c r="C197" s="282" t="s">
        <v>259</v>
      </c>
      <c r="D197" s="283" t="s">
        <v>442</v>
      </c>
      <c r="E197" s="403" t="s">
        <v>421</v>
      </c>
      <c r="F197" s="403" t="s">
        <v>422</v>
      </c>
      <c r="G197" s="284" t="s">
        <v>283</v>
      </c>
      <c r="H197" s="284" t="s">
        <v>424</v>
      </c>
      <c r="I197" s="283">
        <v>1.1000000000000001</v>
      </c>
      <c r="J197" s="284" t="s">
        <v>156</v>
      </c>
      <c r="K197" s="283" t="s">
        <v>425</v>
      </c>
      <c r="L197" s="286" t="s">
        <v>158</v>
      </c>
      <c r="M197" s="287">
        <v>2400</v>
      </c>
      <c r="N197" s="287"/>
      <c r="O197" s="287"/>
      <c r="P197" s="287"/>
      <c r="Q197" s="288">
        <v>68.7</v>
      </c>
      <c r="R197" s="288"/>
      <c r="S197" s="288"/>
      <c r="T197" s="288"/>
      <c r="U197" s="288">
        <v>0</v>
      </c>
      <c r="V197" s="289">
        <v>68.7</v>
      </c>
      <c r="W197" s="289">
        <v>0</v>
      </c>
      <c r="X197" s="288">
        <v>6.8699999999999997E-2</v>
      </c>
      <c r="Y197" s="288">
        <v>0</v>
      </c>
      <c r="Z197" s="288">
        <v>0</v>
      </c>
      <c r="AA197" s="288">
        <v>0</v>
      </c>
      <c r="AB197" s="288">
        <v>0</v>
      </c>
      <c r="AC197" s="289">
        <v>6.8699999999999997E-2</v>
      </c>
      <c r="AD197" s="289">
        <v>0</v>
      </c>
    </row>
    <row r="198" spans="1:30" ht="15" customHeight="1" x14ac:dyDescent="0.25">
      <c r="A198" s="282" t="s">
        <v>259</v>
      </c>
      <c r="B198" s="282" t="s">
        <v>259</v>
      </c>
      <c r="C198" s="282" t="s">
        <v>259</v>
      </c>
      <c r="D198" s="283" t="s">
        <v>443</v>
      </c>
      <c r="E198" s="403" t="s">
        <v>421</v>
      </c>
      <c r="F198" s="403" t="s">
        <v>422</v>
      </c>
      <c r="G198" s="284" t="s">
        <v>316</v>
      </c>
      <c r="H198" s="284" t="s">
        <v>424</v>
      </c>
      <c r="I198" s="283">
        <v>1.1000000000000001</v>
      </c>
      <c r="J198" s="284" t="s">
        <v>156</v>
      </c>
      <c r="K198" s="283" t="s">
        <v>425</v>
      </c>
      <c r="L198" s="286" t="s">
        <v>158</v>
      </c>
      <c r="M198" s="287">
        <v>2400</v>
      </c>
      <c r="N198" s="287"/>
      <c r="O198" s="287"/>
      <c r="P198" s="287"/>
      <c r="Q198" s="288">
        <v>67.5</v>
      </c>
      <c r="R198" s="288"/>
      <c r="S198" s="288"/>
      <c r="T198" s="288"/>
      <c r="U198" s="288">
        <v>0</v>
      </c>
      <c r="V198" s="289">
        <v>67.5</v>
      </c>
      <c r="W198" s="289">
        <v>0</v>
      </c>
      <c r="X198" s="288">
        <v>6.7500000000000004E-2</v>
      </c>
      <c r="Y198" s="288">
        <v>0</v>
      </c>
      <c r="Z198" s="288">
        <v>0</v>
      </c>
      <c r="AA198" s="288">
        <v>0</v>
      </c>
      <c r="AB198" s="288">
        <v>0</v>
      </c>
      <c r="AC198" s="289">
        <v>6.7500000000000004E-2</v>
      </c>
      <c r="AD198" s="289">
        <v>0</v>
      </c>
    </row>
    <row r="199" spans="1:30" ht="15" customHeight="1" x14ac:dyDescent="0.25">
      <c r="A199" s="282" t="s">
        <v>259</v>
      </c>
      <c r="B199" s="282" t="s">
        <v>259</v>
      </c>
      <c r="C199" s="282" t="s">
        <v>259</v>
      </c>
      <c r="D199" s="283" t="s">
        <v>444</v>
      </c>
      <c r="E199" s="403" t="s">
        <v>421</v>
      </c>
      <c r="F199" s="403" t="s">
        <v>422</v>
      </c>
      <c r="G199" s="284" t="s">
        <v>316</v>
      </c>
      <c r="H199" s="284" t="s">
        <v>424</v>
      </c>
      <c r="I199" s="283">
        <v>1.1000000000000001</v>
      </c>
      <c r="J199" s="284" t="s">
        <v>156</v>
      </c>
      <c r="K199" s="283" t="s">
        <v>425</v>
      </c>
      <c r="L199" s="286" t="s">
        <v>158</v>
      </c>
      <c r="M199" s="287">
        <v>2400</v>
      </c>
      <c r="N199" s="287"/>
      <c r="O199" s="287"/>
      <c r="P199" s="287"/>
      <c r="Q199" s="288">
        <v>52.5</v>
      </c>
      <c r="R199" s="288"/>
      <c r="S199" s="288"/>
      <c r="T199" s="288"/>
      <c r="U199" s="288">
        <v>0</v>
      </c>
      <c r="V199" s="289">
        <v>52.5</v>
      </c>
      <c r="W199" s="289">
        <v>0</v>
      </c>
      <c r="X199" s="288">
        <v>5.2499999999999998E-2</v>
      </c>
      <c r="Y199" s="288">
        <v>0</v>
      </c>
      <c r="Z199" s="288">
        <v>0</v>
      </c>
      <c r="AA199" s="288">
        <v>0</v>
      </c>
      <c r="AB199" s="288">
        <v>0</v>
      </c>
      <c r="AC199" s="289">
        <v>5.2499999999999998E-2</v>
      </c>
      <c r="AD199" s="289">
        <v>0</v>
      </c>
    </row>
    <row r="200" spans="1:30" ht="15" customHeight="1" x14ac:dyDescent="0.25">
      <c r="A200" s="282" t="s">
        <v>259</v>
      </c>
      <c r="B200" s="282" t="s">
        <v>259</v>
      </c>
      <c r="C200" s="282" t="s">
        <v>259</v>
      </c>
      <c r="D200" s="283" t="s">
        <v>445</v>
      </c>
      <c r="E200" s="403" t="s">
        <v>421</v>
      </c>
      <c r="F200" s="403" t="s">
        <v>422</v>
      </c>
      <c r="G200" s="284" t="s">
        <v>316</v>
      </c>
      <c r="H200" s="284" t="s">
        <v>424</v>
      </c>
      <c r="I200" s="283">
        <v>1.1000000000000001</v>
      </c>
      <c r="J200" s="284" t="s">
        <v>156</v>
      </c>
      <c r="K200" s="283" t="s">
        <v>425</v>
      </c>
      <c r="L200" s="286" t="s">
        <v>158</v>
      </c>
      <c r="M200" s="287">
        <v>2400</v>
      </c>
      <c r="N200" s="287"/>
      <c r="O200" s="287"/>
      <c r="P200" s="287"/>
      <c r="Q200" s="288">
        <v>42.4</v>
      </c>
      <c r="R200" s="288"/>
      <c r="S200" s="288"/>
      <c r="T200" s="288"/>
      <c r="U200" s="288">
        <v>0</v>
      </c>
      <c r="V200" s="289">
        <v>42.4</v>
      </c>
      <c r="W200" s="289">
        <v>0</v>
      </c>
      <c r="X200" s="288">
        <v>4.24E-2</v>
      </c>
      <c r="Y200" s="288">
        <v>0</v>
      </c>
      <c r="Z200" s="288">
        <v>0</v>
      </c>
      <c r="AA200" s="288">
        <v>0</v>
      </c>
      <c r="AB200" s="288">
        <v>0</v>
      </c>
      <c r="AC200" s="289">
        <v>4.24E-2</v>
      </c>
      <c r="AD200" s="289">
        <v>0</v>
      </c>
    </row>
    <row r="201" spans="1:30" ht="15" customHeight="1" x14ac:dyDescent="0.25">
      <c r="A201" s="282" t="s">
        <v>259</v>
      </c>
      <c r="B201" s="282" t="s">
        <v>259</v>
      </c>
      <c r="C201" s="282" t="s">
        <v>259</v>
      </c>
      <c r="D201" s="283" t="s">
        <v>446</v>
      </c>
      <c r="E201" s="403" t="s">
        <v>421</v>
      </c>
      <c r="F201" s="403" t="s">
        <v>422</v>
      </c>
      <c r="G201" s="284" t="s">
        <v>316</v>
      </c>
      <c r="H201" s="284" t="s">
        <v>424</v>
      </c>
      <c r="I201" s="283">
        <v>1.1000000000000001</v>
      </c>
      <c r="J201" s="284" t="s">
        <v>156</v>
      </c>
      <c r="K201" s="283" t="s">
        <v>425</v>
      </c>
      <c r="L201" s="286" t="s">
        <v>158</v>
      </c>
      <c r="M201" s="287">
        <v>2400</v>
      </c>
      <c r="N201" s="287"/>
      <c r="O201" s="287"/>
      <c r="P201" s="287"/>
      <c r="Q201" s="288">
        <v>41.1</v>
      </c>
      <c r="R201" s="288"/>
      <c r="S201" s="288"/>
      <c r="T201" s="288"/>
      <c r="U201" s="288">
        <v>0</v>
      </c>
      <c r="V201" s="289">
        <v>41.1</v>
      </c>
      <c r="W201" s="289">
        <v>0</v>
      </c>
      <c r="X201" s="288">
        <v>4.1100000000000005E-2</v>
      </c>
      <c r="Y201" s="288">
        <v>0</v>
      </c>
      <c r="Z201" s="288">
        <v>0</v>
      </c>
      <c r="AA201" s="288">
        <v>0</v>
      </c>
      <c r="AB201" s="288">
        <v>0</v>
      </c>
      <c r="AC201" s="289">
        <v>4.1100000000000005E-2</v>
      </c>
      <c r="AD201" s="289">
        <v>0</v>
      </c>
    </row>
    <row r="202" spans="1:30" ht="15" customHeight="1" x14ac:dyDescent="0.25">
      <c r="A202" s="282" t="s">
        <v>259</v>
      </c>
      <c r="B202" s="282" t="s">
        <v>259</v>
      </c>
      <c r="C202" s="282" t="s">
        <v>259</v>
      </c>
      <c r="D202" s="283" t="s">
        <v>447</v>
      </c>
      <c r="E202" s="403" t="s">
        <v>421</v>
      </c>
      <c r="F202" s="403" t="s">
        <v>422</v>
      </c>
      <c r="G202" s="284" t="s">
        <v>316</v>
      </c>
      <c r="H202" s="284" t="s">
        <v>424</v>
      </c>
      <c r="I202" s="283">
        <v>1.1000000000000001</v>
      </c>
      <c r="J202" s="284" t="s">
        <v>156</v>
      </c>
      <c r="K202" s="283" t="s">
        <v>425</v>
      </c>
      <c r="L202" s="286" t="s">
        <v>158</v>
      </c>
      <c r="M202" s="287">
        <v>2400</v>
      </c>
      <c r="N202" s="287"/>
      <c r="O202" s="287"/>
      <c r="P202" s="287"/>
      <c r="Q202" s="288">
        <v>46.1</v>
      </c>
      <c r="R202" s="288"/>
      <c r="S202" s="288"/>
      <c r="T202" s="288"/>
      <c r="U202" s="288">
        <v>0</v>
      </c>
      <c r="V202" s="289">
        <v>46.1</v>
      </c>
      <c r="W202" s="289">
        <v>0</v>
      </c>
      <c r="X202" s="288">
        <v>4.6100000000000002E-2</v>
      </c>
      <c r="Y202" s="288">
        <v>0</v>
      </c>
      <c r="Z202" s="288">
        <v>0</v>
      </c>
      <c r="AA202" s="288">
        <v>0</v>
      </c>
      <c r="AB202" s="288">
        <v>0</v>
      </c>
      <c r="AC202" s="289">
        <v>4.6100000000000002E-2</v>
      </c>
      <c r="AD202" s="289">
        <v>0</v>
      </c>
    </row>
    <row r="203" spans="1:30" ht="15" customHeight="1" x14ac:dyDescent="0.25">
      <c r="A203" s="282" t="s">
        <v>259</v>
      </c>
      <c r="B203" s="282" t="s">
        <v>259</v>
      </c>
      <c r="C203" s="282" t="s">
        <v>259</v>
      </c>
      <c r="D203" s="283" t="s">
        <v>448</v>
      </c>
      <c r="E203" s="403" t="s">
        <v>421</v>
      </c>
      <c r="F203" s="403" t="s">
        <v>422</v>
      </c>
      <c r="G203" s="284" t="s">
        <v>316</v>
      </c>
      <c r="H203" s="284" t="s">
        <v>424</v>
      </c>
      <c r="I203" s="283">
        <v>1.1000000000000001</v>
      </c>
      <c r="J203" s="284" t="s">
        <v>156</v>
      </c>
      <c r="K203" s="283" t="s">
        <v>425</v>
      </c>
      <c r="L203" s="286" t="s">
        <v>158</v>
      </c>
      <c r="M203" s="287">
        <v>2400</v>
      </c>
      <c r="N203" s="287"/>
      <c r="O203" s="287"/>
      <c r="P203" s="287"/>
      <c r="Q203" s="288">
        <v>51.4</v>
      </c>
      <c r="R203" s="288"/>
      <c r="S203" s="288"/>
      <c r="T203" s="288"/>
      <c r="U203" s="288">
        <v>0</v>
      </c>
      <c r="V203" s="289">
        <v>51.4</v>
      </c>
      <c r="W203" s="289">
        <v>0</v>
      </c>
      <c r="X203" s="288">
        <v>5.1400000000000001E-2</v>
      </c>
      <c r="Y203" s="288">
        <v>0</v>
      </c>
      <c r="Z203" s="288">
        <v>0</v>
      </c>
      <c r="AA203" s="288">
        <v>0</v>
      </c>
      <c r="AB203" s="288">
        <v>0</v>
      </c>
      <c r="AC203" s="289">
        <v>5.1400000000000001E-2</v>
      </c>
      <c r="AD203" s="289">
        <v>0</v>
      </c>
    </row>
    <row r="204" spans="1:30" ht="15" customHeight="1" x14ac:dyDescent="0.25">
      <c r="A204" s="282" t="s">
        <v>259</v>
      </c>
      <c r="B204" s="282" t="s">
        <v>259</v>
      </c>
      <c r="C204" s="282" t="s">
        <v>259</v>
      </c>
      <c r="D204" s="283" t="s">
        <v>449</v>
      </c>
      <c r="E204" s="403" t="s">
        <v>421</v>
      </c>
      <c r="F204" s="403" t="s">
        <v>422</v>
      </c>
      <c r="G204" s="284" t="s">
        <v>286</v>
      </c>
      <c r="H204" s="284" t="s">
        <v>424</v>
      </c>
      <c r="I204" s="283">
        <v>1.1000000000000001</v>
      </c>
      <c r="J204" s="284" t="s">
        <v>156</v>
      </c>
      <c r="K204" s="283" t="s">
        <v>425</v>
      </c>
      <c r="L204" s="286" t="s">
        <v>158</v>
      </c>
      <c r="M204" s="287">
        <v>2400</v>
      </c>
      <c r="N204" s="287"/>
      <c r="O204" s="287"/>
      <c r="P204" s="287"/>
      <c r="Q204" s="288">
        <v>81.900000000000006</v>
      </c>
      <c r="R204" s="288"/>
      <c r="S204" s="288"/>
      <c r="T204" s="288"/>
      <c r="U204" s="288">
        <v>0</v>
      </c>
      <c r="V204" s="289">
        <v>81.900000000000006</v>
      </c>
      <c r="W204" s="289">
        <v>0</v>
      </c>
      <c r="X204" s="288">
        <v>8.1900000000000001E-2</v>
      </c>
      <c r="Y204" s="288">
        <v>0</v>
      </c>
      <c r="Z204" s="288">
        <v>0</v>
      </c>
      <c r="AA204" s="288">
        <v>0</v>
      </c>
      <c r="AB204" s="288">
        <v>0</v>
      </c>
      <c r="AC204" s="289">
        <v>8.1900000000000001E-2</v>
      </c>
      <c r="AD204" s="289">
        <v>0</v>
      </c>
    </row>
    <row r="205" spans="1:30" ht="15" customHeight="1" x14ac:dyDescent="0.25">
      <c r="A205" s="282" t="s">
        <v>259</v>
      </c>
      <c r="B205" s="282" t="s">
        <v>259</v>
      </c>
      <c r="C205" s="282" t="s">
        <v>259</v>
      </c>
      <c r="D205" s="283" t="s">
        <v>450</v>
      </c>
      <c r="E205" s="403" t="s">
        <v>421</v>
      </c>
      <c r="F205" s="403" t="s">
        <v>422</v>
      </c>
      <c r="G205" s="284" t="s">
        <v>286</v>
      </c>
      <c r="H205" s="284" t="s">
        <v>424</v>
      </c>
      <c r="I205" s="283">
        <v>1.1000000000000001</v>
      </c>
      <c r="J205" s="284" t="s">
        <v>156</v>
      </c>
      <c r="K205" s="283" t="s">
        <v>425</v>
      </c>
      <c r="L205" s="286" t="s">
        <v>158</v>
      </c>
      <c r="M205" s="287">
        <v>2400</v>
      </c>
      <c r="N205" s="287"/>
      <c r="O205" s="287"/>
      <c r="P205" s="287"/>
      <c r="Q205" s="288">
        <v>59</v>
      </c>
      <c r="R205" s="288"/>
      <c r="S205" s="288"/>
      <c r="T205" s="288"/>
      <c r="U205" s="288">
        <v>0</v>
      </c>
      <c r="V205" s="289">
        <v>59</v>
      </c>
      <c r="W205" s="289">
        <v>0</v>
      </c>
      <c r="X205" s="288">
        <v>5.8999999999999997E-2</v>
      </c>
      <c r="Y205" s="288">
        <v>0</v>
      </c>
      <c r="Z205" s="288">
        <v>0</v>
      </c>
      <c r="AA205" s="288">
        <v>0</v>
      </c>
      <c r="AB205" s="288">
        <v>0</v>
      </c>
      <c r="AC205" s="289">
        <v>5.8999999999999997E-2</v>
      </c>
      <c r="AD205" s="289">
        <v>0</v>
      </c>
    </row>
    <row r="206" spans="1:30" ht="15" customHeight="1" x14ac:dyDescent="0.25">
      <c r="A206" s="282" t="s">
        <v>259</v>
      </c>
      <c r="B206" s="282" t="s">
        <v>259</v>
      </c>
      <c r="C206" s="282" t="s">
        <v>259</v>
      </c>
      <c r="D206" s="283" t="s">
        <v>451</v>
      </c>
      <c r="E206" s="403" t="s">
        <v>421</v>
      </c>
      <c r="F206" s="403" t="s">
        <v>422</v>
      </c>
      <c r="G206" s="284" t="s">
        <v>286</v>
      </c>
      <c r="H206" s="284" t="s">
        <v>424</v>
      </c>
      <c r="I206" s="283">
        <v>1.1000000000000001</v>
      </c>
      <c r="J206" s="284" t="s">
        <v>156</v>
      </c>
      <c r="K206" s="283" t="s">
        <v>425</v>
      </c>
      <c r="L206" s="286" t="s">
        <v>158</v>
      </c>
      <c r="M206" s="287">
        <v>2400</v>
      </c>
      <c r="N206" s="287"/>
      <c r="O206" s="287"/>
      <c r="P206" s="287"/>
      <c r="Q206" s="288">
        <v>56.6</v>
      </c>
      <c r="R206" s="288"/>
      <c r="S206" s="288"/>
      <c r="T206" s="288"/>
      <c r="U206" s="288">
        <v>0</v>
      </c>
      <c r="V206" s="289">
        <v>56.6</v>
      </c>
      <c r="W206" s="289">
        <v>0</v>
      </c>
      <c r="X206" s="288">
        <v>5.6600000000000004E-2</v>
      </c>
      <c r="Y206" s="288">
        <v>0</v>
      </c>
      <c r="Z206" s="288">
        <v>0</v>
      </c>
      <c r="AA206" s="288">
        <v>0</v>
      </c>
      <c r="AB206" s="288">
        <v>0</v>
      </c>
      <c r="AC206" s="289">
        <v>5.6600000000000004E-2</v>
      </c>
      <c r="AD206" s="289">
        <v>0</v>
      </c>
    </row>
    <row r="207" spans="1:30" ht="15" customHeight="1" x14ac:dyDescent="0.25">
      <c r="A207" s="282" t="s">
        <v>259</v>
      </c>
      <c r="B207" s="282" t="s">
        <v>259</v>
      </c>
      <c r="C207" s="282" t="s">
        <v>259</v>
      </c>
      <c r="D207" s="283" t="s">
        <v>452</v>
      </c>
      <c r="E207" s="403" t="s">
        <v>421</v>
      </c>
      <c r="F207" s="403" t="s">
        <v>422</v>
      </c>
      <c r="G207" s="284" t="s">
        <v>286</v>
      </c>
      <c r="H207" s="284" t="s">
        <v>424</v>
      </c>
      <c r="I207" s="283">
        <v>1.1000000000000001</v>
      </c>
      <c r="J207" s="284" t="s">
        <v>156</v>
      </c>
      <c r="K207" s="283" t="s">
        <v>425</v>
      </c>
      <c r="L207" s="286" t="s">
        <v>158</v>
      </c>
      <c r="M207" s="287">
        <v>2400</v>
      </c>
      <c r="N207" s="287"/>
      <c r="O207" s="287"/>
      <c r="P207" s="287"/>
      <c r="Q207" s="288">
        <v>67.400000000000006</v>
      </c>
      <c r="R207" s="288"/>
      <c r="S207" s="288"/>
      <c r="T207" s="288"/>
      <c r="U207" s="288">
        <v>0</v>
      </c>
      <c r="V207" s="289">
        <v>67.400000000000006</v>
      </c>
      <c r="W207" s="289">
        <v>0</v>
      </c>
      <c r="X207" s="288">
        <v>6.7400000000000002E-2</v>
      </c>
      <c r="Y207" s="288">
        <v>0</v>
      </c>
      <c r="Z207" s="288">
        <v>0</v>
      </c>
      <c r="AA207" s="288">
        <v>0</v>
      </c>
      <c r="AB207" s="288">
        <v>0</v>
      </c>
      <c r="AC207" s="289">
        <v>6.7400000000000002E-2</v>
      </c>
      <c r="AD207" s="289">
        <v>0</v>
      </c>
    </row>
    <row r="208" spans="1:30" ht="15" customHeight="1" x14ac:dyDescent="0.25">
      <c r="A208" s="282" t="s">
        <v>259</v>
      </c>
      <c r="B208" s="282" t="s">
        <v>259</v>
      </c>
      <c r="C208" s="282" t="s">
        <v>259</v>
      </c>
      <c r="D208" s="283" t="s">
        <v>453</v>
      </c>
      <c r="E208" s="403" t="s">
        <v>421</v>
      </c>
      <c r="F208" s="403" t="s">
        <v>422</v>
      </c>
      <c r="G208" s="284" t="s">
        <v>286</v>
      </c>
      <c r="H208" s="284" t="s">
        <v>424</v>
      </c>
      <c r="I208" s="283">
        <v>1.1000000000000001</v>
      </c>
      <c r="J208" s="284" t="s">
        <v>156</v>
      </c>
      <c r="K208" s="283" t="s">
        <v>425</v>
      </c>
      <c r="L208" s="286" t="s">
        <v>158</v>
      </c>
      <c r="M208" s="287">
        <v>2400</v>
      </c>
      <c r="N208" s="287"/>
      <c r="O208" s="287"/>
      <c r="P208" s="287"/>
      <c r="Q208" s="288">
        <v>49.5</v>
      </c>
      <c r="R208" s="288"/>
      <c r="S208" s="288"/>
      <c r="T208" s="288"/>
      <c r="U208" s="288">
        <v>0</v>
      </c>
      <c r="V208" s="289">
        <v>49.5</v>
      </c>
      <c r="W208" s="289">
        <v>0</v>
      </c>
      <c r="X208" s="288">
        <v>4.9500000000000002E-2</v>
      </c>
      <c r="Y208" s="288">
        <v>0</v>
      </c>
      <c r="Z208" s="288">
        <v>0</v>
      </c>
      <c r="AA208" s="288">
        <v>0</v>
      </c>
      <c r="AB208" s="288">
        <v>0</v>
      </c>
      <c r="AC208" s="289">
        <v>4.9500000000000002E-2</v>
      </c>
      <c r="AD208" s="289">
        <v>0</v>
      </c>
    </row>
    <row r="209" spans="1:30" ht="15" customHeight="1" x14ac:dyDescent="0.25">
      <c r="A209" s="282" t="s">
        <v>259</v>
      </c>
      <c r="B209" s="282" t="s">
        <v>259</v>
      </c>
      <c r="C209" s="282" t="s">
        <v>259</v>
      </c>
      <c r="D209" s="283" t="s">
        <v>454</v>
      </c>
      <c r="E209" s="403" t="s">
        <v>421</v>
      </c>
      <c r="F209" s="403" t="s">
        <v>422</v>
      </c>
      <c r="G209" s="284" t="s">
        <v>286</v>
      </c>
      <c r="H209" s="284" t="s">
        <v>424</v>
      </c>
      <c r="I209" s="283">
        <v>1.1000000000000001</v>
      </c>
      <c r="J209" s="284" t="s">
        <v>156</v>
      </c>
      <c r="K209" s="283" t="s">
        <v>425</v>
      </c>
      <c r="L209" s="286" t="s">
        <v>158</v>
      </c>
      <c r="M209" s="287">
        <v>2400</v>
      </c>
      <c r="N209" s="287"/>
      <c r="O209" s="287"/>
      <c r="P209" s="287"/>
      <c r="Q209" s="288">
        <v>46.9</v>
      </c>
      <c r="R209" s="288"/>
      <c r="S209" s="288"/>
      <c r="T209" s="288"/>
      <c r="U209" s="288">
        <v>0</v>
      </c>
      <c r="V209" s="289">
        <v>46.9</v>
      </c>
      <c r="W209" s="289">
        <v>0</v>
      </c>
      <c r="X209" s="288">
        <v>4.6899999999999997E-2</v>
      </c>
      <c r="Y209" s="288">
        <v>0</v>
      </c>
      <c r="Z209" s="288">
        <v>0</v>
      </c>
      <c r="AA209" s="288">
        <v>0</v>
      </c>
      <c r="AB209" s="288">
        <v>0</v>
      </c>
      <c r="AC209" s="289">
        <v>4.6899999999999997E-2</v>
      </c>
      <c r="AD209" s="289">
        <v>0</v>
      </c>
    </row>
    <row r="210" spans="1:30" ht="15" customHeight="1" x14ac:dyDescent="0.25">
      <c r="A210" s="282" t="s">
        <v>259</v>
      </c>
      <c r="B210" s="282" t="s">
        <v>259</v>
      </c>
      <c r="C210" s="282" t="s">
        <v>259</v>
      </c>
      <c r="D210" s="283" t="s">
        <v>455</v>
      </c>
      <c r="E210" s="403" t="s">
        <v>421</v>
      </c>
      <c r="F210" s="403" t="s">
        <v>422</v>
      </c>
      <c r="G210" s="284" t="s">
        <v>286</v>
      </c>
      <c r="H210" s="284" t="s">
        <v>424</v>
      </c>
      <c r="I210" s="283">
        <v>1.1000000000000001</v>
      </c>
      <c r="J210" s="284" t="s">
        <v>156</v>
      </c>
      <c r="K210" s="283" t="s">
        <v>425</v>
      </c>
      <c r="L210" s="286" t="s">
        <v>158</v>
      </c>
      <c r="M210" s="287">
        <v>2400</v>
      </c>
      <c r="N210" s="287"/>
      <c r="O210" s="287"/>
      <c r="P210" s="287"/>
      <c r="Q210" s="288">
        <v>55.9</v>
      </c>
      <c r="R210" s="288"/>
      <c r="S210" s="288"/>
      <c r="T210" s="288"/>
      <c r="U210" s="288">
        <v>0</v>
      </c>
      <c r="V210" s="289">
        <v>55.9</v>
      </c>
      <c r="W210" s="289">
        <v>0</v>
      </c>
      <c r="X210" s="288">
        <v>5.5899999999999998E-2</v>
      </c>
      <c r="Y210" s="288">
        <v>0</v>
      </c>
      <c r="Z210" s="288">
        <v>0</v>
      </c>
      <c r="AA210" s="288">
        <v>0</v>
      </c>
      <c r="AB210" s="288">
        <v>0</v>
      </c>
      <c r="AC210" s="289">
        <v>5.5899999999999998E-2</v>
      </c>
      <c r="AD210" s="289">
        <v>0</v>
      </c>
    </row>
    <row r="211" spans="1:30" ht="15" customHeight="1" x14ac:dyDescent="0.25">
      <c r="A211" s="282" t="s">
        <v>259</v>
      </c>
      <c r="B211" s="282" t="s">
        <v>259</v>
      </c>
      <c r="C211" s="282" t="s">
        <v>259</v>
      </c>
      <c r="D211" s="283" t="s">
        <v>456</v>
      </c>
      <c r="E211" s="403" t="s">
        <v>421</v>
      </c>
      <c r="F211" s="403" t="s">
        <v>422</v>
      </c>
      <c r="G211" s="284" t="s">
        <v>286</v>
      </c>
      <c r="H211" s="284" t="s">
        <v>424</v>
      </c>
      <c r="I211" s="283">
        <v>1.1000000000000001</v>
      </c>
      <c r="J211" s="284" t="s">
        <v>156</v>
      </c>
      <c r="K211" s="283" t="s">
        <v>425</v>
      </c>
      <c r="L211" s="286" t="s">
        <v>158</v>
      </c>
      <c r="M211" s="287">
        <v>2400</v>
      </c>
      <c r="N211" s="287"/>
      <c r="O211" s="287"/>
      <c r="P211" s="287"/>
      <c r="Q211" s="288">
        <v>45.2</v>
      </c>
      <c r="R211" s="288"/>
      <c r="S211" s="288"/>
      <c r="T211" s="288"/>
      <c r="U211" s="288">
        <v>0</v>
      </c>
      <c r="V211" s="289">
        <v>45.2</v>
      </c>
      <c r="W211" s="289">
        <v>0</v>
      </c>
      <c r="X211" s="288">
        <v>4.5200000000000004E-2</v>
      </c>
      <c r="Y211" s="288">
        <v>0</v>
      </c>
      <c r="Z211" s="288">
        <v>0</v>
      </c>
      <c r="AA211" s="288">
        <v>0</v>
      </c>
      <c r="AB211" s="288">
        <v>0</v>
      </c>
      <c r="AC211" s="289">
        <v>4.5200000000000004E-2</v>
      </c>
      <c r="AD211" s="289">
        <v>0</v>
      </c>
    </row>
    <row r="212" spans="1:30" ht="15" customHeight="1" x14ac:dyDescent="0.25">
      <c r="A212" s="282" t="s">
        <v>259</v>
      </c>
      <c r="B212" s="282" t="s">
        <v>259</v>
      </c>
      <c r="C212" s="282" t="s">
        <v>259</v>
      </c>
      <c r="D212" s="283" t="s">
        <v>457</v>
      </c>
      <c r="E212" s="403" t="s">
        <v>421</v>
      </c>
      <c r="F212" s="403" t="s">
        <v>422</v>
      </c>
      <c r="G212" s="284" t="s">
        <v>286</v>
      </c>
      <c r="H212" s="284" t="s">
        <v>424</v>
      </c>
      <c r="I212" s="283">
        <v>1.1000000000000001</v>
      </c>
      <c r="J212" s="284" t="s">
        <v>156</v>
      </c>
      <c r="K212" s="283" t="s">
        <v>425</v>
      </c>
      <c r="L212" s="286" t="s">
        <v>158</v>
      </c>
      <c r="M212" s="287">
        <v>2400</v>
      </c>
      <c r="N212" s="287"/>
      <c r="O212" s="287"/>
      <c r="P212" s="287"/>
      <c r="Q212" s="288">
        <v>46.3</v>
      </c>
      <c r="R212" s="288"/>
      <c r="S212" s="288"/>
      <c r="T212" s="288"/>
      <c r="U212" s="288">
        <v>0</v>
      </c>
      <c r="V212" s="289">
        <v>46.3</v>
      </c>
      <c r="W212" s="289">
        <v>0</v>
      </c>
      <c r="X212" s="288">
        <v>4.6299999999999994E-2</v>
      </c>
      <c r="Y212" s="288">
        <v>0</v>
      </c>
      <c r="Z212" s="288">
        <v>0</v>
      </c>
      <c r="AA212" s="288">
        <v>0</v>
      </c>
      <c r="AB212" s="288">
        <v>0</v>
      </c>
      <c r="AC212" s="289">
        <v>4.6299999999999994E-2</v>
      </c>
      <c r="AD212" s="289">
        <v>0</v>
      </c>
    </row>
    <row r="213" spans="1:30" ht="15" customHeight="1" x14ac:dyDescent="0.25">
      <c r="A213" s="282" t="s">
        <v>259</v>
      </c>
      <c r="B213" s="282" t="s">
        <v>259</v>
      </c>
      <c r="C213" s="282" t="s">
        <v>259</v>
      </c>
      <c r="D213" s="283" t="s">
        <v>458</v>
      </c>
      <c r="E213" s="403" t="s">
        <v>421</v>
      </c>
      <c r="F213" s="403" t="s">
        <v>422</v>
      </c>
      <c r="G213" s="284" t="s">
        <v>286</v>
      </c>
      <c r="H213" s="284" t="s">
        <v>424</v>
      </c>
      <c r="I213" s="283">
        <v>1.1000000000000001</v>
      </c>
      <c r="J213" s="284" t="s">
        <v>156</v>
      </c>
      <c r="K213" s="283" t="s">
        <v>425</v>
      </c>
      <c r="L213" s="286" t="s">
        <v>158</v>
      </c>
      <c r="M213" s="287">
        <v>2400</v>
      </c>
      <c r="N213" s="287"/>
      <c r="O213" s="287"/>
      <c r="P213" s="287"/>
      <c r="Q213" s="288">
        <v>11.3</v>
      </c>
      <c r="R213" s="288"/>
      <c r="S213" s="288"/>
      <c r="T213" s="288"/>
      <c r="U213" s="288">
        <v>0</v>
      </c>
      <c r="V213" s="289">
        <v>11.3</v>
      </c>
      <c r="W213" s="289">
        <v>0</v>
      </c>
      <c r="X213" s="288">
        <v>1.1300000000000001E-2</v>
      </c>
      <c r="Y213" s="288">
        <v>0</v>
      </c>
      <c r="Z213" s="288">
        <v>0</v>
      </c>
      <c r="AA213" s="288">
        <v>0</v>
      </c>
      <c r="AB213" s="288">
        <v>0</v>
      </c>
      <c r="AC213" s="289">
        <v>1.1300000000000001E-2</v>
      </c>
      <c r="AD213" s="289">
        <v>0</v>
      </c>
    </row>
    <row r="214" spans="1:30" ht="15" customHeight="1" x14ac:dyDescent="0.25">
      <c r="A214" s="282" t="s">
        <v>259</v>
      </c>
      <c r="B214" s="282" t="s">
        <v>259</v>
      </c>
      <c r="C214" s="282" t="s">
        <v>259</v>
      </c>
      <c r="D214" s="283" t="s">
        <v>459</v>
      </c>
      <c r="E214" s="403" t="s">
        <v>421</v>
      </c>
      <c r="F214" s="403" t="s">
        <v>422</v>
      </c>
      <c r="G214" s="284" t="s">
        <v>286</v>
      </c>
      <c r="H214" s="284" t="s">
        <v>424</v>
      </c>
      <c r="I214" s="283">
        <v>1.1000000000000001</v>
      </c>
      <c r="J214" s="284" t="s">
        <v>156</v>
      </c>
      <c r="K214" s="283" t="s">
        <v>425</v>
      </c>
      <c r="L214" s="286" t="s">
        <v>158</v>
      </c>
      <c r="M214" s="287">
        <v>2400</v>
      </c>
      <c r="N214" s="287"/>
      <c r="O214" s="287"/>
      <c r="P214" s="287"/>
      <c r="Q214" s="288">
        <v>58.3</v>
      </c>
      <c r="R214" s="288"/>
      <c r="S214" s="288"/>
      <c r="T214" s="288"/>
      <c r="U214" s="288">
        <v>0</v>
      </c>
      <c r="V214" s="289">
        <v>58.3</v>
      </c>
      <c r="W214" s="289">
        <v>0</v>
      </c>
      <c r="X214" s="288">
        <v>5.8299999999999998E-2</v>
      </c>
      <c r="Y214" s="288">
        <v>0</v>
      </c>
      <c r="Z214" s="288">
        <v>0</v>
      </c>
      <c r="AA214" s="288">
        <v>0</v>
      </c>
      <c r="AB214" s="288">
        <v>0</v>
      </c>
      <c r="AC214" s="289">
        <v>5.8299999999999998E-2</v>
      </c>
      <c r="AD214" s="289">
        <v>0</v>
      </c>
    </row>
    <row r="215" spans="1:30" ht="15" customHeight="1" x14ac:dyDescent="0.25">
      <c r="A215" s="282" t="s">
        <v>259</v>
      </c>
      <c r="B215" s="282" t="s">
        <v>259</v>
      </c>
      <c r="C215" s="282" t="s">
        <v>259</v>
      </c>
      <c r="D215" s="283" t="s">
        <v>460</v>
      </c>
      <c r="E215" s="403" t="s">
        <v>421</v>
      </c>
      <c r="F215" s="403" t="s">
        <v>422</v>
      </c>
      <c r="G215" s="284" t="s">
        <v>286</v>
      </c>
      <c r="H215" s="284" t="s">
        <v>424</v>
      </c>
      <c r="I215" s="283">
        <v>1.1000000000000001</v>
      </c>
      <c r="J215" s="284" t="s">
        <v>156</v>
      </c>
      <c r="K215" s="283" t="s">
        <v>425</v>
      </c>
      <c r="L215" s="286" t="s">
        <v>158</v>
      </c>
      <c r="M215" s="287">
        <v>2400</v>
      </c>
      <c r="N215" s="287"/>
      <c r="O215" s="287"/>
      <c r="P215" s="287"/>
      <c r="Q215" s="288">
        <v>74.8</v>
      </c>
      <c r="R215" s="288"/>
      <c r="S215" s="288"/>
      <c r="T215" s="288"/>
      <c r="U215" s="288">
        <v>0</v>
      </c>
      <c r="V215" s="289">
        <v>74.8</v>
      </c>
      <c r="W215" s="289">
        <v>0</v>
      </c>
      <c r="X215" s="288">
        <v>7.4799999999999991E-2</v>
      </c>
      <c r="Y215" s="288">
        <v>0</v>
      </c>
      <c r="Z215" s="288">
        <v>0</v>
      </c>
      <c r="AA215" s="288">
        <v>0</v>
      </c>
      <c r="AB215" s="288">
        <v>0</v>
      </c>
      <c r="AC215" s="289">
        <v>7.4799999999999991E-2</v>
      </c>
      <c r="AD215" s="289">
        <v>0</v>
      </c>
    </row>
    <row r="216" spans="1:30" ht="15" customHeight="1" x14ac:dyDescent="0.25">
      <c r="A216" s="282" t="s">
        <v>259</v>
      </c>
      <c r="B216" s="282" t="s">
        <v>259</v>
      </c>
      <c r="C216" s="282" t="s">
        <v>259</v>
      </c>
      <c r="D216" s="283" t="s">
        <v>461</v>
      </c>
      <c r="E216" s="403" t="s">
        <v>421</v>
      </c>
      <c r="F216" s="403" t="s">
        <v>422</v>
      </c>
      <c r="G216" s="284" t="s">
        <v>286</v>
      </c>
      <c r="H216" s="284" t="s">
        <v>424</v>
      </c>
      <c r="I216" s="283">
        <v>1.1000000000000001</v>
      </c>
      <c r="J216" s="284" t="s">
        <v>156</v>
      </c>
      <c r="K216" s="283" t="s">
        <v>425</v>
      </c>
      <c r="L216" s="286" t="s">
        <v>158</v>
      </c>
      <c r="M216" s="287">
        <v>2400</v>
      </c>
      <c r="N216" s="287"/>
      <c r="O216" s="287"/>
      <c r="P216" s="287"/>
      <c r="Q216" s="288">
        <v>58.2</v>
      </c>
      <c r="R216" s="288"/>
      <c r="S216" s="288"/>
      <c r="T216" s="288"/>
      <c r="U216" s="288">
        <v>0</v>
      </c>
      <c r="V216" s="289">
        <v>58.2</v>
      </c>
      <c r="W216" s="289">
        <v>0</v>
      </c>
      <c r="X216" s="288">
        <v>5.8200000000000002E-2</v>
      </c>
      <c r="Y216" s="288">
        <v>0</v>
      </c>
      <c r="Z216" s="288">
        <v>0</v>
      </c>
      <c r="AA216" s="288">
        <v>0</v>
      </c>
      <c r="AB216" s="288">
        <v>0</v>
      </c>
      <c r="AC216" s="289">
        <v>5.8200000000000002E-2</v>
      </c>
      <c r="AD216" s="289">
        <v>0</v>
      </c>
    </row>
    <row r="217" spans="1:30" ht="15" customHeight="1" x14ac:dyDescent="0.25">
      <c r="A217" s="282" t="s">
        <v>259</v>
      </c>
      <c r="B217" s="282" t="s">
        <v>259</v>
      </c>
      <c r="C217" s="282" t="s">
        <v>259</v>
      </c>
      <c r="D217" s="283" t="s">
        <v>462</v>
      </c>
      <c r="E217" s="403" t="s">
        <v>273</v>
      </c>
      <c r="F217" s="403" t="s">
        <v>274</v>
      </c>
      <c r="G217" s="284" t="s">
        <v>283</v>
      </c>
      <c r="H217" s="284" t="s">
        <v>275</v>
      </c>
      <c r="I217" s="283">
        <v>1</v>
      </c>
      <c r="J217" s="284" t="s">
        <v>156</v>
      </c>
      <c r="K217" s="283" t="s">
        <v>276</v>
      </c>
      <c r="L217" s="286" t="s">
        <v>158</v>
      </c>
      <c r="M217" s="287">
        <v>2400</v>
      </c>
      <c r="N217" s="287"/>
      <c r="O217" s="287"/>
      <c r="P217" s="287"/>
      <c r="Q217" s="288">
        <v>93.9</v>
      </c>
      <c r="R217" s="288">
        <v>93.8</v>
      </c>
      <c r="S217" s="288">
        <v>9.98E-2</v>
      </c>
      <c r="T217" s="288">
        <v>1.5799999999999999E-4</v>
      </c>
      <c r="U217" s="288">
        <v>0</v>
      </c>
      <c r="V217" s="289">
        <v>93.899957999999998</v>
      </c>
      <c r="W217" s="289">
        <v>0</v>
      </c>
      <c r="X217" s="288">
        <v>9.3900000000000011E-2</v>
      </c>
      <c r="Y217" s="288">
        <v>9.3799999999999994E-2</v>
      </c>
      <c r="Z217" s="288">
        <v>9.98E-5</v>
      </c>
      <c r="AA217" s="288">
        <v>1.5799999999999999E-7</v>
      </c>
      <c r="AB217" s="288">
        <v>0</v>
      </c>
      <c r="AC217" s="289">
        <v>9.3899957999999992E-2</v>
      </c>
      <c r="AD217" s="289">
        <v>0</v>
      </c>
    </row>
    <row r="218" spans="1:30" ht="15" customHeight="1" x14ac:dyDescent="0.25">
      <c r="A218" s="282" t="s">
        <v>259</v>
      </c>
      <c r="B218" s="282" t="s">
        <v>259</v>
      </c>
      <c r="C218" s="282" t="s">
        <v>259</v>
      </c>
      <c r="D218" s="283" t="s">
        <v>463</v>
      </c>
      <c r="E218" s="403" t="s">
        <v>262</v>
      </c>
      <c r="F218" s="403" t="s">
        <v>263</v>
      </c>
      <c r="G218" s="284" t="s">
        <v>264</v>
      </c>
      <c r="H218" s="284" t="s">
        <v>265</v>
      </c>
      <c r="I218" s="283">
        <v>1</v>
      </c>
      <c r="J218" s="284" t="s">
        <v>156</v>
      </c>
      <c r="K218" s="283" t="s">
        <v>266</v>
      </c>
      <c r="L218" s="286" t="s">
        <v>158</v>
      </c>
      <c r="M218" s="287">
        <v>2400</v>
      </c>
      <c r="N218" s="287"/>
      <c r="O218" s="287"/>
      <c r="P218" s="287"/>
      <c r="Q218" s="288">
        <v>76.099999999999994</v>
      </c>
      <c r="R218" s="288">
        <v>76</v>
      </c>
      <c r="S218" s="288">
        <v>9.7799999999999998E-2</v>
      </c>
      <c r="T218" s="288">
        <v>1.73E-4</v>
      </c>
      <c r="U218" s="288">
        <v>0</v>
      </c>
      <c r="V218" s="289">
        <v>76.09797300000001</v>
      </c>
      <c r="W218" s="289">
        <v>0</v>
      </c>
      <c r="X218" s="288">
        <v>7.6100000000000001E-2</v>
      </c>
      <c r="Y218" s="288">
        <v>7.5999999999999998E-2</v>
      </c>
      <c r="Z218" s="288">
        <v>9.7799999999999992E-5</v>
      </c>
      <c r="AA218" s="288">
        <v>1.73E-7</v>
      </c>
      <c r="AB218" s="288">
        <v>0</v>
      </c>
      <c r="AC218" s="289">
        <v>7.6097972999999999E-2</v>
      </c>
      <c r="AD218" s="289">
        <v>0</v>
      </c>
    </row>
    <row r="219" spans="1:30" ht="15" customHeight="1" x14ac:dyDescent="0.25">
      <c r="A219" s="282" t="s">
        <v>259</v>
      </c>
      <c r="B219" s="282" t="s">
        <v>259</v>
      </c>
      <c r="C219" s="282" t="s">
        <v>259</v>
      </c>
      <c r="D219" s="283" t="s">
        <v>464</v>
      </c>
      <c r="E219" s="403" t="s">
        <v>273</v>
      </c>
      <c r="F219" s="403" t="s">
        <v>274</v>
      </c>
      <c r="G219" s="284" t="s">
        <v>283</v>
      </c>
      <c r="H219" s="284" t="s">
        <v>275</v>
      </c>
      <c r="I219" s="283">
        <v>1</v>
      </c>
      <c r="J219" s="284" t="s">
        <v>156</v>
      </c>
      <c r="K219" s="283" t="s">
        <v>276</v>
      </c>
      <c r="L219" s="286" t="s">
        <v>158</v>
      </c>
      <c r="M219" s="287">
        <v>2400</v>
      </c>
      <c r="N219" s="287"/>
      <c r="O219" s="287"/>
      <c r="P219" s="287"/>
      <c r="Q219" s="288">
        <v>86.3</v>
      </c>
      <c r="R219" s="288">
        <v>86.2</v>
      </c>
      <c r="S219" s="288">
        <v>9.64E-2</v>
      </c>
      <c r="T219" s="288">
        <v>1.4200000000000001E-4</v>
      </c>
      <c r="U219" s="288">
        <v>0</v>
      </c>
      <c r="V219" s="289">
        <v>86.296542000000002</v>
      </c>
      <c r="W219" s="289">
        <v>0</v>
      </c>
      <c r="X219" s="288">
        <v>8.6300000000000002E-2</v>
      </c>
      <c r="Y219" s="288">
        <v>8.6199999999999999E-2</v>
      </c>
      <c r="Z219" s="288">
        <v>9.6399999999999999E-5</v>
      </c>
      <c r="AA219" s="288">
        <v>1.42E-7</v>
      </c>
      <c r="AB219" s="288">
        <v>0</v>
      </c>
      <c r="AC219" s="289">
        <v>8.629654199999999E-2</v>
      </c>
      <c r="AD219" s="289">
        <v>0</v>
      </c>
    </row>
    <row r="220" spans="1:30" ht="15" customHeight="1" x14ac:dyDescent="0.25">
      <c r="A220" s="282" t="s">
        <v>259</v>
      </c>
      <c r="B220" s="282" t="s">
        <v>259</v>
      </c>
      <c r="C220" s="282" t="s">
        <v>259</v>
      </c>
      <c r="D220" s="283" t="s">
        <v>465</v>
      </c>
      <c r="E220" s="403" t="s">
        <v>273</v>
      </c>
      <c r="F220" s="403" t="s">
        <v>274</v>
      </c>
      <c r="G220" s="284" t="s">
        <v>283</v>
      </c>
      <c r="H220" s="284" t="s">
        <v>275</v>
      </c>
      <c r="I220" s="283">
        <v>1</v>
      </c>
      <c r="J220" s="284" t="s">
        <v>156</v>
      </c>
      <c r="K220" s="283" t="s">
        <v>276</v>
      </c>
      <c r="L220" s="286" t="s">
        <v>158</v>
      </c>
      <c r="M220" s="287">
        <v>2400</v>
      </c>
      <c r="N220" s="287"/>
      <c r="O220" s="287"/>
      <c r="P220" s="287"/>
      <c r="Q220" s="288">
        <v>77.900000000000006</v>
      </c>
      <c r="R220" s="288">
        <v>77.8</v>
      </c>
      <c r="S220" s="288">
        <v>9.5299999999999996E-2</v>
      </c>
      <c r="T220" s="288">
        <v>1.55E-4</v>
      </c>
      <c r="U220" s="288">
        <v>0</v>
      </c>
      <c r="V220" s="289">
        <v>77.895454999999998</v>
      </c>
      <c r="W220" s="289">
        <v>0</v>
      </c>
      <c r="X220" s="288">
        <v>7.7900000000000011E-2</v>
      </c>
      <c r="Y220" s="288">
        <v>7.7799999999999994E-2</v>
      </c>
      <c r="Z220" s="288">
        <v>9.5299999999999999E-5</v>
      </c>
      <c r="AA220" s="288">
        <v>1.55E-7</v>
      </c>
      <c r="AB220" s="288">
        <v>0</v>
      </c>
      <c r="AC220" s="289">
        <v>7.7895455000000002E-2</v>
      </c>
      <c r="AD220" s="289">
        <v>0</v>
      </c>
    </row>
    <row r="221" spans="1:30" ht="15" customHeight="1" x14ac:dyDescent="0.25">
      <c r="A221" s="282" t="s">
        <v>259</v>
      </c>
      <c r="B221" s="282" t="s">
        <v>259</v>
      </c>
      <c r="C221" s="282" t="s">
        <v>259</v>
      </c>
      <c r="D221" s="283" t="s">
        <v>466</v>
      </c>
      <c r="E221" s="403" t="s">
        <v>273</v>
      </c>
      <c r="F221" s="403" t="s">
        <v>274</v>
      </c>
      <c r="G221" s="284" t="s">
        <v>281</v>
      </c>
      <c r="H221" s="284" t="s">
        <v>275</v>
      </c>
      <c r="I221" s="283">
        <v>1</v>
      </c>
      <c r="J221" s="284" t="s">
        <v>156</v>
      </c>
      <c r="K221" s="283" t="s">
        <v>276</v>
      </c>
      <c r="L221" s="286" t="s">
        <v>158</v>
      </c>
      <c r="M221" s="287">
        <v>2400</v>
      </c>
      <c r="N221" s="287"/>
      <c r="O221" s="287"/>
      <c r="P221" s="287"/>
      <c r="Q221" s="288">
        <v>61.9</v>
      </c>
      <c r="R221" s="288">
        <v>61.7</v>
      </c>
      <c r="S221" s="288">
        <v>0.19600000000000001</v>
      </c>
      <c r="T221" s="288">
        <v>8.8700000000000001E-5</v>
      </c>
      <c r="U221" s="288">
        <v>0</v>
      </c>
      <c r="V221" s="289">
        <v>61.8960887</v>
      </c>
      <c r="W221" s="289">
        <v>0</v>
      </c>
      <c r="X221" s="288">
        <v>6.1899999999999997E-2</v>
      </c>
      <c r="Y221" s="288">
        <v>6.1700000000000005E-2</v>
      </c>
      <c r="Z221" s="288">
        <v>1.9600000000000002E-4</v>
      </c>
      <c r="AA221" s="288">
        <v>8.8700000000000007E-8</v>
      </c>
      <c r="AB221" s="288">
        <v>0</v>
      </c>
      <c r="AC221" s="289">
        <v>6.1896088700000004E-2</v>
      </c>
      <c r="AD221" s="289">
        <v>0</v>
      </c>
    </row>
    <row r="222" spans="1:30" ht="15" customHeight="1" x14ac:dyDescent="0.25">
      <c r="A222" s="282" t="s">
        <v>259</v>
      </c>
      <c r="B222" s="282" t="s">
        <v>259</v>
      </c>
      <c r="C222" s="282" t="s">
        <v>259</v>
      </c>
      <c r="D222" s="283" t="s">
        <v>467</v>
      </c>
      <c r="E222" s="403" t="s">
        <v>273</v>
      </c>
      <c r="F222" s="403" t="s">
        <v>274</v>
      </c>
      <c r="G222" s="284" t="s">
        <v>281</v>
      </c>
      <c r="H222" s="284" t="s">
        <v>275</v>
      </c>
      <c r="I222" s="283">
        <v>1</v>
      </c>
      <c r="J222" s="284" t="s">
        <v>156</v>
      </c>
      <c r="K222" s="283" t="s">
        <v>276</v>
      </c>
      <c r="L222" s="286" t="s">
        <v>158</v>
      </c>
      <c r="M222" s="287">
        <v>2400</v>
      </c>
      <c r="N222" s="287"/>
      <c r="O222" s="287"/>
      <c r="P222" s="287"/>
      <c r="Q222" s="288">
        <v>60.4</v>
      </c>
      <c r="R222" s="288">
        <v>60.2</v>
      </c>
      <c r="S222" s="288">
        <v>0.19600000000000001</v>
      </c>
      <c r="T222" s="288">
        <v>9.6600000000000003E-5</v>
      </c>
      <c r="U222" s="288">
        <v>0</v>
      </c>
      <c r="V222" s="289">
        <v>60.3960966</v>
      </c>
      <c r="W222" s="289">
        <v>0</v>
      </c>
      <c r="X222" s="288">
        <v>6.0399999999999995E-2</v>
      </c>
      <c r="Y222" s="288">
        <v>6.0200000000000004E-2</v>
      </c>
      <c r="Z222" s="288">
        <v>1.9600000000000002E-4</v>
      </c>
      <c r="AA222" s="288">
        <v>9.6600000000000005E-8</v>
      </c>
      <c r="AB222" s="288">
        <v>0</v>
      </c>
      <c r="AC222" s="289">
        <v>6.0396096600000004E-2</v>
      </c>
      <c r="AD222" s="289">
        <v>0</v>
      </c>
    </row>
    <row r="223" spans="1:30" ht="15" customHeight="1" x14ac:dyDescent="0.25">
      <c r="A223" s="282" t="s">
        <v>259</v>
      </c>
      <c r="B223" s="282" t="s">
        <v>259</v>
      </c>
      <c r="C223" s="282" t="s">
        <v>259</v>
      </c>
      <c r="D223" s="283" t="s">
        <v>468</v>
      </c>
      <c r="E223" s="403" t="s">
        <v>273</v>
      </c>
      <c r="F223" s="403" t="s">
        <v>274</v>
      </c>
      <c r="G223" s="284" t="s">
        <v>264</v>
      </c>
      <c r="H223" s="284" t="s">
        <v>275</v>
      </c>
      <c r="I223" s="283">
        <v>1</v>
      </c>
      <c r="J223" s="284" t="s">
        <v>156</v>
      </c>
      <c r="K223" s="283" t="s">
        <v>276</v>
      </c>
      <c r="L223" s="286" t="s">
        <v>158</v>
      </c>
      <c r="M223" s="287">
        <v>2400</v>
      </c>
      <c r="N223" s="287"/>
      <c r="O223" s="287"/>
      <c r="P223" s="287"/>
      <c r="Q223" s="288">
        <v>94</v>
      </c>
      <c r="R223" s="288">
        <v>93.6</v>
      </c>
      <c r="S223" s="288">
        <v>0.39300000000000002</v>
      </c>
      <c r="T223" s="288">
        <v>7.3499999999999998E-4</v>
      </c>
      <c r="U223" s="288">
        <v>0</v>
      </c>
      <c r="V223" s="289">
        <v>93.993735000000001</v>
      </c>
      <c r="W223" s="289">
        <v>0</v>
      </c>
      <c r="X223" s="288">
        <v>9.4E-2</v>
      </c>
      <c r="Y223" s="288">
        <v>9.3599999999999989E-2</v>
      </c>
      <c r="Z223" s="288">
        <v>3.9300000000000001E-4</v>
      </c>
      <c r="AA223" s="288">
        <v>7.3499999999999995E-7</v>
      </c>
      <c r="AB223" s="288">
        <v>0</v>
      </c>
      <c r="AC223" s="289">
        <v>9.3993734999999995E-2</v>
      </c>
      <c r="AD223" s="289">
        <v>0</v>
      </c>
    </row>
    <row r="224" spans="1:30" ht="15" customHeight="1" x14ac:dyDescent="0.25">
      <c r="A224" s="282" t="s">
        <v>259</v>
      </c>
      <c r="B224" s="282" t="s">
        <v>259</v>
      </c>
      <c r="C224" s="282" t="s">
        <v>259</v>
      </c>
      <c r="D224" s="283" t="s">
        <v>469</v>
      </c>
      <c r="E224" s="403" t="s">
        <v>262</v>
      </c>
      <c r="F224" s="403" t="s">
        <v>263</v>
      </c>
      <c r="G224" s="284" t="s">
        <v>286</v>
      </c>
      <c r="H224" s="284" t="s">
        <v>287</v>
      </c>
      <c r="I224" s="283">
        <v>1</v>
      </c>
      <c r="J224" s="284" t="s">
        <v>156</v>
      </c>
      <c r="K224" s="283" t="s">
        <v>288</v>
      </c>
      <c r="L224" s="286" t="s">
        <v>158</v>
      </c>
      <c r="M224" s="287">
        <v>2400</v>
      </c>
      <c r="N224" s="287"/>
      <c r="O224" s="287"/>
      <c r="P224" s="287"/>
      <c r="Q224" s="288">
        <v>80.599999999999994</v>
      </c>
      <c r="R224" s="288">
        <v>80.5</v>
      </c>
      <c r="S224" s="288">
        <v>9.3700000000000006E-2</v>
      </c>
      <c r="T224" s="288">
        <v>2.14E-4</v>
      </c>
      <c r="U224" s="288">
        <v>0</v>
      </c>
      <c r="V224" s="289">
        <v>80.593913999999998</v>
      </c>
      <c r="W224" s="289">
        <v>0</v>
      </c>
      <c r="X224" s="288">
        <v>8.0599999999999991E-2</v>
      </c>
      <c r="Y224" s="288">
        <v>8.0500000000000002E-2</v>
      </c>
      <c r="Z224" s="288">
        <v>9.3700000000000001E-5</v>
      </c>
      <c r="AA224" s="288">
        <v>2.1400000000000001E-7</v>
      </c>
      <c r="AB224" s="288">
        <v>0</v>
      </c>
      <c r="AC224" s="289">
        <v>8.0593914000000003E-2</v>
      </c>
      <c r="AD224" s="289">
        <v>0</v>
      </c>
    </row>
    <row r="225" spans="1:30" ht="15" customHeight="1" x14ac:dyDescent="0.25">
      <c r="A225" s="282" t="s">
        <v>259</v>
      </c>
      <c r="B225" s="282" t="s">
        <v>259</v>
      </c>
      <c r="C225" s="282" t="s">
        <v>259</v>
      </c>
      <c r="D225" s="283" t="s">
        <v>470</v>
      </c>
      <c r="E225" s="403" t="s">
        <v>262</v>
      </c>
      <c r="F225" s="403" t="s">
        <v>263</v>
      </c>
      <c r="G225" s="284" t="s">
        <v>264</v>
      </c>
      <c r="H225" s="284" t="s">
        <v>265</v>
      </c>
      <c r="I225" s="283">
        <v>1</v>
      </c>
      <c r="J225" s="284" t="s">
        <v>156</v>
      </c>
      <c r="K225" s="283" t="s">
        <v>266</v>
      </c>
      <c r="L225" s="286" t="s">
        <v>158</v>
      </c>
      <c r="M225" s="287">
        <v>2400</v>
      </c>
      <c r="N225" s="287"/>
      <c r="O225" s="287"/>
      <c r="P225" s="287"/>
      <c r="Q225" s="288">
        <v>92.7</v>
      </c>
      <c r="R225" s="288">
        <v>92.6</v>
      </c>
      <c r="S225" s="288">
        <v>9.2200000000000004E-2</v>
      </c>
      <c r="T225" s="288">
        <v>1.8100000000000001E-4</v>
      </c>
      <c r="U225" s="288">
        <v>0</v>
      </c>
      <c r="V225" s="289">
        <v>92.692380999999997</v>
      </c>
      <c r="W225" s="289">
        <v>0</v>
      </c>
      <c r="X225" s="288">
        <v>9.2700000000000005E-2</v>
      </c>
      <c r="Y225" s="288">
        <v>9.2599999999999988E-2</v>
      </c>
      <c r="Z225" s="288">
        <v>9.2200000000000005E-5</v>
      </c>
      <c r="AA225" s="288">
        <v>1.8100000000000002E-7</v>
      </c>
      <c r="AB225" s="288">
        <v>0</v>
      </c>
      <c r="AC225" s="289">
        <v>9.269238099999999E-2</v>
      </c>
      <c r="AD225" s="289">
        <v>0</v>
      </c>
    </row>
    <row r="226" spans="1:30" ht="15" customHeight="1" x14ac:dyDescent="0.25">
      <c r="A226" s="282" t="s">
        <v>259</v>
      </c>
      <c r="B226" s="282" t="s">
        <v>259</v>
      </c>
      <c r="C226" s="282" t="s">
        <v>259</v>
      </c>
      <c r="D226" s="283" t="s">
        <v>471</v>
      </c>
      <c r="E226" s="403" t="s">
        <v>273</v>
      </c>
      <c r="F226" s="403" t="s">
        <v>274</v>
      </c>
      <c r="G226" s="284" t="s">
        <v>281</v>
      </c>
      <c r="H226" s="284" t="s">
        <v>275</v>
      </c>
      <c r="I226" s="283">
        <v>1</v>
      </c>
      <c r="J226" s="284" t="s">
        <v>156</v>
      </c>
      <c r="K226" s="283" t="s">
        <v>276</v>
      </c>
      <c r="L226" s="286" t="s">
        <v>158</v>
      </c>
      <c r="M226" s="287">
        <v>2400</v>
      </c>
      <c r="N226" s="287"/>
      <c r="O226" s="287"/>
      <c r="P226" s="287"/>
      <c r="Q226" s="288">
        <v>58.1</v>
      </c>
      <c r="R226" s="288">
        <v>57.9</v>
      </c>
      <c r="S226" s="288">
        <v>0.19500000000000001</v>
      </c>
      <c r="T226" s="288">
        <v>8.81E-5</v>
      </c>
      <c r="U226" s="288">
        <v>0</v>
      </c>
      <c r="V226" s="289">
        <v>58.095088099999998</v>
      </c>
      <c r="W226" s="289">
        <v>0</v>
      </c>
      <c r="X226" s="288">
        <v>5.8099999999999999E-2</v>
      </c>
      <c r="Y226" s="288">
        <v>5.79E-2</v>
      </c>
      <c r="Z226" s="288">
        <v>1.95E-4</v>
      </c>
      <c r="AA226" s="288">
        <v>8.8100000000000001E-8</v>
      </c>
      <c r="AB226" s="288">
        <v>0</v>
      </c>
      <c r="AC226" s="289">
        <v>5.8095088099999997E-2</v>
      </c>
      <c r="AD226" s="289">
        <v>0</v>
      </c>
    </row>
    <row r="227" spans="1:30" ht="15" customHeight="1" x14ac:dyDescent="0.25">
      <c r="A227" s="282" t="s">
        <v>259</v>
      </c>
      <c r="B227" s="282" t="s">
        <v>259</v>
      </c>
      <c r="C227" s="282" t="s">
        <v>259</v>
      </c>
      <c r="D227" s="283" t="s">
        <v>472</v>
      </c>
      <c r="E227" s="403" t="s">
        <v>262</v>
      </c>
      <c r="F227" s="403" t="s">
        <v>263</v>
      </c>
      <c r="G227" s="284" t="s">
        <v>264</v>
      </c>
      <c r="H227" s="284" t="s">
        <v>265</v>
      </c>
      <c r="I227" s="283">
        <v>1</v>
      </c>
      <c r="J227" s="284" t="s">
        <v>156</v>
      </c>
      <c r="K227" s="283" t="s">
        <v>266</v>
      </c>
      <c r="L227" s="286" t="s">
        <v>158</v>
      </c>
      <c r="M227" s="287">
        <v>2400</v>
      </c>
      <c r="N227" s="287"/>
      <c r="O227" s="287"/>
      <c r="P227" s="287"/>
      <c r="Q227" s="288">
        <v>92.1</v>
      </c>
      <c r="R227" s="288">
        <v>92</v>
      </c>
      <c r="S227" s="288">
        <v>9.1200000000000003E-2</v>
      </c>
      <c r="T227" s="288">
        <v>1.76E-4</v>
      </c>
      <c r="U227" s="288">
        <v>0</v>
      </c>
      <c r="V227" s="289">
        <v>92.091375999999997</v>
      </c>
      <c r="W227" s="289">
        <v>0</v>
      </c>
      <c r="X227" s="288">
        <v>9.2099999999999987E-2</v>
      </c>
      <c r="Y227" s="288">
        <v>9.1999999999999998E-2</v>
      </c>
      <c r="Z227" s="288">
        <v>9.1200000000000008E-5</v>
      </c>
      <c r="AA227" s="288">
        <v>1.7599999999999999E-7</v>
      </c>
      <c r="AB227" s="288">
        <v>0</v>
      </c>
      <c r="AC227" s="289">
        <v>9.2091376000000003E-2</v>
      </c>
      <c r="AD227" s="289">
        <v>0</v>
      </c>
    </row>
    <row r="228" spans="1:30" ht="15" customHeight="1" x14ac:dyDescent="0.25">
      <c r="A228" s="282" t="s">
        <v>259</v>
      </c>
      <c r="B228" s="282" t="s">
        <v>259</v>
      </c>
      <c r="C228" s="282" t="s">
        <v>259</v>
      </c>
      <c r="D228" s="283" t="s">
        <v>473</v>
      </c>
      <c r="E228" s="403" t="s">
        <v>262</v>
      </c>
      <c r="F228" s="403" t="s">
        <v>263</v>
      </c>
      <c r="G228" s="284" t="s">
        <v>264</v>
      </c>
      <c r="H228" s="284" t="s">
        <v>265</v>
      </c>
      <c r="I228" s="283">
        <v>1</v>
      </c>
      <c r="J228" s="284" t="s">
        <v>156</v>
      </c>
      <c r="K228" s="283" t="s">
        <v>266</v>
      </c>
      <c r="L228" s="286" t="s">
        <v>158</v>
      </c>
      <c r="M228" s="287">
        <v>2400</v>
      </c>
      <c r="N228" s="287"/>
      <c r="O228" s="287"/>
      <c r="P228" s="287"/>
      <c r="Q228" s="288">
        <v>95.1</v>
      </c>
      <c r="R228" s="288">
        <v>95</v>
      </c>
      <c r="S228" s="288">
        <v>8.9800000000000005E-2</v>
      </c>
      <c r="T228" s="288">
        <v>1.8000000000000001E-4</v>
      </c>
      <c r="U228" s="288">
        <v>0</v>
      </c>
      <c r="V228" s="289">
        <v>95.089979999999997</v>
      </c>
      <c r="W228" s="289">
        <v>0</v>
      </c>
      <c r="X228" s="288">
        <v>9.509999999999999E-2</v>
      </c>
      <c r="Y228" s="288">
        <v>9.5000000000000001E-2</v>
      </c>
      <c r="Z228" s="288">
        <v>8.9800000000000001E-5</v>
      </c>
      <c r="AA228" s="288">
        <v>1.8000000000000002E-7</v>
      </c>
      <c r="AB228" s="288">
        <v>0</v>
      </c>
      <c r="AC228" s="289">
        <v>9.5089980000000005E-2</v>
      </c>
      <c r="AD228" s="289">
        <v>0</v>
      </c>
    </row>
    <row r="229" spans="1:30" ht="15" customHeight="1" x14ac:dyDescent="0.25">
      <c r="A229" s="282" t="s">
        <v>259</v>
      </c>
      <c r="B229" s="282" t="s">
        <v>259</v>
      </c>
      <c r="C229" s="282" t="s">
        <v>259</v>
      </c>
      <c r="D229" s="283" t="s">
        <v>474</v>
      </c>
      <c r="E229" s="403" t="s">
        <v>262</v>
      </c>
      <c r="F229" s="403" t="s">
        <v>263</v>
      </c>
      <c r="G229" s="284" t="s">
        <v>264</v>
      </c>
      <c r="H229" s="284" t="s">
        <v>265</v>
      </c>
      <c r="I229" s="283">
        <v>1</v>
      </c>
      <c r="J229" s="284" t="s">
        <v>156</v>
      </c>
      <c r="K229" s="283" t="s">
        <v>266</v>
      </c>
      <c r="L229" s="286" t="s">
        <v>158</v>
      </c>
      <c r="M229" s="287">
        <v>2400</v>
      </c>
      <c r="N229" s="287"/>
      <c r="O229" s="287"/>
      <c r="P229" s="287"/>
      <c r="Q229" s="288">
        <v>90.5</v>
      </c>
      <c r="R229" s="288">
        <v>90.4</v>
      </c>
      <c r="S229" s="288">
        <v>9.01E-2</v>
      </c>
      <c r="T229" s="288">
        <v>1.76E-4</v>
      </c>
      <c r="U229" s="288">
        <v>0</v>
      </c>
      <c r="V229" s="289">
        <v>90.490276000000009</v>
      </c>
      <c r="W229" s="289">
        <v>0</v>
      </c>
      <c r="X229" s="288">
        <v>9.0499999999999997E-2</v>
      </c>
      <c r="Y229" s="288">
        <v>9.0400000000000008E-2</v>
      </c>
      <c r="Z229" s="288">
        <v>9.0099999999999995E-5</v>
      </c>
      <c r="AA229" s="288">
        <v>1.7599999999999999E-7</v>
      </c>
      <c r="AB229" s="288">
        <v>0</v>
      </c>
      <c r="AC229" s="289">
        <v>9.0490276000000008E-2</v>
      </c>
      <c r="AD229" s="289">
        <v>0</v>
      </c>
    </row>
    <row r="230" spans="1:30" ht="15" customHeight="1" x14ac:dyDescent="0.25">
      <c r="A230" s="282" t="s">
        <v>259</v>
      </c>
      <c r="B230" s="282" t="s">
        <v>259</v>
      </c>
      <c r="C230" s="282" t="s">
        <v>259</v>
      </c>
      <c r="D230" s="283" t="s">
        <v>475</v>
      </c>
      <c r="E230" s="403" t="s">
        <v>262</v>
      </c>
      <c r="F230" s="403" t="s">
        <v>263</v>
      </c>
      <c r="G230" s="284" t="s">
        <v>264</v>
      </c>
      <c r="H230" s="284" t="s">
        <v>265</v>
      </c>
      <c r="I230" s="283">
        <v>1</v>
      </c>
      <c r="J230" s="284" t="s">
        <v>156</v>
      </c>
      <c r="K230" s="283" t="s">
        <v>266</v>
      </c>
      <c r="L230" s="286" t="s">
        <v>158</v>
      </c>
      <c r="M230" s="287">
        <v>2400</v>
      </c>
      <c r="N230" s="287"/>
      <c r="O230" s="287"/>
      <c r="P230" s="287"/>
      <c r="Q230" s="288">
        <v>97</v>
      </c>
      <c r="R230" s="288">
        <v>96.9</v>
      </c>
      <c r="S230" s="288">
        <v>8.8999999999999996E-2</v>
      </c>
      <c r="T230" s="288">
        <v>1.76E-4</v>
      </c>
      <c r="U230" s="288">
        <v>0</v>
      </c>
      <c r="V230" s="289">
        <v>96.989176</v>
      </c>
      <c r="W230" s="289">
        <v>0</v>
      </c>
      <c r="X230" s="288">
        <v>9.7000000000000003E-2</v>
      </c>
      <c r="Y230" s="288">
        <v>9.69E-2</v>
      </c>
      <c r="Z230" s="288">
        <v>8.8999999999999995E-5</v>
      </c>
      <c r="AA230" s="288">
        <v>1.7599999999999999E-7</v>
      </c>
      <c r="AB230" s="288">
        <v>0</v>
      </c>
      <c r="AC230" s="289">
        <v>9.698917600000001E-2</v>
      </c>
      <c r="AD230" s="289">
        <v>0</v>
      </c>
    </row>
    <row r="231" spans="1:30" ht="15" customHeight="1" x14ac:dyDescent="0.25">
      <c r="A231" s="282" t="s">
        <v>259</v>
      </c>
      <c r="B231" s="282" t="s">
        <v>259</v>
      </c>
      <c r="C231" s="282" t="s">
        <v>259</v>
      </c>
      <c r="D231" s="283" t="s">
        <v>476</v>
      </c>
      <c r="E231" s="403" t="s">
        <v>273</v>
      </c>
      <c r="F231" s="403" t="s">
        <v>274</v>
      </c>
      <c r="G231" s="284" t="s">
        <v>283</v>
      </c>
      <c r="H231" s="284" t="s">
        <v>275</v>
      </c>
      <c r="I231" s="283">
        <v>1</v>
      </c>
      <c r="J231" s="284" t="s">
        <v>156</v>
      </c>
      <c r="K231" s="283" t="s">
        <v>276</v>
      </c>
      <c r="L231" s="286" t="s">
        <v>158</v>
      </c>
      <c r="M231" s="287">
        <v>2400</v>
      </c>
      <c r="N231" s="287"/>
      <c r="O231" s="287"/>
      <c r="P231" s="287"/>
      <c r="Q231" s="288">
        <v>87.5</v>
      </c>
      <c r="R231" s="288">
        <v>87.4</v>
      </c>
      <c r="S231" s="288">
        <v>0.09</v>
      </c>
      <c r="T231" s="288">
        <v>1.4200000000000001E-4</v>
      </c>
      <c r="U231" s="288">
        <v>0</v>
      </c>
      <c r="V231" s="289">
        <v>87.490142000000006</v>
      </c>
      <c r="W231" s="289">
        <v>0</v>
      </c>
      <c r="X231" s="288">
        <v>8.7499999999999994E-2</v>
      </c>
      <c r="Y231" s="288">
        <v>8.7400000000000005E-2</v>
      </c>
      <c r="Z231" s="288">
        <v>8.9999999999999992E-5</v>
      </c>
      <c r="AA231" s="288">
        <v>1.42E-7</v>
      </c>
      <c r="AB231" s="288">
        <v>0</v>
      </c>
      <c r="AC231" s="289">
        <v>8.7490142000000007E-2</v>
      </c>
      <c r="AD231" s="289">
        <v>0</v>
      </c>
    </row>
    <row r="232" spans="1:30" ht="15" customHeight="1" x14ac:dyDescent="0.25">
      <c r="A232" s="282" t="s">
        <v>259</v>
      </c>
      <c r="B232" s="282" t="s">
        <v>259</v>
      </c>
      <c r="C232" s="282" t="s">
        <v>259</v>
      </c>
      <c r="D232" s="283" t="s">
        <v>477</v>
      </c>
      <c r="E232" s="403" t="s">
        <v>273</v>
      </c>
      <c r="F232" s="403" t="s">
        <v>274</v>
      </c>
      <c r="G232" s="284" t="s">
        <v>283</v>
      </c>
      <c r="H232" s="284" t="s">
        <v>275</v>
      </c>
      <c r="I232" s="283">
        <v>1</v>
      </c>
      <c r="J232" s="284" t="s">
        <v>156</v>
      </c>
      <c r="K232" s="283" t="s">
        <v>276</v>
      </c>
      <c r="L232" s="286" t="s">
        <v>158</v>
      </c>
      <c r="M232" s="287">
        <v>2400</v>
      </c>
      <c r="N232" s="287"/>
      <c r="O232" s="287"/>
      <c r="P232" s="287"/>
      <c r="Q232" s="288">
        <v>78.2</v>
      </c>
      <c r="R232" s="288">
        <v>78.099999999999994</v>
      </c>
      <c r="S232" s="288">
        <v>9.0200000000000002E-2</v>
      </c>
      <c r="T232" s="288">
        <v>1.34E-4</v>
      </c>
      <c r="U232" s="288">
        <v>0</v>
      </c>
      <c r="V232" s="289">
        <v>78.190333999999993</v>
      </c>
      <c r="W232" s="289">
        <v>0</v>
      </c>
      <c r="X232" s="288">
        <v>7.8200000000000006E-2</v>
      </c>
      <c r="Y232" s="288">
        <v>7.8099999999999989E-2</v>
      </c>
      <c r="Z232" s="288">
        <v>9.0199999999999997E-5</v>
      </c>
      <c r="AA232" s="288">
        <v>1.3400000000000001E-7</v>
      </c>
      <c r="AB232" s="288">
        <v>0</v>
      </c>
      <c r="AC232" s="289">
        <v>7.8190333999999986E-2</v>
      </c>
      <c r="AD232" s="289">
        <v>0</v>
      </c>
    </row>
    <row r="233" spans="1:30" ht="15" customHeight="1" x14ac:dyDescent="0.25">
      <c r="A233" s="282" t="s">
        <v>259</v>
      </c>
      <c r="B233" s="282" t="s">
        <v>259</v>
      </c>
      <c r="C233" s="282" t="s">
        <v>259</v>
      </c>
      <c r="D233" s="283" t="s">
        <v>478</v>
      </c>
      <c r="E233" s="403" t="s">
        <v>262</v>
      </c>
      <c r="F233" s="403" t="s">
        <v>263</v>
      </c>
      <c r="G233" s="284" t="s">
        <v>286</v>
      </c>
      <c r="H233" s="284" t="s">
        <v>287</v>
      </c>
      <c r="I233" s="283">
        <v>1</v>
      </c>
      <c r="J233" s="284" t="s">
        <v>156</v>
      </c>
      <c r="K233" s="283" t="s">
        <v>288</v>
      </c>
      <c r="L233" s="286" t="s">
        <v>158</v>
      </c>
      <c r="M233" s="287">
        <v>2400</v>
      </c>
      <c r="N233" s="287"/>
      <c r="O233" s="287"/>
      <c r="P233" s="287"/>
      <c r="Q233" s="288">
        <v>78.400000000000006</v>
      </c>
      <c r="R233" s="288">
        <v>78.3</v>
      </c>
      <c r="S233" s="288">
        <v>8.8800000000000004E-2</v>
      </c>
      <c r="T233" s="288">
        <v>2.3900000000000001E-4</v>
      </c>
      <c r="U233" s="288">
        <v>0</v>
      </c>
      <c r="V233" s="289">
        <v>78.389038999999997</v>
      </c>
      <c r="W233" s="289">
        <v>0</v>
      </c>
      <c r="X233" s="288">
        <v>7.8400000000000011E-2</v>
      </c>
      <c r="Y233" s="288">
        <v>7.8299999999999995E-2</v>
      </c>
      <c r="Z233" s="288">
        <v>8.8800000000000004E-5</v>
      </c>
      <c r="AA233" s="288">
        <v>2.3900000000000001E-7</v>
      </c>
      <c r="AB233" s="288">
        <v>0</v>
      </c>
      <c r="AC233" s="289">
        <v>7.8389038999999994E-2</v>
      </c>
      <c r="AD233" s="289">
        <v>0</v>
      </c>
    </row>
    <row r="234" spans="1:30" ht="15" customHeight="1" x14ac:dyDescent="0.25">
      <c r="A234" s="282" t="s">
        <v>259</v>
      </c>
      <c r="B234" s="282" t="s">
        <v>259</v>
      </c>
      <c r="C234" s="282" t="s">
        <v>259</v>
      </c>
      <c r="D234" s="283" t="s">
        <v>479</v>
      </c>
      <c r="E234" s="403" t="s">
        <v>262</v>
      </c>
      <c r="F234" s="403" t="s">
        <v>263</v>
      </c>
      <c r="G234" s="284" t="s">
        <v>264</v>
      </c>
      <c r="H234" s="284" t="s">
        <v>265</v>
      </c>
      <c r="I234" s="283">
        <v>1</v>
      </c>
      <c r="J234" s="284" t="s">
        <v>156</v>
      </c>
      <c r="K234" s="283" t="s">
        <v>266</v>
      </c>
      <c r="L234" s="286" t="s">
        <v>158</v>
      </c>
      <c r="M234" s="287">
        <v>2400</v>
      </c>
      <c r="N234" s="287"/>
      <c r="O234" s="287"/>
      <c r="P234" s="287"/>
      <c r="Q234" s="288">
        <v>95.4</v>
      </c>
      <c r="R234" s="288">
        <v>95.3</v>
      </c>
      <c r="S234" s="288">
        <v>8.4599999999999995E-2</v>
      </c>
      <c r="T234" s="288">
        <v>1.84E-4</v>
      </c>
      <c r="U234" s="288">
        <v>0</v>
      </c>
      <c r="V234" s="289">
        <v>95.384783999999996</v>
      </c>
      <c r="W234" s="289">
        <v>0</v>
      </c>
      <c r="X234" s="288">
        <v>9.5400000000000013E-2</v>
      </c>
      <c r="Y234" s="288">
        <v>9.5299999999999996E-2</v>
      </c>
      <c r="Z234" s="288">
        <v>8.4599999999999996E-5</v>
      </c>
      <c r="AA234" s="288">
        <v>1.8400000000000001E-7</v>
      </c>
      <c r="AB234" s="288">
        <v>0</v>
      </c>
      <c r="AC234" s="289">
        <v>9.5384784E-2</v>
      </c>
      <c r="AD234" s="289">
        <v>0</v>
      </c>
    </row>
    <row r="235" spans="1:30" ht="15" customHeight="1" x14ac:dyDescent="0.25">
      <c r="A235" s="282" t="s">
        <v>259</v>
      </c>
      <c r="B235" s="282" t="s">
        <v>259</v>
      </c>
      <c r="C235" s="282" t="s">
        <v>259</v>
      </c>
      <c r="D235" s="283" t="s">
        <v>480</v>
      </c>
      <c r="E235" s="403" t="s">
        <v>262</v>
      </c>
      <c r="F235" s="403" t="s">
        <v>263</v>
      </c>
      <c r="G235" s="284" t="s">
        <v>264</v>
      </c>
      <c r="H235" s="284" t="s">
        <v>265</v>
      </c>
      <c r="I235" s="283">
        <v>1</v>
      </c>
      <c r="J235" s="284" t="s">
        <v>156</v>
      </c>
      <c r="K235" s="283" t="s">
        <v>266</v>
      </c>
      <c r="L235" s="286" t="s">
        <v>158</v>
      </c>
      <c r="M235" s="287">
        <v>2400</v>
      </c>
      <c r="N235" s="287"/>
      <c r="O235" s="287"/>
      <c r="P235" s="287"/>
      <c r="Q235" s="288">
        <v>95</v>
      </c>
      <c r="R235" s="288">
        <v>94.9</v>
      </c>
      <c r="S235" s="288">
        <v>8.4400000000000003E-2</v>
      </c>
      <c r="T235" s="288">
        <v>1.8100000000000001E-4</v>
      </c>
      <c r="U235" s="288">
        <v>0</v>
      </c>
      <c r="V235" s="289">
        <v>94.984581000000006</v>
      </c>
      <c r="W235" s="289">
        <v>0</v>
      </c>
      <c r="X235" s="288">
        <v>9.5000000000000001E-2</v>
      </c>
      <c r="Y235" s="288">
        <v>9.4900000000000012E-2</v>
      </c>
      <c r="Z235" s="288">
        <v>8.4400000000000005E-5</v>
      </c>
      <c r="AA235" s="288">
        <v>1.8100000000000002E-7</v>
      </c>
      <c r="AB235" s="288">
        <v>0</v>
      </c>
      <c r="AC235" s="289">
        <v>9.4984581000000012E-2</v>
      </c>
      <c r="AD235" s="289">
        <v>0</v>
      </c>
    </row>
    <row r="236" spans="1:30" ht="15" customHeight="1" x14ac:dyDescent="0.25">
      <c r="A236" s="282" t="s">
        <v>259</v>
      </c>
      <c r="B236" s="282" t="s">
        <v>259</v>
      </c>
      <c r="C236" s="282" t="s">
        <v>259</v>
      </c>
      <c r="D236" s="283" t="s">
        <v>481</v>
      </c>
      <c r="E236" s="403" t="s">
        <v>262</v>
      </c>
      <c r="F236" s="403" t="s">
        <v>263</v>
      </c>
      <c r="G236" s="284" t="s">
        <v>264</v>
      </c>
      <c r="H236" s="284" t="s">
        <v>265</v>
      </c>
      <c r="I236" s="283">
        <v>1</v>
      </c>
      <c r="J236" s="284" t="s">
        <v>156</v>
      </c>
      <c r="K236" s="283" t="s">
        <v>266</v>
      </c>
      <c r="L236" s="286" t="s">
        <v>158</v>
      </c>
      <c r="M236" s="287">
        <v>2400</v>
      </c>
      <c r="N236" s="287"/>
      <c r="O236" s="287"/>
      <c r="P236" s="287"/>
      <c r="Q236" s="288">
        <v>84.7</v>
      </c>
      <c r="R236" s="288">
        <v>84.6</v>
      </c>
      <c r="S236" s="288">
        <v>8.5800000000000001E-2</v>
      </c>
      <c r="T236" s="288">
        <v>1.73E-4</v>
      </c>
      <c r="U236" s="288">
        <v>0</v>
      </c>
      <c r="V236" s="289">
        <v>84.685973000000004</v>
      </c>
      <c r="W236" s="289">
        <v>0</v>
      </c>
      <c r="X236" s="288">
        <v>8.4699999999999998E-2</v>
      </c>
      <c r="Y236" s="288">
        <v>8.4599999999999995E-2</v>
      </c>
      <c r="Z236" s="288">
        <v>8.5799999999999998E-5</v>
      </c>
      <c r="AA236" s="288">
        <v>1.73E-7</v>
      </c>
      <c r="AB236" s="288">
        <v>0</v>
      </c>
      <c r="AC236" s="289">
        <v>8.4685972999999998E-2</v>
      </c>
      <c r="AD236" s="289">
        <v>0</v>
      </c>
    </row>
    <row r="237" spans="1:30" ht="15" customHeight="1" x14ac:dyDescent="0.25">
      <c r="A237" s="282" t="s">
        <v>259</v>
      </c>
      <c r="B237" s="282" t="s">
        <v>259</v>
      </c>
      <c r="C237" s="282" t="s">
        <v>259</v>
      </c>
      <c r="D237" s="283" t="s">
        <v>482</v>
      </c>
      <c r="E237" s="403" t="s">
        <v>262</v>
      </c>
      <c r="F237" s="403" t="s">
        <v>263</v>
      </c>
      <c r="G237" s="284" t="s">
        <v>286</v>
      </c>
      <c r="H237" s="284" t="s">
        <v>287</v>
      </c>
      <c r="I237" s="283">
        <v>1</v>
      </c>
      <c r="J237" s="284" t="s">
        <v>156</v>
      </c>
      <c r="K237" s="283" t="s">
        <v>288</v>
      </c>
      <c r="L237" s="286" t="s">
        <v>158</v>
      </c>
      <c r="M237" s="287">
        <v>2400</v>
      </c>
      <c r="N237" s="287"/>
      <c r="O237" s="287"/>
      <c r="P237" s="287"/>
      <c r="Q237" s="288">
        <v>83.9</v>
      </c>
      <c r="R237" s="288">
        <v>83.8</v>
      </c>
      <c r="S237" s="288">
        <v>8.5300000000000001E-2</v>
      </c>
      <c r="T237" s="288">
        <v>3.19E-4</v>
      </c>
      <c r="U237" s="288">
        <v>0</v>
      </c>
      <c r="V237" s="289">
        <v>83.885619000000005</v>
      </c>
      <c r="W237" s="289">
        <v>0</v>
      </c>
      <c r="X237" s="288">
        <v>8.3900000000000002E-2</v>
      </c>
      <c r="Y237" s="288">
        <v>8.3799999999999999E-2</v>
      </c>
      <c r="Z237" s="288">
        <v>8.53E-5</v>
      </c>
      <c r="AA237" s="288">
        <v>3.1899999999999998E-7</v>
      </c>
      <c r="AB237" s="288">
        <v>0</v>
      </c>
      <c r="AC237" s="289">
        <v>8.3885618999999995E-2</v>
      </c>
      <c r="AD237" s="289">
        <v>0</v>
      </c>
    </row>
    <row r="238" spans="1:30" ht="15" customHeight="1" x14ac:dyDescent="0.25">
      <c r="A238" s="282" t="s">
        <v>259</v>
      </c>
      <c r="B238" s="282" t="s">
        <v>259</v>
      </c>
      <c r="C238" s="282" t="s">
        <v>259</v>
      </c>
      <c r="D238" s="283" t="s">
        <v>483</v>
      </c>
      <c r="E238" s="403" t="s">
        <v>273</v>
      </c>
      <c r="F238" s="403" t="s">
        <v>274</v>
      </c>
      <c r="G238" s="284" t="s">
        <v>283</v>
      </c>
      <c r="H238" s="284" t="s">
        <v>275</v>
      </c>
      <c r="I238" s="283">
        <v>1</v>
      </c>
      <c r="J238" s="284" t="s">
        <v>156</v>
      </c>
      <c r="K238" s="283" t="s">
        <v>276</v>
      </c>
      <c r="L238" s="286" t="s">
        <v>158</v>
      </c>
      <c r="M238" s="287">
        <v>2400</v>
      </c>
      <c r="N238" s="287"/>
      <c r="O238" s="287"/>
      <c r="P238" s="287"/>
      <c r="Q238" s="288">
        <v>83.5</v>
      </c>
      <c r="R238" s="288">
        <v>83.4</v>
      </c>
      <c r="S238" s="288">
        <v>8.4199999999999997E-2</v>
      </c>
      <c r="T238" s="288">
        <v>1.3200000000000001E-4</v>
      </c>
      <c r="U238" s="288">
        <v>0</v>
      </c>
      <c r="V238" s="289">
        <v>83.484331999999995</v>
      </c>
      <c r="W238" s="289">
        <v>0</v>
      </c>
      <c r="X238" s="288">
        <v>8.3500000000000005E-2</v>
      </c>
      <c r="Y238" s="288">
        <v>8.3400000000000002E-2</v>
      </c>
      <c r="Z238" s="288">
        <v>8.42E-5</v>
      </c>
      <c r="AA238" s="288">
        <v>1.3200000000000002E-7</v>
      </c>
      <c r="AB238" s="288">
        <v>0</v>
      </c>
      <c r="AC238" s="289">
        <v>8.3484332000000008E-2</v>
      </c>
      <c r="AD238" s="289">
        <v>0</v>
      </c>
    </row>
    <row r="239" spans="1:30" ht="15" customHeight="1" x14ac:dyDescent="0.25">
      <c r="A239" s="282" t="s">
        <v>259</v>
      </c>
      <c r="B239" s="282" t="s">
        <v>259</v>
      </c>
      <c r="C239" s="282" t="s">
        <v>259</v>
      </c>
      <c r="D239" s="283" t="s">
        <v>484</v>
      </c>
      <c r="E239" s="403" t="s">
        <v>262</v>
      </c>
      <c r="F239" s="403" t="s">
        <v>263</v>
      </c>
      <c r="G239" s="284" t="s">
        <v>286</v>
      </c>
      <c r="H239" s="284" t="s">
        <v>287</v>
      </c>
      <c r="I239" s="283">
        <v>1</v>
      </c>
      <c r="J239" s="284" t="s">
        <v>156</v>
      </c>
      <c r="K239" s="283" t="s">
        <v>288</v>
      </c>
      <c r="L239" s="286" t="s">
        <v>158</v>
      </c>
      <c r="M239" s="287">
        <v>2400</v>
      </c>
      <c r="N239" s="287"/>
      <c r="O239" s="287"/>
      <c r="P239" s="287"/>
      <c r="Q239" s="288">
        <v>87.2</v>
      </c>
      <c r="R239" s="288">
        <v>87.1</v>
      </c>
      <c r="S239" s="288">
        <v>8.3199999999999996E-2</v>
      </c>
      <c r="T239" s="288">
        <v>2.9500000000000001E-4</v>
      </c>
      <c r="U239" s="288">
        <v>0</v>
      </c>
      <c r="V239" s="289">
        <v>87.183494999999994</v>
      </c>
      <c r="W239" s="289">
        <v>0</v>
      </c>
      <c r="X239" s="288">
        <v>8.72E-2</v>
      </c>
      <c r="Y239" s="288">
        <v>8.7099999999999997E-2</v>
      </c>
      <c r="Z239" s="288">
        <v>8.3199999999999989E-5</v>
      </c>
      <c r="AA239" s="288">
        <v>2.9500000000000003E-7</v>
      </c>
      <c r="AB239" s="288">
        <v>0</v>
      </c>
      <c r="AC239" s="289">
        <v>8.7183495E-2</v>
      </c>
      <c r="AD239" s="289">
        <v>0</v>
      </c>
    </row>
    <row r="240" spans="1:30" ht="15" customHeight="1" x14ac:dyDescent="0.25">
      <c r="A240" s="282" t="s">
        <v>259</v>
      </c>
      <c r="B240" s="282" t="s">
        <v>259</v>
      </c>
      <c r="C240" s="282" t="s">
        <v>259</v>
      </c>
      <c r="D240" s="283" t="s">
        <v>485</v>
      </c>
      <c r="E240" s="403" t="s">
        <v>273</v>
      </c>
      <c r="F240" s="403" t="s">
        <v>274</v>
      </c>
      <c r="G240" s="284" t="s">
        <v>283</v>
      </c>
      <c r="H240" s="284" t="s">
        <v>275</v>
      </c>
      <c r="I240" s="283">
        <v>1</v>
      </c>
      <c r="J240" s="284" t="s">
        <v>156</v>
      </c>
      <c r="K240" s="283" t="s">
        <v>276</v>
      </c>
      <c r="L240" s="286" t="s">
        <v>158</v>
      </c>
      <c r="M240" s="287">
        <v>2400</v>
      </c>
      <c r="N240" s="287"/>
      <c r="O240" s="287"/>
      <c r="P240" s="287"/>
      <c r="Q240" s="288">
        <v>51.9</v>
      </c>
      <c r="R240" s="288">
        <v>51.3</v>
      </c>
      <c r="S240" s="288">
        <v>0.58799999999999997</v>
      </c>
      <c r="T240" s="288">
        <v>1.2199999999999999E-3</v>
      </c>
      <c r="U240" s="288">
        <v>0</v>
      </c>
      <c r="V240" s="289">
        <v>51.889219999999995</v>
      </c>
      <c r="W240" s="289">
        <v>0</v>
      </c>
      <c r="X240" s="288">
        <v>5.1900000000000002E-2</v>
      </c>
      <c r="Y240" s="288">
        <v>5.1299999999999998E-2</v>
      </c>
      <c r="Z240" s="288">
        <v>5.8799999999999998E-4</v>
      </c>
      <c r="AA240" s="288">
        <v>1.22E-6</v>
      </c>
      <c r="AB240" s="288">
        <v>0</v>
      </c>
      <c r="AC240" s="289">
        <v>5.188922E-2</v>
      </c>
      <c r="AD240" s="289">
        <v>0</v>
      </c>
    </row>
    <row r="241" spans="1:30" ht="15" customHeight="1" x14ac:dyDescent="0.25">
      <c r="A241" s="282" t="s">
        <v>259</v>
      </c>
      <c r="B241" s="282" t="s">
        <v>259</v>
      </c>
      <c r="C241" s="282" t="s">
        <v>259</v>
      </c>
      <c r="D241" s="283" t="s">
        <v>486</v>
      </c>
      <c r="E241" s="403" t="s">
        <v>262</v>
      </c>
      <c r="F241" s="403" t="s">
        <v>263</v>
      </c>
      <c r="G241" s="284" t="s">
        <v>286</v>
      </c>
      <c r="H241" s="284" t="s">
        <v>287</v>
      </c>
      <c r="I241" s="283">
        <v>1</v>
      </c>
      <c r="J241" s="284" t="s">
        <v>156</v>
      </c>
      <c r="K241" s="283" t="s">
        <v>288</v>
      </c>
      <c r="L241" s="286" t="s">
        <v>158</v>
      </c>
      <c r="M241" s="287">
        <v>2400</v>
      </c>
      <c r="N241" s="287"/>
      <c r="O241" s="287"/>
      <c r="P241" s="287"/>
      <c r="Q241" s="288">
        <v>80.099999999999994</v>
      </c>
      <c r="R241" s="288">
        <v>80</v>
      </c>
      <c r="S241" s="288">
        <v>8.2299999999999998E-2</v>
      </c>
      <c r="T241" s="288">
        <v>2.9599999999999998E-4</v>
      </c>
      <c r="U241" s="288">
        <v>0</v>
      </c>
      <c r="V241" s="289">
        <v>80.082596000000009</v>
      </c>
      <c r="W241" s="289">
        <v>0</v>
      </c>
      <c r="X241" s="288">
        <v>8.0099999999999991E-2</v>
      </c>
      <c r="Y241" s="288">
        <v>0.08</v>
      </c>
      <c r="Z241" s="288">
        <v>8.2299999999999995E-5</v>
      </c>
      <c r="AA241" s="288">
        <v>2.96E-7</v>
      </c>
      <c r="AB241" s="288">
        <v>0</v>
      </c>
      <c r="AC241" s="289">
        <v>8.0082595999999992E-2</v>
      </c>
      <c r="AD241" s="289">
        <v>0</v>
      </c>
    </row>
    <row r="242" spans="1:30" ht="15" customHeight="1" x14ac:dyDescent="0.25">
      <c r="A242" s="282" t="s">
        <v>259</v>
      </c>
      <c r="B242" s="282" t="s">
        <v>259</v>
      </c>
      <c r="C242" s="282" t="s">
        <v>259</v>
      </c>
      <c r="D242" s="283" t="s">
        <v>487</v>
      </c>
      <c r="E242" s="403" t="s">
        <v>273</v>
      </c>
      <c r="F242" s="403" t="s">
        <v>274</v>
      </c>
      <c r="G242" s="284" t="s">
        <v>283</v>
      </c>
      <c r="H242" s="284" t="s">
        <v>275</v>
      </c>
      <c r="I242" s="283">
        <v>1</v>
      </c>
      <c r="J242" s="284" t="s">
        <v>156</v>
      </c>
      <c r="K242" s="283" t="s">
        <v>276</v>
      </c>
      <c r="L242" s="286" t="s">
        <v>158</v>
      </c>
      <c r="M242" s="287">
        <v>2400</v>
      </c>
      <c r="N242" s="287"/>
      <c r="O242" s="287"/>
      <c r="P242" s="287"/>
      <c r="Q242" s="288">
        <v>68.8</v>
      </c>
      <c r="R242" s="288">
        <v>68.7</v>
      </c>
      <c r="S242" s="288">
        <v>8.3900000000000002E-2</v>
      </c>
      <c r="T242" s="288">
        <v>1.27E-4</v>
      </c>
      <c r="U242" s="288">
        <v>0</v>
      </c>
      <c r="V242" s="289">
        <v>68.784027000000009</v>
      </c>
      <c r="W242" s="289">
        <v>0</v>
      </c>
      <c r="X242" s="288">
        <v>6.88E-2</v>
      </c>
      <c r="Y242" s="288">
        <v>6.8699999999999997E-2</v>
      </c>
      <c r="Z242" s="288">
        <v>8.3900000000000006E-5</v>
      </c>
      <c r="AA242" s="288">
        <v>1.2699999999999999E-7</v>
      </c>
      <c r="AB242" s="288">
        <v>0</v>
      </c>
      <c r="AC242" s="289">
        <v>6.8784026999999998E-2</v>
      </c>
      <c r="AD242" s="289">
        <v>0</v>
      </c>
    </row>
    <row r="243" spans="1:30" ht="15" customHeight="1" x14ac:dyDescent="0.25">
      <c r="A243" s="282" t="s">
        <v>259</v>
      </c>
      <c r="B243" s="282" t="s">
        <v>259</v>
      </c>
      <c r="C243" s="282" t="s">
        <v>259</v>
      </c>
      <c r="D243" s="283" t="s">
        <v>488</v>
      </c>
      <c r="E243" s="403" t="s">
        <v>273</v>
      </c>
      <c r="F243" s="403" t="s">
        <v>274</v>
      </c>
      <c r="G243" s="284" t="s">
        <v>286</v>
      </c>
      <c r="H243" s="284" t="s">
        <v>275</v>
      </c>
      <c r="I243" s="283">
        <v>1</v>
      </c>
      <c r="J243" s="284" t="s">
        <v>156</v>
      </c>
      <c r="K243" s="283" t="s">
        <v>276</v>
      </c>
      <c r="L243" s="286" t="s">
        <v>158</v>
      </c>
      <c r="M243" s="287">
        <v>2400</v>
      </c>
      <c r="N243" s="287"/>
      <c r="O243" s="287"/>
      <c r="P243" s="287"/>
      <c r="Q243" s="288">
        <v>74.400000000000006</v>
      </c>
      <c r="R243" s="288">
        <v>74.3</v>
      </c>
      <c r="S243" s="288">
        <v>8.1000000000000003E-2</v>
      </c>
      <c r="T243" s="288">
        <v>9.5500000000000004E-5</v>
      </c>
      <c r="U243" s="288">
        <v>0</v>
      </c>
      <c r="V243" s="289">
        <v>74.381095500000001</v>
      </c>
      <c r="W243" s="289">
        <v>0</v>
      </c>
      <c r="X243" s="288">
        <v>7.4400000000000008E-2</v>
      </c>
      <c r="Y243" s="288">
        <v>7.4299999999999991E-2</v>
      </c>
      <c r="Z243" s="288">
        <v>8.1000000000000004E-5</v>
      </c>
      <c r="AA243" s="288">
        <v>9.5500000000000002E-8</v>
      </c>
      <c r="AB243" s="288">
        <v>0</v>
      </c>
      <c r="AC243" s="289">
        <v>7.4381095499999994E-2</v>
      </c>
      <c r="AD243" s="289">
        <v>0</v>
      </c>
    </row>
    <row r="244" spans="1:30" ht="15" customHeight="1" x14ac:dyDescent="0.25">
      <c r="A244" s="282" t="s">
        <v>259</v>
      </c>
      <c r="B244" s="282" t="s">
        <v>259</v>
      </c>
      <c r="C244" s="282" t="s">
        <v>259</v>
      </c>
      <c r="D244" s="283" t="s">
        <v>489</v>
      </c>
      <c r="E244" s="403" t="s">
        <v>273</v>
      </c>
      <c r="F244" s="403" t="s">
        <v>274</v>
      </c>
      <c r="G244" s="284" t="s">
        <v>286</v>
      </c>
      <c r="H244" s="284" t="s">
        <v>275</v>
      </c>
      <c r="I244" s="283">
        <v>1</v>
      </c>
      <c r="J244" s="284" t="s">
        <v>156</v>
      </c>
      <c r="K244" s="283" t="s">
        <v>276</v>
      </c>
      <c r="L244" s="286" t="s">
        <v>158</v>
      </c>
      <c r="M244" s="287">
        <v>2400</v>
      </c>
      <c r="N244" s="287"/>
      <c r="O244" s="287"/>
      <c r="P244" s="287"/>
      <c r="Q244" s="288">
        <v>73.8</v>
      </c>
      <c r="R244" s="288">
        <v>73.7</v>
      </c>
      <c r="S244" s="288">
        <v>8.1100000000000005E-2</v>
      </c>
      <c r="T244" s="288">
        <v>9.0799999999999998E-5</v>
      </c>
      <c r="U244" s="288">
        <v>0</v>
      </c>
      <c r="V244" s="289">
        <v>73.781190800000005</v>
      </c>
      <c r="W244" s="289">
        <v>0</v>
      </c>
      <c r="X244" s="288">
        <v>7.3799999999999991E-2</v>
      </c>
      <c r="Y244" s="288">
        <v>7.3700000000000002E-2</v>
      </c>
      <c r="Z244" s="288">
        <v>8.1100000000000006E-5</v>
      </c>
      <c r="AA244" s="288">
        <v>9.0799999999999993E-8</v>
      </c>
      <c r="AB244" s="288">
        <v>0</v>
      </c>
      <c r="AC244" s="289">
        <v>7.3781190800000007E-2</v>
      </c>
      <c r="AD244" s="289">
        <v>0</v>
      </c>
    </row>
    <row r="245" spans="1:30" ht="15" customHeight="1" x14ac:dyDescent="0.25">
      <c r="A245" s="282" t="s">
        <v>259</v>
      </c>
      <c r="B245" s="282" t="s">
        <v>259</v>
      </c>
      <c r="C245" s="282" t="s">
        <v>259</v>
      </c>
      <c r="D245" s="283" t="s">
        <v>490</v>
      </c>
      <c r="E245" s="403" t="s">
        <v>262</v>
      </c>
      <c r="F245" s="403" t="s">
        <v>263</v>
      </c>
      <c r="G245" s="284" t="s">
        <v>264</v>
      </c>
      <c r="H245" s="284" t="s">
        <v>265</v>
      </c>
      <c r="I245" s="283">
        <v>1</v>
      </c>
      <c r="J245" s="284" t="s">
        <v>156</v>
      </c>
      <c r="K245" s="283" t="s">
        <v>266</v>
      </c>
      <c r="L245" s="286" t="s">
        <v>158</v>
      </c>
      <c r="M245" s="287">
        <v>2400</v>
      </c>
      <c r="N245" s="287"/>
      <c r="O245" s="287"/>
      <c r="P245" s="287"/>
      <c r="Q245" s="288">
        <v>92.8</v>
      </c>
      <c r="R245" s="288">
        <v>92.7</v>
      </c>
      <c r="S245" s="288">
        <v>7.3200000000000001E-2</v>
      </c>
      <c r="T245" s="288">
        <v>1.47E-4</v>
      </c>
      <c r="U245" s="288">
        <v>0</v>
      </c>
      <c r="V245" s="289">
        <v>92.773347000000001</v>
      </c>
      <c r="W245" s="289">
        <v>0</v>
      </c>
      <c r="X245" s="288">
        <v>9.2799999999999994E-2</v>
      </c>
      <c r="Y245" s="288">
        <v>9.2700000000000005E-2</v>
      </c>
      <c r="Z245" s="288">
        <v>7.3200000000000004E-5</v>
      </c>
      <c r="AA245" s="288">
        <v>1.4700000000000001E-7</v>
      </c>
      <c r="AB245" s="288">
        <v>0</v>
      </c>
      <c r="AC245" s="289">
        <v>9.2773347000000006E-2</v>
      </c>
      <c r="AD245" s="289">
        <v>0</v>
      </c>
    </row>
    <row r="246" spans="1:30" ht="15" customHeight="1" x14ac:dyDescent="0.25">
      <c r="A246" s="282" t="s">
        <v>259</v>
      </c>
      <c r="B246" s="282" t="s">
        <v>259</v>
      </c>
      <c r="C246" s="282" t="s">
        <v>259</v>
      </c>
      <c r="D246" s="283" t="s">
        <v>491</v>
      </c>
      <c r="E246" s="403" t="s">
        <v>273</v>
      </c>
      <c r="F246" s="403" t="s">
        <v>274</v>
      </c>
      <c r="G246" s="284" t="s">
        <v>286</v>
      </c>
      <c r="H246" s="284" t="s">
        <v>275</v>
      </c>
      <c r="I246" s="283">
        <v>1</v>
      </c>
      <c r="J246" s="284" t="s">
        <v>156</v>
      </c>
      <c r="K246" s="283" t="s">
        <v>276</v>
      </c>
      <c r="L246" s="286" t="s">
        <v>158</v>
      </c>
      <c r="M246" s="287">
        <v>2400</v>
      </c>
      <c r="N246" s="287"/>
      <c r="O246" s="287"/>
      <c r="P246" s="287"/>
      <c r="Q246" s="288">
        <v>78.3</v>
      </c>
      <c r="R246" s="288">
        <v>78.2</v>
      </c>
      <c r="S246" s="288">
        <v>7.5700000000000003E-2</v>
      </c>
      <c r="T246" s="288">
        <v>1.0399999999999999E-4</v>
      </c>
      <c r="U246" s="288">
        <v>0</v>
      </c>
      <c r="V246" s="289">
        <v>78.275803999999994</v>
      </c>
      <c r="W246" s="289">
        <v>0</v>
      </c>
      <c r="X246" s="288">
        <v>7.8299999999999995E-2</v>
      </c>
      <c r="Y246" s="288">
        <v>7.8200000000000006E-2</v>
      </c>
      <c r="Z246" s="288">
        <v>7.5699999999999997E-5</v>
      </c>
      <c r="AA246" s="288">
        <v>1.0399999999999999E-7</v>
      </c>
      <c r="AB246" s="288">
        <v>0</v>
      </c>
      <c r="AC246" s="289">
        <v>7.8275804000000004E-2</v>
      </c>
      <c r="AD246" s="289">
        <v>0</v>
      </c>
    </row>
    <row r="247" spans="1:30" ht="15" customHeight="1" x14ac:dyDescent="0.25">
      <c r="A247" s="282" t="s">
        <v>259</v>
      </c>
      <c r="B247" s="282" t="s">
        <v>259</v>
      </c>
      <c r="C247" s="282" t="s">
        <v>259</v>
      </c>
      <c r="D247" s="283" t="s">
        <v>492</v>
      </c>
      <c r="E247" s="403" t="s">
        <v>273</v>
      </c>
      <c r="F247" s="403" t="s">
        <v>274</v>
      </c>
      <c r="G247" s="284" t="s">
        <v>286</v>
      </c>
      <c r="H247" s="284" t="s">
        <v>275</v>
      </c>
      <c r="I247" s="283">
        <v>1</v>
      </c>
      <c r="J247" s="284" t="s">
        <v>156</v>
      </c>
      <c r="K247" s="283" t="s">
        <v>276</v>
      </c>
      <c r="L247" s="286" t="s">
        <v>158</v>
      </c>
      <c r="M247" s="287">
        <v>2400</v>
      </c>
      <c r="N247" s="287"/>
      <c r="O247" s="287"/>
      <c r="P247" s="287"/>
      <c r="Q247" s="288">
        <v>76.400000000000006</v>
      </c>
      <c r="R247" s="288">
        <v>76.3</v>
      </c>
      <c r="S247" s="288">
        <v>7.4700000000000003E-2</v>
      </c>
      <c r="T247" s="288">
        <v>9.7100000000000002E-5</v>
      </c>
      <c r="U247" s="288">
        <v>0</v>
      </c>
      <c r="V247" s="289">
        <v>76.374797100000009</v>
      </c>
      <c r="W247" s="289">
        <v>0</v>
      </c>
      <c r="X247" s="288">
        <v>7.640000000000001E-2</v>
      </c>
      <c r="Y247" s="288">
        <v>7.6299999999999993E-2</v>
      </c>
      <c r="Z247" s="288">
        <v>7.47E-5</v>
      </c>
      <c r="AA247" s="288">
        <v>9.7100000000000003E-8</v>
      </c>
      <c r="AB247" s="288">
        <v>0</v>
      </c>
      <c r="AC247" s="289">
        <v>7.6374797099999989E-2</v>
      </c>
      <c r="AD247" s="289">
        <v>0</v>
      </c>
    </row>
    <row r="248" spans="1:30" ht="15" customHeight="1" x14ac:dyDescent="0.25">
      <c r="A248" s="282" t="s">
        <v>259</v>
      </c>
      <c r="B248" s="282" t="s">
        <v>259</v>
      </c>
      <c r="C248" s="282" t="s">
        <v>259</v>
      </c>
      <c r="D248" s="283" t="s">
        <v>493</v>
      </c>
      <c r="E248" s="403" t="s">
        <v>273</v>
      </c>
      <c r="F248" s="403" t="s">
        <v>274</v>
      </c>
      <c r="G248" s="284" t="s">
        <v>264</v>
      </c>
      <c r="H248" s="284" t="s">
        <v>275</v>
      </c>
      <c r="I248" s="283">
        <v>1</v>
      </c>
      <c r="J248" s="284" t="s">
        <v>156</v>
      </c>
      <c r="K248" s="283" t="s">
        <v>276</v>
      </c>
      <c r="L248" s="286" t="s">
        <v>158</v>
      </c>
      <c r="M248" s="287">
        <v>2400</v>
      </c>
      <c r="N248" s="287"/>
      <c r="O248" s="287"/>
      <c r="P248" s="287"/>
      <c r="Q248" s="288">
        <v>82.1</v>
      </c>
      <c r="R248" s="288">
        <v>82</v>
      </c>
      <c r="S248" s="288">
        <v>7.2099999999999997E-2</v>
      </c>
      <c r="T248" s="288">
        <v>1.03E-4</v>
      </c>
      <c r="U248" s="288">
        <v>0</v>
      </c>
      <c r="V248" s="289">
        <v>82.072203000000002</v>
      </c>
      <c r="W248" s="289">
        <v>0</v>
      </c>
      <c r="X248" s="288">
        <v>8.2099999999999992E-2</v>
      </c>
      <c r="Y248" s="288">
        <v>8.2000000000000003E-2</v>
      </c>
      <c r="Z248" s="288">
        <v>7.2099999999999991E-5</v>
      </c>
      <c r="AA248" s="288">
        <v>1.03E-7</v>
      </c>
      <c r="AB248" s="288">
        <v>0</v>
      </c>
      <c r="AC248" s="289">
        <v>8.207220300000001E-2</v>
      </c>
      <c r="AD248" s="289">
        <v>0</v>
      </c>
    </row>
    <row r="249" spans="1:30" ht="15" customHeight="1" x14ac:dyDescent="0.25">
      <c r="A249" s="282" t="s">
        <v>259</v>
      </c>
      <c r="B249" s="282" t="s">
        <v>259</v>
      </c>
      <c r="C249" s="282" t="s">
        <v>259</v>
      </c>
      <c r="D249" s="283" t="s">
        <v>494</v>
      </c>
      <c r="E249" s="403" t="s">
        <v>273</v>
      </c>
      <c r="F249" s="403" t="s">
        <v>274</v>
      </c>
      <c r="G249" s="284" t="s">
        <v>286</v>
      </c>
      <c r="H249" s="284" t="s">
        <v>275</v>
      </c>
      <c r="I249" s="283">
        <v>1</v>
      </c>
      <c r="J249" s="284" t="s">
        <v>156</v>
      </c>
      <c r="K249" s="283" t="s">
        <v>276</v>
      </c>
      <c r="L249" s="286" t="s">
        <v>158</v>
      </c>
      <c r="M249" s="287">
        <v>2400</v>
      </c>
      <c r="N249" s="287"/>
      <c r="O249" s="287"/>
      <c r="P249" s="287"/>
      <c r="Q249" s="288">
        <v>77.400000000000006</v>
      </c>
      <c r="R249" s="288">
        <v>77.3</v>
      </c>
      <c r="S249" s="288">
        <v>7.2300000000000003E-2</v>
      </c>
      <c r="T249" s="288">
        <v>1.0399999999999999E-4</v>
      </c>
      <c r="U249" s="288">
        <v>0</v>
      </c>
      <c r="V249" s="289">
        <v>77.372403999999989</v>
      </c>
      <c r="W249" s="289">
        <v>0</v>
      </c>
      <c r="X249" s="288">
        <v>7.740000000000001E-2</v>
      </c>
      <c r="Y249" s="288">
        <v>7.7299999999999994E-2</v>
      </c>
      <c r="Z249" s="288">
        <v>7.2300000000000009E-5</v>
      </c>
      <c r="AA249" s="288">
        <v>1.0399999999999999E-7</v>
      </c>
      <c r="AB249" s="288">
        <v>0</v>
      </c>
      <c r="AC249" s="289">
        <v>7.7372403999999992E-2</v>
      </c>
      <c r="AD249" s="289">
        <v>0</v>
      </c>
    </row>
    <row r="250" spans="1:30" ht="15" customHeight="1" x14ac:dyDescent="0.25">
      <c r="A250" s="282" t="s">
        <v>259</v>
      </c>
      <c r="B250" s="282" t="s">
        <v>259</v>
      </c>
      <c r="C250" s="282" t="s">
        <v>259</v>
      </c>
      <c r="D250" s="283" t="s">
        <v>495</v>
      </c>
      <c r="E250" s="403" t="s">
        <v>273</v>
      </c>
      <c r="F250" s="403" t="s">
        <v>274</v>
      </c>
      <c r="G250" s="284" t="s">
        <v>283</v>
      </c>
      <c r="H250" s="284" t="s">
        <v>275</v>
      </c>
      <c r="I250" s="283">
        <v>1</v>
      </c>
      <c r="J250" s="284" t="s">
        <v>156</v>
      </c>
      <c r="K250" s="283" t="s">
        <v>276</v>
      </c>
      <c r="L250" s="286" t="s">
        <v>158</v>
      </c>
      <c r="M250" s="287">
        <v>2400</v>
      </c>
      <c r="N250" s="287"/>
      <c r="O250" s="287"/>
      <c r="P250" s="287"/>
      <c r="Q250" s="288">
        <v>91.4</v>
      </c>
      <c r="R250" s="288">
        <v>91.3</v>
      </c>
      <c r="S250" s="288">
        <v>6.59E-2</v>
      </c>
      <c r="T250" s="288">
        <v>1.25E-4</v>
      </c>
      <c r="U250" s="288">
        <v>0</v>
      </c>
      <c r="V250" s="289">
        <v>91.366024999999993</v>
      </c>
      <c r="W250" s="289">
        <v>0</v>
      </c>
      <c r="X250" s="288">
        <v>9.1400000000000009E-2</v>
      </c>
      <c r="Y250" s="288">
        <v>9.1299999999999992E-2</v>
      </c>
      <c r="Z250" s="288">
        <v>6.5900000000000003E-5</v>
      </c>
      <c r="AA250" s="288">
        <v>1.2499999999999999E-7</v>
      </c>
      <c r="AB250" s="288">
        <v>0</v>
      </c>
      <c r="AC250" s="289">
        <v>9.136602499999999E-2</v>
      </c>
      <c r="AD250" s="289">
        <v>0</v>
      </c>
    </row>
    <row r="251" spans="1:30" ht="15" customHeight="1" x14ac:dyDescent="0.25">
      <c r="A251" s="282" t="s">
        <v>259</v>
      </c>
      <c r="B251" s="282" t="s">
        <v>259</v>
      </c>
      <c r="C251" s="282" t="s">
        <v>259</v>
      </c>
      <c r="D251" s="283" t="s">
        <v>496</v>
      </c>
      <c r="E251" s="403" t="s">
        <v>262</v>
      </c>
      <c r="F251" s="403" t="s">
        <v>263</v>
      </c>
      <c r="G251" s="284" t="s">
        <v>264</v>
      </c>
      <c r="H251" s="284" t="s">
        <v>265</v>
      </c>
      <c r="I251" s="283">
        <v>1</v>
      </c>
      <c r="J251" s="284" t="s">
        <v>156</v>
      </c>
      <c r="K251" s="283" t="s">
        <v>266</v>
      </c>
      <c r="L251" s="286" t="s">
        <v>158</v>
      </c>
      <c r="M251" s="287">
        <v>2400</v>
      </c>
      <c r="N251" s="287"/>
      <c r="O251" s="287"/>
      <c r="P251" s="287"/>
      <c r="Q251" s="288">
        <v>97.3</v>
      </c>
      <c r="R251" s="288">
        <v>97.2</v>
      </c>
      <c r="S251" s="288">
        <v>6.2700000000000006E-2</v>
      </c>
      <c r="T251" s="288">
        <v>1.47E-4</v>
      </c>
      <c r="U251" s="288">
        <v>0</v>
      </c>
      <c r="V251" s="289">
        <v>97.262847000000008</v>
      </c>
      <c r="W251" s="289">
        <v>0</v>
      </c>
      <c r="X251" s="288">
        <v>9.7299999999999998E-2</v>
      </c>
      <c r="Y251" s="288">
        <v>9.7200000000000009E-2</v>
      </c>
      <c r="Z251" s="288">
        <v>6.2700000000000006E-5</v>
      </c>
      <c r="AA251" s="288">
        <v>1.4700000000000001E-7</v>
      </c>
      <c r="AB251" s="288">
        <v>0</v>
      </c>
      <c r="AC251" s="289">
        <v>9.7262847000000013E-2</v>
      </c>
      <c r="AD251" s="289">
        <v>0</v>
      </c>
    </row>
    <row r="252" spans="1:30" ht="15" customHeight="1" x14ac:dyDescent="0.25">
      <c r="A252" s="282" t="s">
        <v>259</v>
      </c>
      <c r="B252" s="282" t="s">
        <v>259</v>
      </c>
      <c r="C252" s="282" t="s">
        <v>259</v>
      </c>
      <c r="D252" s="283" t="s">
        <v>497</v>
      </c>
      <c r="E252" s="403" t="s">
        <v>273</v>
      </c>
      <c r="F252" s="403" t="s">
        <v>274</v>
      </c>
      <c r="G252" s="284" t="s">
        <v>283</v>
      </c>
      <c r="H252" s="284" t="s">
        <v>275</v>
      </c>
      <c r="I252" s="283">
        <v>1</v>
      </c>
      <c r="J252" s="284" t="s">
        <v>156</v>
      </c>
      <c r="K252" s="283" t="s">
        <v>276</v>
      </c>
      <c r="L252" s="286" t="s">
        <v>158</v>
      </c>
      <c r="M252" s="287">
        <v>2400</v>
      </c>
      <c r="N252" s="287"/>
      <c r="O252" s="287"/>
      <c r="P252" s="287"/>
      <c r="Q252" s="288">
        <v>89.3</v>
      </c>
      <c r="R252" s="288">
        <v>89.2</v>
      </c>
      <c r="S252" s="288">
        <v>6.5500000000000003E-2</v>
      </c>
      <c r="T252" s="288">
        <v>1.2999999999999999E-4</v>
      </c>
      <c r="U252" s="288">
        <v>0</v>
      </c>
      <c r="V252" s="289">
        <v>89.265630000000002</v>
      </c>
      <c r="W252" s="289">
        <v>0</v>
      </c>
      <c r="X252" s="288">
        <v>8.929999999999999E-2</v>
      </c>
      <c r="Y252" s="288">
        <v>8.9200000000000002E-2</v>
      </c>
      <c r="Z252" s="288">
        <v>6.5500000000000006E-5</v>
      </c>
      <c r="AA252" s="288">
        <v>1.3E-7</v>
      </c>
      <c r="AB252" s="288">
        <v>0</v>
      </c>
      <c r="AC252" s="289">
        <v>8.9265629999999999E-2</v>
      </c>
      <c r="AD252" s="289">
        <v>0</v>
      </c>
    </row>
    <row r="253" spans="1:30" ht="15" customHeight="1" x14ac:dyDescent="0.25">
      <c r="A253" s="282" t="s">
        <v>259</v>
      </c>
      <c r="B253" s="282" t="s">
        <v>259</v>
      </c>
      <c r="C253" s="282" t="s">
        <v>259</v>
      </c>
      <c r="D253" s="283" t="s">
        <v>498</v>
      </c>
      <c r="E253" s="403" t="s">
        <v>273</v>
      </c>
      <c r="F253" s="403" t="s">
        <v>274</v>
      </c>
      <c r="G253" s="284" t="s">
        <v>299</v>
      </c>
      <c r="H253" s="284" t="s">
        <v>275</v>
      </c>
      <c r="I253" s="283">
        <v>1</v>
      </c>
      <c r="J253" s="284" t="s">
        <v>156</v>
      </c>
      <c r="K253" s="283" t="s">
        <v>276</v>
      </c>
      <c r="L253" s="286" t="s">
        <v>158</v>
      </c>
      <c r="M253" s="287">
        <v>2400</v>
      </c>
      <c r="N253" s="287"/>
      <c r="O253" s="287"/>
      <c r="P253" s="287"/>
      <c r="Q253" s="288">
        <v>71</v>
      </c>
      <c r="R253" s="288">
        <v>70.900000000000006</v>
      </c>
      <c r="S253" s="288">
        <v>7.1900000000000006E-2</v>
      </c>
      <c r="T253" s="288">
        <v>1.1400000000000001E-4</v>
      </c>
      <c r="U253" s="288">
        <v>0</v>
      </c>
      <c r="V253" s="289">
        <v>70.972014000000001</v>
      </c>
      <c r="W253" s="289">
        <v>0</v>
      </c>
      <c r="X253" s="288">
        <v>7.0999999999999994E-2</v>
      </c>
      <c r="Y253" s="288">
        <v>7.0900000000000005E-2</v>
      </c>
      <c r="Z253" s="288">
        <v>7.1899999999999999E-5</v>
      </c>
      <c r="AA253" s="288">
        <v>1.14E-7</v>
      </c>
      <c r="AB253" s="288">
        <v>0</v>
      </c>
      <c r="AC253" s="289">
        <v>7.0972014E-2</v>
      </c>
      <c r="AD253" s="289">
        <v>0</v>
      </c>
    </row>
    <row r="254" spans="1:30" ht="15" customHeight="1" x14ac:dyDescent="0.25">
      <c r="A254" s="282" t="s">
        <v>259</v>
      </c>
      <c r="B254" s="282" t="s">
        <v>259</v>
      </c>
      <c r="C254" s="282" t="s">
        <v>259</v>
      </c>
      <c r="D254" s="283" t="s">
        <v>499</v>
      </c>
      <c r="E254" s="403" t="s">
        <v>273</v>
      </c>
      <c r="F254" s="403" t="s">
        <v>274</v>
      </c>
      <c r="G254" s="284" t="s">
        <v>299</v>
      </c>
      <c r="H254" s="284" t="s">
        <v>275</v>
      </c>
      <c r="I254" s="283">
        <v>1</v>
      </c>
      <c r="J254" s="284" t="s">
        <v>156</v>
      </c>
      <c r="K254" s="283" t="s">
        <v>276</v>
      </c>
      <c r="L254" s="286" t="s">
        <v>158</v>
      </c>
      <c r="M254" s="287">
        <v>2400</v>
      </c>
      <c r="N254" s="287"/>
      <c r="O254" s="287"/>
      <c r="P254" s="287"/>
      <c r="Q254" s="288">
        <v>72.400000000000006</v>
      </c>
      <c r="R254" s="288">
        <v>72.3</v>
      </c>
      <c r="S254" s="288">
        <v>7.0999999999999994E-2</v>
      </c>
      <c r="T254" s="288">
        <v>1.13E-4</v>
      </c>
      <c r="U254" s="288">
        <v>0</v>
      </c>
      <c r="V254" s="289">
        <v>72.371112999999994</v>
      </c>
      <c r="W254" s="289">
        <v>0</v>
      </c>
      <c r="X254" s="288">
        <v>7.2400000000000006E-2</v>
      </c>
      <c r="Y254" s="288">
        <v>7.2300000000000003E-2</v>
      </c>
      <c r="Z254" s="288">
        <v>7.0999999999999991E-5</v>
      </c>
      <c r="AA254" s="288">
        <v>1.1299999999999999E-7</v>
      </c>
      <c r="AB254" s="288">
        <v>0</v>
      </c>
      <c r="AC254" s="289">
        <v>7.2371113000000001E-2</v>
      </c>
      <c r="AD254" s="289">
        <v>0</v>
      </c>
    </row>
    <row r="255" spans="1:30" ht="15" customHeight="1" x14ac:dyDescent="0.25">
      <c r="A255" s="282" t="s">
        <v>259</v>
      </c>
      <c r="B255" s="282" t="s">
        <v>259</v>
      </c>
      <c r="C255" s="282" t="s">
        <v>259</v>
      </c>
      <c r="D255" s="283" t="s">
        <v>500</v>
      </c>
      <c r="E255" s="403" t="s">
        <v>273</v>
      </c>
      <c r="F255" s="403" t="s">
        <v>274</v>
      </c>
      <c r="G255" s="284" t="s">
        <v>264</v>
      </c>
      <c r="H255" s="284" t="s">
        <v>275</v>
      </c>
      <c r="I255" s="283">
        <v>1</v>
      </c>
      <c r="J255" s="284" t="s">
        <v>156</v>
      </c>
      <c r="K255" s="283" t="s">
        <v>276</v>
      </c>
      <c r="L255" s="286" t="s">
        <v>158</v>
      </c>
      <c r="M255" s="287">
        <v>2400</v>
      </c>
      <c r="N255" s="287"/>
      <c r="O255" s="287"/>
      <c r="P255" s="287"/>
      <c r="Q255" s="288">
        <v>79</v>
      </c>
      <c r="R255" s="288">
        <v>78.900000000000006</v>
      </c>
      <c r="S255" s="288">
        <v>6.7199999999999996E-2</v>
      </c>
      <c r="T255" s="288">
        <v>9.4300000000000002E-5</v>
      </c>
      <c r="U255" s="288">
        <v>0</v>
      </c>
      <c r="V255" s="289">
        <v>78.967294300000006</v>
      </c>
      <c r="W255" s="289">
        <v>0</v>
      </c>
      <c r="X255" s="288">
        <v>7.9000000000000001E-2</v>
      </c>
      <c r="Y255" s="288">
        <v>7.8900000000000012E-2</v>
      </c>
      <c r="Z255" s="288">
        <v>6.7199999999999994E-5</v>
      </c>
      <c r="AA255" s="288">
        <v>9.4300000000000004E-8</v>
      </c>
      <c r="AB255" s="288">
        <v>0</v>
      </c>
      <c r="AC255" s="289">
        <v>7.8967294300000018E-2</v>
      </c>
      <c r="AD255" s="289">
        <v>0</v>
      </c>
    </row>
    <row r="256" spans="1:30" ht="15" customHeight="1" x14ac:dyDescent="0.25">
      <c r="A256" s="282" t="s">
        <v>259</v>
      </c>
      <c r="B256" s="282" t="s">
        <v>259</v>
      </c>
      <c r="C256" s="282" t="s">
        <v>259</v>
      </c>
      <c r="D256" s="283" t="s">
        <v>501</v>
      </c>
      <c r="E256" s="403" t="s">
        <v>273</v>
      </c>
      <c r="F256" s="403" t="s">
        <v>274</v>
      </c>
      <c r="G256" s="284" t="s">
        <v>283</v>
      </c>
      <c r="H256" s="284" t="s">
        <v>275</v>
      </c>
      <c r="I256" s="283">
        <v>1</v>
      </c>
      <c r="J256" s="284" t="s">
        <v>156</v>
      </c>
      <c r="K256" s="283" t="s">
        <v>276</v>
      </c>
      <c r="L256" s="286" t="s">
        <v>158</v>
      </c>
      <c r="M256" s="287">
        <v>2400</v>
      </c>
      <c r="N256" s="287"/>
      <c r="O256" s="287"/>
      <c r="P256" s="287"/>
      <c r="Q256" s="288">
        <v>86.4</v>
      </c>
      <c r="R256" s="288">
        <v>86.3</v>
      </c>
      <c r="S256" s="288">
        <v>6.4000000000000001E-2</v>
      </c>
      <c r="T256" s="288">
        <v>1.11E-4</v>
      </c>
      <c r="U256" s="288">
        <v>0</v>
      </c>
      <c r="V256" s="289">
        <v>86.364110999999994</v>
      </c>
      <c r="W256" s="289">
        <v>0</v>
      </c>
      <c r="X256" s="288">
        <v>8.6400000000000005E-2</v>
      </c>
      <c r="Y256" s="288">
        <v>8.6300000000000002E-2</v>
      </c>
      <c r="Z256" s="288">
        <v>6.3999999999999997E-5</v>
      </c>
      <c r="AA256" s="288">
        <v>1.11E-7</v>
      </c>
      <c r="AB256" s="288">
        <v>0</v>
      </c>
      <c r="AC256" s="289">
        <v>8.6364110999999993E-2</v>
      </c>
      <c r="AD256" s="289">
        <v>0</v>
      </c>
    </row>
    <row r="257" spans="1:30" ht="15" customHeight="1" x14ac:dyDescent="0.25">
      <c r="A257" s="282" t="s">
        <v>259</v>
      </c>
      <c r="B257" s="282" t="s">
        <v>259</v>
      </c>
      <c r="C257" s="282" t="s">
        <v>259</v>
      </c>
      <c r="D257" s="283" t="s">
        <v>502</v>
      </c>
      <c r="E257" s="403" t="s">
        <v>273</v>
      </c>
      <c r="F257" s="403" t="s">
        <v>274</v>
      </c>
      <c r="G257" s="284" t="s">
        <v>264</v>
      </c>
      <c r="H257" s="284" t="s">
        <v>275</v>
      </c>
      <c r="I257" s="283">
        <v>1</v>
      </c>
      <c r="J257" s="284" t="s">
        <v>156</v>
      </c>
      <c r="K257" s="283" t="s">
        <v>276</v>
      </c>
      <c r="L257" s="286" t="s">
        <v>158</v>
      </c>
      <c r="M257" s="287">
        <v>2400</v>
      </c>
      <c r="N257" s="287"/>
      <c r="O257" s="287"/>
      <c r="P257" s="287"/>
      <c r="Q257" s="288">
        <v>80.900000000000006</v>
      </c>
      <c r="R257" s="288">
        <v>80.8</v>
      </c>
      <c r="S257" s="288">
        <v>6.6100000000000006E-2</v>
      </c>
      <c r="T257" s="288">
        <v>1.03E-4</v>
      </c>
      <c r="U257" s="288">
        <v>0</v>
      </c>
      <c r="V257" s="289">
        <v>80.866202999999999</v>
      </c>
      <c r="W257" s="289">
        <v>0</v>
      </c>
      <c r="X257" s="288">
        <v>8.09E-2</v>
      </c>
      <c r="Y257" s="288">
        <v>8.0799999999999997E-2</v>
      </c>
      <c r="Z257" s="288">
        <v>6.6100000000000007E-5</v>
      </c>
      <c r="AA257" s="288">
        <v>1.03E-7</v>
      </c>
      <c r="AB257" s="288">
        <v>0</v>
      </c>
      <c r="AC257" s="289">
        <v>8.0866202999999998E-2</v>
      </c>
      <c r="AD257" s="289">
        <v>0</v>
      </c>
    </row>
    <row r="258" spans="1:30" ht="15" customHeight="1" x14ac:dyDescent="0.25">
      <c r="A258" s="282" t="s">
        <v>259</v>
      </c>
      <c r="B258" s="282" t="s">
        <v>259</v>
      </c>
      <c r="C258" s="282" t="s">
        <v>259</v>
      </c>
      <c r="D258" s="283" t="s">
        <v>503</v>
      </c>
      <c r="E258" s="403" t="s">
        <v>273</v>
      </c>
      <c r="F258" s="403" t="s">
        <v>274</v>
      </c>
      <c r="G258" s="284" t="s">
        <v>283</v>
      </c>
      <c r="H258" s="284" t="s">
        <v>275</v>
      </c>
      <c r="I258" s="283">
        <v>1</v>
      </c>
      <c r="J258" s="284" t="s">
        <v>156</v>
      </c>
      <c r="K258" s="283" t="s">
        <v>276</v>
      </c>
      <c r="L258" s="286" t="s">
        <v>158</v>
      </c>
      <c r="M258" s="287">
        <v>2400</v>
      </c>
      <c r="N258" s="287"/>
      <c r="O258" s="287"/>
      <c r="P258" s="287"/>
      <c r="Q258" s="288">
        <v>83.3</v>
      </c>
      <c r="R258" s="288">
        <v>83.2</v>
      </c>
      <c r="S258" s="288">
        <v>6.4100000000000004E-2</v>
      </c>
      <c r="T258" s="288">
        <v>1.1400000000000001E-4</v>
      </c>
      <c r="U258" s="288">
        <v>0</v>
      </c>
      <c r="V258" s="289">
        <v>83.264213999999996</v>
      </c>
      <c r="W258" s="289">
        <v>0</v>
      </c>
      <c r="X258" s="288">
        <v>8.3299999999999999E-2</v>
      </c>
      <c r="Y258" s="288">
        <v>8.3199999999999996E-2</v>
      </c>
      <c r="Z258" s="288">
        <v>6.41E-5</v>
      </c>
      <c r="AA258" s="288">
        <v>1.14E-7</v>
      </c>
      <c r="AB258" s="288">
        <v>0</v>
      </c>
      <c r="AC258" s="289">
        <v>8.3264213999999989E-2</v>
      </c>
      <c r="AD258" s="289">
        <v>0</v>
      </c>
    </row>
    <row r="259" spans="1:30" ht="15" customHeight="1" x14ac:dyDescent="0.25">
      <c r="A259" s="282" t="s">
        <v>259</v>
      </c>
      <c r="B259" s="282" t="s">
        <v>259</v>
      </c>
      <c r="C259" s="282" t="s">
        <v>259</v>
      </c>
      <c r="D259" s="283" t="s">
        <v>504</v>
      </c>
      <c r="E259" s="403" t="s">
        <v>262</v>
      </c>
      <c r="F259" s="403" t="s">
        <v>263</v>
      </c>
      <c r="G259" s="284" t="s">
        <v>286</v>
      </c>
      <c r="H259" s="284" t="s">
        <v>287</v>
      </c>
      <c r="I259" s="283">
        <v>1</v>
      </c>
      <c r="J259" s="284" t="s">
        <v>156</v>
      </c>
      <c r="K259" s="283" t="s">
        <v>288</v>
      </c>
      <c r="L259" s="286" t="s">
        <v>158</v>
      </c>
      <c r="M259" s="287">
        <v>2400</v>
      </c>
      <c r="N259" s="287"/>
      <c r="O259" s="287"/>
      <c r="P259" s="287"/>
      <c r="Q259" s="288">
        <v>73.5</v>
      </c>
      <c r="R259" s="288">
        <v>73.400000000000006</v>
      </c>
      <c r="S259" s="288">
        <v>6.8000000000000005E-2</v>
      </c>
      <c r="T259" s="288">
        <v>2.3599999999999999E-4</v>
      </c>
      <c r="U259" s="288">
        <v>0</v>
      </c>
      <c r="V259" s="289">
        <v>73.468236000000005</v>
      </c>
      <c r="W259" s="289">
        <v>0</v>
      </c>
      <c r="X259" s="288">
        <v>7.3499999999999996E-2</v>
      </c>
      <c r="Y259" s="288">
        <v>7.3400000000000007E-2</v>
      </c>
      <c r="Z259" s="288">
        <v>6.7999999999999999E-5</v>
      </c>
      <c r="AA259" s="288">
        <v>2.36E-7</v>
      </c>
      <c r="AB259" s="288">
        <v>0</v>
      </c>
      <c r="AC259" s="289">
        <v>7.3468236000000006E-2</v>
      </c>
      <c r="AD259" s="289">
        <v>0</v>
      </c>
    </row>
    <row r="260" spans="1:30" ht="15" customHeight="1" x14ac:dyDescent="0.25">
      <c r="A260" s="282" t="s">
        <v>259</v>
      </c>
      <c r="B260" s="282" t="s">
        <v>259</v>
      </c>
      <c r="C260" s="282" t="s">
        <v>259</v>
      </c>
      <c r="D260" s="283" t="s">
        <v>505</v>
      </c>
      <c r="E260" s="403" t="s">
        <v>273</v>
      </c>
      <c r="F260" s="403" t="s">
        <v>274</v>
      </c>
      <c r="G260" s="284" t="s">
        <v>264</v>
      </c>
      <c r="H260" s="284" t="s">
        <v>275</v>
      </c>
      <c r="I260" s="283">
        <v>1</v>
      </c>
      <c r="J260" s="284" t="s">
        <v>156</v>
      </c>
      <c r="K260" s="283" t="s">
        <v>276</v>
      </c>
      <c r="L260" s="286" t="s">
        <v>158</v>
      </c>
      <c r="M260" s="287">
        <v>2400</v>
      </c>
      <c r="N260" s="287"/>
      <c r="O260" s="287"/>
      <c r="P260" s="287"/>
      <c r="Q260" s="288">
        <v>76.599999999999994</v>
      </c>
      <c r="R260" s="288">
        <v>76.5</v>
      </c>
      <c r="S260" s="288">
        <v>6.4399999999999999E-2</v>
      </c>
      <c r="T260" s="288">
        <v>8.7499999999999999E-5</v>
      </c>
      <c r="U260" s="288">
        <v>0</v>
      </c>
      <c r="V260" s="289">
        <v>76.564487500000013</v>
      </c>
      <c r="W260" s="289">
        <v>0</v>
      </c>
      <c r="X260" s="288">
        <v>7.6599999999999988E-2</v>
      </c>
      <c r="Y260" s="288">
        <v>7.6499999999999999E-2</v>
      </c>
      <c r="Z260" s="288">
        <v>6.4399999999999993E-5</v>
      </c>
      <c r="AA260" s="288">
        <v>8.7499999999999996E-8</v>
      </c>
      <c r="AB260" s="288">
        <v>0</v>
      </c>
      <c r="AC260" s="289">
        <v>7.65644875E-2</v>
      </c>
      <c r="AD260" s="289">
        <v>0</v>
      </c>
    </row>
    <row r="261" spans="1:30" ht="15" customHeight="1" x14ac:dyDescent="0.25">
      <c r="A261" s="282" t="s">
        <v>259</v>
      </c>
      <c r="B261" s="282" t="s">
        <v>259</v>
      </c>
      <c r="C261" s="282" t="s">
        <v>259</v>
      </c>
      <c r="D261" s="283" t="s">
        <v>506</v>
      </c>
      <c r="E261" s="403" t="s">
        <v>273</v>
      </c>
      <c r="F261" s="403" t="s">
        <v>274</v>
      </c>
      <c r="G261" s="284" t="s">
        <v>264</v>
      </c>
      <c r="H261" s="284" t="s">
        <v>275</v>
      </c>
      <c r="I261" s="283">
        <v>1</v>
      </c>
      <c r="J261" s="284" t="s">
        <v>156</v>
      </c>
      <c r="K261" s="283" t="s">
        <v>276</v>
      </c>
      <c r="L261" s="286" t="s">
        <v>158</v>
      </c>
      <c r="M261" s="287">
        <v>2400</v>
      </c>
      <c r="N261" s="287"/>
      <c r="O261" s="287"/>
      <c r="P261" s="287"/>
      <c r="Q261" s="288">
        <v>74.8</v>
      </c>
      <c r="R261" s="288">
        <v>74.7</v>
      </c>
      <c r="S261" s="288">
        <v>6.4899999999999999E-2</v>
      </c>
      <c r="T261" s="288">
        <v>1.13E-4</v>
      </c>
      <c r="U261" s="288">
        <v>0</v>
      </c>
      <c r="V261" s="289">
        <v>74.765012999999996</v>
      </c>
      <c r="W261" s="289">
        <v>0</v>
      </c>
      <c r="X261" s="288">
        <v>7.4799999999999991E-2</v>
      </c>
      <c r="Y261" s="288">
        <v>7.4700000000000003E-2</v>
      </c>
      <c r="Z261" s="288">
        <v>6.4900000000000005E-5</v>
      </c>
      <c r="AA261" s="288">
        <v>1.1299999999999999E-7</v>
      </c>
      <c r="AB261" s="288">
        <v>0</v>
      </c>
      <c r="AC261" s="289">
        <v>7.4765013000000005E-2</v>
      </c>
      <c r="AD261" s="289">
        <v>0</v>
      </c>
    </row>
    <row r="262" spans="1:30" ht="15" customHeight="1" x14ac:dyDescent="0.25">
      <c r="A262" s="282" t="s">
        <v>259</v>
      </c>
      <c r="B262" s="282" t="s">
        <v>259</v>
      </c>
      <c r="C262" s="282" t="s">
        <v>259</v>
      </c>
      <c r="D262" s="283" t="s">
        <v>507</v>
      </c>
      <c r="E262" s="403" t="s">
        <v>273</v>
      </c>
      <c r="F262" s="403" t="s">
        <v>274</v>
      </c>
      <c r="G262" s="284" t="s">
        <v>299</v>
      </c>
      <c r="H262" s="284" t="s">
        <v>275</v>
      </c>
      <c r="I262" s="283">
        <v>1</v>
      </c>
      <c r="J262" s="284" t="s">
        <v>156</v>
      </c>
      <c r="K262" s="283" t="s">
        <v>276</v>
      </c>
      <c r="L262" s="286" t="s">
        <v>158</v>
      </c>
      <c r="M262" s="287">
        <v>2400</v>
      </c>
      <c r="N262" s="287"/>
      <c r="O262" s="287"/>
      <c r="P262" s="287"/>
      <c r="Q262" s="288">
        <v>63</v>
      </c>
      <c r="R262" s="288">
        <v>62.9</v>
      </c>
      <c r="S262" s="288">
        <v>7.0199999999999999E-2</v>
      </c>
      <c r="T262" s="288">
        <v>7.2100000000000004E-5</v>
      </c>
      <c r="U262" s="288">
        <v>0</v>
      </c>
      <c r="V262" s="289">
        <v>62.970272099999995</v>
      </c>
      <c r="W262" s="289">
        <v>0</v>
      </c>
      <c r="X262" s="288">
        <v>6.3E-2</v>
      </c>
      <c r="Y262" s="288">
        <v>6.2899999999999998E-2</v>
      </c>
      <c r="Z262" s="288">
        <v>7.0199999999999999E-5</v>
      </c>
      <c r="AA262" s="288">
        <v>7.2100000000000004E-8</v>
      </c>
      <c r="AB262" s="288">
        <v>0</v>
      </c>
      <c r="AC262" s="289">
        <v>6.2970272100000002E-2</v>
      </c>
      <c r="AD262" s="289">
        <v>0</v>
      </c>
    </row>
    <row r="263" spans="1:30" ht="15" customHeight="1" x14ac:dyDescent="0.25">
      <c r="A263" s="282" t="s">
        <v>259</v>
      </c>
      <c r="B263" s="282" t="s">
        <v>259</v>
      </c>
      <c r="C263" s="282" t="s">
        <v>259</v>
      </c>
      <c r="D263" s="283" t="s">
        <v>508</v>
      </c>
      <c r="E263" s="403" t="s">
        <v>273</v>
      </c>
      <c r="F263" s="403" t="s">
        <v>274</v>
      </c>
      <c r="G263" s="284" t="s">
        <v>299</v>
      </c>
      <c r="H263" s="284" t="s">
        <v>275</v>
      </c>
      <c r="I263" s="283">
        <v>1</v>
      </c>
      <c r="J263" s="284" t="s">
        <v>156</v>
      </c>
      <c r="K263" s="283" t="s">
        <v>276</v>
      </c>
      <c r="L263" s="286" t="s">
        <v>158</v>
      </c>
      <c r="M263" s="287">
        <v>2400</v>
      </c>
      <c r="N263" s="287"/>
      <c r="O263" s="287"/>
      <c r="P263" s="287"/>
      <c r="Q263" s="288">
        <v>65.2</v>
      </c>
      <c r="R263" s="288">
        <v>65.099999999999994</v>
      </c>
      <c r="S263" s="288">
        <v>6.8599999999999994E-2</v>
      </c>
      <c r="T263" s="288">
        <v>9.4699999999999998E-5</v>
      </c>
      <c r="U263" s="288">
        <v>0</v>
      </c>
      <c r="V263" s="289">
        <v>65.168694700000003</v>
      </c>
      <c r="W263" s="289">
        <v>0</v>
      </c>
      <c r="X263" s="288">
        <v>6.5200000000000008E-2</v>
      </c>
      <c r="Y263" s="288">
        <v>6.5099999999999991E-2</v>
      </c>
      <c r="Z263" s="288">
        <v>6.86E-5</v>
      </c>
      <c r="AA263" s="288">
        <v>9.4699999999999994E-8</v>
      </c>
      <c r="AB263" s="288">
        <v>0</v>
      </c>
      <c r="AC263" s="289">
        <v>6.5168694699999988E-2</v>
      </c>
      <c r="AD263" s="289">
        <v>0</v>
      </c>
    </row>
    <row r="264" spans="1:30" ht="15" customHeight="1" x14ac:dyDescent="0.25">
      <c r="A264" s="282" t="s">
        <v>259</v>
      </c>
      <c r="B264" s="282" t="s">
        <v>259</v>
      </c>
      <c r="C264" s="282" t="s">
        <v>259</v>
      </c>
      <c r="D264" s="283" t="s">
        <v>509</v>
      </c>
      <c r="E264" s="403" t="s">
        <v>273</v>
      </c>
      <c r="F264" s="403" t="s">
        <v>274</v>
      </c>
      <c r="G264" s="284" t="s">
        <v>286</v>
      </c>
      <c r="H264" s="284" t="s">
        <v>275</v>
      </c>
      <c r="I264" s="283">
        <v>1</v>
      </c>
      <c r="J264" s="284" t="s">
        <v>156</v>
      </c>
      <c r="K264" s="283" t="s">
        <v>276</v>
      </c>
      <c r="L264" s="286" t="s">
        <v>158</v>
      </c>
      <c r="M264" s="287">
        <v>2400</v>
      </c>
      <c r="N264" s="287"/>
      <c r="O264" s="287"/>
      <c r="P264" s="287"/>
      <c r="Q264" s="288">
        <v>78.7</v>
      </c>
      <c r="R264" s="288">
        <v>78.599999999999994</v>
      </c>
      <c r="S264" s="288">
        <v>6.1699999999999998E-2</v>
      </c>
      <c r="T264" s="288">
        <v>1.05E-4</v>
      </c>
      <c r="U264" s="288">
        <v>0</v>
      </c>
      <c r="V264" s="289">
        <v>78.661805000000001</v>
      </c>
      <c r="W264" s="289">
        <v>0</v>
      </c>
      <c r="X264" s="288">
        <v>7.8700000000000006E-2</v>
      </c>
      <c r="Y264" s="288">
        <v>7.8599999999999989E-2</v>
      </c>
      <c r="Z264" s="288">
        <v>6.1699999999999995E-5</v>
      </c>
      <c r="AA264" s="288">
        <v>1.05E-7</v>
      </c>
      <c r="AB264" s="288">
        <v>0</v>
      </c>
      <c r="AC264" s="289">
        <v>7.8661804999999987E-2</v>
      </c>
      <c r="AD264" s="289">
        <v>0</v>
      </c>
    </row>
    <row r="265" spans="1:30" ht="15" customHeight="1" x14ac:dyDescent="0.25">
      <c r="A265" s="282" t="s">
        <v>259</v>
      </c>
      <c r="B265" s="282" t="s">
        <v>259</v>
      </c>
      <c r="C265" s="282" t="s">
        <v>259</v>
      </c>
      <c r="D265" s="283" t="s">
        <v>510</v>
      </c>
      <c r="E265" s="403" t="s">
        <v>262</v>
      </c>
      <c r="F265" s="403" t="s">
        <v>263</v>
      </c>
      <c r="G265" s="284" t="s">
        <v>286</v>
      </c>
      <c r="H265" s="284" t="s">
        <v>287</v>
      </c>
      <c r="I265" s="283">
        <v>1</v>
      </c>
      <c r="J265" s="284" t="s">
        <v>156</v>
      </c>
      <c r="K265" s="283" t="s">
        <v>288</v>
      </c>
      <c r="L265" s="286" t="s">
        <v>158</v>
      </c>
      <c r="M265" s="287">
        <v>2400</v>
      </c>
      <c r="N265" s="287"/>
      <c r="O265" s="287"/>
      <c r="P265" s="287"/>
      <c r="Q265" s="288">
        <v>60.8</v>
      </c>
      <c r="R265" s="288">
        <v>60.6</v>
      </c>
      <c r="S265" s="288">
        <v>0.17</v>
      </c>
      <c r="T265" s="288">
        <v>1.3200000000000001E-4</v>
      </c>
      <c r="U265" s="288">
        <v>0</v>
      </c>
      <c r="V265" s="289">
        <v>60.770132000000004</v>
      </c>
      <c r="W265" s="289">
        <v>0</v>
      </c>
      <c r="X265" s="288">
        <v>6.08E-2</v>
      </c>
      <c r="Y265" s="288">
        <v>6.0600000000000001E-2</v>
      </c>
      <c r="Z265" s="288">
        <v>1.7000000000000001E-4</v>
      </c>
      <c r="AA265" s="288">
        <v>1.3200000000000002E-7</v>
      </c>
      <c r="AB265" s="288">
        <v>0</v>
      </c>
      <c r="AC265" s="289">
        <v>6.0770132000000004E-2</v>
      </c>
      <c r="AD265" s="289">
        <v>0</v>
      </c>
    </row>
    <row r="266" spans="1:30" ht="15" customHeight="1" x14ac:dyDescent="0.25">
      <c r="A266" s="282" t="s">
        <v>259</v>
      </c>
      <c r="B266" s="282" t="s">
        <v>259</v>
      </c>
      <c r="C266" s="282" t="s">
        <v>259</v>
      </c>
      <c r="D266" s="283" t="s">
        <v>511</v>
      </c>
      <c r="E266" s="403" t="s">
        <v>273</v>
      </c>
      <c r="F266" s="403" t="s">
        <v>274</v>
      </c>
      <c r="G266" s="284" t="s">
        <v>264</v>
      </c>
      <c r="H266" s="284" t="s">
        <v>275</v>
      </c>
      <c r="I266" s="283">
        <v>1</v>
      </c>
      <c r="J266" s="284" t="s">
        <v>156</v>
      </c>
      <c r="K266" s="283" t="s">
        <v>276</v>
      </c>
      <c r="L266" s="286" t="s">
        <v>158</v>
      </c>
      <c r="M266" s="287">
        <v>2400</v>
      </c>
      <c r="N266" s="287"/>
      <c r="O266" s="287"/>
      <c r="P266" s="287"/>
      <c r="Q266" s="288">
        <v>67.8</v>
      </c>
      <c r="R266" s="288">
        <v>67.7</v>
      </c>
      <c r="S266" s="288">
        <v>6.5100000000000005E-2</v>
      </c>
      <c r="T266" s="288">
        <v>1.17E-4</v>
      </c>
      <c r="U266" s="288">
        <v>0</v>
      </c>
      <c r="V266" s="289">
        <v>67.765217000000007</v>
      </c>
      <c r="W266" s="289">
        <v>0</v>
      </c>
      <c r="X266" s="288">
        <v>6.7799999999999999E-2</v>
      </c>
      <c r="Y266" s="288">
        <v>6.7699999999999996E-2</v>
      </c>
      <c r="Z266" s="288">
        <v>6.510000000000001E-5</v>
      </c>
      <c r="AA266" s="288">
        <v>1.17E-7</v>
      </c>
      <c r="AB266" s="288">
        <v>0</v>
      </c>
      <c r="AC266" s="289">
        <v>6.7765216999999989E-2</v>
      </c>
      <c r="AD266" s="289">
        <v>0</v>
      </c>
    </row>
    <row r="267" spans="1:30" ht="15" customHeight="1" x14ac:dyDescent="0.25">
      <c r="A267" s="282" t="s">
        <v>259</v>
      </c>
      <c r="B267" s="282" t="s">
        <v>259</v>
      </c>
      <c r="C267" s="282" t="s">
        <v>259</v>
      </c>
      <c r="D267" s="283" t="s">
        <v>512</v>
      </c>
      <c r="E267" s="403" t="s">
        <v>273</v>
      </c>
      <c r="F267" s="403" t="s">
        <v>274</v>
      </c>
      <c r="G267" s="284" t="s">
        <v>286</v>
      </c>
      <c r="H267" s="284" t="s">
        <v>275</v>
      </c>
      <c r="I267" s="283">
        <v>1</v>
      </c>
      <c r="J267" s="284" t="s">
        <v>156</v>
      </c>
      <c r="K267" s="283" t="s">
        <v>276</v>
      </c>
      <c r="L267" s="286" t="s">
        <v>158</v>
      </c>
      <c r="M267" s="287">
        <v>2400</v>
      </c>
      <c r="N267" s="287"/>
      <c r="O267" s="287"/>
      <c r="P267" s="287"/>
      <c r="Q267" s="288">
        <v>77.599999999999994</v>
      </c>
      <c r="R267" s="288">
        <v>77.5</v>
      </c>
      <c r="S267" s="288">
        <v>5.9799999999999999E-2</v>
      </c>
      <c r="T267" s="288">
        <v>1.05E-4</v>
      </c>
      <c r="U267" s="288">
        <v>0</v>
      </c>
      <c r="V267" s="289">
        <v>77.559905000000001</v>
      </c>
      <c r="W267" s="289">
        <v>0</v>
      </c>
      <c r="X267" s="288">
        <v>7.7599999999999988E-2</v>
      </c>
      <c r="Y267" s="288">
        <v>7.7499999999999999E-2</v>
      </c>
      <c r="Z267" s="288">
        <v>5.9799999999999997E-5</v>
      </c>
      <c r="AA267" s="288">
        <v>1.05E-7</v>
      </c>
      <c r="AB267" s="288">
        <v>0</v>
      </c>
      <c r="AC267" s="289">
        <v>7.7559904999999998E-2</v>
      </c>
      <c r="AD267" s="289">
        <v>0</v>
      </c>
    </row>
    <row r="268" spans="1:30" ht="15" customHeight="1" x14ac:dyDescent="0.25">
      <c r="A268" s="282" t="s">
        <v>259</v>
      </c>
      <c r="B268" s="282" t="s">
        <v>259</v>
      </c>
      <c r="C268" s="282" t="s">
        <v>259</v>
      </c>
      <c r="D268" s="283" t="s">
        <v>513</v>
      </c>
      <c r="E268" s="403" t="s">
        <v>262</v>
      </c>
      <c r="F268" s="403" t="s">
        <v>263</v>
      </c>
      <c r="G268" s="284" t="s">
        <v>264</v>
      </c>
      <c r="H268" s="284" t="s">
        <v>265</v>
      </c>
      <c r="I268" s="283">
        <v>1</v>
      </c>
      <c r="J268" s="284" t="s">
        <v>156</v>
      </c>
      <c r="K268" s="283" t="s">
        <v>266</v>
      </c>
      <c r="L268" s="286" t="s">
        <v>158</v>
      </c>
      <c r="M268" s="287">
        <v>2400</v>
      </c>
      <c r="N268" s="287"/>
      <c r="O268" s="287"/>
      <c r="P268" s="287"/>
      <c r="Q268" s="288">
        <v>80.400000000000006</v>
      </c>
      <c r="R268" s="288">
        <v>80.099999999999994</v>
      </c>
      <c r="S268" s="288">
        <v>0.25800000000000001</v>
      </c>
      <c r="T268" s="288">
        <v>1.1E-4</v>
      </c>
      <c r="U268" s="288">
        <v>0</v>
      </c>
      <c r="V268" s="289">
        <v>80.358109999999996</v>
      </c>
      <c r="W268" s="289">
        <v>0</v>
      </c>
      <c r="X268" s="288">
        <v>8.0399999999999999E-2</v>
      </c>
      <c r="Y268" s="288">
        <v>8.0099999999999991E-2</v>
      </c>
      <c r="Z268" s="288">
        <v>2.5799999999999998E-4</v>
      </c>
      <c r="AA268" s="288">
        <v>1.1000000000000001E-7</v>
      </c>
      <c r="AB268" s="288">
        <v>0</v>
      </c>
      <c r="AC268" s="289">
        <v>8.0358109999999983E-2</v>
      </c>
      <c r="AD268" s="289">
        <v>0</v>
      </c>
    </row>
    <row r="269" spans="1:30" ht="15" customHeight="1" x14ac:dyDescent="0.25">
      <c r="A269" s="282" t="s">
        <v>259</v>
      </c>
      <c r="B269" s="282" t="s">
        <v>259</v>
      </c>
      <c r="C269" s="282" t="s">
        <v>259</v>
      </c>
      <c r="D269" s="283" t="s">
        <v>514</v>
      </c>
      <c r="E269" s="403" t="s">
        <v>273</v>
      </c>
      <c r="F269" s="403" t="s">
        <v>274</v>
      </c>
      <c r="G269" s="284" t="s">
        <v>264</v>
      </c>
      <c r="H269" s="284" t="s">
        <v>275</v>
      </c>
      <c r="I269" s="283">
        <v>1</v>
      </c>
      <c r="J269" s="284" t="s">
        <v>156</v>
      </c>
      <c r="K269" s="283" t="s">
        <v>276</v>
      </c>
      <c r="L269" s="286" t="s">
        <v>158</v>
      </c>
      <c r="M269" s="287">
        <v>2400</v>
      </c>
      <c r="N269" s="287"/>
      <c r="O269" s="287"/>
      <c r="P269" s="287"/>
      <c r="Q269" s="288">
        <v>73.2</v>
      </c>
      <c r="R269" s="288">
        <v>73.099999999999994</v>
      </c>
      <c r="S269" s="288">
        <v>6.1499999999999999E-2</v>
      </c>
      <c r="T269" s="288">
        <v>7.8700000000000002E-5</v>
      </c>
      <c r="U269" s="288">
        <v>0</v>
      </c>
      <c r="V269" s="289">
        <v>73.161578699999993</v>
      </c>
      <c r="W269" s="289">
        <v>0</v>
      </c>
      <c r="X269" s="288">
        <v>7.3200000000000001E-2</v>
      </c>
      <c r="Y269" s="288">
        <v>7.3099999999999998E-2</v>
      </c>
      <c r="Z269" s="288">
        <v>6.1500000000000004E-5</v>
      </c>
      <c r="AA269" s="288">
        <v>7.8699999999999997E-8</v>
      </c>
      <c r="AB269" s="288">
        <v>0</v>
      </c>
      <c r="AC269" s="289">
        <v>7.3161578700000007E-2</v>
      </c>
      <c r="AD269" s="289">
        <v>0</v>
      </c>
    </row>
    <row r="270" spans="1:30" ht="15" customHeight="1" x14ac:dyDescent="0.25">
      <c r="A270" s="282" t="s">
        <v>259</v>
      </c>
      <c r="B270" s="282" t="s">
        <v>259</v>
      </c>
      <c r="C270" s="282" t="s">
        <v>259</v>
      </c>
      <c r="D270" s="283" t="s">
        <v>515</v>
      </c>
      <c r="E270" s="403" t="s">
        <v>262</v>
      </c>
      <c r="F270" s="403" t="s">
        <v>263</v>
      </c>
      <c r="G270" s="284" t="s">
        <v>264</v>
      </c>
      <c r="H270" s="284" t="s">
        <v>265</v>
      </c>
      <c r="I270" s="283">
        <v>1</v>
      </c>
      <c r="J270" s="284" t="s">
        <v>156</v>
      </c>
      <c r="K270" s="283" t="s">
        <v>266</v>
      </c>
      <c r="L270" s="286" t="s">
        <v>158</v>
      </c>
      <c r="M270" s="287">
        <v>2400</v>
      </c>
      <c r="N270" s="287"/>
      <c r="O270" s="287"/>
      <c r="P270" s="287"/>
      <c r="Q270" s="288">
        <v>69.5</v>
      </c>
      <c r="R270" s="288">
        <v>69.2</v>
      </c>
      <c r="S270" s="288">
        <v>0.26300000000000001</v>
      </c>
      <c r="T270" s="288">
        <v>9.1799999999999995E-5</v>
      </c>
      <c r="U270" s="288">
        <v>0</v>
      </c>
      <c r="V270" s="289">
        <v>69.463091800000015</v>
      </c>
      <c r="W270" s="289">
        <v>0</v>
      </c>
      <c r="X270" s="288">
        <v>6.9500000000000006E-2</v>
      </c>
      <c r="Y270" s="288">
        <v>6.9199999999999998E-2</v>
      </c>
      <c r="Z270" s="288">
        <v>2.63E-4</v>
      </c>
      <c r="AA270" s="288">
        <v>9.1800000000000001E-8</v>
      </c>
      <c r="AB270" s="288">
        <v>0</v>
      </c>
      <c r="AC270" s="289">
        <v>6.9463091800000001E-2</v>
      </c>
      <c r="AD270" s="289">
        <v>0</v>
      </c>
    </row>
    <row r="271" spans="1:30" ht="15" customHeight="1" x14ac:dyDescent="0.25">
      <c r="A271" s="282" t="s">
        <v>259</v>
      </c>
      <c r="B271" s="282" t="s">
        <v>259</v>
      </c>
      <c r="C271" s="282" t="s">
        <v>259</v>
      </c>
      <c r="D271" s="283" t="s">
        <v>516</v>
      </c>
      <c r="E271" s="403" t="s">
        <v>273</v>
      </c>
      <c r="F271" s="403" t="s">
        <v>274</v>
      </c>
      <c r="G271" s="284" t="s">
        <v>283</v>
      </c>
      <c r="H271" s="284" t="s">
        <v>275</v>
      </c>
      <c r="I271" s="283">
        <v>1</v>
      </c>
      <c r="J271" s="284" t="s">
        <v>156</v>
      </c>
      <c r="K271" s="283" t="s">
        <v>276</v>
      </c>
      <c r="L271" s="286" t="s">
        <v>158</v>
      </c>
      <c r="M271" s="287">
        <v>2400</v>
      </c>
      <c r="N271" s="287"/>
      <c r="O271" s="287"/>
      <c r="P271" s="287"/>
      <c r="Q271" s="288">
        <v>80</v>
      </c>
      <c r="R271" s="288">
        <v>79.900000000000006</v>
      </c>
      <c r="S271" s="288">
        <v>5.6599999999999998E-2</v>
      </c>
      <c r="T271" s="288">
        <v>1.05E-4</v>
      </c>
      <c r="U271" s="288">
        <v>0</v>
      </c>
      <c r="V271" s="289">
        <v>79.956705000000014</v>
      </c>
      <c r="W271" s="289">
        <v>0</v>
      </c>
      <c r="X271" s="288">
        <v>0.08</v>
      </c>
      <c r="Y271" s="288">
        <v>7.9899999999999999E-2</v>
      </c>
      <c r="Z271" s="288">
        <v>5.66E-5</v>
      </c>
      <c r="AA271" s="288">
        <v>1.05E-7</v>
      </c>
      <c r="AB271" s="288">
        <v>0</v>
      </c>
      <c r="AC271" s="289">
        <v>7.9956705000000003E-2</v>
      </c>
      <c r="AD271" s="289">
        <v>0</v>
      </c>
    </row>
    <row r="272" spans="1:30" ht="15" customHeight="1" x14ac:dyDescent="0.25">
      <c r="A272" s="282" t="s">
        <v>259</v>
      </c>
      <c r="B272" s="282" t="s">
        <v>259</v>
      </c>
      <c r="C272" s="282" t="s">
        <v>259</v>
      </c>
      <c r="D272" s="283" t="s">
        <v>517</v>
      </c>
      <c r="E272" s="403" t="s">
        <v>273</v>
      </c>
      <c r="F272" s="403" t="s">
        <v>274</v>
      </c>
      <c r="G272" s="284" t="s">
        <v>286</v>
      </c>
      <c r="H272" s="284" t="s">
        <v>275</v>
      </c>
      <c r="I272" s="283">
        <v>1</v>
      </c>
      <c r="J272" s="284" t="s">
        <v>156</v>
      </c>
      <c r="K272" s="283" t="s">
        <v>276</v>
      </c>
      <c r="L272" s="286" t="s">
        <v>158</v>
      </c>
      <c r="M272" s="287">
        <v>2400</v>
      </c>
      <c r="N272" s="287"/>
      <c r="O272" s="287"/>
      <c r="P272" s="287"/>
      <c r="Q272" s="288">
        <v>77.599999999999994</v>
      </c>
      <c r="R272" s="288">
        <v>77.5</v>
      </c>
      <c r="S272" s="288">
        <v>5.7700000000000001E-2</v>
      </c>
      <c r="T272" s="288">
        <v>1.12E-4</v>
      </c>
      <c r="U272" s="288">
        <v>0</v>
      </c>
      <c r="V272" s="289">
        <v>77.557811999999998</v>
      </c>
      <c r="W272" s="289">
        <v>0</v>
      </c>
      <c r="X272" s="288">
        <v>7.7599999999999988E-2</v>
      </c>
      <c r="Y272" s="288">
        <v>7.7499999999999999E-2</v>
      </c>
      <c r="Z272" s="288">
        <v>5.77E-5</v>
      </c>
      <c r="AA272" s="288">
        <v>1.12E-7</v>
      </c>
      <c r="AB272" s="288">
        <v>0</v>
      </c>
      <c r="AC272" s="289">
        <v>7.755781199999999E-2</v>
      </c>
      <c r="AD272" s="289">
        <v>0</v>
      </c>
    </row>
    <row r="273" spans="1:30" ht="15" customHeight="1" x14ac:dyDescent="0.25">
      <c r="A273" s="282" t="s">
        <v>259</v>
      </c>
      <c r="B273" s="282" t="s">
        <v>259</v>
      </c>
      <c r="C273" s="282" t="s">
        <v>259</v>
      </c>
      <c r="D273" s="283" t="s">
        <v>518</v>
      </c>
      <c r="E273" s="403" t="s">
        <v>273</v>
      </c>
      <c r="F273" s="403" t="s">
        <v>274</v>
      </c>
      <c r="G273" s="284" t="s">
        <v>299</v>
      </c>
      <c r="H273" s="284" t="s">
        <v>275</v>
      </c>
      <c r="I273" s="283">
        <v>1</v>
      </c>
      <c r="J273" s="284" t="s">
        <v>156</v>
      </c>
      <c r="K273" s="283" t="s">
        <v>276</v>
      </c>
      <c r="L273" s="286" t="s">
        <v>158</v>
      </c>
      <c r="M273" s="287">
        <v>2400</v>
      </c>
      <c r="N273" s="287"/>
      <c r="O273" s="287"/>
      <c r="P273" s="287"/>
      <c r="Q273" s="288">
        <v>63.5</v>
      </c>
      <c r="R273" s="288">
        <v>63.4</v>
      </c>
      <c r="S273" s="288">
        <v>6.5199999999999994E-2</v>
      </c>
      <c r="T273" s="288">
        <v>9.7999999999999997E-5</v>
      </c>
      <c r="U273" s="288">
        <v>0</v>
      </c>
      <c r="V273" s="289">
        <v>63.465297999999997</v>
      </c>
      <c r="W273" s="289">
        <v>0</v>
      </c>
      <c r="X273" s="288">
        <v>6.3500000000000001E-2</v>
      </c>
      <c r="Y273" s="288">
        <v>6.3399999999999998E-2</v>
      </c>
      <c r="Z273" s="288">
        <v>6.5199999999999999E-5</v>
      </c>
      <c r="AA273" s="288">
        <v>9.7999999999999991E-8</v>
      </c>
      <c r="AB273" s="288">
        <v>0</v>
      </c>
      <c r="AC273" s="289">
        <v>6.3465298000000003E-2</v>
      </c>
      <c r="AD273" s="289">
        <v>0</v>
      </c>
    </row>
    <row r="274" spans="1:30" ht="15" customHeight="1" x14ac:dyDescent="0.25">
      <c r="A274" s="282" t="s">
        <v>259</v>
      </c>
      <c r="B274" s="282" t="s">
        <v>259</v>
      </c>
      <c r="C274" s="282" t="s">
        <v>259</v>
      </c>
      <c r="D274" s="283" t="s">
        <v>519</v>
      </c>
      <c r="E274" s="403" t="s">
        <v>262</v>
      </c>
      <c r="F274" s="403" t="s">
        <v>263</v>
      </c>
      <c r="G274" s="284" t="s">
        <v>264</v>
      </c>
      <c r="H274" s="284" t="s">
        <v>265</v>
      </c>
      <c r="I274" s="283">
        <v>1</v>
      </c>
      <c r="J274" s="284" t="s">
        <v>156</v>
      </c>
      <c r="K274" s="283" t="s">
        <v>266</v>
      </c>
      <c r="L274" s="286" t="s">
        <v>158</v>
      </c>
      <c r="M274" s="287">
        <v>2400</v>
      </c>
      <c r="N274" s="287"/>
      <c r="O274" s="287"/>
      <c r="P274" s="287"/>
      <c r="Q274" s="288">
        <v>81.7</v>
      </c>
      <c r="R274" s="288">
        <v>81.400000000000006</v>
      </c>
      <c r="S274" s="288">
        <v>0.255</v>
      </c>
      <c r="T274" s="288">
        <v>1.17E-4</v>
      </c>
      <c r="U274" s="288">
        <v>0</v>
      </c>
      <c r="V274" s="289">
        <v>81.655117000000004</v>
      </c>
      <c r="W274" s="289">
        <v>0</v>
      </c>
      <c r="X274" s="288">
        <v>8.1700000000000009E-2</v>
      </c>
      <c r="Y274" s="288">
        <v>8.14E-2</v>
      </c>
      <c r="Z274" s="288">
        <v>2.5500000000000002E-4</v>
      </c>
      <c r="AA274" s="288">
        <v>1.17E-7</v>
      </c>
      <c r="AB274" s="288">
        <v>0</v>
      </c>
      <c r="AC274" s="289">
        <v>8.1655116999999999E-2</v>
      </c>
      <c r="AD274" s="289">
        <v>0</v>
      </c>
    </row>
    <row r="275" spans="1:30" ht="15" customHeight="1" x14ac:dyDescent="0.25">
      <c r="A275" s="282" t="s">
        <v>259</v>
      </c>
      <c r="B275" s="282" t="s">
        <v>259</v>
      </c>
      <c r="C275" s="282" t="s">
        <v>259</v>
      </c>
      <c r="D275" s="283" t="s">
        <v>520</v>
      </c>
      <c r="E275" s="403" t="s">
        <v>273</v>
      </c>
      <c r="F275" s="403" t="s">
        <v>274</v>
      </c>
      <c r="G275" s="284" t="s">
        <v>299</v>
      </c>
      <c r="H275" s="284" t="s">
        <v>275</v>
      </c>
      <c r="I275" s="283">
        <v>1</v>
      </c>
      <c r="J275" s="284" t="s">
        <v>156</v>
      </c>
      <c r="K275" s="283" t="s">
        <v>276</v>
      </c>
      <c r="L275" s="286" t="s">
        <v>158</v>
      </c>
      <c r="M275" s="287">
        <v>2400</v>
      </c>
      <c r="N275" s="287"/>
      <c r="O275" s="287"/>
      <c r="P275" s="287"/>
      <c r="Q275" s="288">
        <v>60.6</v>
      </c>
      <c r="R275" s="288">
        <v>60.5</v>
      </c>
      <c r="S275" s="288">
        <v>6.6100000000000006E-2</v>
      </c>
      <c r="T275" s="288">
        <v>6.7199999999999994E-5</v>
      </c>
      <c r="U275" s="288">
        <v>0</v>
      </c>
      <c r="V275" s="289">
        <v>60.566167199999995</v>
      </c>
      <c r="W275" s="289">
        <v>0</v>
      </c>
      <c r="X275" s="288">
        <v>6.0600000000000001E-2</v>
      </c>
      <c r="Y275" s="288">
        <v>6.0499999999999998E-2</v>
      </c>
      <c r="Z275" s="288">
        <v>6.6100000000000007E-5</v>
      </c>
      <c r="AA275" s="288">
        <v>6.7199999999999993E-8</v>
      </c>
      <c r="AB275" s="288">
        <v>0</v>
      </c>
      <c r="AC275" s="289">
        <v>6.05661672E-2</v>
      </c>
      <c r="AD275" s="289">
        <v>0</v>
      </c>
    </row>
    <row r="276" spans="1:30" ht="15" customHeight="1" x14ac:dyDescent="0.25">
      <c r="A276" s="282" t="s">
        <v>259</v>
      </c>
      <c r="B276" s="282" t="s">
        <v>259</v>
      </c>
      <c r="C276" s="282" t="s">
        <v>259</v>
      </c>
      <c r="D276" s="283" t="s">
        <v>521</v>
      </c>
      <c r="E276" s="403" t="s">
        <v>273</v>
      </c>
      <c r="F276" s="403" t="s">
        <v>274</v>
      </c>
      <c r="G276" s="284" t="s">
        <v>264</v>
      </c>
      <c r="H276" s="284" t="s">
        <v>275</v>
      </c>
      <c r="I276" s="283">
        <v>1</v>
      </c>
      <c r="J276" s="284" t="s">
        <v>156</v>
      </c>
      <c r="K276" s="283" t="s">
        <v>276</v>
      </c>
      <c r="L276" s="286" t="s">
        <v>158</v>
      </c>
      <c r="M276" s="287">
        <v>2400</v>
      </c>
      <c r="N276" s="287"/>
      <c r="O276" s="287"/>
      <c r="P276" s="287"/>
      <c r="Q276" s="288">
        <v>75.7</v>
      </c>
      <c r="R276" s="288">
        <v>75.599999999999994</v>
      </c>
      <c r="S276" s="288">
        <v>5.74E-2</v>
      </c>
      <c r="T276" s="288">
        <v>8.3200000000000003E-5</v>
      </c>
      <c r="U276" s="288">
        <v>0</v>
      </c>
      <c r="V276" s="289">
        <v>75.657483200000001</v>
      </c>
      <c r="W276" s="289">
        <v>0</v>
      </c>
      <c r="X276" s="288">
        <v>7.5700000000000003E-2</v>
      </c>
      <c r="Y276" s="288">
        <v>7.5600000000000001E-2</v>
      </c>
      <c r="Z276" s="288">
        <v>5.7399999999999999E-5</v>
      </c>
      <c r="AA276" s="288">
        <v>8.3200000000000004E-8</v>
      </c>
      <c r="AB276" s="288">
        <v>0</v>
      </c>
      <c r="AC276" s="289">
        <v>7.56574832E-2</v>
      </c>
      <c r="AD276" s="289">
        <v>0</v>
      </c>
    </row>
    <row r="277" spans="1:30" ht="15" customHeight="1" x14ac:dyDescent="0.25">
      <c r="A277" s="282" t="s">
        <v>259</v>
      </c>
      <c r="B277" s="282" t="s">
        <v>259</v>
      </c>
      <c r="C277" s="282" t="s">
        <v>259</v>
      </c>
      <c r="D277" s="283" t="s">
        <v>522</v>
      </c>
      <c r="E277" s="403" t="s">
        <v>273</v>
      </c>
      <c r="F277" s="403" t="s">
        <v>274</v>
      </c>
      <c r="G277" s="284" t="s">
        <v>283</v>
      </c>
      <c r="H277" s="284" t="s">
        <v>275</v>
      </c>
      <c r="I277" s="283">
        <v>1</v>
      </c>
      <c r="J277" s="284" t="s">
        <v>156</v>
      </c>
      <c r="K277" s="283" t="s">
        <v>276</v>
      </c>
      <c r="L277" s="286" t="s">
        <v>158</v>
      </c>
      <c r="M277" s="287">
        <v>2400</v>
      </c>
      <c r="N277" s="287"/>
      <c r="O277" s="287"/>
      <c r="P277" s="287"/>
      <c r="Q277" s="288">
        <v>77.900000000000006</v>
      </c>
      <c r="R277" s="288">
        <v>77.8</v>
      </c>
      <c r="S277" s="288">
        <v>5.6000000000000001E-2</v>
      </c>
      <c r="T277" s="288">
        <v>1E-4</v>
      </c>
      <c r="U277" s="288">
        <v>0</v>
      </c>
      <c r="V277" s="289">
        <v>77.856099999999998</v>
      </c>
      <c r="W277" s="289">
        <v>0</v>
      </c>
      <c r="X277" s="288">
        <v>7.7900000000000011E-2</v>
      </c>
      <c r="Y277" s="288">
        <v>7.7799999999999994E-2</v>
      </c>
      <c r="Z277" s="288">
        <v>5.5999999999999999E-5</v>
      </c>
      <c r="AA277" s="288">
        <v>1.0000000000000001E-7</v>
      </c>
      <c r="AB277" s="288">
        <v>0</v>
      </c>
      <c r="AC277" s="289">
        <v>7.7856099999999998E-2</v>
      </c>
      <c r="AD277" s="289">
        <v>0</v>
      </c>
    </row>
    <row r="278" spans="1:30" ht="15" customHeight="1" x14ac:dyDescent="0.25">
      <c r="A278" s="282" t="s">
        <v>259</v>
      </c>
      <c r="B278" s="282" t="s">
        <v>259</v>
      </c>
      <c r="C278" s="282" t="s">
        <v>259</v>
      </c>
      <c r="D278" s="283" t="s">
        <v>523</v>
      </c>
      <c r="E278" s="403" t="s">
        <v>273</v>
      </c>
      <c r="F278" s="403" t="s">
        <v>274</v>
      </c>
      <c r="G278" s="284" t="s">
        <v>316</v>
      </c>
      <c r="H278" s="284" t="s">
        <v>275</v>
      </c>
      <c r="I278" s="283">
        <v>1</v>
      </c>
      <c r="J278" s="284" t="s">
        <v>156</v>
      </c>
      <c r="K278" s="283" t="s">
        <v>276</v>
      </c>
      <c r="L278" s="286" t="s">
        <v>158</v>
      </c>
      <c r="M278" s="287">
        <v>2400</v>
      </c>
      <c r="N278" s="287"/>
      <c r="O278" s="287"/>
      <c r="P278" s="287"/>
      <c r="Q278" s="288">
        <v>72.3</v>
      </c>
      <c r="R278" s="288">
        <v>72.2</v>
      </c>
      <c r="S278" s="288">
        <v>5.7099999999999998E-2</v>
      </c>
      <c r="T278" s="288">
        <v>1.0900000000000001E-4</v>
      </c>
      <c r="U278" s="288">
        <v>0</v>
      </c>
      <c r="V278" s="289">
        <v>72.257209000000003</v>
      </c>
      <c r="W278" s="289">
        <v>0</v>
      </c>
      <c r="X278" s="288">
        <v>7.2300000000000003E-2</v>
      </c>
      <c r="Y278" s="288">
        <v>7.22E-2</v>
      </c>
      <c r="Z278" s="288">
        <v>5.7099999999999999E-5</v>
      </c>
      <c r="AA278" s="288">
        <v>1.0900000000000001E-7</v>
      </c>
      <c r="AB278" s="288">
        <v>0</v>
      </c>
      <c r="AC278" s="289">
        <v>7.2257209000000003E-2</v>
      </c>
      <c r="AD278" s="289">
        <v>0</v>
      </c>
    </row>
    <row r="279" spans="1:30" ht="15" customHeight="1" x14ac:dyDescent="0.25">
      <c r="A279" s="282" t="s">
        <v>259</v>
      </c>
      <c r="B279" s="282" t="s">
        <v>259</v>
      </c>
      <c r="C279" s="282" t="s">
        <v>259</v>
      </c>
      <c r="D279" s="283" t="s">
        <v>524</v>
      </c>
      <c r="E279" s="403" t="s">
        <v>262</v>
      </c>
      <c r="F279" s="403" t="s">
        <v>263</v>
      </c>
      <c r="G279" s="284" t="s">
        <v>286</v>
      </c>
      <c r="H279" s="284" t="s">
        <v>287</v>
      </c>
      <c r="I279" s="283">
        <v>1</v>
      </c>
      <c r="J279" s="284" t="s">
        <v>156</v>
      </c>
      <c r="K279" s="283" t="s">
        <v>288</v>
      </c>
      <c r="L279" s="286" t="s">
        <v>158</v>
      </c>
      <c r="M279" s="287">
        <v>2400</v>
      </c>
      <c r="N279" s="287"/>
      <c r="O279" s="287"/>
      <c r="P279" s="287"/>
      <c r="Q279" s="288">
        <v>56.5</v>
      </c>
      <c r="R279" s="288">
        <v>56.3</v>
      </c>
      <c r="S279" s="288">
        <v>0.16600000000000001</v>
      </c>
      <c r="T279" s="288">
        <v>1.13E-4</v>
      </c>
      <c r="U279" s="288">
        <v>0</v>
      </c>
      <c r="V279" s="289">
        <v>56.466112999999993</v>
      </c>
      <c r="W279" s="289">
        <v>0</v>
      </c>
      <c r="X279" s="288">
        <v>5.6500000000000002E-2</v>
      </c>
      <c r="Y279" s="288">
        <v>5.6299999999999996E-2</v>
      </c>
      <c r="Z279" s="288">
        <v>1.66E-4</v>
      </c>
      <c r="AA279" s="288">
        <v>1.1299999999999999E-7</v>
      </c>
      <c r="AB279" s="288">
        <v>0</v>
      </c>
      <c r="AC279" s="289">
        <v>5.6466112999999998E-2</v>
      </c>
      <c r="AD279" s="289">
        <v>0</v>
      </c>
    </row>
    <row r="280" spans="1:30" ht="15" customHeight="1" x14ac:dyDescent="0.25">
      <c r="A280" s="282" t="s">
        <v>259</v>
      </c>
      <c r="B280" s="282" t="s">
        <v>259</v>
      </c>
      <c r="C280" s="282" t="s">
        <v>259</v>
      </c>
      <c r="D280" s="283" t="s">
        <v>525</v>
      </c>
      <c r="E280" s="403">
        <v>44626</v>
      </c>
      <c r="F280" s="403">
        <v>46452</v>
      </c>
      <c r="G280" s="284" t="s">
        <v>264</v>
      </c>
      <c r="H280" s="284" t="s">
        <v>268</v>
      </c>
      <c r="I280" s="283">
        <v>0</v>
      </c>
      <c r="J280" s="284" t="s">
        <v>156</v>
      </c>
      <c r="K280" s="283" t="s">
        <v>269</v>
      </c>
      <c r="L280" s="286" t="s">
        <v>158</v>
      </c>
      <c r="M280" s="287">
        <v>2400</v>
      </c>
      <c r="N280" s="287"/>
      <c r="O280" s="287"/>
      <c r="P280" s="287"/>
      <c r="Q280" s="288">
        <v>63</v>
      </c>
      <c r="R280" s="288">
        <v>62.9</v>
      </c>
      <c r="S280" s="288">
        <v>0.06</v>
      </c>
      <c r="T280" s="288">
        <v>5.1099999999999995E-4</v>
      </c>
      <c r="U280" s="288">
        <v>0</v>
      </c>
      <c r="V280" s="289">
        <v>62.960511000000004</v>
      </c>
      <c r="W280" s="289">
        <v>0</v>
      </c>
      <c r="X280" s="288">
        <v>6.3E-2</v>
      </c>
      <c r="Y280" s="288">
        <v>6.2899999999999998E-2</v>
      </c>
      <c r="Z280" s="288">
        <v>5.9999999999999995E-5</v>
      </c>
      <c r="AA280" s="288">
        <v>5.1099999999999996E-7</v>
      </c>
      <c r="AB280" s="288">
        <v>0</v>
      </c>
      <c r="AC280" s="289">
        <v>6.2960510999999997E-2</v>
      </c>
      <c r="AD280" s="289">
        <v>0</v>
      </c>
    </row>
    <row r="281" spans="1:30" ht="15" customHeight="1" x14ac:dyDescent="0.25">
      <c r="A281" s="282" t="s">
        <v>259</v>
      </c>
      <c r="B281" s="282" t="s">
        <v>259</v>
      </c>
      <c r="C281" s="282" t="s">
        <v>259</v>
      </c>
      <c r="D281" s="283" t="s">
        <v>526</v>
      </c>
      <c r="E281" s="403" t="s">
        <v>273</v>
      </c>
      <c r="F281" s="403" t="s">
        <v>274</v>
      </c>
      <c r="G281" s="284" t="s">
        <v>283</v>
      </c>
      <c r="H281" s="284" t="s">
        <v>275</v>
      </c>
      <c r="I281" s="283">
        <v>1</v>
      </c>
      <c r="J281" s="284" t="s">
        <v>156</v>
      </c>
      <c r="K281" s="283" t="s">
        <v>276</v>
      </c>
      <c r="L281" s="286" t="s">
        <v>158</v>
      </c>
      <c r="M281" s="287">
        <v>2400</v>
      </c>
      <c r="N281" s="287"/>
      <c r="O281" s="287"/>
      <c r="P281" s="287"/>
      <c r="Q281" s="288">
        <v>80.900000000000006</v>
      </c>
      <c r="R281" s="288">
        <v>80.8</v>
      </c>
      <c r="S281" s="288">
        <v>4.8800000000000003E-2</v>
      </c>
      <c r="T281" s="288">
        <v>1.01E-4</v>
      </c>
      <c r="U281" s="288">
        <v>0</v>
      </c>
      <c r="V281" s="289">
        <v>80.848900999999998</v>
      </c>
      <c r="W281" s="289">
        <v>0</v>
      </c>
      <c r="X281" s="288">
        <v>8.09E-2</v>
      </c>
      <c r="Y281" s="288">
        <v>8.0799999999999997E-2</v>
      </c>
      <c r="Z281" s="288">
        <v>4.88E-5</v>
      </c>
      <c r="AA281" s="288">
        <v>1.01E-7</v>
      </c>
      <c r="AB281" s="288">
        <v>0</v>
      </c>
      <c r="AC281" s="289">
        <v>8.0848901000000001E-2</v>
      </c>
      <c r="AD281" s="289">
        <v>0</v>
      </c>
    </row>
    <row r="282" spans="1:30" ht="15" customHeight="1" x14ac:dyDescent="0.25">
      <c r="A282" s="282" t="s">
        <v>259</v>
      </c>
      <c r="B282" s="282" t="s">
        <v>259</v>
      </c>
      <c r="C282" s="282" t="s">
        <v>259</v>
      </c>
      <c r="D282" s="283" t="s">
        <v>527</v>
      </c>
      <c r="E282" s="403" t="s">
        <v>262</v>
      </c>
      <c r="F282" s="403" t="s">
        <v>263</v>
      </c>
      <c r="G282" s="284" t="s">
        <v>264</v>
      </c>
      <c r="H282" s="284" t="s">
        <v>265</v>
      </c>
      <c r="I282" s="283">
        <v>1</v>
      </c>
      <c r="J282" s="284" t="s">
        <v>156</v>
      </c>
      <c r="K282" s="283" t="s">
        <v>266</v>
      </c>
      <c r="L282" s="286" t="s">
        <v>158</v>
      </c>
      <c r="M282" s="287">
        <v>2400</v>
      </c>
      <c r="N282" s="287"/>
      <c r="O282" s="287"/>
      <c r="P282" s="287"/>
      <c r="Q282" s="288">
        <v>79.3</v>
      </c>
      <c r="R282" s="288">
        <v>79.2</v>
      </c>
      <c r="S282" s="288">
        <v>4.9599999999999998E-2</v>
      </c>
      <c r="T282" s="288">
        <v>1.2400000000000001E-4</v>
      </c>
      <c r="U282" s="288">
        <v>0</v>
      </c>
      <c r="V282" s="289">
        <v>79.249724000000001</v>
      </c>
      <c r="W282" s="289">
        <v>0</v>
      </c>
      <c r="X282" s="288">
        <v>7.9299999999999995E-2</v>
      </c>
      <c r="Y282" s="288">
        <v>7.9200000000000007E-2</v>
      </c>
      <c r="Z282" s="288">
        <v>4.9599999999999999E-5</v>
      </c>
      <c r="AA282" s="288">
        <v>1.24E-7</v>
      </c>
      <c r="AB282" s="288">
        <v>0</v>
      </c>
      <c r="AC282" s="289">
        <v>7.9249724000000007E-2</v>
      </c>
      <c r="AD282" s="289">
        <v>0</v>
      </c>
    </row>
    <row r="283" spans="1:30" ht="15" customHeight="1" x14ac:dyDescent="0.25">
      <c r="A283" s="282" t="s">
        <v>259</v>
      </c>
      <c r="B283" s="282" t="s">
        <v>259</v>
      </c>
      <c r="C283" s="282" t="s">
        <v>259</v>
      </c>
      <c r="D283" s="283" t="s">
        <v>528</v>
      </c>
      <c r="E283" s="403" t="s">
        <v>273</v>
      </c>
      <c r="F283" s="403" t="s">
        <v>274</v>
      </c>
      <c r="G283" s="284" t="s">
        <v>283</v>
      </c>
      <c r="H283" s="284" t="s">
        <v>275</v>
      </c>
      <c r="I283" s="283">
        <v>1</v>
      </c>
      <c r="J283" s="284" t="s">
        <v>156</v>
      </c>
      <c r="K283" s="283" t="s">
        <v>276</v>
      </c>
      <c r="L283" s="286" t="s">
        <v>158</v>
      </c>
      <c r="M283" s="287">
        <v>2400</v>
      </c>
      <c r="N283" s="287"/>
      <c r="O283" s="287"/>
      <c r="P283" s="287"/>
      <c r="Q283" s="288">
        <v>77.2</v>
      </c>
      <c r="R283" s="288">
        <v>77.099999999999994</v>
      </c>
      <c r="S283" s="288">
        <v>5.0799999999999998E-2</v>
      </c>
      <c r="T283" s="288">
        <v>9.7499999999999998E-5</v>
      </c>
      <c r="U283" s="288">
        <v>0</v>
      </c>
      <c r="V283" s="289">
        <v>77.150897499999985</v>
      </c>
      <c r="W283" s="289">
        <v>0</v>
      </c>
      <c r="X283" s="288">
        <v>7.7200000000000005E-2</v>
      </c>
      <c r="Y283" s="288">
        <v>7.7099999999999988E-2</v>
      </c>
      <c r="Z283" s="288">
        <v>5.0799999999999995E-5</v>
      </c>
      <c r="AA283" s="288">
        <v>9.7499999999999993E-8</v>
      </c>
      <c r="AB283" s="288">
        <v>0</v>
      </c>
      <c r="AC283" s="289">
        <v>7.7150897499999996E-2</v>
      </c>
      <c r="AD283" s="289">
        <v>0</v>
      </c>
    </row>
    <row r="284" spans="1:30" ht="15" customHeight="1" x14ac:dyDescent="0.25">
      <c r="A284" s="282" t="s">
        <v>259</v>
      </c>
      <c r="B284" s="282" t="s">
        <v>259</v>
      </c>
      <c r="C284" s="282" t="s">
        <v>259</v>
      </c>
      <c r="D284" s="283" t="s">
        <v>529</v>
      </c>
      <c r="E284" s="403" t="s">
        <v>262</v>
      </c>
      <c r="F284" s="403" t="s">
        <v>263</v>
      </c>
      <c r="G284" s="284" t="s">
        <v>264</v>
      </c>
      <c r="H284" s="284" t="s">
        <v>265</v>
      </c>
      <c r="I284" s="283">
        <v>1</v>
      </c>
      <c r="J284" s="284" t="s">
        <v>156</v>
      </c>
      <c r="K284" s="283" t="s">
        <v>266</v>
      </c>
      <c r="L284" s="286" t="s">
        <v>158</v>
      </c>
      <c r="M284" s="287">
        <v>2400</v>
      </c>
      <c r="N284" s="287"/>
      <c r="O284" s="287"/>
      <c r="P284" s="287"/>
      <c r="Q284" s="288">
        <v>71.900000000000006</v>
      </c>
      <c r="R284" s="288">
        <v>71.599999999999994</v>
      </c>
      <c r="S284" s="288">
        <v>0.253</v>
      </c>
      <c r="T284" s="288">
        <v>1.1900000000000001E-4</v>
      </c>
      <c r="U284" s="288">
        <v>0</v>
      </c>
      <c r="V284" s="289">
        <v>71.853118999999992</v>
      </c>
      <c r="W284" s="289">
        <v>0</v>
      </c>
      <c r="X284" s="288">
        <v>7.1900000000000006E-2</v>
      </c>
      <c r="Y284" s="288">
        <v>7.1599999999999997E-2</v>
      </c>
      <c r="Z284" s="288">
        <v>2.5300000000000002E-4</v>
      </c>
      <c r="AA284" s="288">
        <v>1.1900000000000001E-7</v>
      </c>
      <c r="AB284" s="288">
        <v>0</v>
      </c>
      <c r="AC284" s="289">
        <v>7.1853119000000007E-2</v>
      </c>
      <c r="AD284" s="289">
        <v>0</v>
      </c>
    </row>
    <row r="285" spans="1:30" ht="15" customHeight="1" x14ac:dyDescent="0.25">
      <c r="A285" s="282" t="s">
        <v>259</v>
      </c>
      <c r="B285" s="282" t="s">
        <v>259</v>
      </c>
      <c r="C285" s="282" t="s">
        <v>259</v>
      </c>
      <c r="D285" s="283" t="s">
        <v>530</v>
      </c>
      <c r="E285" s="403" t="s">
        <v>262</v>
      </c>
      <c r="F285" s="403" t="s">
        <v>263</v>
      </c>
      <c r="G285" s="284" t="s">
        <v>264</v>
      </c>
      <c r="H285" s="284" t="s">
        <v>265</v>
      </c>
      <c r="I285" s="283">
        <v>1</v>
      </c>
      <c r="J285" s="284" t="s">
        <v>156</v>
      </c>
      <c r="K285" s="283" t="s">
        <v>266</v>
      </c>
      <c r="L285" s="286" t="s">
        <v>158</v>
      </c>
      <c r="M285" s="287">
        <v>2400</v>
      </c>
      <c r="N285" s="287"/>
      <c r="O285" s="287"/>
      <c r="P285" s="287"/>
      <c r="Q285" s="288">
        <v>74.8</v>
      </c>
      <c r="R285" s="288">
        <v>74.5</v>
      </c>
      <c r="S285" s="288">
        <v>0.251</v>
      </c>
      <c r="T285" s="288">
        <v>9.0400000000000002E-5</v>
      </c>
      <c r="U285" s="288">
        <v>0</v>
      </c>
      <c r="V285" s="289">
        <v>74.75109040000001</v>
      </c>
      <c r="W285" s="289">
        <v>0</v>
      </c>
      <c r="X285" s="288">
        <v>7.4799999999999991E-2</v>
      </c>
      <c r="Y285" s="288">
        <v>7.4499999999999997E-2</v>
      </c>
      <c r="Z285" s="288">
        <v>2.5099999999999998E-4</v>
      </c>
      <c r="AA285" s="288">
        <v>9.0400000000000002E-8</v>
      </c>
      <c r="AB285" s="288">
        <v>0</v>
      </c>
      <c r="AC285" s="289">
        <v>7.4751090399999998E-2</v>
      </c>
      <c r="AD285" s="289">
        <v>0</v>
      </c>
    </row>
    <row r="286" spans="1:30" ht="15" customHeight="1" x14ac:dyDescent="0.25">
      <c r="A286" s="282" t="s">
        <v>259</v>
      </c>
      <c r="B286" s="282" t="s">
        <v>259</v>
      </c>
      <c r="C286" s="282" t="s">
        <v>259</v>
      </c>
      <c r="D286" s="283" t="s">
        <v>531</v>
      </c>
      <c r="E286" s="403" t="s">
        <v>273</v>
      </c>
      <c r="F286" s="403" t="s">
        <v>274</v>
      </c>
      <c r="G286" s="284" t="s">
        <v>264</v>
      </c>
      <c r="H286" s="284" t="s">
        <v>275</v>
      </c>
      <c r="I286" s="283">
        <v>1</v>
      </c>
      <c r="J286" s="284" t="s">
        <v>156</v>
      </c>
      <c r="K286" s="283" t="s">
        <v>276</v>
      </c>
      <c r="L286" s="286" t="s">
        <v>158</v>
      </c>
      <c r="M286" s="287">
        <v>2400</v>
      </c>
      <c r="N286" s="287"/>
      <c r="O286" s="287"/>
      <c r="P286" s="287"/>
      <c r="Q286" s="288">
        <v>69.400000000000006</v>
      </c>
      <c r="R286" s="288">
        <v>69.3</v>
      </c>
      <c r="S286" s="288">
        <v>5.28E-2</v>
      </c>
      <c r="T286" s="288">
        <v>7.0699999999999997E-5</v>
      </c>
      <c r="U286" s="288">
        <v>0</v>
      </c>
      <c r="V286" s="289">
        <v>69.352870699999997</v>
      </c>
      <c r="W286" s="289">
        <v>0</v>
      </c>
      <c r="X286" s="288">
        <v>6.9400000000000003E-2</v>
      </c>
      <c r="Y286" s="288">
        <v>6.93E-2</v>
      </c>
      <c r="Z286" s="288">
        <v>5.2800000000000003E-5</v>
      </c>
      <c r="AA286" s="288">
        <v>7.0699999999999991E-8</v>
      </c>
      <c r="AB286" s="288">
        <v>0</v>
      </c>
      <c r="AC286" s="289">
        <v>6.9352870699999999E-2</v>
      </c>
      <c r="AD286" s="289">
        <v>0</v>
      </c>
    </row>
    <row r="287" spans="1:30" ht="15" customHeight="1" x14ac:dyDescent="0.25">
      <c r="A287" s="282" t="s">
        <v>259</v>
      </c>
      <c r="B287" s="282" t="s">
        <v>259</v>
      </c>
      <c r="C287" s="282" t="s">
        <v>259</v>
      </c>
      <c r="D287" s="283" t="s">
        <v>532</v>
      </c>
      <c r="E287" s="403" t="s">
        <v>262</v>
      </c>
      <c r="F287" s="403" t="s">
        <v>263</v>
      </c>
      <c r="G287" s="284" t="s">
        <v>264</v>
      </c>
      <c r="H287" s="284" t="s">
        <v>265</v>
      </c>
      <c r="I287" s="283">
        <v>1</v>
      </c>
      <c r="J287" s="284" t="s">
        <v>156</v>
      </c>
      <c r="K287" s="283" t="s">
        <v>266</v>
      </c>
      <c r="L287" s="286" t="s">
        <v>158</v>
      </c>
      <c r="M287" s="287">
        <v>2400</v>
      </c>
      <c r="N287" s="287"/>
      <c r="O287" s="287"/>
      <c r="P287" s="287"/>
      <c r="Q287" s="288">
        <v>87.7</v>
      </c>
      <c r="R287" s="288">
        <v>87.6</v>
      </c>
      <c r="S287" s="288">
        <v>0.04</v>
      </c>
      <c r="T287" s="288">
        <v>1.2799999999999999E-4</v>
      </c>
      <c r="U287" s="288">
        <v>0</v>
      </c>
      <c r="V287" s="289">
        <v>87.640128000000004</v>
      </c>
      <c r="W287" s="289">
        <v>0</v>
      </c>
      <c r="X287" s="288">
        <v>8.77E-2</v>
      </c>
      <c r="Y287" s="288">
        <v>8.7599999999999997E-2</v>
      </c>
      <c r="Z287" s="288">
        <v>4.0000000000000003E-5</v>
      </c>
      <c r="AA287" s="288">
        <v>1.2799999999999998E-7</v>
      </c>
      <c r="AB287" s="288">
        <v>0</v>
      </c>
      <c r="AC287" s="289">
        <v>8.7640127999999998E-2</v>
      </c>
      <c r="AD287" s="289">
        <v>0</v>
      </c>
    </row>
    <row r="288" spans="1:30" ht="15" customHeight="1" x14ac:dyDescent="0.25">
      <c r="A288" s="282" t="s">
        <v>259</v>
      </c>
      <c r="B288" s="282" t="s">
        <v>259</v>
      </c>
      <c r="C288" s="282" t="s">
        <v>259</v>
      </c>
      <c r="D288" s="283" t="s">
        <v>533</v>
      </c>
      <c r="E288" s="403" t="s">
        <v>262</v>
      </c>
      <c r="F288" s="403" t="s">
        <v>263</v>
      </c>
      <c r="G288" s="284" t="s">
        <v>264</v>
      </c>
      <c r="H288" s="284" t="s">
        <v>265</v>
      </c>
      <c r="I288" s="283">
        <v>1</v>
      </c>
      <c r="J288" s="284" t="s">
        <v>156</v>
      </c>
      <c r="K288" s="283" t="s">
        <v>266</v>
      </c>
      <c r="L288" s="286" t="s">
        <v>158</v>
      </c>
      <c r="M288" s="287">
        <v>2400</v>
      </c>
      <c r="N288" s="287"/>
      <c r="O288" s="287"/>
      <c r="P288" s="287"/>
      <c r="Q288" s="288">
        <v>71</v>
      </c>
      <c r="R288" s="288">
        <v>70.900000000000006</v>
      </c>
      <c r="S288" s="288">
        <v>4.8599999999999997E-2</v>
      </c>
      <c r="T288" s="288">
        <v>1.1E-4</v>
      </c>
      <c r="U288" s="288">
        <v>0</v>
      </c>
      <c r="V288" s="289">
        <v>70.948710000000005</v>
      </c>
      <c r="W288" s="289">
        <v>0</v>
      </c>
      <c r="X288" s="288">
        <v>7.0999999999999994E-2</v>
      </c>
      <c r="Y288" s="288">
        <v>7.0900000000000005E-2</v>
      </c>
      <c r="Z288" s="288">
        <v>4.8599999999999995E-5</v>
      </c>
      <c r="AA288" s="288">
        <v>1.1000000000000001E-7</v>
      </c>
      <c r="AB288" s="288">
        <v>0</v>
      </c>
      <c r="AC288" s="289">
        <v>7.0948709999999998E-2</v>
      </c>
      <c r="AD288" s="289">
        <v>0</v>
      </c>
    </row>
    <row r="289" spans="1:30" ht="15" customHeight="1" x14ac:dyDescent="0.25">
      <c r="A289" s="282" t="s">
        <v>259</v>
      </c>
      <c r="B289" s="282" t="s">
        <v>259</v>
      </c>
      <c r="C289" s="282" t="s">
        <v>259</v>
      </c>
      <c r="D289" s="283" t="s">
        <v>534</v>
      </c>
      <c r="E289" s="403" t="s">
        <v>273</v>
      </c>
      <c r="F289" s="403" t="s">
        <v>274</v>
      </c>
      <c r="G289" s="284" t="s">
        <v>264</v>
      </c>
      <c r="H289" s="284" t="s">
        <v>275</v>
      </c>
      <c r="I289" s="283">
        <v>1</v>
      </c>
      <c r="J289" s="284" t="s">
        <v>156</v>
      </c>
      <c r="K289" s="283" t="s">
        <v>276</v>
      </c>
      <c r="L289" s="286" t="s">
        <v>158</v>
      </c>
      <c r="M289" s="287">
        <v>2400</v>
      </c>
      <c r="N289" s="287"/>
      <c r="O289" s="287"/>
      <c r="P289" s="287"/>
      <c r="Q289" s="288">
        <v>66.400000000000006</v>
      </c>
      <c r="R289" s="288">
        <v>66.3</v>
      </c>
      <c r="S289" s="288">
        <v>5.1700000000000003E-2</v>
      </c>
      <c r="T289" s="288">
        <v>6.2100000000000005E-5</v>
      </c>
      <c r="U289" s="288">
        <v>0</v>
      </c>
      <c r="V289" s="289">
        <v>66.351762099999988</v>
      </c>
      <c r="W289" s="289">
        <v>0</v>
      </c>
      <c r="X289" s="288">
        <v>6.6400000000000001E-2</v>
      </c>
      <c r="Y289" s="288">
        <v>6.6299999999999998E-2</v>
      </c>
      <c r="Z289" s="288">
        <v>5.1700000000000003E-5</v>
      </c>
      <c r="AA289" s="288">
        <v>6.2100000000000007E-8</v>
      </c>
      <c r="AB289" s="288">
        <v>0</v>
      </c>
      <c r="AC289" s="289">
        <v>6.6351762100000003E-2</v>
      </c>
      <c r="AD289" s="289">
        <v>0</v>
      </c>
    </row>
    <row r="290" spans="1:30" ht="15" customHeight="1" x14ac:dyDescent="0.25">
      <c r="A290" s="282" t="s">
        <v>259</v>
      </c>
      <c r="B290" s="282" t="s">
        <v>259</v>
      </c>
      <c r="C290" s="282" t="s">
        <v>259</v>
      </c>
      <c r="D290" s="283" t="s">
        <v>535</v>
      </c>
      <c r="E290" s="403" t="s">
        <v>262</v>
      </c>
      <c r="F290" s="403" t="s">
        <v>263</v>
      </c>
      <c r="G290" s="284" t="s">
        <v>286</v>
      </c>
      <c r="H290" s="284" t="s">
        <v>287</v>
      </c>
      <c r="I290" s="283">
        <v>1</v>
      </c>
      <c r="J290" s="284" t="s">
        <v>156</v>
      </c>
      <c r="K290" s="283" t="s">
        <v>288</v>
      </c>
      <c r="L290" s="286" t="s">
        <v>158</v>
      </c>
      <c r="M290" s="287">
        <v>2400</v>
      </c>
      <c r="N290" s="287"/>
      <c r="O290" s="287"/>
      <c r="P290" s="287"/>
      <c r="Q290" s="288">
        <v>57.3</v>
      </c>
      <c r="R290" s="288">
        <v>57.1</v>
      </c>
      <c r="S290" s="288">
        <v>0.158</v>
      </c>
      <c r="T290" s="288">
        <v>1.5699999999999999E-4</v>
      </c>
      <c r="U290" s="288">
        <v>0</v>
      </c>
      <c r="V290" s="289">
        <v>57.258157000000004</v>
      </c>
      <c r="W290" s="289">
        <v>0</v>
      </c>
      <c r="X290" s="288">
        <v>5.7299999999999997E-2</v>
      </c>
      <c r="Y290" s="288">
        <v>5.7099999999999998E-2</v>
      </c>
      <c r="Z290" s="288">
        <v>1.5799999999999999E-4</v>
      </c>
      <c r="AA290" s="288">
        <v>1.5699999999999999E-7</v>
      </c>
      <c r="AB290" s="288">
        <v>0</v>
      </c>
      <c r="AC290" s="289">
        <v>5.7258156999999997E-2</v>
      </c>
      <c r="AD290" s="289">
        <v>0</v>
      </c>
    </row>
    <row r="291" spans="1:30" ht="15" customHeight="1" x14ac:dyDescent="0.25">
      <c r="A291" s="282" t="s">
        <v>259</v>
      </c>
      <c r="B291" s="282" t="s">
        <v>259</v>
      </c>
      <c r="C291" s="282" t="s">
        <v>259</v>
      </c>
      <c r="D291" s="283" t="s">
        <v>536</v>
      </c>
      <c r="E291" s="403" t="s">
        <v>273</v>
      </c>
      <c r="F291" s="403" t="s">
        <v>274</v>
      </c>
      <c r="G291" s="284" t="s">
        <v>286</v>
      </c>
      <c r="H291" s="284" t="s">
        <v>275</v>
      </c>
      <c r="I291" s="283">
        <v>1</v>
      </c>
      <c r="J291" s="284" t="s">
        <v>156</v>
      </c>
      <c r="K291" s="283" t="s">
        <v>276</v>
      </c>
      <c r="L291" s="286" t="s">
        <v>158</v>
      </c>
      <c r="M291" s="287">
        <v>2400</v>
      </c>
      <c r="N291" s="287"/>
      <c r="O291" s="287"/>
      <c r="P291" s="287"/>
      <c r="Q291" s="288">
        <v>73.3</v>
      </c>
      <c r="R291" s="288">
        <v>72.900000000000006</v>
      </c>
      <c r="S291" s="288">
        <v>0.34499999999999997</v>
      </c>
      <c r="T291" s="288">
        <v>6.7199999999999996E-4</v>
      </c>
      <c r="U291" s="288">
        <v>0</v>
      </c>
      <c r="V291" s="289">
        <v>73.245671999999999</v>
      </c>
      <c r="W291" s="289">
        <v>0</v>
      </c>
      <c r="X291" s="288">
        <v>7.3300000000000004E-2</v>
      </c>
      <c r="Y291" s="288">
        <v>7.2900000000000006E-2</v>
      </c>
      <c r="Z291" s="288">
        <v>3.4499999999999998E-4</v>
      </c>
      <c r="AA291" s="288">
        <v>6.7199999999999998E-7</v>
      </c>
      <c r="AB291" s="288">
        <v>0</v>
      </c>
      <c r="AC291" s="289">
        <v>7.3245671999999998E-2</v>
      </c>
      <c r="AD291" s="289">
        <v>0</v>
      </c>
    </row>
    <row r="292" spans="1:30" ht="15" customHeight="1" x14ac:dyDescent="0.25">
      <c r="A292" s="282" t="s">
        <v>259</v>
      </c>
      <c r="B292" s="282" t="s">
        <v>259</v>
      </c>
      <c r="C292" s="282" t="s">
        <v>260</v>
      </c>
      <c r="D292" s="283" t="s">
        <v>537</v>
      </c>
      <c r="E292" s="403">
        <v>43840</v>
      </c>
      <c r="F292" s="403" t="s">
        <v>318</v>
      </c>
      <c r="G292" s="284" t="s">
        <v>316</v>
      </c>
      <c r="H292" s="284" t="s">
        <v>319</v>
      </c>
      <c r="I292" s="283">
        <v>0</v>
      </c>
      <c r="J292" s="284" t="s">
        <v>156</v>
      </c>
      <c r="K292" s="283" t="s">
        <v>320</v>
      </c>
      <c r="L292" s="286" t="s">
        <v>321</v>
      </c>
      <c r="M292" s="287">
        <v>2400</v>
      </c>
      <c r="N292" s="287"/>
      <c r="O292" s="287"/>
      <c r="P292" s="287"/>
      <c r="Q292" s="288">
        <v>6.26</v>
      </c>
      <c r="R292" s="288">
        <v>6.25</v>
      </c>
      <c r="S292" s="288">
        <v>5.2500000000000003E-3</v>
      </c>
      <c r="T292" s="288">
        <v>5.8600000000000001E-5</v>
      </c>
      <c r="U292" s="288">
        <v>0</v>
      </c>
      <c r="V292" s="289">
        <v>6.2553086000000002</v>
      </c>
      <c r="W292" s="289">
        <v>0</v>
      </c>
      <c r="X292" s="288" t="s">
        <v>159</v>
      </c>
      <c r="Y292" s="288" t="s">
        <v>159</v>
      </c>
      <c r="Z292" s="288" t="s">
        <v>159</v>
      </c>
      <c r="AA292" s="288" t="s">
        <v>159</v>
      </c>
      <c r="AB292" s="288" t="s">
        <v>159</v>
      </c>
      <c r="AC292" s="289">
        <v>0</v>
      </c>
      <c r="AD292" s="289">
        <v>0</v>
      </c>
    </row>
    <row r="293" spans="1:30" ht="15" customHeight="1" x14ac:dyDescent="0.25">
      <c r="A293" s="282" t="s">
        <v>259</v>
      </c>
      <c r="B293" s="282" t="s">
        <v>259</v>
      </c>
      <c r="C293" s="282" t="s">
        <v>259</v>
      </c>
      <c r="D293" s="283" t="s">
        <v>538</v>
      </c>
      <c r="E293" s="403" t="s">
        <v>262</v>
      </c>
      <c r="F293" s="403" t="s">
        <v>263</v>
      </c>
      <c r="G293" s="284" t="s">
        <v>264</v>
      </c>
      <c r="H293" s="284" t="s">
        <v>265</v>
      </c>
      <c r="I293" s="283">
        <v>1</v>
      </c>
      <c r="J293" s="284" t="s">
        <v>156</v>
      </c>
      <c r="K293" s="283" t="s">
        <v>266</v>
      </c>
      <c r="L293" s="286" t="s">
        <v>158</v>
      </c>
      <c r="M293" s="287">
        <v>2400</v>
      </c>
      <c r="N293" s="287"/>
      <c r="O293" s="287"/>
      <c r="P293" s="287"/>
      <c r="Q293" s="288">
        <v>82.2</v>
      </c>
      <c r="R293" s="288">
        <v>82.1</v>
      </c>
      <c r="S293" s="288">
        <v>3.5900000000000001E-2</v>
      </c>
      <c r="T293" s="288">
        <v>1.2300000000000001E-4</v>
      </c>
      <c r="U293" s="288">
        <v>0</v>
      </c>
      <c r="V293" s="289">
        <v>82.136022999999994</v>
      </c>
      <c r="W293" s="289">
        <v>0</v>
      </c>
      <c r="X293" s="288">
        <v>8.2200000000000009E-2</v>
      </c>
      <c r="Y293" s="288">
        <v>8.2099999999999992E-2</v>
      </c>
      <c r="Z293" s="288">
        <v>3.5899999999999998E-5</v>
      </c>
      <c r="AA293" s="288">
        <v>1.23E-7</v>
      </c>
      <c r="AB293" s="288">
        <v>0</v>
      </c>
      <c r="AC293" s="289">
        <v>8.2136023000000002E-2</v>
      </c>
      <c r="AD293" s="289">
        <v>0</v>
      </c>
    </row>
    <row r="294" spans="1:30" ht="15" customHeight="1" x14ac:dyDescent="0.25">
      <c r="A294" s="282" t="s">
        <v>259</v>
      </c>
      <c r="B294" s="282" t="s">
        <v>259</v>
      </c>
      <c r="C294" s="282" t="s">
        <v>259</v>
      </c>
      <c r="D294" s="283" t="s">
        <v>539</v>
      </c>
      <c r="E294" s="403" t="s">
        <v>273</v>
      </c>
      <c r="F294" s="403" t="s">
        <v>274</v>
      </c>
      <c r="G294" s="284" t="s">
        <v>286</v>
      </c>
      <c r="H294" s="284" t="s">
        <v>275</v>
      </c>
      <c r="I294" s="283">
        <v>1</v>
      </c>
      <c r="J294" s="284" t="s">
        <v>156</v>
      </c>
      <c r="K294" s="283" t="s">
        <v>276</v>
      </c>
      <c r="L294" s="286" t="s">
        <v>158</v>
      </c>
      <c r="M294" s="287">
        <v>2400</v>
      </c>
      <c r="N294" s="287"/>
      <c r="O294" s="287"/>
      <c r="P294" s="287"/>
      <c r="Q294" s="288">
        <v>58.8</v>
      </c>
      <c r="R294" s="288">
        <v>58.7</v>
      </c>
      <c r="S294" s="288">
        <v>5.3699999999999998E-2</v>
      </c>
      <c r="T294" s="288">
        <v>7.2899999999999997E-5</v>
      </c>
      <c r="U294" s="288">
        <v>0</v>
      </c>
      <c r="V294" s="289">
        <v>58.753772900000001</v>
      </c>
      <c r="W294" s="289">
        <v>0</v>
      </c>
      <c r="X294" s="288">
        <v>5.8799999999999998E-2</v>
      </c>
      <c r="Y294" s="288">
        <v>5.8700000000000002E-2</v>
      </c>
      <c r="Z294" s="288">
        <v>5.3699999999999997E-5</v>
      </c>
      <c r="AA294" s="288">
        <v>7.2899999999999998E-8</v>
      </c>
      <c r="AB294" s="288">
        <v>0</v>
      </c>
      <c r="AC294" s="289">
        <v>5.8753772900000001E-2</v>
      </c>
      <c r="AD294" s="289">
        <v>0</v>
      </c>
    </row>
    <row r="295" spans="1:30" ht="15" customHeight="1" x14ac:dyDescent="0.25">
      <c r="A295" s="282" t="s">
        <v>259</v>
      </c>
      <c r="B295" s="282" t="s">
        <v>259</v>
      </c>
      <c r="C295" s="282" t="s">
        <v>259</v>
      </c>
      <c r="D295" s="283" t="s">
        <v>540</v>
      </c>
      <c r="E295" s="403" t="s">
        <v>273</v>
      </c>
      <c r="F295" s="403" t="s">
        <v>274</v>
      </c>
      <c r="G295" s="284" t="s">
        <v>286</v>
      </c>
      <c r="H295" s="284" t="s">
        <v>275</v>
      </c>
      <c r="I295" s="283">
        <v>1</v>
      </c>
      <c r="J295" s="284" t="s">
        <v>156</v>
      </c>
      <c r="K295" s="283" t="s">
        <v>276</v>
      </c>
      <c r="L295" s="286" t="s">
        <v>158</v>
      </c>
      <c r="M295" s="287">
        <v>2400</v>
      </c>
      <c r="N295" s="287"/>
      <c r="O295" s="287"/>
      <c r="P295" s="287"/>
      <c r="Q295" s="288">
        <v>59</v>
      </c>
      <c r="R295" s="288">
        <v>58.9</v>
      </c>
      <c r="S295" s="288">
        <v>5.3499999999999999E-2</v>
      </c>
      <c r="T295" s="288">
        <v>7.4499999999999995E-5</v>
      </c>
      <c r="U295" s="288">
        <v>0</v>
      </c>
      <c r="V295" s="289">
        <v>58.953574499999995</v>
      </c>
      <c r="W295" s="289">
        <v>0</v>
      </c>
      <c r="X295" s="288">
        <v>5.8999999999999997E-2</v>
      </c>
      <c r="Y295" s="288">
        <v>5.8900000000000001E-2</v>
      </c>
      <c r="Z295" s="288">
        <v>5.3499999999999999E-5</v>
      </c>
      <c r="AA295" s="288">
        <v>7.4499999999999999E-8</v>
      </c>
      <c r="AB295" s="288">
        <v>0</v>
      </c>
      <c r="AC295" s="289">
        <v>5.8953574500000001E-2</v>
      </c>
      <c r="AD295" s="289">
        <v>0</v>
      </c>
    </row>
    <row r="296" spans="1:30" ht="15" customHeight="1" x14ac:dyDescent="0.25">
      <c r="A296" s="282" t="s">
        <v>259</v>
      </c>
      <c r="B296" s="282" t="s">
        <v>259</v>
      </c>
      <c r="C296" s="282" t="s">
        <v>259</v>
      </c>
      <c r="D296" s="283" t="s">
        <v>541</v>
      </c>
      <c r="E296" s="403" t="s">
        <v>262</v>
      </c>
      <c r="F296" s="403" t="s">
        <v>263</v>
      </c>
      <c r="G296" s="284" t="s">
        <v>264</v>
      </c>
      <c r="H296" s="284" t="s">
        <v>265</v>
      </c>
      <c r="I296" s="283">
        <v>1</v>
      </c>
      <c r="J296" s="284" t="s">
        <v>156</v>
      </c>
      <c r="K296" s="283" t="s">
        <v>266</v>
      </c>
      <c r="L296" s="286" t="s">
        <v>158</v>
      </c>
      <c r="M296" s="287">
        <v>2400</v>
      </c>
      <c r="N296" s="287"/>
      <c r="O296" s="287"/>
      <c r="P296" s="287"/>
      <c r="Q296" s="288">
        <v>72</v>
      </c>
      <c r="R296" s="288">
        <v>71.900000000000006</v>
      </c>
      <c r="S296" s="288">
        <v>4.2700000000000002E-2</v>
      </c>
      <c r="T296" s="288">
        <v>1.01E-4</v>
      </c>
      <c r="U296" s="288">
        <v>0</v>
      </c>
      <c r="V296" s="289">
        <v>71.942801000000003</v>
      </c>
      <c r="W296" s="289">
        <v>0</v>
      </c>
      <c r="X296" s="288">
        <v>7.1999999999999995E-2</v>
      </c>
      <c r="Y296" s="288">
        <v>7.1900000000000006E-2</v>
      </c>
      <c r="Z296" s="288">
        <v>4.2700000000000001E-5</v>
      </c>
      <c r="AA296" s="288">
        <v>1.01E-7</v>
      </c>
      <c r="AB296" s="288">
        <v>0</v>
      </c>
      <c r="AC296" s="289">
        <v>7.1942801000000015E-2</v>
      </c>
      <c r="AD296" s="289">
        <v>0</v>
      </c>
    </row>
    <row r="297" spans="1:30" ht="15" customHeight="1" x14ac:dyDescent="0.25">
      <c r="A297" s="282" t="s">
        <v>259</v>
      </c>
      <c r="B297" s="282" t="s">
        <v>259</v>
      </c>
      <c r="C297" s="282" t="s">
        <v>259</v>
      </c>
      <c r="D297" s="283" t="s">
        <v>542</v>
      </c>
      <c r="E297" s="403" t="s">
        <v>273</v>
      </c>
      <c r="F297" s="403" t="s">
        <v>274</v>
      </c>
      <c r="G297" s="284" t="s">
        <v>283</v>
      </c>
      <c r="H297" s="284" t="s">
        <v>275</v>
      </c>
      <c r="I297" s="283">
        <v>1</v>
      </c>
      <c r="J297" s="284" t="s">
        <v>156</v>
      </c>
      <c r="K297" s="283" t="s">
        <v>276</v>
      </c>
      <c r="L297" s="286" t="s">
        <v>158</v>
      </c>
      <c r="M297" s="287">
        <v>2400</v>
      </c>
      <c r="N297" s="287"/>
      <c r="O297" s="287"/>
      <c r="P297" s="287"/>
      <c r="Q297" s="288">
        <v>64.599999999999994</v>
      </c>
      <c r="R297" s="288">
        <v>64.5</v>
      </c>
      <c r="S297" s="288">
        <v>4.8099999999999997E-2</v>
      </c>
      <c r="T297" s="288">
        <v>9.6000000000000002E-5</v>
      </c>
      <c r="U297" s="288">
        <v>0</v>
      </c>
      <c r="V297" s="289">
        <v>64.548196000000004</v>
      </c>
      <c r="W297" s="289">
        <v>0</v>
      </c>
      <c r="X297" s="288">
        <v>6.4599999999999991E-2</v>
      </c>
      <c r="Y297" s="288">
        <v>6.4500000000000002E-2</v>
      </c>
      <c r="Z297" s="288">
        <v>4.8099999999999997E-5</v>
      </c>
      <c r="AA297" s="288">
        <v>9.5999999999999999E-8</v>
      </c>
      <c r="AB297" s="288">
        <v>0</v>
      </c>
      <c r="AC297" s="289">
        <v>6.4548196000000002E-2</v>
      </c>
      <c r="AD297" s="289">
        <v>0</v>
      </c>
    </row>
    <row r="298" spans="1:30" ht="15" customHeight="1" x14ac:dyDescent="0.25">
      <c r="A298" s="282" t="s">
        <v>259</v>
      </c>
      <c r="B298" s="282" t="s">
        <v>259</v>
      </c>
      <c r="C298" s="282" t="s">
        <v>259</v>
      </c>
      <c r="D298" s="283" t="s">
        <v>543</v>
      </c>
      <c r="E298" s="403" t="s">
        <v>273</v>
      </c>
      <c r="F298" s="403" t="s">
        <v>274</v>
      </c>
      <c r="G298" s="284" t="s">
        <v>283</v>
      </c>
      <c r="H298" s="284" t="s">
        <v>275</v>
      </c>
      <c r="I298" s="283">
        <v>1</v>
      </c>
      <c r="J298" s="284" t="s">
        <v>156</v>
      </c>
      <c r="K298" s="283" t="s">
        <v>276</v>
      </c>
      <c r="L298" s="286" t="s">
        <v>158</v>
      </c>
      <c r="M298" s="287">
        <v>2400</v>
      </c>
      <c r="N298" s="287"/>
      <c r="O298" s="287"/>
      <c r="P298" s="287"/>
      <c r="Q298" s="288">
        <v>66.900000000000006</v>
      </c>
      <c r="R298" s="288">
        <v>66.8</v>
      </c>
      <c r="S298" s="288">
        <v>4.5699999999999998E-2</v>
      </c>
      <c r="T298" s="288">
        <v>8.4400000000000005E-5</v>
      </c>
      <c r="U298" s="288">
        <v>0</v>
      </c>
      <c r="V298" s="289">
        <v>66.845784399999999</v>
      </c>
      <c r="W298" s="289">
        <v>0</v>
      </c>
      <c r="X298" s="288">
        <v>6.6900000000000001E-2</v>
      </c>
      <c r="Y298" s="288">
        <v>6.6799999999999998E-2</v>
      </c>
      <c r="Z298" s="288">
        <v>4.57E-5</v>
      </c>
      <c r="AA298" s="288">
        <v>8.4400000000000001E-8</v>
      </c>
      <c r="AB298" s="288">
        <v>0</v>
      </c>
      <c r="AC298" s="289">
        <v>6.6845784399999997E-2</v>
      </c>
      <c r="AD298" s="289">
        <v>0</v>
      </c>
    </row>
    <row r="299" spans="1:30" ht="15" customHeight="1" x14ac:dyDescent="0.25">
      <c r="A299" s="282" t="s">
        <v>259</v>
      </c>
      <c r="B299" s="282" t="s">
        <v>259</v>
      </c>
      <c r="C299" s="282" t="s">
        <v>259</v>
      </c>
      <c r="D299" s="283" t="s">
        <v>544</v>
      </c>
      <c r="E299" s="403" t="s">
        <v>273</v>
      </c>
      <c r="F299" s="403" t="s">
        <v>274</v>
      </c>
      <c r="G299" s="284" t="s">
        <v>286</v>
      </c>
      <c r="H299" s="284" t="s">
        <v>275</v>
      </c>
      <c r="I299" s="283">
        <v>1</v>
      </c>
      <c r="J299" s="284" t="s">
        <v>156</v>
      </c>
      <c r="K299" s="283" t="s">
        <v>276</v>
      </c>
      <c r="L299" s="286" t="s">
        <v>158</v>
      </c>
      <c r="M299" s="287">
        <v>2400</v>
      </c>
      <c r="N299" s="287"/>
      <c r="O299" s="287"/>
      <c r="P299" s="287"/>
      <c r="Q299" s="288">
        <v>56.5</v>
      </c>
      <c r="R299" s="288">
        <v>56.4</v>
      </c>
      <c r="S299" s="288">
        <v>5.3800000000000001E-2</v>
      </c>
      <c r="T299" s="288">
        <v>8.0799999999999999E-5</v>
      </c>
      <c r="U299" s="288">
        <v>0</v>
      </c>
      <c r="V299" s="289">
        <v>56.4538808</v>
      </c>
      <c r="W299" s="289">
        <v>0</v>
      </c>
      <c r="X299" s="288">
        <v>5.6500000000000002E-2</v>
      </c>
      <c r="Y299" s="288">
        <v>5.6399999999999999E-2</v>
      </c>
      <c r="Z299" s="288">
        <v>5.38E-5</v>
      </c>
      <c r="AA299" s="288">
        <v>8.0799999999999996E-8</v>
      </c>
      <c r="AB299" s="288">
        <v>0</v>
      </c>
      <c r="AC299" s="289">
        <v>5.6453880800000002E-2</v>
      </c>
      <c r="AD299" s="289">
        <v>0</v>
      </c>
    </row>
    <row r="300" spans="1:30" ht="15" customHeight="1" x14ac:dyDescent="0.25">
      <c r="A300" s="282" t="s">
        <v>259</v>
      </c>
      <c r="B300" s="282" t="s">
        <v>259</v>
      </c>
      <c r="C300" s="282" t="s">
        <v>259</v>
      </c>
      <c r="D300" s="283" t="s">
        <v>545</v>
      </c>
      <c r="E300" s="403" t="s">
        <v>262</v>
      </c>
      <c r="F300" s="403" t="s">
        <v>263</v>
      </c>
      <c r="G300" s="284" t="s">
        <v>264</v>
      </c>
      <c r="H300" s="284" t="s">
        <v>265</v>
      </c>
      <c r="I300" s="283">
        <v>1</v>
      </c>
      <c r="J300" s="284" t="s">
        <v>156</v>
      </c>
      <c r="K300" s="283" t="s">
        <v>266</v>
      </c>
      <c r="L300" s="286" t="s">
        <v>158</v>
      </c>
      <c r="M300" s="287">
        <v>2400</v>
      </c>
      <c r="N300" s="287"/>
      <c r="O300" s="287"/>
      <c r="P300" s="287"/>
      <c r="Q300" s="288">
        <v>79.3</v>
      </c>
      <c r="R300" s="288">
        <v>79.2</v>
      </c>
      <c r="S300" s="288">
        <v>3.4700000000000002E-2</v>
      </c>
      <c r="T300" s="288">
        <v>1.0900000000000001E-4</v>
      </c>
      <c r="U300" s="288">
        <v>0</v>
      </c>
      <c r="V300" s="289">
        <v>79.234808999999998</v>
      </c>
      <c r="W300" s="289">
        <v>0</v>
      </c>
      <c r="X300" s="288">
        <v>7.9299999999999995E-2</v>
      </c>
      <c r="Y300" s="288">
        <v>7.9200000000000007E-2</v>
      </c>
      <c r="Z300" s="288">
        <v>3.4700000000000003E-5</v>
      </c>
      <c r="AA300" s="288">
        <v>1.0900000000000001E-7</v>
      </c>
      <c r="AB300" s="288">
        <v>0</v>
      </c>
      <c r="AC300" s="289">
        <v>7.9234809000000003E-2</v>
      </c>
      <c r="AD300" s="289">
        <v>0</v>
      </c>
    </row>
    <row r="301" spans="1:30" ht="15" customHeight="1" x14ac:dyDescent="0.25">
      <c r="A301" s="282" t="s">
        <v>259</v>
      </c>
      <c r="B301" s="282" t="s">
        <v>259</v>
      </c>
      <c r="C301" s="282" t="s">
        <v>259</v>
      </c>
      <c r="D301" s="283" t="s">
        <v>546</v>
      </c>
      <c r="E301" s="403" t="s">
        <v>262</v>
      </c>
      <c r="F301" s="403" t="s">
        <v>263</v>
      </c>
      <c r="G301" s="284" t="s">
        <v>264</v>
      </c>
      <c r="H301" s="284" t="s">
        <v>265</v>
      </c>
      <c r="I301" s="283">
        <v>1</v>
      </c>
      <c r="J301" s="284" t="s">
        <v>156</v>
      </c>
      <c r="K301" s="283" t="s">
        <v>266</v>
      </c>
      <c r="L301" s="286" t="s">
        <v>158</v>
      </c>
      <c r="M301" s="287">
        <v>2400</v>
      </c>
      <c r="N301" s="287"/>
      <c r="O301" s="287"/>
      <c r="P301" s="287"/>
      <c r="Q301" s="288">
        <v>73.7</v>
      </c>
      <c r="R301" s="288">
        <v>73.599999999999994</v>
      </c>
      <c r="S301" s="288">
        <v>3.9199999999999999E-2</v>
      </c>
      <c r="T301" s="288">
        <v>1.03E-4</v>
      </c>
      <c r="U301" s="288">
        <v>0</v>
      </c>
      <c r="V301" s="289">
        <v>73.639302999999984</v>
      </c>
      <c r="W301" s="289">
        <v>0</v>
      </c>
      <c r="X301" s="288">
        <v>7.3700000000000002E-2</v>
      </c>
      <c r="Y301" s="288">
        <v>7.3599999999999999E-2</v>
      </c>
      <c r="Z301" s="288">
        <v>3.9199999999999997E-5</v>
      </c>
      <c r="AA301" s="288">
        <v>1.03E-7</v>
      </c>
      <c r="AB301" s="288">
        <v>0</v>
      </c>
      <c r="AC301" s="289">
        <v>7.3639303000000003E-2</v>
      </c>
      <c r="AD301" s="289">
        <v>0</v>
      </c>
    </row>
    <row r="302" spans="1:30" ht="15" customHeight="1" x14ac:dyDescent="0.25">
      <c r="A302" s="282" t="s">
        <v>259</v>
      </c>
      <c r="B302" s="282" t="s">
        <v>259</v>
      </c>
      <c r="C302" s="282" t="s">
        <v>259</v>
      </c>
      <c r="D302" s="283" t="s">
        <v>547</v>
      </c>
      <c r="E302" s="403" t="s">
        <v>273</v>
      </c>
      <c r="F302" s="403" t="s">
        <v>274</v>
      </c>
      <c r="G302" s="284" t="s">
        <v>286</v>
      </c>
      <c r="H302" s="284" t="s">
        <v>275</v>
      </c>
      <c r="I302" s="283">
        <v>1</v>
      </c>
      <c r="J302" s="284" t="s">
        <v>156</v>
      </c>
      <c r="K302" s="283" t="s">
        <v>276</v>
      </c>
      <c r="L302" s="286" t="s">
        <v>158</v>
      </c>
      <c r="M302" s="287">
        <v>2400</v>
      </c>
      <c r="N302" s="287"/>
      <c r="O302" s="287"/>
      <c r="P302" s="287"/>
      <c r="Q302" s="288">
        <v>60.4</v>
      </c>
      <c r="R302" s="288">
        <v>60.3</v>
      </c>
      <c r="S302" s="288">
        <v>4.7800000000000002E-2</v>
      </c>
      <c r="T302" s="288">
        <v>7.0400000000000004E-5</v>
      </c>
      <c r="U302" s="288">
        <v>0</v>
      </c>
      <c r="V302" s="289">
        <v>60.347870399999998</v>
      </c>
      <c r="W302" s="289">
        <v>0</v>
      </c>
      <c r="X302" s="288">
        <v>6.0399999999999995E-2</v>
      </c>
      <c r="Y302" s="288">
        <v>6.0299999999999999E-2</v>
      </c>
      <c r="Z302" s="288">
        <v>4.7800000000000003E-5</v>
      </c>
      <c r="AA302" s="288">
        <v>7.0400000000000008E-8</v>
      </c>
      <c r="AB302" s="288">
        <v>0</v>
      </c>
      <c r="AC302" s="289">
        <v>6.0347870400000003E-2</v>
      </c>
      <c r="AD302" s="289">
        <v>0</v>
      </c>
    </row>
    <row r="303" spans="1:30" ht="15" customHeight="1" x14ac:dyDescent="0.25">
      <c r="A303" s="282" t="s">
        <v>259</v>
      </c>
      <c r="B303" s="282" t="s">
        <v>259</v>
      </c>
      <c r="C303" s="282" t="s">
        <v>259</v>
      </c>
      <c r="D303" s="283" t="s">
        <v>548</v>
      </c>
      <c r="E303" s="403" t="s">
        <v>273</v>
      </c>
      <c r="F303" s="403" t="s">
        <v>274</v>
      </c>
      <c r="G303" s="284" t="s">
        <v>281</v>
      </c>
      <c r="H303" s="284" t="s">
        <v>275</v>
      </c>
      <c r="I303" s="283">
        <v>1</v>
      </c>
      <c r="J303" s="284" t="s">
        <v>156</v>
      </c>
      <c r="K303" s="283" t="s">
        <v>276</v>
      </c>
      <c r="L303" s="286" t="s">
        <v>158</v>
      </c>
      <c r="M303" s="287">
        <v>2400</v>
      </c>
      <c r="N303" s="287"/>
      <c r="O303" s="287"/>
      <c r="P303" s="287"/>
      <c r="Q303" s="288">
        <v>61.8</v>
      </c>
      <c r="R303" s="288">
        <v>61.6</v>
      </c>
      <c r="S303" s="288">
        <v>0.14599999999999999</v>
      </c>
      <c r="T303" s="288">
        <v>8.9900000000000003E-5</v>
      </c>
      <c r="U303" s="288">
        <v>0</v>
      </c>
      <c r="V303" s="289">
        <v>61.746089900000001</v>
      </c>
      <c r="W303" s="289">
        <v>0</v>
      </c>
      <c r="X303" s="288">
        <v>6.1799999999999994E-2</v>
      </c>
      <c r="Y303" s="288">
        <v>6.1600000000000002E-2</v>
      </c>
      <c r="Z303" s="288">
        <v>1.46E-4</v>
      </c>
      <c r="AA303" s="288">
        <v>8.9900000000000004E-8</v>
      </c>
      <c r="AB303" s="288">
        <v>0</v>
      </c>
      <c r="AC303" s="289">
        <v>6.1746089900000002E-2</v>
      </c>
      <c r="AD303" s="289">
        <v>0</v>
      </c>
    </row>
    <row r="304" spans="1:30" ht="15" customHeight="1" x14ac:dyDescent="0.25">
      <c r="A304" s="282" t="s">
        <v>259</v>
      </c>
      <c r="B304" s="282" t="s">
        <v>259</v>
      </c>
      <c r="C304" s="282" t="s">
        <v>259</v>
      </c>
      <c r="D304" s="283" t="s">
        <v>549</v>
      </c>
      <c r="E304" s="403" t="s">
        <v>273</v>
      </c>
      <c r="F304" s="403" t="s">
        <v>274</v>
      </c>
      <c r="G304" s="284" t="s">
        <v>281</v>
      </c>
      <c r="H304" s="284" t="s">
        <v>275</v>
      </c>
      <c r="I304" s="283">
        <v>1</v>
      </c>
      <c r="J304" s="284" t="s">
        <v>156</v>
      </c>
      <c r="K304" s="283" t="s">
        <v>276</v>
      </c>
      <c r="L304" s="286" t="s">
        <v>158</v>
      </c>
      <c r="M304" s="287">
        <v>2400</v>
      </c>
      <c r="N304" s="287"/>
      <c r="O304" s="287"/>
      <c r="P304" s="287"/>
      <c r="Q304" s="288">
        <v>61.8</v>
      </c>
      <c r="R304" s="288">
        <v>61.6</v>
      </c>
      <c r="S304" s="288">
        <v>0.14599999999999999</v>
      </c>
      <c r="T304" s="288">
        <v>8.9900000000000003E-5</v>
      </c>
      <c r="U304" s="288">
        <v>0</v>
      </c>
      <c r="V304" s="289">
        <v>61.746089900000001</v>
      </c>
      <c r="W304" s="289">
        <v>0</v>
      </c>
      <c r="X304" s="288">
        <v>6.1799999999999994E-2</v>
      </c>
      <c r="Y304" s="288">
        <v>6.1600000000000002E-2</v>
      </c>
      <c r="Z304" s="288">
        <v>1.46E-4</v>
      </c>
      <c r="AA304" s="288">
        <v>8.9900000000000004E-8</v>
      </c>
      <c r="AB304" s="288">
        <v>0</v>
      </c>
      <c r="AC304" s="289">
        <v>6.1746089900000002E-2</v>
      </c>
      <c r="AD304" s="289">
        <v>0</v>
      </c>
    </row>
    <row r="305" spans="1:30" ht="15" customHeight="1" x14ac:dyDescent="0.25">
      <c r="A305" s="282" t="s">
        <v>259</v>
      </c>
      <c r="B305" s="282" t="s">
        <v>259</v>
      </c>
      <c r="C305" s="282" t="s">
        <v>259</v>
      </c>
      <c r="D305" s="283" t="s">
        <v>550</v>
      </c>
      <c r="E305" s="403" t="s">
        <v>273</v>
      </c>
      <c r="F305" s="403" t="s">
        <v>274</v>
      </c>
      <c r="G305" s="284" t="s">
        <v>286</v>
      </c>
      <c r="H305" s="284" t="s">
        <v>275</v>
      </c>
      <c r="I305" s="283">
        <v>1</v>
      </c>
      <c r="J305" s="284" t="s">
        <v>156</v>
      </c>
      <c r="K305" s="283" t="s">
        <v>276</v>
      </c>
      <c r="L305" s="286" t="s">
        <v>158</v>
      </c>
      <c r="M305" s="287">
        <v>2400</v>
      </c>
      <c r="N305" s="287"/>
      <c r="O305" s="287"/>
      <c r="P305" s="287"/>
      <c r="Q305" s="288">
        <v>54.8</v>
      </c>
      <c r="R305" s="288">
        <v>54.7</v>
      </c>
      <c r="S305" s="288">
        <v>4.9099999999999998E-2</v>
      </c>
      <c r="T305" s="288">
        <v>7.0300000000000001E-5</v>
      </c>
      <c r="U305" s="288">
        <v>0</v>
      </c>
      <c r="V305" s="289">
        <v>54.749170300000003</v>
      </c>
      <c r="W305" s="289">
        <v>0</v>
      </c>
      <c r="X305" s="288">
        <v>5.4799999999999995E-2</v>
      </c>
      <c r="Y305" s="288">
        <v>5.4700000000000006E-2</v>
      </c>
      <c r="Z305" s="288">
        <v>4.9100000000000001E-5</v>
      </c>
      <c r="AA305" s="288">
        <v>7.0300000000000001E-8</v>
      </c>
      <c r="AB305" s="288">
        <v>0</v>
      </c>
      <c r="AC305" s="289">
        <v>5.4749170300000011E-2</v>
      </c>
      <c r="AD305" s="289">
        <v>0</v>
      </c>
    </row>
    <row r="306" spans="1:30" ht="15" customHeight="1" x14ac:dyDescent="0.25">
      <c r="A306" s="282" t="s">
        <v>259</v>
      </c>
      <c r="B306" s="282" t="s">
        <v>259</v>
      </c>
      <c r="C306" s="282" t="s">
        <v>259</v>
      </c>
      <c r="D306" s="283" t="s">
        <v>551</v>
      </c>
      <c r="E306" s="403" t="s">
        <v>262</v>
      </c>
      <c r="F306" s="403" t="s">
        <v>263</v>
      </c>
      <c r="G306" s="284" t="s">
        <v>264</v>
      </c>
      <c r="H306" s="284" t="s">
        <v>265</v>
      </c>
      <c r="I306" s="283">
        <v>1</v>
      </c>
      <c r="J306" s="284" t="s">
        <v>156</v>
      </c>
      <c r="K306" s="283" t="s">
        <v>266</v>
      </c>
      <c r="L306" s="286" t="s">
        <v>158</v>
      </c>
      <c r="M306" s="287">
        <v>2400</v>
      </c>
      <c r="N306" s="287"/>
      <c r="O306" s="287"/>
      <c r="P306" s="287"/>
      <c r="Q306" s="288">
        <v>61.4</v>
      </c>
      <c r="R306" s="288">
        <v>61.3</v>
      </c>
      <c r="S306" s="288">
        <v>4.19E-2</v>
      </c>
      <c r="T306" s="288">
        <v>1.01E-4</v>
      </c>
      <c r="U306" s="288">
        <v>0</v>
      </c>
      <c r="V306" s="289">
        <v>61.342000999999996</v>
      </c>
      <c r="W306" s="289">
        <v>0</v>
      </c>
      <c r="X306" s="288">
        <v>6.1399999999999996E-2</v>
      </c>
      <c r="Y306" s="288">
        <v>6.13E-2</v>
      </c>
      <c r="Z306" s="288">
        <v>4.1900000000000002E-5</v>
      </c>
      <c r="AA306" s="288">
        <v>1.01E-7</v>
      </c>
      <c r="AB306" s="288">
        <v>0</v>
      </c>
      <c r="AC306" s="289">
        <v>6.1342001E-2</v>
      </c>
      <c r="AD306" s="289">
        <v>0</v>
      </c>
    </row>
    <row r="307" spans="1:30" ht="15" customHeight="1" x14ac:dyDescent="0.25">
      <c r="A307" s="282" t="s">
        <v>259</v>
      </c>
      <c r="B307" s="282" t="s">
        <v>259</v>
      </c>
      <c r="C307" s="282" t="s">
        <v>259</v>
      </c>
      <c r="D307" s="283" t="s">
        <v>552</v>
      </c>
      <c r="E307" s="403" t="s">
        <v>262</v>
      </c>
      <c r="F307" s="403" t="s">
        <v>263</v>
      </c>
      <c r="G307" s="284" t="s">
        <v>264</v>
      </c>
      <c r="H307" s="284" t="s">
        <v>265</v>
      </c>
      <c r="I307" s="283">
        <v>1</v>
      </c>
      <c r="J307" s="284" t="s">
        <v>156</v>
      </c>
      <c r="K307" s="283" t="s">
        <v>266</v>
      </c>
      <c r="L307" s="286" t="s">
        <v>158</v>
      </c>
      <c r="M307" s="287">
        <v>2400</v>
      </c>
      <c r="N307" s="287"/>
      <c r="O307" s="287"/>
      <c r="P307" s="287"/>
      <c r="Q307" s="288">
        <v>64.599999999999994</v>
      </c>
      <c r="R307" s="288">
        <v>64.5</v>
      </c>
      <c r="S307" s="288">
        <v>3.6999999999999998E-2</v>
      </c>
      <c r="T307" s="288">
        <v>6.8300000000000007E-5</v>
      </c>
      <c r="U307" s="288">
        <v>0</v>
      </c>
      <c r="V307" s="289">
        <v>64.537068300000001</v>
      </c>
      <c r="W307" s="289">
        <v>0</v>
      </c>
      <c r="X307" s="288">
        <v>6.4599999999999991E-2</v>
      </c>
      <c r="Y307" s="288">
        <v>6.4500000000000002E-2</v>
      </c>
      <c r="Z307" s="288">
        <v>3.6999999999999998E-5</v>
      </c>
      <c r="AA307" s="288">
        <v>6.8300000000000009E-8</v>
      </c>
      <c r="AB307" s="288">
        <v>0</v>
      </c>
      <c r="AC307" s="289">
        <v>6.45370683E-2</v>
      </c>
      <c r="AD307" s="289">
        <v>0</v>
      </c>
    </row>
    <row r="308" spans="1:30" ht="15" customHeight="1" x14ac:dyDescent="0.25">
      <c r="A308" s="282" t="s">
        <v>259</v>
      </c>
      <c r="B308" s="282" t="s">
        <v>259</v>
      </c>
      <c r="C308" s="282" t="s">
        <v>259</v>
      </c>
      <c r="D308" s="283" t="s">
        <v>553</v>
      </c>
      <c r="E308" s="403" t="s">
        <v>273</v>
      </c>
      <c r="F308" s="403" t="s">
        <v>274</v>
      </c>
      <c r="G308" s="284" t="s">
        <v>283</v>
      </c>
      <c r="H308" s="284" t="s">
        <v>275</v>
      </c>
      <c r="I308" s="283">
        <v>1</v>
      </c>
      <c r="J308" s="284" t="s">
        <v>156</v>
      </c>
      <c r="K308" s="283" t="s">
        <v>276</v>
      </c>
      <c r="L308" s="286" t="s">
        <v>158</v>
      </c>
      <c r="M308" s="287">
        <v>2400</v>
      </c>
      <c r="N308" s="287"/>
      <c r="O308" s="287"/>
      <c r="P308" s="287"/>
      <c r="Q308" s="288">
        <v>58</v>
      </c>
      <c r="R308" s="288">
        <v>57.9</v>
      </c>
      <c r="S308" s="288">
        <v>4.1500000000000002E-2</v>
      </c>
      <c r="T308" s="288">
        <v>8.0099999999999995E-5</v>
      </c>
      <c r="U308" s="288">
        <v>0</v>
      </c>
      <c r="V308" s="289">
        <v>57.941580099999996</v>
      </c>
      <c r="W308" s="289">
        <v>0</v>
      </c>
      <c r="X308" s="288">
        <v>5.8000000000000003E-2</v>
      </c>
      <c r="Y308" s="288">
        <v>5.79E-2</v>
      </c>
      <c r="Z308" s="288">
        <v>4.1499999999999999E-5</v>
      </c>
      <c r="AA308" s="288">
        <v>8.0099999999999996E-8</v>
      </c>
      <c r="AB308" s="288">
        <v>0</v>
      </c>
      <c r="AC308" s="289">
        <v>5.7941580100000001E-2</v>
      </c>
      <c r="AD308" s="289">
        <v>0</v>
      </c>
    </row>
    <row r="309" spans="1:30" ht="15" customHeight="1" x14ac:dyDescent="0.25">
      <c r="A309" s="282" t="s">
        <v>259</v>
      </c>
      <c r="B309" s="282" t="s">
        <v>259</v>
      </c>
      <c r="C309" s="282" t="s">
        <v>259</v>
      </c>
      <c r="D309" s="283" t="s">
        <v>554</v>
      </c>
      <c r="E309" s="403" t="s">
        <v>262</v>
      </c>
      <c r="F309" s="403" t="s">
        <v>263</v>
      </c>
      <c r="G309" s="284" t="s">
        <v>264</v>
      </c>
      <c r="H309" s="284" t="s">
        <v>265</v>
      </c>
      <c r="I309" s="283">
        <v>1</v>
      </c>
      <c r="J309" s="284" t="s">
        <v>156</v>
      </c>
      <c r="K309" s="283" t="s">
        <v>266</v>
      </c>
      <c r="L309" s="286" t="s">
        <v>158</v>
      </c>
      <c r="M309" s="287">
        <v>2400</v>
      </c>
      <c r="N309" s="287"/>
      <c r="O309" s="287"/>
      <c r="P309" s="287"/>
      <c r="Q309" s="288">
        <v>58</v>
      </c>
      <c r="R309" s="288">
        <v>57.9</v>
      </c>
      <c r="S309" s="288">
        <v>3.9199999999999999E-2</v>
      </c>
      <c r="T309" s="288">
        <v>8.6399999999999999E-5</v>
      </c>
      <c r="U309" s="288">
        <v>0</v>
      </c>
      <c r="V309" s="289">
        <v>57.9392864</v>
      </c>
      <c r="W309" s="289">
        <v>0</v>
      </c>
      <c r="X309" s="288">
        <v>5.8000000000000003E-2</v>
      </c>
      <c r="Y309" s="288">
        <v>5.79E-2</v>
      </c>
      <c r="Z309" s="288">
        <v>3.9199999999999997E-5</v>
      </c>
      <c r="AA309" s="288">
        <v>8.6400000000000006E-8</v>
      </c>
      <c r="AB309" s="288">
        <v>0</v>
      </c>
      <c r="AC309" s="289">
        <v>5.7939286400000005E-2</v>
      </c>
      <c r="AD309" s="289">
        <v>0</v>
      </c>
    </row>
    <row r="310" spans="1:30" ht="15" customHeight="1" x14ac:dyDescent="0.25">
      <c r="A310" s="282" t="s">
        <v>259</v>
      </c>
      <c r="B310" s="282" t="s">
        <v>259</v>
      </c>
      <c r="C310" s="282" t="s">
        <v>259</v>
      </c>
      <c r="D310" s="283" t="s">
        <v>555</v>
      </c>
      <c r="E310" s="403" t="s">
        <v>273</v>
      </c>
      <c r="F310" s="403" t="s">
        <v>274</v>
      </c>
      <c r="G310" s="284" t="s">
        <v>316</v>
      </c>
      <c r="H310" s="284" t="s">
        <v>275</v>
      </c>
      <c r="I310" s="283">
        <v>1</v>
      </c>
      <c r="J310" s="284" t="s">
        <v>156</v>
      </c>
      <c r="K310" s="283" t="s">
        <v>276</v>
      </c>
      <c r="L310" s="286" t="s">
        <v>158</v>
      </c>
      <c r="M310" s="287">
        <v>2400</v>
      </c>
      <c r="N310" s="287"/>
      <c r="O310" s="287"/>
      <c r="P310" s="287"/>
      <c r="Q310" s="288">
        <v>53.6</v>
      </c>
      <c r="R310" s="288">
        <v>53.5</v>
      </c>
      <c r="S310" s="288">
        <v>4.3099999999999999E-2</v>
      </c>
      <c r="T310" s="288">
        <v>7.1400000000000001E-5</v>
      </c>
      <c r="U310" s="288">
        <v>0</v>
      </c>
      <c r="V310" s="289">
        <v>53.543171400000006</v>
      </c>
      <c r="W310" s="289">
        <v>0</v>
      </c>
      <c r="X310" s="288">
        <v>5.3600000000000002E-2</v>
      </c>
      <c r="Y310" s="288">
        <v>5.3499999999999999E-2</v>
      </c>
      <c r="Z310" s="288">
        <v>4.3099999999999997E-5</v>
      </c>
      <c r="AA310" s="288">
        <v>7.1400000000000004E-8</v>
      </c>
      <c r="AB310" s="288">
        <v>0</v>
      </c>
      <c r="AC310" s="289">
        <v>5.3543171399999999E-2</v>
      </c>
      <c r="AD310" s="289">
        <v>0</v>
      </c>
    </row>
    <row r="311" spans="1:30" ht="15" customHeight="1" x14ac:dyDescent="0.25">
      <c r="A311" s="282" t="s">
        <v>259</v>
      </c>
      <c r="B311" s="282" t="s">
        <v>259</v>
      </c>
      <c r="C311" s="282" t="s">
        <v>260</v>
      </c>
      <c r="D311" s="283" t="s">
        <v>556</v>
      </c>
      <c r="E311" s="403">
        <v>43840</v>
      </c>
      <c r="F311" s="403" t="s">
        <v>318</v>
      </c>
      <c r="G311" s="284" t="s">
        <v>316</v>
      </c>
      <c r="H311" s="284" t="s">
        <v>319</v>
      </c>
      <c r="I311" s="283">
        <v>0</v>
      </c>
      <c r="J311" s="284" t="s">
        <v>156</v>
      </c>
      <c r="K311" s="283" t="s">
        <v>320</v>
      </c>
      <c r="L311" s="286" t="s">
        <v>321</v>
      </c>
      <c r="M311" s="287">
        <v>2400</v>
      </c>
      <c r="N311" s="287"/>
      <c r="O311" s="287"/>
      <c r="P311" s="287"/>
      <c r="Q311" s="288">
        <v>5.3</v>
      </c>
      <c r="R311" s="288">
        <v>5.29</v>
      </c>
      <c r="S311" s="288">
        <v>4.2900000000000004E-3</v>
      </c>
      <c r="T311" s="288">
        <v>4.6300000000000001E-5</v>
      </c>
      <c r="U311" s="288">
        <v>0</v>
      </c>
      <c r="V311" s="289">
        <v>5.2943363000000003</v>
      </c>
      <c r="W311" s="289">
        <v>0</v>
      </c>
      <c r="X311" s="288" t="s">
        <v>159</v>
      </c>
      <c r="Y311" s="288" t="s">
        <v>159</v>
      </c>
      <c r="Z311" s="288" t="s">
        <v>159</v>
      </c>
      <c r="AA311" s="288" t="s">
        <v>159</v>
      </c>
      <c r="AB311" s="288" t="s">
        <v>159</v>
      </c>
      <c r="AC311" s="289">
        <v>0</v>
      </c>
      <c r="AD311" s="289">
        <v>0</v>
      </c>
    </row>
    <row r="312" spans="1:30" ht="15" customHeight="1" x14ac:dyDescent="0.25">
      <c r="A312" s="282" t="s">
        <v>259</v>
      </c>
      <c r="B312" s="282" t="s">
        <v>259</v>
      </c>
      <c r="C312" s="282" t="s">
        <v>259</v>
      </c>
      <c r="D312" s="283" t="s">
        <v>557</v>
      </c>
      <c r="E312" s="403" t="s">
        <v>262</v>
      </c>
      <c r="F312" s="403" t="s">
        <v>263</v>
      </c>
      <c r="G312" s="284" t="s">
        <v>286</v>
      </c>
      <c r="H312" s="284" t="s">
        <v>287</v>
      </c>
      <c r="I312" s="283">
        <v>1</v>
      </c>
      <c r="J312" s="284" t="s">
        <v>156</v>
      </c>
      <c r="K312" s="283" t="s">
        <v>288</v>
      </c>
      <c r="L312" s="286" t="s">
        <v>158</v>
      </c>
      <c r="M312" s="287">
        <v>2400</v>
      </c>
      <c r="N312" s="287"/>
      <c r="O312" s="287"/>
      <c r="P312" s="287"/>
      <c r="Q312" s="288">
        <v>64.7</v>
      </c>
      <c r="R312" s="288">
        <v>64.599999999999994</v>
      </c>
      <c r="S312" s="288">
        <v>2.8799999999999999E-2</v>
      </c>
      <c r="T312" s="288">
        <v>1.7100000000000001E-4</v>
      </c>
      <c r="U312" s="288">
        <v>0</v>
      </c>
      <c r="V312" s="289">
        <v>64.628970999999993</v>
      </c>
      <c r="W312" s="289">
        <v>0</v>
      </c>
      <c r="X312" s="288">
        <v>6.4700000000000008E-2</v>
      </c>
      <c r="Y312" s="288">
        <v>6.4599999999999991E-2</v>
      </c>
      <c r="Z312" s="288">
        <v>2.8799999999999999E-5</v>
      </c>
      <c r="AA312" s="288">
        <v>1.7100000000000001E-7</v>
      </c>
      <c r="AB312" s="288">
        <v>0</v>
      </c>
      <c r="AC312" s="289">
        <v>6.462897099999998E-2</v>
      </c>
      <c r="AD312" s="289">
        <v>0</v>
      </c>
    </row>
    <row r="313" spans="1:30" ht="15" customHeight="1" x14ac:dyDescent="0.25">
      <c r="A313" s="282" t="s">
        <v>259</v>
      </c>
      <c r="B313" s="282" t="s">
        <v>259</v>
      </c>
      <c r="C313" s="282" t="s">
        <v>259</v>
      </c>
      <c r="D313" s="283" t="s">
        <v>558</v>
      </c>
      <c r="E313" s="403" t="s">
        <v>262</v>
      </c>
      <c r="F313" s="403" t="s">
        <v>263</v>
      </c>
      <c r="G313" s="284" t="s">
        <v>286</v>
      </c>
      <c r="H313" s="284" t="s">
        <v>287</v>
      </c>
      <c r="I313" s="283">
        <v>1</v>
      </c>
      <c r="J313" s="284" t="s">
        <v>156</v>
      </c>
      <c r="K313" s="283" t="s">
        <v>288</v>
      </c>
      <c r="L313" s="286" t="s">
        <v>158</v>
      </c>
      <c r="M313" s="287">
        <v>2400</v>
      </c>
      <c r="N313" s="287"/>
      <c r="O313" s="287"/>
      <c r="P313" s="287"/>
      <c r="Q313" s="288">
        <v>62.4</v>
      </c>
      <c r="R313" s="288">
        <v>62.3</v>
      </c>
      <c r="S313" s="288">
        <v>2.8000000000000001E-2</v>
      </c>
      <c r="T313" s="288">
        <v>1.5899999999999999E-4</v>
      </c>
      <c r="U313" s="288">
        <v>0</v>
      </c>
      <c r="V313" s="289">
        <v>62.328158999999992</v>
      </c>
      <c r="W313" s="289">
        <v>0</v>
      </c>
      <c r="X313" s="288">
        <v>6.2399999999999997E-2</v>
      </c>
      <c r="Y313" s="288">
        <v>6.2299999999999994E-2</v>
      </c>
      <c r="Z313" s="288">
        <v>2.8E-5</v>
      </c>
      <c r="AA313" s="288">
        <v>1.5899999999999998E-7</v>
      </c>
      <c r="AB313" s="288">
        <v>0</v>
      </c>
      <c r="AC313" s="289">
        <v>6.2328158999999994E-2</v>
      </c>
      <c r="AD313" s="289">
        <v>0</v>
      </c>
    </row>
    <row r="314" spans="1:30" ht="15" customHeight="1" x14ac:dyDescent="0.25">
      <c r="A314" s="282" t="s">
        <v>259</v>
      </c>
      <c r="B314" s="282" t="s">
        <v>259</v>
      </c>
      <c r="C314" s="282" t="s">
        <v>259</v>
      </c>
      <c r="D314" s="283" t="s">
        <v>559</v>
      </c>
      <c r="E314" s="403" t="s">
        <v>273</v>
      </c>
      <c r="F314" s="403" t="s">
        <v>274</v>
      </c>
      <c r="G314" s="284" t="s">
        <v>281</v>
      </c>
      <c r="H314" s="284" t="s">
        <v>275</v>
      </c>
      <c r="I314" s="283">
        <v>1</v>
      </c>
      <c r="J314" s="284" t="s">
        <v>156</v>
      </c>
      <c r="K314" s="283" t="s">
        <v>276</v>
      </c>
      <c r="L314" s="286" t="s">
        <v>158</v>
      </c>
      <c r="M314" s="287">
        <v>2400</v>
      </c>
      <c r="N314" s="287"/>
      <c r="O314" s="287"/>
      <c r="P314" s="287"/>
      <c r="Q314" s="288">
        <v>63.9</v>
      </c>
      <c r="R314" s="288">
        <v>63.1</v>
      </c>
      <c r="S314" s="288">
        <v>0.72399999999999998</v>
      </c>
      <c r="T314" s="288">
        <v>1.2099999999999999E-3</v>
      </c>
      <c r="U314" s="288">
        <v>0</v>
      </c>
      <c r="V314" s="289">
        <v>63.825209999999998</v>
      </c>
      <c r="W314" s="289">
        <v>0</v>
      </c>
      <c r="X314" s="288">
        <v>6.3899999999999998E-2</v>
      </c>
      <c r="Y314" s="288">
        <v>6.3100000000000003E-2</v>
      </c>
      <c r="Z314" s="288">
        <v>7.2399999999999993E-4</v>
      </c>
      <c r="AA314" s="288">
        <v>1.2099999999999998E-6</v>
      </c>
      <c r="AB314" s="288">
        <v>0</v>
      </c>
      <c r="AC314" s="289">
        <v>6.3825210000000007E-2</v>
      </c>
      <c r="AD314" s="289">
        <v>0</v>
      </c>
    </row>
    <row r="315" spans="1:30" ht="15" customHeight="1" x14ac:dyDescent="0.25">
      <c r="A315" s="282" t="s">
        <v>259</v>
      </c>
      <c r="B315" s="282" t="s">
        <v>259</v>
      </c>
      <c r="C315" s="282" t="s">
        <v>259</v>
      </c>
      <c r="D315" s="283" t="s">
        <v>560</v>
      </c>
      <c r="E315" s="403" t="s">
        <v>273</v>
      </c>
      <c r="F315" s="403" t="s">
        <v>274</v>
      </c>
      <c r="G315" s="284" t="s">
        <v>286</v>
      </c>
      <c r="H315" s="284" t="s">
        <v>275</v>
      </c>
      <c r="I315" s="283">
        <v>1</v>
      </c>
      <c r="J315" s="284" t="s">
        <v>156</v>
      </c>
      <c r="K315" s="283" t="s">
        <v>276</v>
      </c>
      <c r="L315" s="286" t="s">
        <v>158</v>
      </c>
      <c r="M315" s="287">
        <v>2400</v>
      </c>
      <c r="N315" s="287"/>
      <c r="O315" s="287"/>
      <c r="P315" s="287"/>
      <c r="Q315" s="288">
        <v>49.1</v>
      </c>
      <c r="R315" s="288">
        <v>49</v>
      </c>
      <c r="S315" s="288">
        <v>4.1099999999999998E-2</v>
      </c>
      <c r="T315" s="288">
        <v>5.8900000000000002E-5</v>
      </c>
      <c r="U315" s="288">
        <v>0</v>
      </c>
      <c r="V315" s="289">
        <v>49.041158899999999</v>
      </c>
      <c r="W315" s="289">
        <v>0</v>
      </c>
      <c r="X315" s="288">
        <v>4.9100000000000005E-2</v>
      </c>
      <c r="Y315" s="288">
        <v>4.9000000000000002E-2</v>
      </c>
      <c r="Z315" s="288">
        <v>4.1099999999999996E-5</v>
      </c>
      <c r="AA315" s="288">
        <v>5.8900000000000005E-8</v>
      </c>
      <c r="AB315" s="288">
        <v>0</v>
      </c>
      <c r="AC315" s="289">
        <v>4.9041158900000006E-2</v>
      </c>
      <c r="AD315" s="289">
        <v>0</v>
      </c>
    </row>
    <row r="316" spans="1:30" ht="15" customHeight="1" x14ac:dyDescent="0.25">
      <c r="A316" s="282" t="s">
        <v>259</v>
      </c>
      <c r="B316" s="282" t="s">
        <v>259</v>
      </c>
      <c r="C316" s="282" t="s">
        <v>259</v>
      </c>
      <c r="D316" s="283" t="s">
        <v>561</v>
      </c>
      <c r="E316" s="403" t="s">
        <v>262</v>
      </c>
      <c r="F316" s="403" t="s">
        <v>263</v>
      </c>
      <c r="G316" s="284" t="s">
        <v>286</v>
      </c>
      <c r="H316" s="284" t="s">
        <v>287</v>
      </c>
      <c r="I316" s="283">
        <v>1</v>
      </c>
      <c r="J316" s="284" t="s">
        <v>156</v>
      </c>
      <c r="K316" s="283" t="s">
        <v>288</v>
      </c>
      <c r="L316" s="286" t="s">
        <v>158</v>
      </c>
      <c r="M316" s="287">
        <v>2400</v>
      </c>
      <c r="N316" s="287"/>
      <c r="O316" s="287"/>
      <c r="P316" s="287"/>
      <c r="Q316" s="288">
        <v>60.2</v>
      </c>
      <c r="R316" s="288">
        <v>60.1</v>
      </c>
      <c r="S316" s="288">
        <v>2.75E-2</v>
      </c>
      <c r="T316" s="288">
        <v>1.3300000000000001E-4</v>
      </c>
      <c r="U316" s="288">
        <v>0</v>
      </c>
      <c r="V316" s="289">
        <v>60.127633000000003</v>
      </c>
      <c r="W316" s="289">
        <v>0</v>
      </c>
      <c r="X316" s="288">
        <v>6.0200000000000004E-2</v>
      </c>
      <c r="Y316" s="288">
        <v>6.0100000000000001E-2</v>
      </c>
      <c r="Z316" s="288">
        <v>2.7500000000000001E-5</v>
      </c>
      <c r="AA316" s="288">
        <v>1.3300000000000001E-7</v>
      </c>
      <c r="AB316" s="288">
        <v>0</v>
      </c>
      <c r="AC316" s="289">
        <v>6.0127633E-2</v>
      </c>
      <c r="AD316" s="289">
        <v>0</v>
      </c>
    </row>
    <row r="317" spans="1:30" ht="15" customHeight="1" x14ac:dyDescent="0.25">
      <c r="A317" s="282" t="s">
        <v>259</v>
      </c>
      <c r="B317" s="282" t="s">
        <v>259</v>
      </c>
      <c r="C317" s="282" t="s">
        <v>259</v>
      </c>
      <c r="D317" s="283" t="s">
        <v>562</v>
      </c>
      <c r="E317" s="403" t="s">
        <v>262</v>
      </c>
      <c r="F317" s="403" t="s">
        <v>263</v>
      </c>
      <c r="G317" s="284" t="s">
        <v>286</v>
      </c>
      <c r="H317" s="284" t="s">
        <v>287</v>
      </c>
      <c r="I317" s="283">
        <v>1</v>
      </c>
      <c r="J317" s="284" t="s">
        <v>156</v>
      </c>
      <c r="K317" s="283" t="s">
        <v>288</v>
      </c>
      <c r="L317" s="286" t="s">
        <v>158</v>
      </c>
      <c r="M317" s="287">
        <v>2400</v>
      </c>
      <c r="N317" s="287"/>
      <c r="O317" s="287"/>
      <c r="P317" s="287"/>
      <c r="Q317" s="288">
        <v>63.9</v>
      </c>
      <c r="R317" s="288">
        <v>63.8</v>
      </c>
      <c r="S317" s="288">
        <v>1.89E-2</v>
      </c>
      <c r="T317" s="288">
        <v>1.9699999999999999E-4</v>
      </c>
      <c r="U317" s="288">
        <v>0</v>
      </c>
      <c r="V317" s="289">
        <v>63.819096999999999</v>
      </c>
      <c r="W317" s="289">
        <v>0</v>
      </c>
      <c r="X317" s="288">
        <v>6.3899999999999998E-2</v>
      </c>
      <c r="Y317" s="288">
        <v>6.3799999999999996E-2</v>
      </c>
      <c r="Z317" s="288">
        <v>1.8899999999999999E-5</v>
      </c>
      <c r="AA317" s="288">
        <v>1.97E-7</v>
      </c>
      <c r="AB317" s="288">
        <v>0</v>
      </c>
      <c r="AC317" s="289">
        <v>6.3819096999999991E-2</v>
      </c>
      <c r="AD317" s="289">
        <v>0</v>
      </c>
    </row>
    <row r="318" spans="1:30" ht="15" customHeight="1" x14ac:dyDescent="0.25">
      <c r="A318" s="282" t="s">
        <v>259</v>
      </c>
      <c r="B318" s="282" t="s">
        <v>259</v>
      </c>
      <c r="C318" s="282" t="s">
        <v>259</v>
      </c>
      <c r="D318" s="283" t="s">
        <v>563</v>
      </c>
      <c r="E318" s="403" t="s">
        <v>262</v>
      </c>
      <c r="F318" s="403" t="s">
        <v>263</v>
      </c>
      <c r="G318" s="284" t="s">
        <v>286</v>
      </c>
      <c r="H318" s="284" t="s">
        <v>287</v>
      </c>
      <c r="I318" s="283">
        <v>1</v>
      </c>
      <c r="J318" s="284" t="s">
        <v>156</v>
      </c>
      <c r="K318" s="283" t="s">
        <v>288</v>
      </c>
      <c r="L318" s="286" t="s">
        <v>158</v>
      </c>
      <c r="M318" s="287">
        <v>2400</v>
      </c>
      <c r="N318" s="287"/>
      <c r="O318" s="287"/>
      <c r="P318" s="287"/>
      <c r="Q318" s="288">
        <v>63.5</v>
      </c>
      <c r="R318" s="288">
        <v>63.4</v>
      </c>
      <c r="S318" s="288">
        <v>1.8700000000000001E-2</v>
      </c>
      <c r="T318" s="288">
        <v>1.75E-4</v>
      </c>
      <c r="U318" s="288">
        <v>0</v>
      </c>
      <c r="V318" s="289">
        <v>63.418875</v>
      </c>
      <c r="W318" s="289">
        <v>0</v>
      </c>
      <c r="X318" s="288">
        <v>6.3500000000000001E-2</v>
      </c>
      <c r="Y318" s="288">
        <v>6.3399999999999998E-2</v>
      </c>
      <c r="Z318" s="288">
        <v>1.8700000000000001E-5</v>
      </c>
      <c r="AA318" s="288">
        <v>1.7499999999999999E-7</v>
      </c>
      <c r="AB318" s="288">
        <v>0</v>
      </c>
      <c r="AC318" s="289">
        <v>6.3418875E-2</v>
      </c>
      <c r="AD318" s="289">
        <v>0</v>
      </c>
    </row>
    <row r="319" spans="1:30" ht="15" customHeight="1" x14ac:dyDescent="0.25">
      <c r="A319" s="282" t="s">
        <v>259</v>
      </c>
      <c r="B319" s="282" t="s">
        <v>259</v>
      </c>
      <c r="C319" s="282" t="s">
        <v>259</v>
      </c>
      <c r="D319" s="283" t="s">
        <v>564</v>
      </c>
      <c r="E319" s="403" t="s">
        <v>262</v>
      </c>
      <c r="F319" s="403" t="s">
        <v>263</v>
      </c>
      <c r="G319" s="284" t="s">
        <v>286</v>
      </c>
      <c r="H319" s="284" t="s">
        <v>287</v>
      </c>
      <c r="I319" s="283">
        <v>1</v>
      </c>
      <c r="J319" s="284" t="s">
        <v>156</v>
      </c>
      <c r="K319" s="283" t="s">
        <v>288</v>
      </c>
      <c r="L319" s="286" t="s">
        <v>158</v>
      </c>
      <c r="M319" s="287">
        <v>2400</v>
      </c>
      <c r="N319" s="287"/>
      <c r="O319" s="287"/>
      <c r="P319" s="287"/>
      <c r="Q319" s="288">
        <v>60.8</v>
      </c>
      <c r="R319" s="288">
        <v>60.7</v>
      </c>
      <c r="S319" s="288">
        <v>2.07E-2</v>
      </c>
      <c r="T319" s="288">
        <v>2.1800000000000001E-4</v>
      </c>
      <c r="U319" s="288">
        <v>0</v>
      </c>
      <c r="V319" s="289">
        <v>60.720917999999998</v>
      </c>
      <c r="W319" s="289">
        <v>0</v>
      </c>
      <c r="X319" s="288">
        <v>6.08E-2</v>
      </c>
      <c r="Y319" s="288">
        <v>6.0700000000000004E-2</v>
      </c>
      <c r="Z319" s="288">
        <v>2.0699999999999998E-5</v>
      </c>
      <c r="AA319" s="288">
        <v>2.1800000000000002E-7</v>
      </c>
      <c r="AB319" s="288">
        <v>0</v>
      </c>
      <c r="AC319" s="289">
        <v>6.0720918000000006E-2</v>
      </c>
      <c r="AD319" s="289">
        <v>0</v>
      </c>
    </row>
    <row r="320" spans="1:30" ht="15" customHeight="1" x14ac:dyDescent="0.25">
      <c r="A320" s="282" t="s">
        <v>259</v>
      </c>
      <c r="B320" s="282" t="s">
        <v>259</v>
      </c>
      <c r="C320" s="282" t="s">
        <v>259</v>
      </c>
      <c r="D320" s="283" t="s">
        <v>565</v>
      </c>
      <c r="E320" s="403" t="s">
        <v>262</v>
      </c>
      <c r="F320" s="403" t="s">
        <v>263</v>
      </c>
      <c r="G320" s="284" t="s">
        <v>264</v>
      </c>
      <c r="H320" s="284" t="s">
        <v>265</v>
      </c>
      <c r="I320" s="283">
        <v>1</v>
      </c>
      <c r="J320" s="284" t="s">
        <v>156</v>
      </c>
      <c r="K320" s="283" t="s">
        <v>266</v>
      </c>
      <c r="L320" s="286" t="s">
        <v>158</v>
      </c>
      <c r="M320" s="287">
        <v>2400</v>
      </c>
      <c r="N320" s="287"/>
      <c r="O320" s="287"/>
      <c r="P320" s="287"/>
      <c r="Q320" s="288">
        <v>68.2</v>
      </c>
      <c r="R320" s="288">
        <v>67.2</v>
      </c>
      <c r="S320" s="288">
        <v>0.90900000000000003</v>
      </c>
      <c r="T320" s="288">
        <v>8.7000000000000001E-5</v>
      </c>
      <c r="U320" s="288">
        <v>0</v>
      </c>
      <c r="V320" s="289">
        <v>68.109087000000002</v>
      </c>
      <c r="W320" s="289">
        <v>0</v>
      </c>
      <c r="X320" s="288">
        <v>6.8199999999999997E-2</v>
      </c>
      <c r="Y320" s="288">
        <v>6.720000000000001E-2</v>
      </c>
      <c r="Z320" s="288">
        <v>9.0899999999999998E-4</v>
      </c>
      <c r="AA320" s="288">
        <v>8.6999999999999998E-8</v>
      </c>
      <c r="AB320" s="288">
        <v>0</v>
      </c>
      <c r="AC320" s="289">
        <v>6.8109086999999999E-2</v>
      </c>
      <c r="AD320" s="289">
        <v>0</v>
      </c>
    </row>
    <row r="321" spans="1:30" ht="15" customHeight="1" x14ac:dyDescent="0.25">
      <c r="A321" s="282" t="s">
        <v>259</v>
      </c>
      <c r="B321" s="282" t="s">
        <v>259</v>
      </c>
      <c r="C321" s="282" t="s">
        <v>259</v>
      </c>
      <c r="D321" s="283" t="s">
        <v>566</v>
      </c>
      <c r="E321" s="403" t="s">
        <v>273</v>
      </c>
      <c r="F321" s="403" t="s">
        <v>274</v>
      </c>
      <c r="G321" s="284" t="s">
        <v>264</v>
      </c>
      <c r="H321" s="284" t="s">
        <v>275</v>
      </c>
      <c r="I321" s="283">
        <v>1</v>
      </c>
      <c r="J321" s="284" t="s">
        <v>156</v>
      </c>
      <c r="K321" s="283" t="s">
        <v>276</v>
      </c>
      <c r="L321" s="286" t="s">
        <v>158</v>
      </c>
      <c r="M321" s="287">
        <v>2400</v>
      </c>
      <c r="N321" s="287"/>
      <c r="O321" s="287"/>
      <c r="P321" s="287"/>
      <c r="Q321" s="288">
        <v>69.3</v>
      </c>
      <c r="R321" s="288">
        <v>68</v>
      </c>
      <c r="S321" s="288">
        <v>1.1599999999999999</v>
      </c>
      <c r="T321" s="288">
        <v>2.3900000000000002E-3</v>
      </c>
      <c r="U321" s="288">
        <v>0</v>
      </c>
      <c r="V321" s="289">
        <v>69.162390000000002</v>
      </c>
      <c r="W321" s="289">
        <v>0</v>
      </c>
      <c r="X321" s="288">
        <v>6.93E-2</v>
      </c>
      <c r="Y321" s="288">
        <v>6.8000000000000005E-2</v>
      </c>
      <c r="Z321" s="288">
        <v>1.16E-3</v>
      </c>
      <c r="AA321" s="288">
        <v>2.39E-6</v>
      </c>
      <c r="AB321" s="288">
        <v>0</v>
      </c>
      <c r="AC321" s="289">
        <v>6.9162390000000004E-2</v>
      </c>
      <c r="AD321" s="289">
        <v>0</v>
      </c>
    </row>
    <row r="322" spans="1:30" ht="15" customHeight="1" x14ac:dyDescent="0.25">
      <c r="A322" s="282" t="s">
        <v>259</v>
      </c>
      <c r="B322" s="282" t="s">
        <v>259</v>
      </c>
      <c r="C322" s="282" t="s">
        <v>259</v>
      </c>
      <c r="D322" s="283" t="s">
        <v>567</v>
      </c>
      <c r="E322" s="403" t="s">
        <v>262</v>
      </c>
      <c r="F322" s="403" t="s">
        <v>263</v>
      </c>
      <c r="G322" s="284" t="s">
        <v>264</v>
      </c>
      <c r="H322" s="284" t="s">
        <v>265</v>
      </c>
      <c r="I322" s="283">
        <v>1</v>
      </c>
      <c r="J322" s="284" t="s">
        <v>156</v>
      </c>
      <c r="K322" s="283" t="s">
        <v>266</v>
      </c>
      <c r="L322" s="286" t="s">
        <v>158</v>
      </c>
      <c r="M322" s="287">
        <v>2400</v>
      </c>
      <c r="N322" s="287"/>
      <c r="O322" s="287"/>
      <c r="P322" s="287"/>
      <c r="Q322" s="288">
        <v>101</v>
      </c>
      <c r="R322" s="288">
        <v>100</v>
      </c>
      <c r="S322" s="288">
        <v>9.4899999999999998E-2</v>
      </c>
      <c r="T322" s="288">
        <v>1.9699999999999999E-4</v>
      </c>
      <c r="U322" s="288">
        <v>0</v>
      </c>
      <c r="V322" s="289">
        <v>100.095097</v>
      </c>
      <c r="W322" s="289">
        <v>0</v>
      </c>
      <c r="X322" s="288">
        <v>0.10100000000000001</v>
      </c>
      <c r="Y322" s="288">
        <v>0.1</v>
      </c>
      <c r="Z322" s="288">
        <v>9.4900000000000003E-5</v>
      </c>
      <c r="AA322" s="288">
        <v>1.97E-7</v>
      </c>
      <c r="AB322" s="288">
        <v>0</v>
      </c>
      <c r="AC322" s="289">
        <v>0.10009509699999999</v>
      </c>
      <c r="AD322" s="289">
        <v>0</v>
      </c>
    </row>
    <row r="323" spans="1:30" ht="15" customHeight="1" x14ac:dyDescent="0.25">
      <c r="A323" s="282" t="s">
        <v>568</v>
      </c>
      <c r="B323" s="282" t="s">
        <v>569</v>
      </c>
      <c r="C323" s="282" t="s">
        <v>570</v>
      </c>
      <c r="D323" s="283" t="s">
        <v>571</v>
      </c>
      <c r="E323" s="403">
        <v>43922</v>
      </c>
      <c r="F323" s="403">
        <v>45747</v>
      </c>
      <c r="G323" s="283" t="s">
        <v>231</v>
      </c>
      <c r="H323" s="282" t="s">
        <v>572</v>
      </c>
      <c r="I323" s="285"/>
      <c r="J323" s="282" t="s">
        <v>184</v>
      </c>
      <c r="K323" s="283" t="s">
        <v>573</v>
      </c>
      <c r="L323" s="286" t="s">
        <v>574</v>
      </c>
      <c r="M323" s="287">
        <v>450</v>
      </c>
      <c r="N323" s="287" t="s">
        <v>159</v>
      </c>
      <c r="O323" s="287" t="s">
        <v>159</v>
      </c>
      <c r="P323" s="287" t="s">
        <v>159</v>
      </c>
      <c r="Q323" s="288">
        <v>150</v>
      </c>
      <c r="R323" s="288">
        <v>150</v>
      </c>
      <c r="S323" s="288">
        <v>8.6999999999999994E-2</v>
      </c>
      <c r="T323" s="288">
        <v>0.16</v>
      </c>
      <c r="U323" s="288">
        <v>0</v>
      </c>
      <c r="V323" s="289">
        <v>150.24699999999999</v>
      </c>
      <c r="W323" s="289">
        <v>0</v>
      </c>
      <c r="X323" s="288">
        <v>0.33333333333333331</v>
      </c>
      <c r="Y323" s="288">
        <v>0.33333333333333331</v>
      </c>
      <c r="Z323" s="288">
        <v>1.9333333333333331E-4</v>
      </c>
      <c r="AA323" s="288">
        <v>3.5555555555555557E-4</v>
      </c>
      <c r="AB323" s="288">
        <v>0</v>
      </c>
      <c r="AC323" s="289">
        <v>0.33388222222222219</v>
      </c>
      <c r="AD323" s="289">
        <v>0</v>
      </c>
    </row>
    <row r="324" spans="1:30" ht="15" customHeight="1" x14ac:dyDescent="0.25">
      <c r="A324" s="282" t="s">
        <v>568</v>
      </c>
      <c r="B324" s="282" t="s">
        <v>569</v>
      </c>
      <c r="C324" s="282" t="s">
        <v>570</v>
      </c>
      <c r="D324" s="283" t="s">
        <v>575</v>
      </c>
      <c r="E324" s="403">
        <v>44274</v>
      </c>
      <c r="F324" s="403">
        <v>46096</v>
      </c>
      <c r="G324" s="283" t="s">
        <v>576</v>
      </c>
      <c r="H324" s="282" t="s">
        <v>577</v>
      </c>
      <c r="I324" s="285"/>
      <c r="J324" s="282" t="s">
        <v>184</v>
      </c>
      <c r="K324" s="283" t="s">
        <v>578</v>
      </c>
      <c r="L324" s="286" t="s">
        <v>574</v>
      </c>
      <c r="M324" s="287">
        <v>300</v>
      </c>
      <c r="N324" s="287" t="s">
        <v>159</v>
      </c>
      <c r="O324" s="287" t="s">
        <v>159</v>
      </c>
      <c r="P324" s="287" t="s">
        <v>159</v>
      </c>
      <c r="Q324" s="288">
        <v>181</v>
      </c>
      <c r="R324" s="288"/>
      <c r="S324" s="288"/>
      <c r="T324" s="288"/>
      <c r="U324" s="288">
        <v>0</v>
      </c>
      <c r="V324" s="289">
        <v>181</v>
      </c>
      <c r="W324" s="289">
        <v>0</v>
      </c>
      <c r="X324" s="288">
        <v>0.60333333333333339</v>
      </c>
      <c r="Y324" s="288">
        <v>0</v>
      </c>
      <c r="Z324" s="288">
        <v>0</v>
      </c>
      <c r="AA324" s="288">
        <v>0</v>
      </c>
      <c r="AB324" s="288">
        <v>0</v>
      </c>
      <c r="AC324" s="289">
        <v>0.60333333333333339</v>
      </c>
      <c r="AD324" s="289">
        <v>0</v>
      </c>
    </row>
    <row r="325" spans="1:30" ht="15" customHeight="1" x14ac:dyDescent="0.25">
      <c r="A325" s="282" t="s">
        <v>568</v>
      </c>
      <c r="B325" s="282" t="s">
        <v>569</v>
      </c>
      <c r="C325" s="282" t="s">
        <v>570</v>
      </c>
      <c r="D325" s="283" t="s">
        <v>579</v>
      </c>
      <c r="E325" s="403">
        <v>44274</v>
      </c>
      <c r="F325" s="403">
        <v>46096</v>
      </c>
      <c r="G325" s="283" t="s">
        <v>576</v>
      </c>
      <c r="H325" s="282" t="s">
        <v>577</v>
      </c>
      <c r="I325" s="285"/>
      <c r="J325" s="282" t="s">
        <v>184</v>
      </c>
      <c r="K325" s="283" t="s">
        <v>578</v>
      </c>
      <c r="L325" s="286" t="s">
        <v>574</v>
      </c>
      <c r="M325" s="287">
        <v>480</v>
      </c>
      <c r="N325" s="287" t="s">
        <v>159</v>
      </c>
      <c r="O325" s="287" t="s">
        <v>159</v>
      </c>
      <c r="P325" s="287" t="s">
        <v>159</v>
      </c>
      <c r="Q325" s="288">
        <v>197</v>
      </c>
      <c r="R325" s="288"/>
      <c r="S325" s="288"/>
      <c r="T325" s="288"/>
      <c r="U325" s="288">
        <v>0</v>
      </c>
      <c r="V325" s="289">
        <v>197</v>
      </c>
      <c r="W325" s="289">
        <v>0</v>
      </c>
      <c r="X325" s="288">
        <v>0.41041666666666665</v>
      </c>
      <c r="Y325" s="288">
        <v>0</v>
      </c>
      <c r="Z325" s="288">
        <v>0</v>
      </c>
      <c r="AA325" s="288">
        <v>0</v>
      </c>
      <c r="AB325" s="288">
        <v>0</v>
      </c>
      <c r="AC325" s="289">
        <v>0.41041666666666665</v>
      </c>
      <c r="AD325" s="289">
        <v>0</v>
      </c>
    </row>
    <row r="326" spans="1:30" ht="15" customHeight="1" x14ac:dyDescent="0.25">
      <c r="A326" s="282" t="s">
        <v>568</v>
      </c>
      <c r="B326" s="282" t="s">
        <v>569</v>
      </c>
      <c r="C326" s="282" t="s">
        <v>570</v>
      </c>
      <c r="D326" s="283" t="s">
        <v>580</v>
      </c>
      <c r="E326" s="403">
        <v>44274</v>
      </c>
      <c r="F326" s="403">
        <v>46096</v>
      </c>
      <c r="G326" s="283" t="s">
        <v>576</v>
      </c>
      <c r="H326" s="282" t="s">
        <v>577</v>
      </c>
      <c r="I326" s="285"/>
      <c r="J326" s="282" t="s">
        <v>184</v>
      </c>
      <c r="K326" s="283" t="s">
        <v>578</v>
      </c>
      <c r="L326" s="286" t="s">
        <v>574</v>
      </c>
      <c r="M326" s="287">
        <v>580</v>
      </c>
      <c r="N326" s="287" t="s">
        <v>159</v>
      </c>
      <c r="O326" s="287" t="s">
        <v>159</v>
      </c>
      <c r="P326" s="287" t="s">
        <v>159</v>
      </c>
      <c r="Q326" s="288">
        <v>232</v>
      </c>
      <c r="R326" s="288"/>
      <c r="S326" s="288"/>
      <c r="T326" s="288"/>
      <c r="U326" s="288">
        <v>0</v>
      </c>
      <c r="V326" s="289">
        <v>232</v>
      </c>
      <c r="W326" s="289">
        <v>0</v>
      </c>
      <c r="X326" s="288">
        <v>0.4</v>
      </c>
      <c r="Y326" s="288">
        <v>0</v>
      </c>
      <c r="Z326" s="288">
        <v>0</v>
      </c>
      <c r="AA326" s="288">
        <v>0</v>
      </c>
      <c r="AB326" s="288">
        <v>0</v>
      </c>
      <c r="AC326" s="289">
        <v>0.4</v>
      </c>
      <c r="AD326" s="289">
        <v>0</v>
      </c>
    </row>
    <row r="327" spans="1:30" ht="15" customHeight="1" x14ac:dyDescent="0.25">
      <c r="A327" s="282" t="s">
        <v>581</v>
      </c>
      <c r="B327" s="282"/>
      <c r="C327" s="282" t="s">
        <v>260</v>
      </c>
      <c r="D327" s="283" t="s">
        <v>582</v>
      </c>
      <c r="E327" s="403">
        <v>44945</v>
      </c>
      <c r="F327" s="403">
        <v>46771</v>
      </c>
      <c r="G327" s="283" t="s">
        <v>237</v>
      </c>
      <c r="H327" s="282" t="s">
        <v>583</v>
      </c>
      <c r="I327" s="285"/>
      <c r="J327" s="282" t="s">
        <v>184</v>
      </c>
      <c r="K327" s="283" t="s">
        <v>584</v>
      </c>
      <c r="L327" s="286" t="s">
        <v>158</v>
      </c>
      <c r="M327" s="287" t="s">
        <v>159</v>
      </c>
      <c r="N327" s="287" t="s">
        <v>159</v>
      </c>
      <c r="O327" s="287" t="s">
        <v>159</v>
      </c>
      <c r="P327" s="287" t="s">
        <v>159</v>
      </c>
      <c r="Q327" s="288">
        <v>-1160</v>
      </c>
      <c r="R327" s="288">
        <v>452</v>
      </c>
      <c r="S327" s="288">
        <v>-1610</v>
      </c>
      <c r="T327" s="288">
        <v>4.5600000000000002E-2</v>
      </c>
      <c r="U327" s="288">
        <v>0</v>
      </c>
      <c r="V327" s="289">
        <v>452.04559999999992</v>
      </c>
      <c r="W327" s="289">
        <v>0</v>
      </c>
      <c r="X327" s="288">
        <v>-1.1599999999999999</v>
      </c>
      <c r="Y327" s="288">
        <v>0.45200000000000001</v>
      </c>
      <c r="Z327" s="288">
        <v>-1.61</v>
      </c>
      <c r="AA327" s="288">
        <v>4.5600000000000004E-5</v>
      </c>
      <c r="AB327" s="288">
        <v>0</v>
      </c>
      <c r="AC327" s="289">
        <v>0.45204559999999994</v>
      </c>
      <c r="AD327" s="289">
        <v>0</v>
      </c>
    </row>
    <row r="328" spans="1:30" ht="15" customHeight="1" x14ac:dyDescent="0.25">
      <c r="A328" s="282" t="s">
        <v>581</v>
      </c>
      <c r="B328" s="282" t="s">
        <v>585</v>
      </c>
      <c r="C328" s="282" t="s">
        <v>586</v>
      </c>
      <c r="D328" s="286" t="s">
        <v>587</v>
      </c>
      <c r="E328" s="404">
        <v>44581</v>
      </c>
      <c r="F328" s="404">
        <v>46407</v>
      </c>
      <c r="G328" s="286" t="s">
        <v>588</v>
      </c>
      <c r="H328" s="282" t="s">
        <v>589</v>
      </c>
      <c r="I328" s="282" t="s">
        <v>590</v>
      </c>
      <c r="J328" s="282" t="s">
        <v>156</v>
      </c>
      <c r="K328" s="286" t="s">
        <v>591</v>
      </c>
      <c r="L328" s="282" t="s">
        <v>574</v>
      </c>
      <c r="M328" s="287">
        <v>2400</v>
      </c>
      <c r="N328" s="287">
        <v>0</v>
      </c>
      <c r="O328" s="287">
        <v>0</v>
      </c>
      <c r="P328" s="287"/>
      <c r="Q328" s="288" t="s">
        <v>592</v>
      </c>
      <c r="R328" s="288" t="s">
        <v>592</v>
      </c>
      <c r="S328" s="288" t="s">
        <v>593</v>
      </c>
      <c r="T328" s="288"/>
      <c r="U328" s="288">
        <v>0</v>
      </c>
      <c r="V328" s="289">
        <v>322.69</v>
      </c>
      <c r="W328" s="289">
        <v>0</v>
      </c>
      <c r="X328" s="288">
        <v>0.13416666666666666</v>
      </c>
      <c r="Y328" s="288">
        <v>0.13416666666666666</v>
      </c>
      <c r="Z328" s="288">
        <v>2.875E-4</v>
      </c>
      <c r="AA328" s="288">
        <v>0</v>
      </c>
      <c r="AB328" s="288">
        <v>0</v>
      </c>
      <c r="AC328" s="289">
        <v>0.13445416666666665</v>
      </c>
      <c r="AD328" s="289">
        <v>0</v>
      </c>
    </row>
    <row r="329" spans="1:30" ht="15" customHeight="1" x14ac:dyDescent="0.25">
      <c r="A329" s="282" t="s">
        <v>581</v>
      </c>
      <c r="B329" s="282" t="s">
        <v>594</v>
      </c>
      <c r="C329" s="282" t="s">
        <v>595</v>
      </c>
      <c r="D329" s="286" t="s">
        <v>596</v>
      </c>
      <c r="E329" s="404">
        <v>44588</v>
      </c>
      <c r="F329" s="404">
        <v>46414</v>
      </c>
      <c r="G329" s="286" t="s">
        <v>316</v>
      </c>
      <c r="H329" s="282" t="s">
        <v>597</v>
      </c>
      <c r="I329" s="282" t="s">
        <v>590</v>
      </c>
      <c r="J329" s="282" t="s">
        <v>156</v>
      </c>
      <c r="K329" s="286" t="s">
        <v>598</v>
      </c>
      <c r="L329" s="282" t="s">
        <v>574</v>
      </c>
      <c r="M329" s="287">
        <v>2400</v>
      </c>
      <c r="N329" s="287">
        <v>0</v>
      </c>
      <c r="O329" s="287">
        <v>0</v>
      </c>
      <c r="P329" s="287"/>
      <c r="Q329" s="288" t="s">
        <v>599</v>
      </c>
      <c r="R329" s="288">
        <v>207</v>
      </c>
      <c r="S329" s="288" t="s">
        <v>600</v>
      </c>
      <c r="T329" s="288"/>
      <c r="U329" s="288">
        <v>0</v>
      </c>
      <c r="V329" s="289">
        <v>207.41</v>
      </c>
      <c r="W329" s="289">
        <v>0</v>
      </c>
      <c r="X329" s="288">
        <v>8.6249999999999993E-2</v>
      </c>
      <c r="Y329" s="288">
        <v>8.6249999999999993E-2</v>
      </c>
      <c r="Z329" s="288">
        <v>1.7083333333333333E-4</v>
      </c>
      <c r="AA329" s="288">
        <v>0</v>
      </c>
      <c r="AB329" s="288">
        <v>0</v>
      </c>
      <c r="AC329" s="289">
        <v>8.6420833333333322E-2</v>
      </c>
      <c r="AD329" s="289">
        <v>0</v>
      </c>
    </row>
    <row r="330" spans="1:30" ht="15" customHeight="1" x14ac:dyDescent="0.25">
      <c r="A330" s="282" t="s">
        <v>581</v>
      </c>
      <c r="B330" s="282" t="s">
        <v>585</v>
      </c>
      <c r="C330" s="282" t="s">
        <v>586</v>
      </c>
      <c r="D330" s="286" t="s">
        <v>601</v>
      </c>
      <c r="E330" s="404">
        <v>44573</v>
      </c>
      <c r="F330" s="404">
        <v>46656</v>
      </c>
      <c r="G330" s="286" t="s">
        <v>286</v>
      </c>
      <c r="H330" s="282" t="s">
        <v>602</v>
      </c>
      <c r="I330" s="282" t="s">
        <v>590</v>
      </c>
      <c r="J330" s="282" t="s">
        <v>156</v>
      </c>
      <c r="K330" s="286" t="s">
        <v>603</v>
      </c>
      <c r="L330" s="282" t="s">
        <v>574</v>
      </c>
      <c r="M330" s="287">
        <v>2400</v>
      </c>
      <c r="N330" s="287">
        <v>0</v>
      </c>
      <c r="O330" s="287">
        <v>0</v>
      </c>
      <c r="P330" s="287"/>
      <c r="Q330" s="288" t="s">
        <v>604</v>
      </c>
      <c r="R330" s="288" t="s">
        <v>604</v>
      </c>
      <c r="S330" s="288" t="s">
        <v>605</v>
      </c>
      <c r="T330" s="288"/>
      <c r="U330" s="288">
        <v>0</v>
      </c>
      <c r="V330" s="289">
        <v>315.62</v>
      </c>
      <c r="W330" s="289">
        <v>0</v>
      </c>
      <c r="X330" s="288">
        <v>0.13125000000000001</v>
      </c>
      <c r="Y330" s="288">
        <v>0.13125000000000001</v>
      </c>
      <c r="Z330" s="288">
        <v>2.5833333333333334E-4</v>
      </c>
      <c r="AA330" s="288">
        <v>0</v>
      </c>
      <c r="AB330" s="288">
        <v>0</v>
      </c>
      <c r="AC330" s="289">
        <v>0.13150833333333334</v>
      </c>
      <c r="AD330" s="289">
        <v>0</v>
      </c>
    </row>
    <row r="331" spans="1:30" ht="15" customHeight="1" x14ac:dyDescent="0.25">
      <c r="A331" s="282" t="s">
        <v>581</v>
      </c>
      <c r="B331" s="282" t="s">
        <v>606</v>
      </c>
      <c r="C331" s="282" t="s">
        <v>260</v>
      </c>
      <c r="D331" s="283" t="s">
        <v>607</v>
      </c>
      <c r="E331" s="404">
        <v>44910</v>
      </c>
      <c r="F331" s="404">
        <v>46736</v>
      </c>
      <c r="G331" s="286" t="s">
        <v>608</v>
      </c>
      <c r="H331" s="282" t="s">
        <v>609</v>
      </c>
      <c r="I331" s="282" t="s">
        <v>590</v>
      </c>
      <c r="J331" s="282" t="s">
        <v>156</v>
      </c>
      <c r="K331" s="286" t="s">
        <v>610</v>
      </c>
      <c r="L331" s="282" t="s">
        <v>574</v>
      </c>
      <c r="M331" s="287">
        <v>2400</v>
      </c>
      <c r="N331" s="287">
        <v>0</v>
      </c>
      <c r="O331" s="287">
        <v>0</v>
      </c>
      <c r="P331" s="287"/>
      <c r="Q331" s="288">
        <v>201</v>
      </c>
      <c r="R331" s="288">
        <v>199</v>
      </c>
      <c r="S331" s="288">
        <v>2.39</v>
      </c>
      <c r="T331" s="288"/>
      <c r="U331" s="288">
        <v>0</v>
      </c>
      <c r="V331" s="289">
        <v>201.39</v>
      </c>
      <c r="W331" s="289">
        <v>0</v>
      </c>
      <c r="X331" s="288">
        <v>8.3750000000000005E-2</v>
      </c>
      <c r="Y331" s="288">
        <v>8.2916666666666666E-2</v>
      </c>
      <c r="Z331" s="288">
        <v>9.9583333333333338E-4</v>
      </c>
      <c r="AA331" s="288">
        <v>0</v>
      </c>
      <c r="AB331" s="288">
        <v>0</v>
      </c>
      <c r="AC331" s="289">
        <v>8.3912500000000001E-2</v>
      </c>
      <c r="AD331" s="289">
        <v>0</v>
      </c>
    </row>
    <row r="332" spans="1:30" ht="15" customHeight="1" x14ac:dyDescent="0.25">
      <c r="A332" s="282" t="s">
        <v>581</v>
      </c>
      <c r="B332" s="282" t="s">
        <v>611</v>
      </c>
      <c r="C332" s="282" t="s">
        <v>612</v>
      </c>
      <c r="D332" s="286" t="s">
        <v>613</v>
      </c>
      <c r="E332" s="404">
        <v>44573</v>
      </c>
      <c r="F332" s="404">
        <v>46656</v>
      </c>
      <c r="G332" s="286" t="s">
        <v>286</v>
      </c>
      <c r="H332" s="282" t="s">
        <v>602</v>
      </c>
      <c r="I332" s="282" t="s">
        <v>590</v>
      </c>
      <c r="J332" s="282" t="s">
        <v>156</v>
      </c>
      <c r="K332" s="286" t="s">
        <v>603</v>
      </c>
      <c r="L332" s="282" t="s">
        <v>574</v>
      </c>
      <c r="M332" s="287">
        <v>2400</v>
      </c>
      <c r="N332" s="287">
        <v>0</v>
      </c>
      <c r="O332" s="287">
        <v>0</v>
      </c>
      <c r="P332" s="287"/>
      <c r="Q332" s="288" t="s">
        <v>614</v>
      </c>
      <c r="R332" s="288" t="s">
        <v>614</v>
      </c>
      <c r="S332" s="288" t="s">
        <v>615</v>
      </c>
      <c r="T332" s="288"/>
      <c r="U332" s="288">
        <v>0</v>
      </c>
      <c r="V332" s="289">
        <v>255.44</v>
      </c>
      <c r="W332" s="289">
        <v>0</v>
      </c>
      <c r="X332" s="288">
        <v>0.10625</v>
      </c>
      <c r="Y332" s="288">
        <v>0.10625</v>
      </c>
      <c r="Z332" s="288">
        <v>1.8333333333333334E-4</v>
      </c>
      <c r="AA332" s="288">
        <v>0</v>
      </c>
      <c r="AB332" s="288">
        <v>0</v>
      </c>
      <c r="AC332" s="289">
        <v>0.10643333333333332</v>
      </c>
      <c r="AD332" s="289">
        <v>0</v>
      </c>
    </row>
    <row r="333" spans="1:30" ht="15" customHeight="1" x14ac:dyDescent="0.25">
      <c r="A333" s="282" t="s">
        <v>581</v>
      </c>
      <c r="B333" s="282" t="s">
        <v>616</v>
      </c>
      <c r="C333" s="282" t="s">
        <v>617</v>
      </c>
      <c r="D333" s="283" t="s">
        <v>618</v>
      </c>
      <c r="E333" s="404">
        <v>44910</v>
      </c>
      <c r="F333" s="404">
        <v>46736</v>
      </c>
      <c r="G333" s="286" t="s">
        <v>608</v>
      </c>
      <c r="H333" s="282" t="s">
        <v>609</v>
      </c>
      <c r="I333" s="282" t="s">
        <v>590</v>
      </c>
      <c r="J333" s="282" t="s">
        <v>156</v>
      </c>
      <c r="K333" s="286" t="s">
        <v>610</v>
      </c>
      <c r="L333" s="282" t="s">
        <v>574</v>
      </c>
      <c r="M333" s="287">
        <v>2400</v>
      </c>
      <c r="N333" s="287">
        <v>0</v>
      </c>
      <c r="O333" s="287">
        <v>0</v>
      </c>
      <c r="P333" s="287"/>
      <c r="Q333" s="288">
        <v>386</v>
      </c>
      <c r="R333" s="288">
        <v>382</v>
      </c>
      <c r="S333" s="288">
        <v>4.63</v>
      </c>
      <c r="T333" s="288"/>
      <c r="U333" s="288">
        <v>0</v>
      </c>
      <c r="V333" s="289">
        <v>386.63</v>
      </c>
      <c r="W333" s="289">
        <v>0</v>
      </c>
      <c r="X333" s="288">
        <v>0.16083333333333333</v>
      </c>
      <c r="Y333" s="288">
        <v>0.15916666666666668</v>
      </c>
      <c r="Z333" s="288">
        <v>1.9291666666666667E-3</v>
      </c>
      <c r="AA333" s="288">
        <v>0</v>
      </c>
      <c r="AB333" s="288">
        <v>0</v>
      </c>
      <c r="AC333" s="289">
        <v>0.16109583333333335</v>
      </c>
      <c r="AD333" s="289">
        <v>0</v>
      </c>
    </row>
    <row r="334" spans="1:30" ht="15" customHeight="1" x14ac:dyDescent="0.25">
      <c r="A334" s="282" t="s">
        <v>581</v>
      </c>
      <c r="B334" s="282" t="s">
        <v>594</v>
      </c>
      <c r="C334" s="282" t="s">
        <v>595</v>
      </c>
      <c r="D334" s="286" t="s">
        <v>619</v>
      </c>
      <c r="E334" s="404">
        <v>44588</v>
      </c>
      <c r="F334" s="404">
        <v>46414</v>
      </c>
      <c r="G334" s="286" t="s">
        <v>316</v>
      </c>
      <c r="H334" s="282" t="s">
        <v>597</v>
      </c>
      <c r="I334" s="282" t="s">
        <v>590</v>
      </c>
      <c r="J334" s="282" t="s">
        <v>156</v>
      </c>
      <c r="K334" s="286" t="s">
        <v>598</v>
      </c>
      <c r="L334" s="282" t="s">
        <v>574</v>
      </c>
      <c r="M334" s="287">
        <v>2400</v>
      </c>
      <c r="N334" s="287">
        <v>0</v>
      </c>
      <c r="O334" s="287">
        <v>0</v>
      </c>
      <c r="P334" s="287"/>
      <c r="Q334" s="288" t="s">
        <v>620</v>
      </c>
      <c r="R334" s="288">
        <v>195</v>
      </c>
      <c r="S334" s="288" t="s">
        <v>621</v>
      </c>
      <c r="T334" s="288"/>
      <c r="U334" s="288">
        <v>0</v>
      </c>
      <c r="V334" s="289">
        <v>195.31</v>
      </c>
      <c r="W334" s="289">
        <v>0</v>
      </c>
      <c r="X334" s="288">
        <v>8.1250000000000003E-2</v>
      </c>
      <c r="Y334" s="288">
        <v>8.1250000000000003E-2</v>
      </c>
      <c r="Z334" s="288">
        <v>1.2916666666666667E-4</v>
      </c>
      <c r="AA334" s="288">
        <v>0</v>
      </c>
      <c r="AB334" s="288">
        <v>0</v>
      </c>
      <c r="AC334" s="289">
        <v>8.1379166666666669E-2</v>
      </c>
      <c r="AD334" s="289">
        <v>0</v>
      </c>
    </row>
    <row r="335" spans="1:30" ht="15" customHeight="1" x14ac:dyDescent="0.25">
      <c r="A335" s="282" t="s">
        <v>581</v>
      </c>
      <c r="B335" s="282" t="s">
        <v>594</v>
      </c>
      <c r="C335" s="282" t="s">
        <v>595</v>
      </c>
      <c r="D335" s="283" t="s">
        <v>622</v>
      </c>
      <c r="E335" s="404">
        <v>44910</v>
      </c>
      <c r="F335" s="404">
        <v>46736</v>
      </c>
      <c r="G335" s="286" t="s">
        <v>608</v>
      </c>
      <c r="H335" s="282" t="s">
        <v>609</v>
      </c>
      <c r="I335" s="282" t="s">
        <v>590</v>
      </c>
      <c r="J335" s="282" t="s">
        <v>156</v>
      </c>
      <c r="K335" s="286" t="s">
        <v>610</v>
      </c>
      <c r="L335" s="282" t="s">
        <v>574</v>
      </c>
      <c r="M335" s="287">
        <v>2400</v>
      </c>
      <c r="N335" s="287">
        <v>0</v>
      </c>
      <c r="O335" s="287">
        <v>0</v>
      </c>
      <c r="P335" s="287"/>
      <c r="Q335" s="288">
        <v>211</v>
      </c>
      <c r="R335" s="288">
        <v>209</v>
      </c>
      <c r="S335" s="288">
        <v>2.33</v>
      </c>
      <c r="T335" s="288"/>
      <c r="U335" s="288">
        <v>0</v>
      </c>
      <c r="V335" s="289">
        <v>211.33</v>
      </c>
      <c r="W335" s="289">
        <v>0</v>
      </c>
      <c r="X335" s="288">
        <v>8.7916666666666671E-2</v>
      </c>
      <c r="Y335" s="288">
        <v>8.7083333333333332E-2</v>
      </c>
      <c r="Z335" s="288">
        <v>9.7083333333333331E-4</v>
      </c>
      <c r="AA335" s="288">
        <v>0</v>
      </c>
      <c r="AB335" s="288">
        <v>0</v>
      </c>
      <c r="AC335" s="289">
        <v>8.8054166666666669E-2</v>
      </c>
      <c r="AD335" s="289">
        <v>0</v>
      </c>
    </row>
    <row r="336" spans="1:30" ht="15" customHeight="1" x14ac:dyDescent="0.25">
      <c r="A336" s="282" t="s">
        <v>581</v>
      </c>
      <c r="B336" s="282" t="s">
        <v>585</v>
      </c>
      <c r="C336" s="282" t="s">
        <v>586</v>
      </c>
      <c r="D336" s="286" t="s">
        <v>623</v>
      </c>
      <c r="E336" s="404">
        <v>44573</v>
      </c>
      <c r="F336" s="404">
        <v>46656</v>
      </c>
      <c r="G336" s="286" t="s">
        <v>286</v>
      </c>
      <c r="H336" s="282" t="s">
        <v>602</v>
      </c>
      <c r="I336" s="282" t="s">
        <v>590</v>
      </c>
      <c r="J336" s="282" t="s">
        <v>156</v>
      </c>
      <c r="K336" s="286" t="s">
        <v>603</v>
      </c>
      <c r="L336" s="282" t="s">
        <v>574</v>
      </c>
      <c r="M336" s="287">
        <v>2400</v>
      </c>
      <c r="N336" s="287">
        <v>0</v>
      </c>
      <c r="O336" s="287">
        <v>0</v>
      </c>
      <c r="P336" s="287"/>
      <c r="Q336" s="288" t="s">
        <v>624</v>
      </c>
      <c r="R336" s="288" t="s">
        <v>624</v>
      </c>
      <c r="S336" s="288" t="s">
        <v>625</v>
      </c>
      <c r="T336" s="288"/>
      <c r="U336" s="288">
        <v>0</v>
      </c>
      <c r="V336" s="289">
        <v>237.37</v>
      </c>
      <c r="W336" s="289">
        <v>0</v>
      </c>
      <c r="X336" s="288">
        <v>9.8750000000000004E-2</v>
      </c>
      <c r="Y336" s="288">
        <v>9.8750000000000004E-2</v>
      </c>
      <c r="Z336" s="288">
        <v>1.5416666666666666E-4</v>
      </c>
      <c r="AA336" s="288">
        <v>0</v>
      </c>
      <c r="AB336" s="288">
        <v>0</v>
      </c>
      <c r="AC336" s="289">
        <v>9.8904166666666668E-2</v>
      </c>
      <c r="AD336" s="289">
        <v>0</v>
      </c>
    </row>
    <row r="337" spans="1:30" ht="15" customHeight="1" x14ac:dyDescent="0.25">
      <c r="A337" s="282" t="s">
        <v>581</v>
      </c>
      <c r="B337" s="282" t="s">
        <v>594</v>
      </c>
      <c r="C337" s="282" t="s">
        <v>595</v>
      </c>
      <c r="D337" s="286" t="s">
        <v>626</v>
      </c>
      <c r="E337" s="404">
        <v>44588</v>
      </c>
      <c r="F337" s="404">
        <v>46414</v>
      </c>
      <c r="G337" s="286" t="s">
        <v>316</v>
      </c>
      <c r="H337" s="282" t="s">
        <v>597</v>
      </c>
      <c r="I337" s="282" t="s">
        <v>590</v>
      </c>
      <c r="J337" s="282" t="s">
        <v>156</v>
      </c>
      <c r="K337" s="286" t="s">
        <v>598</v>
      </c>
      <c r="L337" s="282" t="s">
        <v>574</v>
      </c>
      <c r="M337" s="287">
        <v>2400</v>
      </c>
      <c r="N337" s="287">
        <v>0</v>
      </c>
      <c r="O337" s="287">
        <v>0</v>
      </c>
      <c r="P337" s="287"/>
      <c r="Q337" s="288" t="s">
        <v>627</v>
      </c>
      <c r="R337" s="288">
        <v>201</v>
      </c>
      <c r="S337" s="288" t="s">
        <v>621</v>
      </c>
      <c r="T337" s="288"/>
      <c r="U337" s="288">
        <v>0</v>
      </c>
      <c r="V337" s="289">
        <v>201.31</v>
      </c>
      <c r="W337" s="289">
        <v>0</v>
      </c>
      <c r="X337" s="288">
        <v>8.3750000000000005E-2</v>
      </c>
      <c r="Y337" s="288">
        <v>8.3750000000000005E-2</v>
      </c>
      <c r="Z337" s="288">
        <v>1.2916666666666667E-4</v>
      </c>
      <c r="AA337" s="288">
        <v>0</v>
      </c>
      <c r="AB337" s="288">
        <v>0</v>
      </c>
      <c r="AC337" s="289">
        <v>8.3879166666666671E-2</v>
      </c>
      <c r="AD337" s="289">
        <v>0</v>
      </c>
    </row>
    <row r="338" spans="1:30" ht="15" customHeight="1" x14ac:dyDescent="0.25">
      <c r="A338" s="282" t="s">
        <v>581</v>
      </c>
      <c r="B338" s="282" t="s">
        <v>628</v>
      </c>
      <c r="C338" s="282" t="s">
        <v>629</v>
      </c>
      <c r="D338" s="286" t="s">
        <v>630</v>
      </c>
      <c r="E338" s="404">
        <v>44588</v>
      </c>
      <c r="F338" s="404">
        <v>46414</v>
      </c>
      <c r="G338" s="286" t="s">
        <v>316</v>
      </c>
      <c r="H338" s="282" t="s">
        <v>597</v>
      </c>
      <c r="I338" s="282" t="s">
        <v>590</v>
      </c>
      <c r="J338" s="282" t="s">
        <v>156</v>
      </c>
      <c r="K338" s="286" t="s">
        <v>598</v>
      </c>
      <c r="L338" s="282" t="s">
        <v>574</v>
      </c>
      <c r="M338" s="287">
        <v>2400</v>
      </c>
      <c r="N338" s="287">
        <v>0</v>
      </c>
      <c r="O338" s="287">
        <v>0</v>
      </c>
      <c r="P338" s="287"/>
      <c r="Q338" s="288" t="s">
        <v>631</v>
      </c>
      <c r="R338" s="288">
        <v>213</v>
      </c>
      <c r="S338" s="288" t="s">
        <v>632</v>
      </c>
      <c r="T338" s="288"/>
      <c r="U338" s="288">
        <v>0</v>
      </c>
      <c r="V338" s="289">
        <v>213.32</v>
      </c>
      <c r="W338" s="289">
        <v>0</v>
      </c>
      <c r="X338" s="288">
        <v>8.8749999999999996E-2</v>
      </c>
      <c r="Y338" s="288">
        <v>8.8749999999999996E-2</v>
      </c>
      <c r="Z338" s="288">
        <v>1.3333333333333334E-4</v>
      </c>
      <c r="AA338" s="288">
        <v>0</v>
      </c>
      <c r="AB338" s="288">
        <v>0</v>
      </c>
      <c r="AC338" s="289">
        <v>8.8883333333333328E-2</v>
      </c>
      <c r="AD338" s="289">
        <v>0</v>
      </c>
    </row>
    <row r="339" spans="1:30" ht="15" customHeight="1" x14ac:dyDescent="0.25">
      <c r="A339" s="282" t="s">
        <v>581</v>
      </c>
      <c r="B339" s="282" t="s">
        <v>628</v>
      </c>
      <c r="C339" s="282" t="s">
        <v>629</v>
      </c>
      <c r="D339" s="286" t="s">
        <v>633</v>
      </c>
      <c r="E339" s="404">
        <v>44588</v>
      </c>
      <c r="F339" s="404">
        <v>46414</v>
      </c>
      <c r="G339" s="286" t="s">
        <v>316</v>
      </c>
      <c r="H339" s="282" t="s">
        <v>597</v>
      </c>
      <c r="I339" s="282" t="s">
        <v>590</v>
      </c>
      <c r="J339" s="282" t="s">
        <v>156</v>
      </c>
      <c r="K339" s="286" t="s">
        <v>598</v>
      </c>
      <c r="L339" s="282" t="s">
        <v>574</v>
      </c>
      <c r="M339" s="287">
        <v>2400</v>
      </c>
      <c r="N339" s="287">
        <v>0</v>
      </c>
      <c r="O339" s="287">
        <v>0</v>
      </c>
      <c r="P339" s="287"/>
      <c r="Q339" s="288" t="s">
        <v>634</v>
      </c>
      <c r="R339" s="288">
        <v>214</v>
      </c>
      <c r="S339" s="288" t="s">
        <v>632</v>
      </c>
      <c r="T339" s="288"/>
      <c r="U339" s="288">
        <v>0</v>
      </c>
      <c r="V339" s="289">
        <v>214.32</v>
      </c>
      <c r="W339" s="289">
        <v>0</v>
      </c>
      <c r="X339" s="288">
        <v>8.9166666666666672E-2</v>
      </c>
      <c r="Y339" s="288">
        <v>8.9166666666666672E-2</v>
      </c>
      <c r="Z339" s="288">
        <v>1.3333333333333334E-4</v>
      </c>
      <c r="AA339" s="288">
        <v>0</v>
      </c>
      <c r="AB339" s="288">
        <v>0</v>
      </c>
      <c r="AC339" s="289">
        <v>8.9300000000000004E-2</v>
      </c>
      <c r="AD339" s="289">
        <v>0</v>
      </c>
    </row>
    <row r="340" spans="1:30" ht="15" customHeight="1" x14ac:dyDescent="0.25">
      <c r="A340" s="282" t="s">
        <v>581</v>
      </c>
      <c r="B340" s="282" t="s">
        <v>628</v>
      </c>
      <c r="C340" s="282" t="s">
        <v>629</v>
      </c>
      <c r="D340" s="283" t="s">
        <v>635</v>
      </c>
      <c r="E340" s="404">
        <v>44910</v>
      </c>
      <c r="F340" s="404">
        <v>46736</v>
      </c>
      <c r="G340" s="286" t="s">
        <v>608</v>
      </c>
      <c r="H340" s="282" t="s">
        <v>609</v>
      </c>
      <c r="I340" s="282" t="s">
        <v>590</v>
      </c>
      <c r="J340" s="282" t="s">
        <v>156</v>
      </c>
      <c r="K340" s="286" t="s">
        <v>610</v>
      </c>
      <c r="L340" s="282" t="s">
        <v>574</v>
      </c>
      <c r="M340" s="287">
        <v>2400</v>
      </c>
      <c r="N340" s="287">
        <v>0</v>
      </c>
      <c r="O340" s="287">
        <v>0</v>
      </c>
      <c r="P340" s="287"/>
      <c r="Q340" s="288">
        <v>292</v>
      </c>
      <c r="R340" s="288">
        <v>289</v>
      </c>
      <c r="S340" s="288">
        <v>3.43</v>
      </c>
      <c r="T340" s="288"/>
      <c r="U340" s="288">
        <v>0</v>
      </c>
      <c r="V340" s="289">
        <v>292.43</v>
      </c>
      <c r="W340" s="289">
        <v>0</v>
      </c>
      <c r="X340" s="288">
        <v>0.12166666666666667</v>
      </c>
      <c r="Y340" s="288">
        <v>0.12041666666666667</v>
      </c>
      <c r="Z340" s="288">
        <v>1.4291666666666667E-3</v>
      </c>
      <c r="AA340" s="288">
        <v>0</v>
      </c>
      <c r="AB340" s="288">
        <v>0</v>
      </c>
      <c r="AC340" s="289">
        <v>0.12184583333333333</v>
      </c>
      <c r="AD340" s="289">
        <v>0</v>
      </c>
    </row>
    <row r="341" spans="1:30" ht="15" customHeight="1" x14ac:dyDescent="0.25">
      <c r="A341" s="282" t="s">
        <v>581</v>
      </c>
      <c r="B341" s="282" t="s">
        <v>628</v>
      </c>
      <c r="C341" s="282" t="s">
        <v>629</v>
      </c>
      <c r="D341" s="286" t="s">
        <v>636</v>
      </c>
      <c r="E341" s="404">
        <v>44588</v>
      </c>
      <c r="F341" s="404">
        <v>46414</v>
      </c>
      <c r="G341" s="286" t="s">
        <v>316</v>
      </c>
      <c r="H341" s="282" t="s">
        <v>597</v>
      </c>
      <c r="I341" s="282" t="s">
        <v>590</v>
      </c>
      <c r="J341" s="282" t="s">
        <v>156</v>
      </c>
      <c r="K341" s="286" t="s">
        <v>598</v>
      </c>
      <c r="L341" s="282" t="s">
        <v>574</v>
      </c>
      <c r="M341" s="287">
        <v>2400</v>
      </c>
      <c r="N341" s="287">
        <v>0</v>
      </c>
      <c r="O341" s="287">
        <v>0</v>
      </c>
      <c r="P341" s="287"/>
      <c r="Q341" s="288" t="s">
        <v>637</v>
      </c>
      <c r="R341" s="288">
        <v>221</v>
      </c>
      <c r="S341" s="288" t="s">
        <v>632</v>
      </c>
      <c r="T341" s="288"/>
      <c r="U341" s="288">
        <v>0</v>
      </c>
      <c r="V341" s="289">
        <v>221.32</v>
      </c>
      <c r="W341" s="289">
        <v>0</v>
      </c>
      <c r="X341" s="288">
        <v>9.2083333333333336E-2</v>
      </c>
      <c r="Y341" s="288">
        <v>9.2083333333333336E-2</v>
      </c>
      <c r="Z341" s="288">
        <v>1.3333333333333334E-4</v>
      </c>
      <c r="AA341" s="288">
        <v>0</v>
      </c>
      <c r="AB341" s="288">
        <v>0</v>
      </c>
      <c r="AC341" s="289">
        <v>9.2216666666666669E-2</v>
      </c>
      <c r="AD341" s="289">
        <v>0</v>
      </c>
    </row>
    <row r="342" spans="1:30" ht="15" customHeight="1" x14ac:dyDescent="0.25">
      <c r="A342" s="282" t="s">
        <v>581</v>
      </c>
      <c r="B342" s="282" t="s">
        <v>616</v>
      </c>
      <c r="C342" s="282" t="s">
        <v>617</v>
      </c>
      <c r="D342" s="286" t="s">
        <v>638</v>
      </c>
      <c r="E342" s="404">
        <v>44573</v>
      </c>
      <c r="F342" s="404">
        <v>46656</v>
      </c>
      <c r="G342" s="286" t="s">
        <v>286</v>
      </c>
      <c r="H342" s="282" t="s">
        <v>602</v>
      </c>
      <c r="I342" s="282" t="s">
        <v>590</v>
      </c>
      <c r="J342" s="282" t="s">
        <v>156</v>
      </c>
      <c r="K342" s="286" t="s">
        <v>603</v>
      </c>
      <c r="L342" s="282" t="s">
        <v>574</v>
      </c>
      <c r="M342" s="287">
        <v>2400</v>
      </c>
      <c r="N342" s="287">
        <v>0</v>
      </c>
      <c r="O342" s="287">
        <v>0</v>
      </c>
      <c r="P342" s="287"/>
      <c r="Q342" s="288" t="s">
        <v>639</v>
      </c>
      <c r="R342" s="288" t="s">
        <v>639</v>
      </c>
      <c r="S342" s="288" t="s">
        <v>640</v>
      </c>
      <c r="T342" s="288"/>
      <c r="U342" s="288">
        <v>0</v>
      </c>
      <c r="V342" s="289">
        <v>272.38</v>
      </c>
      <c r="W342" s="289">
        <v>0</v>
      </c>
      <c r="X342" s="288">
        <v>0.11333333333333333</v>
      </c>
      <c r="Y342" s="288">
        <v>0.11333333333333333</v>
      </c>
      <c r="Z342" s="288">
        <v>1.5833333333333332E-4</v>
      </c>
      <c r="AA342" s="288">
        <v>0</v>
      </c>
      <c r="AB342" s="288">
        <v>0</v>
      </c>
      <c r="AC342" s="289">
        <v>0.11349166666666666</v>
      </c>
      <c r="AD342" s="289">
        <v>0</v>
      </c>
    </row>
    <row r="343" spans="1:30" ht="15" customHeight="1" x14ac:dyDescent="0.25">
      <c r="A343" s="282" t="s">
        <v>581</v>
      </c>
      <c r="B343" s="282" t="s">
        <v>611</v>
      </c>
      <c r="C343" s="282" t="s">
        <v>612</v>
      </c>
      <c r="D343" s="286" t="s">
        <v>641</v>
      </c>
      <c r="E343" s="404">
        <v>44588</v>
      </c>
      <c r="F343" s="404">
        <v>46414</v>
      </c>
      <c r="G343" s="286" t="s">
        <v>316</v>
      </c>
      <c r="H343" s="282" t="s">
        <v>597</v>
      </c>
      <c r="I343" s="282" t="s">
        <v>590</v>
      </c>
      <c r="J343" s="282" t="s">
        <v>156</v>
      </c>
      <c r="K343" s="286" t="s">
        <v>598</v>
      </c>
      <c r="L343" s="282" t="s">
        <v>574</v>
      </c>
      <c r="M343" s="287">
        <v>2400</v>
      </c>
      <c r="N343" s="287">
        <v>0</v>
      </c>
      <c r="O343" s="287">
        <v>0</v>
      </c>
      <c r="P343" s="287"/>
      <c r="Q343" s="288" t="s">
        <v>642</v>
      </c>
      <c r="R343" s="288">
        <v>238</v>
      </c>
      <c r="S343" s="288" t="s">
        <v>643</v>
      </c>
      <c r="T343" s="288"/>
      <c r="U343" s="288">
        <v>0</v>
      </c>
      <c r="V343" s="289">
        <v>238.33</v>
      </c>
      <c r="W343" s="289">
        <v>0</v>
      </c>
      <c r="X343" s="288">
        <v>9.9166666666666667E-2</v>
      </c>
      <c r="Y343" s="288">
        <v>9.9166666666666667E-2</v>
      </c>
      <c r="Z343" s="288">
        <v>1.3750000000000001E-4</v>
      </c>
      <c r="AA343" s="288">
        <v>0</v>
      </c>
      <c r="AB343" s="288">
        <v>0</v>
      </c>
      <c r="AC343" s="289">
        <v>9.9304166666666666E-2</v>
      </c>
      <c r="AD343" s="289">
        <v>0</v>
      </c>
    </row>
    <row r="344" spans="1:30" ht="15" customHeight="1" x14ac:dyDescent="0.25">
      <c r="A344" s="282" t="s">
        <v>581</v>
      </c>
      <c r="B344" s="282" t="s">
        <v>611</v>
      </c>
      <c r="C344" s="282" t="s">
        <v>612</v>
      </c>
      <c r="D344" s="286" t="s">
        <v>644</v>
      </c>
      <c r="E344" s="404">
        <v>44588</v>
      </c>
      <c r="F344" s="404">
        <v>46414</v>
      </c>
      <c r="G344" s="286" t="s">
        <v>316</v>
      </c>
      <c r="H344" s="282" t="s">
        <v>597</v>
      </c>
      <c r="I344" s="282" t="s">
        <v>590</v>
      </c>
      <c r="J344" s="282" t="s">
        <v>156</v>
      </c>
      <c r="K344" s="286" t="s">
        <v>598</v>
      </c>
      <c r="L344" s="282" t="s">
        <v>574</v>
      </c>
      <c r="M344" s="287">
        <v>2400</v>
      </c>
      <c r="N344" s="287">
        <v>0</v>
      </c>
      <c r="O344" s="287">
        <v>0</v>
      </c>
      <c r="P344" s="287"/>
      <c r="Q344" s="288" t="s">
        <v>645</v>
      </c>
      <c r="R344" s="288">
        <v>246</v>
      </c>
      <c r="S344" s="288" t="s">
        <v>646</v>
      </c>
      <c r="T344" s="288"/>
      <c r="U344" s="288">
        <v>0</v>
      </c>
      <c r="V344" s="289">
        <v>246.34</v>
      </c>
      <c r="W344" s="289">
        <v>0</v>
      </c>
      <c r="X344" s="288">
        <v>0.10249999999999999</v>
      </c>
      <c r="Y344" s="288">
        <v>0.10249999999999999</v>
      </c>
      <c r="Z344" s="288">
        <v>1.4166666666666668E-4</v>
      </c>
      <c r="AA344" s="288">
        <v>0</v>
      </c>
      <c r="AB344" s="288">
        <v>0</v>
      </c>
      <c r="AC344" s="289">
        <v>0.10264166666666666</v>
      </c>
      <c r="AD344" s="289">
        <v>0</v>
      </c>
    </row>
    <row r="345" spans="1:30" ht="15" customHeight="1" x14ac:dyDescent="0.25">
      <c r="A345" s="282" t="s">
        <v>581</v>
      </c>
      <c r="B345" s="282" t="s">
        <v>611</v>
      </c>
      <c r="C345" s="282" t="s">
        <v>612</v>
      </c>
      <c r="D345" s="286" t="s">
        <v>647</v>
      </c>
      <c r="E345" s="404">
        <v>44588</v>
      </c>
      <c r="F345" s="404">
        <v>46414</v>
      </c>
      <c r="G345" s="286" t="s">
        <v>316</v>
      </c>
      <c r="H345" s="282" t="s">
        <v>597</v>
      </c>
      <c r="I345" s="282" t="s">
        <v>590</v>
      </c>
      <c r="J345" s="282" t="s">
        <v>156</v>
      </c>
      <c r="K345" s="286" t="s">
        <v>598</v>
      </c>
      <c r="L345" s="282" t="s">
        <v>574</v>
      </c>
      <c r="M345" s="287">
        <v>2400</v>
      </c>
      <c r="N345" s="287">
        <v>0</v>
      </c>
      <c r="O345" s="287">
        <v>0</v>
      </c>
      <c r="P345" s="287"/>
      <c r="Q345" s="288" t="s">
        <v>648</v>
      </c>
      <c r="R345" s="288">
        <v>239</v>
      </c>
      <c r="S345" s="288" t="s">
        <v>643</v>
      </c>
      <c r="T345" s="288"/>
      <c r="U345" s="288">
        <v>0</v>
      </c>
      <c r="V345" s="289">
        <v>239.33</v>
      </c>
      <c r="W345" s="289">
        <v>0</v>
      </c>
      <c r="X345" s="288">
        <v>9.9583333333333329E-2</v>
      </c>
      <c r="Y345" s="288">
        <v>9.9583333333333329E-2</v>
      </c>
      <c r="Z345" s="288">
        <v>1.3750000000000001E-4</v>
      </c>
      <c r="AA345" s="288">
        <v>0</v>
      </c>
      <c r="AB345" s="288">
        <v>0</v>
      </c>
      <c r="AC345" s="289">
        <v>9.9720833333333328E-2</v>
      </c>
      <c r="AD345" s="289">
        <v>0</v>
      </c>
    </row>
    <row r="346" spans="1:30" ht="15" customHeight="1" x14ac:dyDescent="0.25">
      <c r="A346" s="282" t="s">
        <v>581</v>
      </c>
      <c r="B346" s="282" t="s">
        <v>585</v>
      </c>
      <c r="C346" s="282" t="s">
        <v>586</v>
      </c>
      <c r="D346" s="286" t="s">
        <v>649</v>
      </c>
      <c r="E346" s="404">
        <v>44588</v>
      </c>
      <c r="F346" s="404">
        <v>46414</v>
      </c>
      <c r="G346" s="286" t="s">
        <v>316</v>
      </c>
      <c r="H346" s="282" t="s">
        <v>597</v>
      </c>
      <c r="I346" s="282" t="s">
        <v>590</v>
      </c>
      <c r="J346" s="282" t="s">
        <v>156</v>
      </c>
      <c r="K346" s="286" t="s">
        <v>598</v>
      </c>
      <c r="L346" s="282" t="s">
        <v>574</v>
      </c>
      <c r="M346" s="287">
        <v>2400</v>
      </c>
      <c r="N346" s="287">
        <v>0</v>
      </c>
      <c r="O346" s="287">
        <v>0</v>
      </c>
      <c r="P346" s="287"/>
      <c r="Q346" s="288" t="s">
        <v>650</v>
      </c>
      <c r="R346" s="288">
        <v>268</v>
      </c>
      <c r="S346" s="288" t="s">
        <v>625</v>
      </c>
      <c r="T346" s="288"/>
      <c r="U346" s="288">
        <v>0</v>
      </c>
      <c r="V346" s="289">
        <v>268.37</v>
      </c>
      <c r="W346" s="289">
        <v>0</v>
      </c>
      <c r="X346" s="288">
        <v>0.11166666666666666</v>
      </c>
      <c r="Y346" s="288">
        <v>0.11166666666666666</v>
      </c>
      <c r="Z346" s="288">
        <v>1.5416666666666666E-4</v>
      </c>
      <c r="AA346" s="288">
        <v>0</v>
      </c>
      <c r="AB346" s="288">
        <v>0</v>
      </c>
      <c r="AC346" s="289">
        <v>0.11182083333333333</v>
      </c>
      <c r="AD346" s="289">
        <v>0</v>
      </c>
    </row>
    <row r="347" spans="1:30" ht="15" customHeight="1" x14ac:dyDescent="0.25">
      <c r="A347" s="282" t="s">
        <v>581</v>
      </c>
      <c r="B347" s="282" t="s">
        <v>611</v>
      </c>
      <c r="C347" s="282" t="s">
        <v>612</v>
      </c>
      <c r="D347" s="286" t="s">
        <v>651</v>
      </c>
      <c r="E347" s="404">
        <v>44816</v>
      </c>
      <c r="F347" s="404">
        <v>46642</v>
      </c>
      <c r="G347" s="290" t="s">
        <v>652</v>
      </c>
      <c r="H347" s="282" t="s">
        <v>653</v>
      </c>
      <c r="I347" s="282" t="s">
        <v>590</v>
      </c>
      <c r="J347" s="282" t="s">
        <v>156</v>
      </c>
      <c r="K347" s="286" t="s">
        <v>654</v>
      </c>
      <c r="L347" s="282" t="s">
        <v>574</v>
      </c>
      <c r="M347" s="287">
        <v>2400</v>
      </c>
      <c r="N347" s="287">
        <v>0</v>
      </c>
      <c r="O347" s="287">
        <v>0</v>
      </c>
      <c r="P347" s="287"/>
      <c r="Q347" s="288" t="s">
        <v>655</v>
      </c>
      <c r="R347" s="288" t="s">
        <v>655</v>
      </c>
      <c r="S347" s="288" t="s">
        <v>656</v>
      </c>
      <c r="T347" s="288"/>
      <c r="U347" s="288">
        <v>0</v>
      </c>
      <c r="V347" s="289">
        <v>218.3</v>
      </c>
      <c r="W347" s="289">
        <v>0</v>
      </c>
      <c r="X347" s="288">
        <v>9.0833333333333335E-2</v>
      </c>
      <c r="Y347" s="288">
        <v>9.0833333333333335E-2</v>
      </c>
      <c r="Z347" s="288">
        <v>1.25E-4</v>
      </c>
      <c r="AA347" s="288">
        <v>0</v>
      </c>
      <c r="AB347" s="288">
        <v>0</v>
      </c>
      <c r="AC347" s="289">
        <v>9.0958333333333335E-2</v>
      </c>
      <c r="AD347" s="289">
        <v>0</v>
      </c>
    </row>
    <row r="348" spans="1:30" ht="15" customHeight="1" x14ac:dyDescent="0.25">
      <c r="A348" s="282" t="s">
        <v>581</v>
      </c>
      <c r="B348" s="282" t="s">
        <v>611</v>
      </c>
      <c r="C348" s="282" t="s">
        <v>612</v>
      </c>
      <c r="D348" s="286" t="s">
        <v>657</v>
      </c>
      <c r="E348" s="404">
        <v>44573</v>
      </c>
      <c r="F348" s="404">
        <v>46656</v>
      </c>
      <c r="G348" s="286" t="s">
        <v>286</v>
      </c>
      <c r="H348" s="282" t="s">
        <v>602</v>
      </c>
      <c r="I348" s="282" t="s">
        <v>590</v>
      </c>
      <c r="J348" s="282" t="s">
        <v>156</v>
      </c>
      <c r="K348" s="286" t="s">
        <v>603</v>
      </c>
      <c r="L348" s="282" t="s">
        <v>574</v>
      </c>
      <c r="M348" s="287">
        <v>2400</v>
      </c>
      <c r="N348" s="287">
        <v>0</v>
      </c>
      <c r="O348" s="287">
        <v>0</v>
      </c>
      <c r="P348" s="287"/>
      <c r="Q348" s="288" t="s">
        <v>658</v>
      </c>
      <c r="R348" s="288" t="s">
        <v>658</v>
      </c>
      <c r="S348" s="288" t="s">
        <v>659</v>
      </c>
      <c r="T348" s="288"/>
      <c r="U348" s="288">
        <v>0</v>
      </c>
      <c r="V348" s="289">
        <v>192.26</v>
      </c>
      <c r="W348" s="289">
        <v>0</v>
      </c>
      <c r="X348" s="288">
        <v>0.08</v>
      </c>
      <c r="Y348" s="288">
        <v>0.08</v>
      </c>
      <c r="Z348" s="288">
        <v>1.0833333333333334E-4</v>
      </c>
      <c r="AA348" s="288">
        <v>0</v>
      </c>
      <c r="AB348" s="288">
        <v>0</v>
      </c>
      <c r="AC348" s="289">
        <v>8.0108333333333337E-2</v>
      </c>
      <c r="AD348" s="289">
        <v>0</v>
      </c>
    </row>
    <row r="349" spans="1:30" ht="15" customHeight="1" x14ac:dyDescent="0.25">
      <c r="A349" s="282" t="s">
        <v>581</v>
      </c>
      <c r="B349" s="282" t="s">
        <v>611</v>
      </c>
      <c r="C349" s="282" t="s">
        <v>612</v>
      </c>
      <c r="D349" s="286" t="s">
        <v>660</v>
      </c>
      <c r="E349" s="404">
        <v>44573</v>
      </c>
      <c r="F349" s="404">
        <v>46656</v>
      </c>
      <c r="G349" s="286" t="s">
        <v>286</v>
      </c>
      <c r="H349" s="282" t="s">
        <v>602</v>
      </c>
      <c r="I349" s="282" t="s">
        <v>590</v>
      </c>
      <c r="J349" s="282" t="s">
        <v>156</v>
      </c>
      <c r="K349" s="286" t="s">
        <v>603</v>
      </c>
      <c r="L349" s="282" t="s">
        <v>574</v>
      </c>
      <c r="M349" s="287">
        <v>2400</v>
      </c>
      <c r="N349" s="287">
        <v>0</v>
      </c>
      <c r="O349" s="287">
        <v>0</v>
      </c>
      <c r="P349" s="287"/>
      <c r="Q349" s="288" t="s">
        <v>661</v>
      </c>
      <c r="R349" s="288" t="s">
        <v>661</v>
      </c>
      <c r="S349" s="288" t="s">
        <v>656</v>
      </c>
      <c r="T349" s="288"/>
      <c r="U349" s="288">
        <v>0</v>
      </c>
      <c r="V349" s="289">
        <v>233.3</v>
      </c>
      <c r="W349" s="289">
        <v>0</v>
      </c>
      <c r="X349" s="288">
        <v>9.7083333333333327E-2</v>
      </c>
      <c r="Y349" s="288">
        <v>9.7083333333333327E-2</v>
      </c>
      <c r="Z349" s="288">
        <v>1.25E-4</v>
      </c>
      <c r="AA349" s="288">
        <v>0</v>
      </c>
      <c r="AB349" s="288">
        <v>0</v>
      </c>
      <c r="AC349" s="289">
        <v>9.7208333333333327E-2</v>
      </c>
      <c r="AD349" s="289">
        <v>0</v>
      </c>
    </row>
    <row r="350" spans="1:30" ht="15" customHeight="1" x14ac:dyDescent="0.25">
      <c r="A350" s="282" t="s">
        <v>581</v>
      </c>
      <c r="B350" s="282" t="s">
        <v>585</v>
      </c>
      <c r="C350" s="282" t="s">
        <v>586</v>
      </c>
      <c r="D350" s="286" t="s">
        <v>662</v>
      </c>
      <c r="E350" s="404">
        <v>44588</v>
      </c>
      <c r="F350" s="404">
        <v>46414</v>
      </c>
      <c r="G350" s="286" t="s">
        <v>316</v>
      </c>
      <c r="H350" s="282" t="s">
        <v>597</v>
      </c>
      <c r="I350" s="282" t="s">
        <v>590</v>
      </c>
      <c r="J350" s="282" t="s">
        <v>156</v>
      </c>
      <c r="K350" s="286" t="s">
        <v>598</v>
      </c>
      <c r="L350" s="282" t="s">
        <v>574</v>
      </c>
      <c r="M350" s="287">
        <v>2400</v>
      </c>
      <c r="N350" s="287">
        <v>0</v>
      </c>
      <c r="O350" s="287">
        <v>0</v>
      </c>
      <c r="P350" s="287"/>
      <c r="Q350" s="288" t="s">
        <v>663</v>
      </c>
      <c r="R350" s="288">
        <v>274</v>
      </c>
      <c r="S350" s="288" t="s">
        <v>664</v>
      </c>
      <c r="T350" s="288"/>
      <c r="U350" s="288">
        <v>0</v>
      </c>
      <c r="V350" s="289">
        <v>274.35000000000002</v>
      </c>
      <c r="W350" s="289">
        <v>0</v>
      </c>
      <c r="X350" s="288">
        <v>0.11416666666666667</v>
      </c>
      <c r="Y350" s="288">
        <v>0.11416666666666667</v>
      </c>
      <c r="Z350" s="288">
        <v>1.4583333333333332E-4</v>
      </c>
      <c r="AA350" s="288">
        <v>0</v>
      </c>
      <c r="AB350" s="288">
        <v>0</v>
      </c>
      <c r="AC350" s="289">
        <v>0.1143125</v>
      </c>
      <c r="AD350" s="289">
        <v>0</v>
      </c>
    </row>
    <row r="351" spans="1:30" ht="15" customHeight="1" x14ac:dyDescent="0.25">
      <c r="A351" s="282" t="s">
        <v>581</v>
      </c>
      <c r="B351" s="282" t="s">
        <v>585</v>
      </c>
      <c r="C351" s="282" t="s">
        <v>586</v>
      </c>
      <c r="D351" s="286" t="s">
        <v>665</v>
      </c>
      <c r="E351" s="404">
        <v>44588</v>
      </c>
      <c r="F351" s="404">
        <v>46414</v>
      </c>
      <c r="G351" s="286" t="s">
        <v>316</v>
      </c>
      <c r="H351" s="282" t="s">
        <v>597</v>
      </c>
      <c r="I351" s="282" t="s">
        <v>590</v>
      </c>
      <c r="J351" s="282" t="s">
        <v>156</v>
      </c>
      <c r="K351" s="286" t="s">
        <v>598</v>
      </c>
      <c r="L351" s="282" t="s">
        <v>574</v>
      </c>
      <c r="M351" s="287">
        <v>2400</v>
      </c>
      <c r="N351" s="287">
        <v>0</v>
      </c>
      <c r="O351" s="287">
        <v>0</v>
      </c>
      <c r="P351" s="287"/>
      <c r="Q351" s="288" t="s">
        <v>666</v>
      </c>
      <c r="R351" s="288">
        <v>291</v>
      </c>
      <c r="S351" s="288" t="s">
        <v>625</v>
      </c>
      <c r="T351" s="288"/>
      <c r="U351" s="288">
        <v>0</v>
      </c>
      <c r="V351" s="289">
        <v>291.37</v>
      </c>
      <c r="W351" s="289">
        <v>0</v>
      </c>
      <c r="X351" s="288">
        <v>0.12125</v>
      </c>
      <c r="Y351" s="288">
        <v>0.12125</v>
      </c>
      <c r="Z351" s="288">
        <v>1.5416666666666666E-4</v>
      </c>
      <c r="AA351" s="288">
        <v>0</v>
      </c>
      <c r="AB351" s="288">
        <v>0</v>
      </c>
      <c r="AC351" s="289">
        <v>0.12140416666666666</v>
      </c>
      <c r="AD351" s="289">
        <v>0</v>
      </c>
    </row>
    <row r="352" spans="1:30" ht="15" customHeight="1" x14ac:dyDescent="0.25">
      <c r="A352" s="282" t="s">
        <v>581</v>
      </c>
      <c r="B352" s="282" t="s">
        <v>585</v>
      </c>
      <c r="C352" s="282" t="s">
        <v>586</v>
      </c>
      <c r="D352" s="286" t="s">
        <v>667</v>
      </c>
      <c r="E352" s="404">
        <v>44588</v>
      </c>
      <c r="F352" s="404">
        <v>46414</v>
      </c>
      <c r="G352" s="286" t="s">
        <v>316</v>
      </c>
      <c r="H352" s="282" t="s">
        <v>597</v>
      </c>
      <c r="I352" s="282" t="s">
        <v>590</v>
      </c>
      <c r="J352" s="282" t="s">
        <v>156</v>
      </c>
      <c r="K352" s="286" t="s">
        <v>598</v>
      </c>
      <c r="L352" s="282" t="s">
        <v>574</v>
      </c>
      <c r="M352" s="287">
        <v>2400</v>
      </c>
      <c r="N352" s="287">
        <v>0</v>
      </c>
      <c r="O352" s="287">
        <v>0</v>
      </c>
      <c r="P352" s="287"/>
      <c r="Q352" s="288" t="s">
        <v>668</v>
      </c>
      <c r="R352" s="288">
        <v>276</v>
      </c>
      <c r="S352" s="288" t="s">
        <v>664</v>
      </c>
      <c r="T352" s="288"/>
      <c r="U352" s="288">
        <v>0</v>
      </c>
      <c r="V352" s="289">
        <v>276.35000000000002</v>
      </c>
      <c r="W352" s="289">
        <v>0</v>
      </c>
      <c r="X352" s="288">
        <v>0.115</v>
      </c>
      <c r="Y352" s="288">
        <v>0.115</v>
      </c>
      <c r="Z352" s="288">
        <v>1.4583333333333332E-4</v>
      </c>
      <c r="AA352" s="288">
        <v>0</v>
      </c>
      <c r="AB352" s="288">
        <v>0</v>
      </c>
      <c r="AC352" s="289">
        <v>0.11514583333333334</v>
      </c>
      <c r="AD352" s="289">
        <v>0</v>
      </c>
    </row>
    <row r="353" spans="1:30" ht="15" customHeight="1" x14ac:dyDescent="0.25">
      <c r="A353" s="282" t="s">
        <v>581</v>
      </c>
      <c r="B353" s="282" t="s">
        <v>628</v>
      </c>
      <c r="C353" s="282" t="s">
        <v>629</v>
      </c>
      <c r="D353" s="286" t="s">
        <v>669</v>
      </c>
      <c r="E353" s="404">
        <v>44573</v>
      </c>
      <c r="F353" s="404">
        <v>46656</v>
      </c>
      <c r="G353" s="286" t="s">
        <v>286</v>
      </c>
      <c r="H353" s="282" t="s">
        <v>602</v>
      </c>
      <c r="I353" s="282" t="s">
        <v>590</v>
      </c>
      <c r="J353" s="282" t="s">
        <v>156</v>
      </c>
      <c r="K353" s="286" t="s">
        <v>603</v>
      </c>
      <c r="L353" s="282" t="s">
        <v>574</v>
      </c>
      <c r="M353" s="287">
        <v>2400</v>
      </c>
      <c r="N353" s="287">
        <v>0</v>
      </c>
      <c r="O353" s="287">
        <v>0</v>
      </c>
      <c r="P353" s="287"/>
      <c r="Q353" s="288" t="s">
        <v>634</v>
      </c>
      <c r="R353" s="288" t="s">
        <v>634</v>
      </c>
      <c r="S353" s="288" t="s">
        <v>670</v>
      </c>
      <c r="T353" s="288"/>
      <c r="U353" s="288">
        <v>0</v>
      </c>
      <c r="V353" s="289">
        <v>214.27</v>
      </c>
      <c r="W353" s="289">
        <v>0</v>
      </c>
      <c r="X353" s="288">
        <v>8.9166666666666672E-2</v>
      </c>
      <c r="Y353" s="288">
        <v>8.9166666666666672E-2</v>
      </c>
      <c r="Z353" s="288">
        <v>1.1250000000000001E-4</v>
      </c>
      <c r="AA353" s="288">
        <v>0</v>
      </c>
      <c r="AB353" s="288">
        <v>0</v>
      </c>
      <c r="AC353" s="289">
        <v>8.9279166666666673E-2</v>
      </c>
      <c r="AD353" s="289">
        <v>0</v>
      </c>
    </row>
    <row r="354" spans="1:30" ht="15" customHeight="1" x14ac:dyDescent="0.25">
      <c r="A354" s="282" t="s">
        <v>581</v>
      </c>
      <c r="B354" s="282" t="s">
        <v>594</v>
      </c>
      <c r="C354" s="282" t="s">
        <v>595</v>
      </c>
      <c r="D354" s="286" t="s">
        <v>671</v>
      </c>
      <c r="E354" s="404">
        <v>44573</v>
      </c>
      <c r="F354" s="404">
        <v>46656</v>
      </c>
      <c r="G354" s="286" t="s">
        <v>286</v>
      </c>
      <c r="H354" s="282" t="s">
        <v>602</v>
      </c>
      <c r="I354" s="282" t="s">
        <v>590</v>
      </c>
      <c r="J354" s="282" t="s">
        <v>156</v>
      </c>
      <c r="K354" s="286" t="s">
        <v>603</v>
      </c>
      <c r="L354" s="282" t="s">
        <v>574</v>
      </c>
      <c r="M354" s="287">
        <v>2400</v>
      </c>
      <c r="N354" s="287">
        <v>0</v>
      </c>
      <c r="O354" s="287">
        <v>0</v>
      </c>
      <c r="P354" s="287"/>
      <c r="Q354" s="288" t="s">
        <v>672</v>
      </c>
      <c r="R354" s="288" t="s">
        <v>672</v>
      </c>
      <c r="S354" s="288" t="s">
        <v>659</v>
      </c>
      <c r="T354" s="288"/>
      <c r="U354" s="288">
        <v>0</v>
      </c>
      <c r="V354" s="289">
        <v>208.26</v>
      </c>
      <c r="W354" s="289">
        <v>0</v>
      </c>
      <c r="X354" s="288">
        <v>8.666666666666667E-2</v>
      </c>
      <c r="Y354" s="288">
        <v>8.666666666666667E-2</v>
      </c>
      <c r="Z354" s="288">
        <v>1.0833333333333334E-4</v>
      </c>
      <c r="AA354" s="288">
        <v>0</v>
      </c>
      <c r="AB354" s="288">
        <v>0</v>
      </c>
      <c r="AC354" s="289">
        <v>8.6775000000000005E-2</v>
      </c>
      <c r="AD354" s="289">
        <v>0</v>
      </c>
    </row>
    <row r="355" spans="1:30" ht="15" customHeight="1" x14ac:dyDescent="0.25">
      <c r="A355" s="282" t="s">
        <v>581</v>
      </c>
      <c r="B355" s="282" t="s">
        <v>628</v>
      </c>
      <c r="C355" s="282" t="s">
        <v>629</v>
      </c>
      <c r="D355" s="286" t="s">
        <v>673</v>
      </c>
      <c r="E355" s="404">
        <v>44573</v>
      </c>
      <c r="F355" s="404">
        <v>46656</v>
      </c>
      <c r="G355" s="286" t="s">
        <v>286</v>
      </c>
      <c r="H355" s="282" t="s">
        <v>602</v>
      </c>
      <c r="I355" s="282" t="s">
        <v>590</v>
      </c>
      <c r="J355" s="282" t="s">
        <v>156</v>
      </c>
      <c r="K355" s="286" t="s">
        <v>603</v>
      </c>
      <c r="L355" s="282" t="s">
        <v>574</v>
      </c>
      <c r="M355" s="287">
        <v>2400</v>
      </c>
      <c r="N355" s="287">
        <v>0</v>
      </c>
      <c r="O355" s="287">
        <v>0</v>
      </c>
      <c r="P355" s="287"/>
      <c r="Q355" s="288" t="s">
        <v>655</v>
      </c>
      <c r="R355" s="288" t="s">
        <v>655</v>
      </c>
      <c r="S355" s="288" t="s">
        <v>670</v>
      </c>
      <c r="T355" s="288"/>
      <c r="U355" s="288">
        <v>0</v>
      </c>
      <c r="V355" s="289">
        <v>218.27</v>
      </c>
      <c r="W355" s="289">
        <v>0</v>
      </c>
      <c r="X355" s="288">
        <v>9.0833333333333335E-2</v>
      </c>
      <c r="Y355" s="288">
        <v>9.0833333333333335E-2</v>
      </c>
      <c r="Z355" s="288">
        <v>1.1250000000000001E-4</v>
      </c>
      <c r="AA355" s="288">
        <v>0</v>
      </c>
      <c r="AB355" s="288">
        <v>0</v>
      </c>
      <c r="AC355" s="289">
        <v>9.0945833333333337E-2</v>
      </c>
      <c r="AD355" s="289">
        <v>0</v>
      </c>
    </row>
    <row r="356" spans="1:30" ht="15" customHeight="1" x14ac:dyDescent="0.25">
      <c r="A356" s="282" t="s">
        <v>581</v>
      </c>
      <c r="B356" s="282" t="s">
        <v>585</v>
      </c>
      <c r="C356" s="282" t="s">
        <v>586</v>
      </c>
      <c r="D356" s="286" t="s">
        <v>674</v>
      </c>
      <c r="E356" s="404">
        <v>44573</v>
      </c>
      <c r="F356" s="404">
        <v>46656</v>
      </c>
      <c r="G356" s="286" t="s">
        <v>286</v>
      </c>
      <c r="H356" s="282" t="s">
        <v>602</v>
      </c>
      <c r="I356" s="282" t="s">
        <v>590</v>
      </c>
      <c r="J356" s="282" t="s">
        <v>156</v>
      </c>
      <c r="K356" s="286" t="s">
        <v>603</v>
      </c>
      <c r="L356" s="282" t="s">
        <v>574</v>
      </c>
      <c r="M356" s="287">
        <v>2400</v>
      </c>
      <c r="N356" s="287">
        <v>0</v>
      </c>
      <c r="O356" s="287">
        <v>0</v>
      </c>
      <c r="P356" s="287"/>
      <c r="Q356" s="288" t="s">
        <v>675</v>
      </c>
      <c r="R356" s="288" t="s">
        <v>675</v>
      </c>
      <c r="S356" s="288" t="s">
        <v>643</v>
      </c>
      <c r="T356" s="288"/>
      <c r="U356" s="288">
        <v>0</v>
      </c>
      <c r="V356" s="289">
        <v>279.33</v>
      </c>
      <c r="W356" s="289">
        <v>0</v>
      </c>
      <c r="X356" s="288">
        <v>0.11625000000000001</v>
      </c>
      <c r="Y356" s="288">
        <v>0.11625000000000001</v>
      </c>
      <c r="Z356" s="288">
        <v>1.3750000000000001E-4</v>
      </c>
      <c r="AA356" s="288">
        <v>0</v>
      </c>
      <c r="AB356" s="288">
        <v>0</v>
      </c>
      <c r="AC356" s="289">
        <v>0.1163875</v>
      </c>
      <c r="AD356" s="289">
        <v>0</v>
      </c>
    </row>
    <row r="357" spans="1:30" ht="15" customHeight="1" x14ac:dyDescent="0.25">
      <c r="A357" s="282" t="s">
        <v>581</v>
      </c>
      <c r="B357" s="282" t="s">
        <v>628</v>
      </c>
      <c r="C357" s="282" t="s">
        <v>629</v>
      </c>
      <c r="D357" s="286" t="s">
        <v>676</v>
      </c>
      <c r="E357" s="404">
        <v>44573</v>
      </c>
      <c r="F357" s="404">
        <v>46656</v>
      </c>
      <c r="G357" s="286" t="s">
        <v>286</v>
      </c>
      <c r="H357" s="282" t="s">
        <v>602</v>
      </c>
      <c r="I357" s="282" t="s">
        <v>590</v>
      </c>
      <c r="J357" s="282" t="s">
        <v>156</v>
      </c>
      <c r="K357" s="286" t="s">
        <v>603</v>
      </c>
      <c r="L357" s="282" t="s">
        <v>574</v>
      </c>
      <c r="M357" s="287">
        <v>2400</v>
      </c>
      <c r="N357" s="287">
        <v>0</v>
      </c>
      <c r="O357" s="287">
        <v>0</v>
      </c>
      <c r="P357" s="287"/>
      <c r="Q357" s="288" t="s">
        <v>677</v>
      </c>
      <c r="R357" s="288" t="s">
        <v>677</v>
      </c>
      <c r="S357" s="288" t="s">
        <v>670</v>
      </c>
      <c r="T357" s="288"/>
      <c r="U357" s="288">
        <v>0</v>
      </c>
      <c r="V357" s="289">
        <v>229.27</v>
      </c>
      <c r="W357" s="289">
        <v>0</v>
      </c>
      <c r="X357" s="288">
        <v>9.5416666666666664E-2</v>
      </c>
      <c r="Y357" s="288">
        <v>9.5416666666666664E-2</v>
      </c>
      <c r="Z357" s="288">
        <v>1.1250000000000001E-4</v>
      </c>
      <c r="AA357" s="288">
        <v>0</v>
      </c>
      <c r="AB357" s="288">
        <v>0</v>
      </c>
      <c r="AC357" s="289">
        <v>9.5529166666666665E-2</v>
      </c>
      <c r="AD357" s="289">
        <v>0</v>
      </c>
    </row>
    <row r="358" spans="1:30" ht="15" customHeight="1" x14ac:dyDescent="0.25">
      <c r="A358" s="282" t="s">
        <v>581</v>
      </c>
      <c r="B358" s="282" t="s">
        <v>585</v>
      </c>
      <c r="C358" s="282" t="s">
        <v>586</v>
      </c>
      <c r="D358" s="286" t="s">
        <v>678</v>
      </c>
      <c r="E358" s="404">
        <v>44588</v>
      </c>
      <c r="F358" s="404">
        <v>46414</v>
      </c>
      <c r="G358" s="286" t="s">
        <v>316</v>
      </c>
      <c r="H358" s="282" t="s">
        <v>597</v>
      </c>
      <c r="I358" s="282" t="s">
        <v>590</v>
      </c>
      <c r="J358" s="282" t="s">
        <v>156</v>
      </c>
      <c r="K358" s="286" t="s">
        <v>598</v>
      </c>
      <c r="L358" s="282" t="s">
        <v>574</v>
      </c>
      <c r="M358" s="287">
        <v>2400</v>
      </c>
      <c r="N358" s="287">
        <v>0</v>
      </c>
      <c r="O358" s="287">
        <v>0</v>
      </c>
      <c r="P358" s="287"/>
      <c r="Q358" s="288" t="s">
        <v>679</v>
      </c>
      <c r="R358" s="288">
        <v>263</v>
      </c>
      <c r="S358" s="288" t="s">
        <v>621</v>
      </c>
      <c r="T358" s="288"/>
      <c r="U358" s="288">
        <v>0</v>
      </c>
      <c r="V358" s="289">
        <v>263.31</v>
      </c>
      <c r="W358" s="289">
        <v>0</v>
      </c>
      <c r="X358" s="288">
        <v>0.10958333333333334</v>
      </c>
      <c r="Y358" s="288">
        <v>0.10958333333333334</v>
      </c>
      <c r="Z358" s="288">
        <v>1.2916666666666667E-4</v>
      </c>
      <c r="AA358" s="288">
        <v>0</v>
      </c>
      <c r="AB358" s="288">
        <v>0</v>
      </c>
      <c r="AC358" s="289">
        <v>0.1097125</v>
      </c>
      <c r="AD358" s="289">
        <v>0</v>
      </c>
    </row>
    <row r="359" spans="1:30" ht="15" customHeight="1" x14ac:dyDescent="0.25">
      <c r="A359" s="282" t="s">
        <v>581</v>
      </c>
      <c r="B359" s="282" t="s">
        <v>585</v>
      </c>
      <c r="C359" s="282" t="s">
        <v>586</v>
      </c>
      <c r="D359" s="286" t="s">
        <v>680</v>
      </c>
      <c r="E359" s="404">
        <v>44588</v>
      </c>
      <c r="F359" s="404">
        <v>46414</v>
      </c>
      <c r="G359" s="286" t="s">
        <v>316</v>
      </c>
      <c r="H359" s="282" t="s">
        <v>597</v>
      </c>
      <c r="I359" s="282" t="s">
        <v>590</v>
      </c>
      <c r="J359" s="282" t="s">
        <v>156</v>
      </c>
      <c r="K359" s="286" t="s">
        <v>598</v>
      </c>
      <c r="L359" s="282" t="s">
        <v>574</v>
      </c>
      <c r="M359" s="287">
        <v>2400</v>
      </c>
      <c r="N359" s="287">
        <v>0</v>
      </c>
      <c r="O359" s="287">
        <v>0</v>
      </c>
      <c r="P359" s="287"/>
      <c r="Q359" s="288" t="s">
        <v>681</v>
      </c>
      <c r="R359" s="288">
        <v>264</v>
      </c>
      <c r="S359" s="288" t="s">
        <v>621</v>
      </c>
      <c r="T359" s="288"/>
      <c r="U359" s="288">
        <v>0</v>
      </c>
      <c r="V359" s="289">
        <v>264.31</v>
      </c>
      <c r="W359" s="289">
        <v>0</v>
      </c>
      <c r="X359" s="288">
        <v>0.11</v>
      </c>
      <c r="Y359" s="288">
        <v>0.11</v>
      </c>
      <c r="Z359" s="288">
        <v>1.2916666666666667E-4</v>
      </c>
      <c r="AA359" s="288">
        <v>0</v>
      </c>
      <c r="AB359" s="288">
        <v>0</v>
      </c>
      <c r="AC359" s="289">
        <v>0.11012916666666667</v>
      </c>
      <c r="AD359" s="289">
        <v>0</v>
      </c>
    </row>
    <row r="360" spans="1:30" ht="15" customHeight="1" x14ac:dyDescent="0.25">
      <c r="A360" s="282" t="s">
        <v>581</v>
      </c>
      <c r="B360" s="282" t="s">
        <v>616</v>
      </c>
      <c r="C360" s="282" t="s">
        <v>617</v>
      </c>
      <c r="D360" s="286" t="s">
        <v>682</v>
      </c>
      <c r="E360" s="404">
        <v>44588</v>
      </c>
      <c r="F360" s="404">
        <v>46414</v>
      </c>
      <c r="G360" s="286" t="s">
        <v>316</v>
      </c>
      <c r="H360" s="282" t="s">
        <v>597</v>
      </c>
      <c r="I360" s="282" t="s">
        <v>590</v>
      </c>
      <c r="J360" s="282" t="s">
        <v>156</v>
      </c>
      <c r="K360" s="286" t="s">
        <v>598</v>
      </c>
      <c r="L360" s="282" t="s">
        <v>574</v>
      </c>
      <c r="M360" s="287">
        <v>2400</v>
      </c>
      <c r="N360" s="287">
        <v>0</v>
      </c>
      <c r="O360" s="287">
        <v>0</v>
      </c>
      <c r="P360" s="287"/>
      <c r="Q360" s="288" t="s">
        <v>683</v>
      </c>
      <c r="R360" s="288">
        <v>328</v>
      </c>
      <c r="S360" s="288" t="s">
        <v>640</v>
      </c>
      <c r="T360" s="288"/>
      <c r="U360" s="288">
        <v>0</v>
      </c>
      <c r="V360" s="289">
        <v>328.38</v>
      </c>
      <c r="W360" s="289">
        <v>0</v>
      </c>
      <c r="X360" s="288">
        <v>0.13666666666666666</v>
      </c>
      <c r="Y360" s="288">
        <v>0.13666666666666666</v>
      </c>
      <c r="Z360" s="288">
        <v>1.5833333333333332E-4</v>
      </c>
      <c r="AA360" s="288">
        <v>0</v>
      </c>
      <c r="AB360" s="288">
        <v>0</v>
      </c>
      <c r="AC360" s="289">
        <v>0.136825</v>
      </c>
      <c r="AD360" s="289">
        <v>0</v>
      </c>
    </row>
    <row r="361" spans="1:30" ht="15" customHeight="1" x14ac:dyDescent="0.25">
      <c r="A361" s="282" t="s">
        <v>581</v>
      </c>
      <c r="B361" s="282" t="s">
        <v>616</v>
      </c>
      <c r="C361" s="282" t="s">
        <v>617</v>
      </c>
      <c r="D361" s="286" t="s">
        <v>684</v>
      </c>
      <c r="E361" s="404">
        <v>44588</v>
      </c>
      <c r="F361" s="404">
        <v>46414</v>
      </c>
      <c r="G361" s="286" t="s">
        <v>316</v>
      </c>
      <c r="H361" s="282" t="s">
        <v>597</v>
      </c>
      <c r="I361" s="282" t="s">
        <v>590</v>
      </c>
      <c r="J361" s="282" t="s">
        <v>156</v>
      </c>
      <c r="K361" s="286" t="s">
        <v>598</v>
      </c>
      <c r="L361" s="282" t="s">
        <v>574</v>
      </c>
      <c r="M361" s="287">
        <v>2400</v>
      </c>
      <c r="N361" s="287">
        <v>0</v>
      </c>
      <c r="O361" s="287">
        <v>0</v>
      </c>
      <c r="P361" s="287"/>
      <c r="Q361" s="288" t="s">
        <v>685</v>
      </c>
      <c r="R361" s="288">
        <v>330</v>
      </c>
      <c r="S361" s="288" t="s">
        <v>640</v>
      </c>
      <c r="T361" s="288"/>
      <c r="U361" s="288">
        <v>0</v>
      </c>
      <c r="V361" s="289">
        <v>330.38</v>
      </c>
      <c r="W361" s="289">
        <v>0</v>
      </c>
      <c r="X361" s="288">
        <v>0.13750000000000001</v>
      </c>
      <c r="Y361" s="288">
        <v>0.13750000000000001</v>
      </c>
      <c r="Z361" s="288">
        <v>1.5833333333333332E-4</v>
      </c>
      <c r="AA361" s="288">
        <v>0</v>
      </c>
      <c r="AB361" s="288">
        <v>0</v>
      </c>
      <c r="AC361" s="289">
        <v>0.13765833333333335</v>
      </c>
      <c r="AD361" s="289">
        <v>0</v>
      </c>
    </row>
    <row r="362" spans="1:30" ht="15" customHeight="1" x14ac:dyDescent="0.25">
      <c r="A362" s="282" t="s">
        <v>581</v>
      </c>
      <c r="B362" s="282" t="s">
        <v>585</v>
      </c>
      <c r="C362" s="282" t="s">
        <v>586</v>
      </c>
      <c r="D362" s="286" t="s">
        <v>686</v>
      </c>
      <c r="E362" s="404">
        <v>44573</v>
      </c>
      <c r="F362" s="404">
        <v>46656</v>
      </c>
      <c r="G362" s="286" t="s">
        <v>286</v>
      </c>
      <c r="H362" s="282" t="s">
        <v>602</v>
      </c>
      <c r="I362" s="282" t="s">
        <v>590</v>
      </c>
      <c r="J362" s="282" t="s">
        <v>156</v>
      </c>
      <c r="K362" s="286" t="s">
        <v>603</v>
      </c>
      <c r="L362" s="282" t="s">
        <v>574</v>
      </c>
      <c r="M362" s="287">
        <v>2400</v>
      </c>
      <c r="N362" s="287">
        <v>0</v>
      </c>
      <c r="O362" s="287">
        <v>0</v>
      </c>
      <c r="P362" s="287"/>
      <c r="Q362" s="288" t="s">
        <v>687</v>
      </c>
      <c r="R362" s="288" t="s">
        <v>687</v>
      </c>
      <c r="S362" s="288" t="s">
        <v>688</v>
      </c>
      <c r="T362" s="288"/>
      <c r="U362" s="288">
        <v>0</v>
      </c>
      <c r="V362" s="289">
        <v>245.28</v>
      </c>
      <c r="W362" s="289">
        <v>0</v>
      </c>
      <c r="X362" s="288">
        <v>0.10208333333333333</v>
      </c>
      <c r="Y362" s="288">
        <v>0.10208333333333333</v>
      </c>
      <c r="Z362" s="288">
        <v>1.1666666666666668E-4</v>
      </c>
      <c r="AA362" s="288">
        <v>0</v>
      </c>
      <c r="AB362" s="288">
        <v>0</v>
      </c>
      <c r="AC362" s="289">
        <v>0.1022</v>
      </c>
      <c r="AD362" s="289">
        <v>0</v>
      </c>
    </row>
    <row r="363" spans="1:30" ht="15" customHeight="1" x14ac:dyDescent="0.25">
      <c r="A363" s="282" t="s">
        <v>581</v>
      </c>
      <c r="B363" s="282" t="s">
        <v>585</v>
      </c>
      <c r="C363" s="282" t="s">
        <v>586</v>
      </c>
      <c r="D363" s="286" t="s">
        <v>689</v>
      </c>
      <c r="E363" s="404">
        <v>44588</v>
      </c>
      <c r="F363" s="404">
        <v>46414</v>
      </c>
      <c r="G363" s="286" t="s">
        <v>316</v>
      </c>
      <c r="H363" s="282" t="s">
        <v>597</v>
      </c>
      <c r="I363" s="282" t="s">
        <v>590</v>
      </c>
      <c r="J363" s="282" t="s">
        <v>156</v>
      </c>
      <c r="K363" s="286" t="s">
        <v>598</v>
      </c>
      <c r="L363" s="282" t="s">
        <v>574</v>
      </c>
      <c r="M363" s="287">
        <v>2400</v>
      </c>
      <c r="N363" s="287">
        <v>0</v>
      </c>
      <c r="O363" s="287">
        <v>0</v>
      </c>
      <c r="P363" s="287"/>
      <c r="Q363" s="288" t="s">
        <v>639</v>
      </c>
      <c r="R363" s="288">
        <v>272</v>
      </c>
      <c r="S363" s="288" t="s">
        <v>621</v>
      </c>
      <c r="T363" s="288"/>
      <c r="U363" s="288">
        <v>0</v>
      </c>
      <c r="V363" s="289">
        <v>272.31</v>
      </c>
      <c r="W363" s="289">
        <v>0</v>
      </c>
      <c r="X363" s="288">
        <v>0.11333333333333333</v>
      </c>
      <c r="Y363" s="288">
        <v>0.11333333333333333</v>
      </c>
      <c r="Z363" s="288">
        <v>1.2916666666666667E-4</v>
      </c>
      <c r="AA363" s="288">
        <v>0</v>
      </c>
      <c r="AB363" s="288">
        <v>0</v>
      </c>
      <c r="AC363" s="289">
        <v>0.11346249999999999</v>
      </c>
      <c r="AD363" s="289">
        <v>0</v>
      </c>
    </row>
    <row r="364" spans="1:30" ht="15" customHeight="1" x14ac:dyDescent="0.25">
      <c r="A364" s="282" t="s">
        <v>581</v>
      </c>
      <c r="B364" s="282" t="s">
        <v>585</v>
      </c>
      <c r="C364" s="282" t="s">
        <v>586</v>
      </c>
      <c r="D364" s="286" t="s">
        <v>690</v>
      </c>
      <c r="E364" s="404">
        <v>44816</v>
      </c>
      <c r="F364" s="404">
        <v>46642</v>
      </c>
      <c r="G364" s="290" t="s">
        <v>652</v>
      </c>
      <c r="H364" s="282" t="s">
        <v>653</v>
      </c>
      <c r="I364" s="282" t="s">
        <v>590</v>
      </c>
      <c r="J364" s="282" t="s">
        <v>156</v>
      </c>
      <c r="K364" s="286" t="s">
        <v>654</v>
      </c>
      <c r="L364" s="282" t="s">
        <v>574</v>
      </c>
      <c r="M364" s="287">
        <v>2400</v>
      </c>
      <c r="N364" s="287">
        <v>0</v>
      </c>
      <c r="O364" s="287">
        <v>0</v>
      </c>
      <c r="P364" s="287"/>
      <c r="Q364" s="288" t="s">
        <v>637</v>
      </c>
      <c r="R364" s="288" t="s">
        <v>637</v>
      </c>
      <c r="S364" s="288" t="s">
        <v>691</v>
      </c>
      <c r="T364" s="288"/>
      <c r="U364" s="288">
        <v>0</v>
      </c>
      <c r="V364" s="289">
        <v>221.25</v>
      </c>
      <c r="W364" s="289">
        <v>0</v>
      </c>
      <c r="X364" s="288">
        <v>9.2083333333333336E-2</v>
      </c>
      <c r="Y364" s="288">
        <v>9.2083333333333336E-2</v>
      </c>
      <c r="Z364" s="288">
        <v>1.0416666666666667E-4</v>
      </c>
      <c r="AA364" s="288">
        <v>0</v>
      </c>
      <c r="AB364" s="288">
        <v>0</v>
      </c>
      <c r="AC364" s="289">
        <v>9.2187500000000006E-2</v>
      </c>
      <c r="AD364" s="289">
        <v>0</v>
      </c>
    </row>
    <row r="365" spans="1:30" ht="15" customHeight="1" x14ac:dyDescent="0.25">
      <c r="A365" s="282" t="s">
        <v>581</v>
      </c>
      <c r="B365" s="282" t="s">
        <v>628</v>
      </c>
      <c r="C365" s="282" t="s">
        <v>629</v>
      </c>
      <c r="D365" s="286" t="s">
        <v>692</v>
      </c>
      <c r="E365" s="404">
        <v>44581</v>
      </c>
      <c r="F365" s="404">
        <v>46407</v>
      </c>
      <c r="G365" s="286" t="s">
        <v>588</v>
      </c>
      <c r="H365" s="282" t="s">
        <v>589</v>
      </c>
      <c r="I365" s="282" t="s">
        <v>590</v>
      </c>
      <c r="J365" s="282" t="s">
        <v>156</v>
      </c>
      <c r="K365" s="286" t="s">
        <v>591</v>
      </c>
      <c r="L365" s="282" t="s">
        <v>574</v>
      </c>
      <c r="M365" s="287">
        <v>2400</v>
      </c>
      <c r="N365" s="287">
        <v>0</v>
      </c>
      <c r="O365" s="287">
        <v>0</v>
      </c>
      <c r="P365" s="287"/>
      <c r="Q365" s="288" t="s">
        <v>693</v>
      </c>
      <c r="R365" s="288" t="s">
        <v>693</v>
      </c>
      <c r="S365" s="288" t="s">
        <v>694</v>
      </c>
      <c r="T365" s="288"/>
      <c r="U365" s="288">
        <v>0</v>
      </c>
      <c r="V365" s="289">
        <v>204.23</v>
      </c>
      <c r="W365" s="289">
        <v>0</v>
      </c>
      <c r="X365" s="288">
        <v>8.5000000000000006E-2</v>
      </c>
      <c r="Y365" s="288">
        <v>8.5000000000000006E-2</v>
      </c>
      <c r="Z365" s="288">
        <v>9.5833333333333336E-5</v>
      </c>
      <c r="AA365" s="288">
        <v>0</v>
      </c>
      <c r="AB365" s="288">
        <v>0</v>
      </c>
      <c r="AC365" s="289">
        <v>8.5095833333333343E-2</v>
      </c>
      <c r="AD365" s="289">
        <v>0</v>
      </c>
    </row>
    <row r="366" spans="1:30" ht="15" customHeight="1" x14ac:dyDescent="0.25">
      <c r="A366" s="282" t="s">
        <v>581</v>
      </c>
      <c r="B366" s="282" t="s">
        <v>695</v>
      </c>
      <c r="C366" s="282" t="s">
        <v>696</v>
      </c>
      <c r="D366" s="286" t="s">
        <v>697</v>
      </c>
      <c r="E366" s="404">
        <v>44588</v>
      </c>
      <c r="F366" s="404">
        <v>46414</v>
      </c>
      <c r="G366" s="286" t="s">
        <v>316</v>
      </c>
      <c r="H366" s="282" t="s">
        <v>597</v>
      </c>
      <c r="I366" s="282" t="s">
        <v>590</v>
      </c>
      <c r="J366" s="282" t="s">
        <v>156</v>
      </c>
      <c r="K366" s="286" t="s">
        <v>598</v>
      </c>
      <c r="L366" s="282" t="s">
        <v>574</v>
      </c>
      <c r="M366" s="287">
        <v>2400</v>
      </c>
      <c r="N366" s="287">
        <v>0</v>
      </c>
      <c r="O366" s="287">
        <v>0</v>
      </c>
      <c r="P366" s="287"/>
      <c r="Q366" s="288" t="s">
        <v>698</v>
      </c>
      <c r="R366" s="288">
        <v>355</v>
      </c>
      <c r="S366" s="288" t="s">
        <v>699</v>
      </c>
      <c r="T366" s="288"/>
      <c r="U366" s="288">
        <v>0</v>
      </c>
      <c r="V366" s="289">
        <v>355.4</v>
      </c>
      <c r="W366" s="289">
        <v>0</v>
      </c>
      <c r="X366" s="288">
        <v>0.14791666666666667</v>
      </c>
      <c r="Y366" s="288">
        <v>0.14791666666666667</v>
      </c>
      <c r="Z366" s="288">
        <v>1.6666666666666669E-4</v>
      </c>
      <c r="AA366" s="288">
        <v>0</v>
      </c>
      <c r="AB366" s="288">
        <v>0</v>
      </c>
      <c r="AC366" s="289">
        <v>0.14808333333333334</v>
      </c>
      <c r="AD366" s="289">
        <v>0</v>
      </c>
    </row>
    <row r="367" spans="1:30" ht="15" customHeight="1" x14ac:dyDescent="0.25">
      <c r="A367" s="282" t="s">
        <v>581</v>
      </c>
      <c r="B367" s="282" t="s">
        <v>611</v>
      </c>
      <c r="C367" s="282" t="s">
        <v>612</v>
      </c>
      <c r="D367" s="286" t="s">
        <v>700</v>
      </c>
      <c r="E367" s="404">
        <v>44581</v>
      </c>
      <c r="F367" s="404">
        <v>46407</v>
      </c>
      <c r="G367" s="286" t="s">
        <v>588</v>
      </c>
      <c r="H367" s="282" t="s">
        <v>589</v>
      </c>
      <c r="I367" s="282" t="s">
        <v>590</v>
      </c>
      <c r="J367" s="282" t="s">
        <v>156</v>
      </c>
      <c r="K367" s="286" t="s">
        <v>591</v>
      </c>
      <c r="L367" s="282" t="s">
        <v>574</v>
      </c>
      <c r="M367" s="287">
        <v>2400</v>
      </c>
      <c r="N367" s="287">
        <v>0</v>
      </c>
      <c r="O367" s="287">
        <v>0</v>
      </c>
      <c r="P367" s="287"/>
      <c r="Q367" s="288" t="s">
        <v>701</v>
      </c>
      <c r="R367" s="288" t="s">
        <v>701</v>
      </c>
      <c r="S367" s="288" t="s">
        <v>691</v>
      </c>
      <c r="T367" s="288"/>
      <c r="U367" s="288">
        <v>0</v>
      </c>
      <c r="V367" s="289">
        <v>222.25</v>
      </c>
      <c r="W367" s="289">
        <v>0</v>
      </c>
      <c r="X367" s="288">
        <v>9.2499999999999999E-2</v>
      </c>
      <c r="Y367" s="288">
        <v>9.2499999999999999E-2</v>
      </c>
      <c r="Z367" s="288">
        <v>1.0416666666666667E-4</v>
      </c>
      <c r="AA367" s="288">
        <v>0</v>
      </c>
      <c r="AB367" s="288">
        <v>0</v>
      </c>
      <c r="AC367" s="289">
        <v>9.2604166666666668E-2</v>
      </c>
      <c r="AD367" s="289">
        <v>0</v>
      </c>
    </row>
    <row r="368" spans="1:30" ht="15" customHeight="1" x14ac:dyDescent="0.25">
      <c r="A368" s="282" t="s">
        <v>581</v>
      </c>
      <c r="B368" s="282" t="s">
        <v>611</v>
      </c>
      <c r="C368" s="282" t="s">
        <v>612</v>
      </c>
      <c r="D368" s="286" t="s">
        <v>702</v>
      </c>
      <c r="E368" s="404">
        <v>44573</v>
      </c>
      <c r="F368" s="404">
        <v>46656</v>
      </c>
      <c r="G368" s="286" t="s">
        <v>286</v>
      </c>
      <c r="H368" s="282" t="s">
        <v>602</v>
      </c>
      <c r="I368" s="282" t="s">
        <v>590</v>
      </c>
      <c r="J368" s="282" t="s">
        <v>156</v>
      </c>
      <c r="K368" s="286" t="s">
        <v>603</v>
      </c>
      <c r="L368" s="282" t="s">
        <v>574</v>
      </c>
      <c r="M368" s="287">
        <v>2400</v>
      </c>
      <c r="N368" s="287">
        <v>0</v>
      </c>
      <c r="O368" s="287">
        <v>0</v>
      </c>
      <c r="P368" s="287"/>
      <c r="Q368" s="288" t="s">
        <v>703</v>
      </c>
      <c r="R368" s="288" t="s">
        <v>703</v>
      </c>
      <c r="S368" s="288" t="s">
        <v>688</v>
      </c>
      <c r="T368" s="288"/>
      <c r="U368" s="288">
        <v>0</v>
      </c>
      <c r="V368" s="289">
        <v>250.28</v>
      </c>
      <c r="W368" s="289">
        <v>0</v>
      </c>
      <c r="X368" s="288">
        <v>0.10416666666666667</v>
      </c>
      <c r="Y368" s="288">
        <v>0.10416666666666667</v>
      </c>
      <c r="Z368" s="288">
        <v>1.1666666666666668E-4</v>
      </c>
      <c r="AA368" s="288">
        <v>0</v>
      </c>
      <c r="AB368" s="288">
        <v>0</v>
      </c>
      <c r="AC368" s="289">
        <v>0.10428333333333334</v>
      </c>
      <c r="AD368" s="289">
        <v>0</v>
      </c>
    </row>
    <row r="369" spans="1:30" ht="15" customHeight="1" x14ac:dyDescent="0.25">
      <c r="A369" s="282" t="s">
        <v>581</v>
      </c>
      <c r="B369" s="282" t="s">
        <v>585</v>
      </c>
      <c r="C369" s="282" t="s">
        <v>586</v>
      </c>
      <c r="D369" s="286" t="s">
        <v>704</v>
      </c>
      <c r="E369" s="404">
        <v>44573</v>
      </c>
      <c r="F369" s="404">
        <v>46656</v>
      </c>
      <c r="G369" s="286" t="s">
        <v>286</v>
      </c>
      <c r="H369" s="282" t="s">
        <v>602</v>
      </c>
      <c r="I369" s="282" t="s">
        <v>590</v>
      </c>
      <c r="J369" s="282" t="s">
        <v>156</v>
      </c>
      <c r="K369" s="286" t="s">
        <v>603</v>
      </c>
      <c r="L369" s="282" t="s">
        <v>574</v>
      </c>
      <c r="M369" s="287">
        <v>2400</v>
      </c>
      <c r="N369" s="287">
        <v>0</v>
      </c>
      <c r="O369" s="287">
        <v>0</v>
      </c>
      <c r="P369" s="287"/>
      <c r="Q369" s="288" t="s">
        <v>705</v>
      </c>
      <c r="R369" s="288" t="s">
        <v>705</v>
      </c>
      <c r="S369" s="288" t="s">
        <v>706</v>
      </c>
      <c r="T369" s="288"/>
      <c r="U369" s="288">
        <v>0</v>
      </c>
      <c r="V369" s="289">
        <v>262.29000000000002</v>
      </c>
      <c r="W369" s="289">
        <v>0</v>
      </c>
      <c r="X369" s="288">
        <v>0.10916666666666666</v>
      </c>
      <c r="Y369" s="288">
        <v>0.10916666666666666</v>
      </c>
      <c r="Z369" s="288">
        <v>1.2083333333333332E-4</v>
      </c>
      <c r="AA369" s="288">
        <v>0</v>
      </c>
      <c r="AB369" s="288">
        <v>0</v>
      </c>
      <c r="AC369" s="289">
        <v>0.1092875</v>
      </c>
      <c r="AD369" s="289">
        <v>0</v>
      </c>
    </row>
    <row r="370" spans="1:30" ht="15" customHeight="1" x14ac:dyDescent="0.25">
      <c r="A370" s="282" t="s">
        <v>581</v>
      </c>
      <c r="B370" s="282" t="s">
        <v>611</v>
      </c>
      <c r="C370" s="282" t="s">
        <v>612</v>
      </c>
      <c r="D370" s="286" t="s">
        <v>707</v>
      </c>
      <c r="E370" s="404">
        <v>44581</v>
      </c>
      <c r="F370" s="404">
        <v>46407</v>
      </c>
      <c r="G370" s="286" t="s">
        <v>588</v>
      </c>
      <c r="H370" s="282" t="s">
        <v>589</v>
      </c>
      <c r="I370" s="282" t="s">
        <v>590</v>
      </c>
      <c r="J370" s="282" t="s">
        <v>156</v>
      </c>
      <c r="K370" s="286" t="s">
        <v>591</v>
      </c>
      <c r="L370" s="282" t="s">
        <v>574</v>
      </c>
      <c r="M370" s="287">
        <v>2400</v>
      </c>
      <c r="N370" s="287">
        <v>0</v>
      </c>
      <c r="O370" s="287">
        <v>0</v>
      </c>
      <c r="P370" s="287"/>
      <c r="Q370" s="288" t="s">
        <v>708</v>
      </c>
      <c r="R370" s="288" t="s">
        <v>708</v>
      </c>
      <c r="S370" s="288" t="s">
        <v>709</v>
      </c>
      <c r="T370" s="288"/>
      <c r="U370" s="288">
        <v>0</v>
      </c>
      <c r="V370" s="289">
        <v>217.24</v>
      </c>
      <c r="W370" s="289">
        <v>0</v>
      </c>
      <c r="X370" s="288">
        <v>9.0416666666666673E-2</v>
      </c>
      <c r="Y370" s="288">
        <v>9.0416666666666673E-2</v>
      </c>
      <c r="Z370" s="288">
        <v>9.9999999999999991E-5</v>
      </c>
      <c r="AA370" s="288">
        <v>0</v>
      </c>
      <c r="AB370" s="288">
        <v>0</v>
      </c>
      <c r="AC370" s="289">
        <v>9.0516666666666676E-2</v>
      </c>
      <c r="AD370" s="289">
        <v>0</v>
      </c>
    </row>
    <row r="371" spans="1:30" ht="15" customHeight="1" x14ac:dyDescent="0.25">
      <c r="A371" s="282" t="s">
        <v>581</v>
      </c>
      <c r="B371" s="282" t="s">
        <v>611</v>
      </c>
      <c r="C371" s="282" t="s">
        <v>612</v>
      </c>
      <c r="D371" s="286" t="s">
        <v>710</v>
      </c>
      <c r="E371" s="404">
        <v>44816</v>
      </c>
      <c r="F371" s="404">
        <v>46642</v>
      </c>
      <c r="G371" s="290" t="s">
        <v>652</v>
      </c>
      <c r="H371" s="282" t="s">
        <v>653</v>
      </c>
      <c r="I371" s="282" t="s">
        <v>590</v>
      </c>
      <c r="J371" s="282" t="s">
        <v>156</v>
      </c>
      <c r="K371" s="286" t="s">
        <v>654</v>
      </c>
      <c r="L371" s="282" t="s">
        <v>574</v>
      </c>
      <c r="M371" s="287">
        <v>2400</v>
      </c>
      <c r="N371" s="287">
        <v>0</v>
      </c>
      <c r="O371" s="287">
        <v>0</v>
      </c>
      <c r="P371" s="287"/>
      <c r="Q371" s="288" t="s">
        <v>658</v>
      </c>
      <c r="R371" s="288" t="s">
        <v>658</v>
      </c>
      <c r="S371" s="288" t="s">
        <v>711</v>
      </c>
      <c r="T371" s="288"/>
      <c r="U371" s="288">
        <v>0</v>
      </c>
      <c r="V371" s="289">
        <v>192.21</v>
      </c>
      <c r="W371" s="289">
        <v>0</v>
      </c>
      <c r="X371" s="288">
        <v>0.08</v>
      </c>
      <c r="Y371" s="288">
        <v>0.08</v>
      </c>
      <c r="Z371" s="288">
        <v>8.7499999999999999E-5</v>
      </c>
      <c r="AA371" s="288">
        <v>0</v>
      </c>
      <c r="AB371" s="288">
        <v>0</v>
      </c>
      <c r="AC371" s="289">
        <v>8.0087500000000006E-2</v>
      </c>
      <c r="AD371" s="289">
        <v>0</v>
      </c>
    </row>
    <row r="372" spans="1:30" ht="15" customHeight="1" x14ac:dyDescent="0.25">
      <c r="A372" s="282" t="s">
        <v>581</v>
      </c>
      <c r="B372" s="282" t="s">
        <v>628</v>
      </c>
      <c r="C372" s="282" t="s">
        <v>629</v>
      </c>
      <c r="D372" s="286" t="s">
        <v>712</v>
      </c>
      <c r="E372" s="404">
        <v>44816</v>
      </c>
      <c r="F372" s="404">
        <v>46642</v>
      </c>
      <c r="G372" s="290" t="s">
        <v>652</v>
      </c>
      <c r="H372" s="282" t="s">
        <v>653</v>
      </c>
      <c r="I372" s="282" t="s">
        <v>590</v>
      </c>
      <c r="J372" s="282" t="s">
        <v>156</v>
      </c>
      <c r="K372" s="286" t="s">
        <v>654</v>
      </c>
      <c r="L372" s="282" t="s">
        <v>574</v>
      </c>
      <c r="M372" s="287">
        <v>2400</v>
      </c>
      <c r="N372" s="287">
        <v>0</v>
      </c>
      <c r="O372" s="287">
        <v>0</v>
      </c>
      <c r="P372" s="287"/>
      <c r="Q372" s="288" t="s">
        <v>713</v>
      </c>
      <c r="R372" s="288" t="s">
        <v>713</v>
      </c>
      <c r="S372" s="288" t="s">
        <v>714</v>
      </c>
      <c r="T372" s="288"/>
      <c r="U372" s="288">
        <v>0</v>
      </c>
      <c r="V372" s="289">
        <v>165.18</v>
      </c>
      <c r="W372" s="289">
        <v>0</v>
      </c>
      <c r="X372" s="288">
        <v>6.8750000000000006E-2</v>
      </c>
      <c r="Y372" s="288">
        <v>6.8750000000000006E-2</v>
      </c>
      <c r="Z372" s="288">
        <v>7.4999999999999993E-5</v>
      </c>
      <c r="AA372" s="288">
        <v>0</v>
      </c>
      <c r="AB372" s="288">
        <v>0</v>
      </c>
      <c r="AC372" s="289">
        <v>6.8825000000000011E-2</v>
      </c>
      <c r="AD372" s="289">
        <v>0</v>
      </c>
    </row>
    <row r="373" spans="1:30" ht="15" customHeight="1" x14ac:dyDescent="0.25">
      <c r="A373" s="282" t="s">
        <v>581</v>
      </c>
      <c r="B373" s="282" t="s">
        <v>616</v>
      </c>
      <c r="C373" s="282" t="s">
        <v>617</v>
      </c>
      <c r="D373" s="286" t="s">
        <v>715</v>
      </c>
      <c r="E373" s="404">
        <v>44588</v>
      </c>
      <c r="F373" s="404">
        <v>46414</v>
      </c>
      <c r="G373" s="286" t="s">
        <v>316</v>
      </c>
      <c r="H373" s="282" t="s">
        <v>597</v>
      </c>
      <c r="I373" s="282" t="s">
        <v>590</v>
      </c>
      <c r="J373" s="282" t="s">
        <v>156</v>
      </c>
      <c r="K373" s="286" t="s">
        <v>598</v>
      </c>
      <c r="L373" s="282" t="s">
        <v>574</v>
      </c>
      <c r="M373" s="287">
        <v>2400</v>
      </c>
      <c r="N373" s="287">
        <v>0</v>
      </c>
      <c r="O373" s="287">
        <v>0</v>
      </c>
      <c r="P373" s="287"/>
      <c r="Q373" s="288" t="s">
        <v>716</v>
      </c>
      <c r="R373" s="288">
        <v>312</v>
      </c>
      <c r="S373" s="288" t="s">
        <v>646</v>
      </c>
      <c r="T373" s="288"/>
      <c r="U373" s="288">
        <v>0</v>
      </c>
      <c r="V373" s="289">
        <v>312.33999999999997</v>
      </c>
      <c r="W373" s="289">
        <v>0</v>
      </c>
      <c r="X373" s="288">
        <v>0.13</v>
      </c>
      <c r="Y373" s="288">
        <v>0.13</v>
      </c>
      <c r="Z373" s="288">
        <v>1.4166666666666668E-4</v>
      </c>
      <c r="AA373" s="288">
        <v>0</v>
      </c>
      <c r="AB373" s="288">
        <v>0</v>
      </c>
      <c r="AC373" s="289">
        <v>0.13014166666666668</v>
      </c>
      <c r="AD373" s="289">
        <v>0</v>
      </c>
    </row>
    <row r="374" spans="1:30" ht="15" customHeight="1" x14ac:dyDescent="0.25">
      <c r="A374" s="282" t="s">
        <v>581</v>
      </c>
      <c r="B374" s="282" t="s">
        <v>616</v>
      </c>
      <c r="C374" s="282" t="s">
        <v>617</v>
      </c>
      <c r="D374" s="286" t="s">
        <v>717</v>
      </c>
      <c r="E374" s="404">
        <v>44588</v>
      </c>
      <c r="F374" s="404">
        <v>46414</v>
      </c>
      <c r="G374" s="286" t="s">
        <v>316</v>
      </c>
      <c r="H374" s="282" t="s">
        <v>597</v>
      </c>
      <c r="I374" s="282" t="s">
        <v>590</v>
      </c>
      <c r="J374" s="282" t="s">
        <v>156</v>
      </c>
      <c r="K374" s="286" t="s">
        <v>598</v>
      </c>
      <c r="L374" s="282" t="s">
        <v>574</v>
      </c>
      <c r="M374" s="287">
        <v>2400</v>
      </c>
      <c r="N374" s="287">
        <v>0</v>
      </c>
      <c r="O374" s="287">
        <v>0</v>
      </c>
      <c r="P374" s="287"/>
      <c r="Q374" s="288" t="s">
        <v>718</v>
      </c>
      <c r="R374" s="288">
        <v>313</v>
      </c>
      <c r="S374" s="288" t="s">
        <v>646</v>
      </c>
      <c r="T374" s="288"/>
      <c r="U374" s="288">
        <v>0</v>
      </c>
      <c r="V374" s="289">
        <v>313.33999999999997</v>
      </c>
      <c r="W374" s="289">
        <v>0</v>
      </c>
      <c r="X374" s="288">
        <v>0.13041666666666665</v>
      </c>
      <c r="Y374" s="288">
        <v>0.13041666666666665</v>
      </c>
      <c r="Z374" s="288">
        <v>1.4166666666666668E-4</v>
      </c>
      <c r="AA374" s="288">
        <v>0</v>
      </c>
      <c r="AB374" s="288">
        <v>0</v>
      </c>
      <c r="AC374" s="289">
        <v>0.13055833333333333</v>
      </c>
      <c r="AD374" s="289">
        <v>0</v>
      </c>
    </row>
    <row r="375" spans="1:30" ht="15" customHeight="1" x14ac:dyDescent="0.25">
      <c r="A375" s="282" t="s">
        <v>581</v>
      </c>
      <c r="B375" s="282" t="s">
        <v>585</v>
      </c>
      <c r="C375" s="282" t="s">
        <v>586</v>
      </c>
      <c r="D375" s="286" t="s">
        <v>719</v>
      </c>
      <c r="E375" s="404">
        <v>44816</v>
      </c>
      <c r="F375" s="404">
        <v>46642</v>
      </c>
      <c r="G375" s="290" t="s">
        <v>652</v>
      </c>
      <c r="H375" s="282" t="s">
        <v>653</v>
      </c>
      <c r="I375" s="282" t="s">
        <v>590</v>
      </c>
      <c r="J375" s="282" t="s">
        <v>156</v>
      </c>
      <c r="K375" s="286" t="s">
        <v>654</v>
      </c>
      <c r="L375" s="282" t="s">
        <v>574</v>
      </c>
      <c r="M375" s="287">
        <v>2400</v>
      </c>
      <c r="N375" s="287">
        <v>0</v>
      </c>
      <c r="O375" s="287">
        <v>0</v>
      </c>
      <c r="P375" s="287"/>
      <c r="Q375" s="288" t="s">
        <v>637</v>
      </c>
      <c r="R375" s="288" t="s">
        <v>637</v>
      </c>
      <c r="S375" s="288" t="s">
        <v>709</v>
      </c>
      <c r="T375" s="288"/>
      <c r="U375" s="288">
        <v>0</v>
      </c>
      <c r="V375" s="289">
        <v>221.24</v>
      </c>
      <c r="W375" s="289">
        <v>0</v>
      </c>
      <c r="X375" s="288">
        <v>9.2083333333333336E-2</v>
      </c>
      <c r="Y375" s="288">
        <v>9.2083333333333336E-2</v>
      </c>
      <c r="Z375" s="288">
        <v>9.9999999999999991E-5</v>
      </c>
      <c r="AA375" s="288">
        <v>0</v>
      </c>
      <c r="AB375" s="288">
        <v>0</v>
      </c>
      <c r="AC375" s="289">
        <v>9.2183333333333339E-2</v>
      </c>
      <c r="AD375" s="289">
        <v>0</v>
      </c>
    </row>
    <row r="376" spans="1:30" ht="15" customHeight="1" x14ac:dyDescent="0.25">
      <c r="A376" s="282" t="s">
        <v>581</v>
      </c>
      <c r="B376" s="282" t="s">
        <v>616</v>
      </c>
      <c r="C376" s="282" t="s">
        <v>617</v>
      </c>
      <c r="D376" s="286" t="s">
        <v>720</v>
      </c>
      <c r="E376" s="404">
        <v>44588</v>
      </c>
      <c r="F376" s="404">
        <v>46414</v>
      </c>
      <c r="G376" s="286" t="s">
        <v>316</v>
      </c>
      <c r="H376" s="282" t="s">
        <v>597</v>
      </c>
      <c r="I376" s="282" t="s">
        <v>590</v>
      </c>
      <c r="J376" s="282" t="s">
        <v>156</v>
      </c>
      <c r="K376" s="286" t="s">
        <v>598</v>
      </c>
      <c r="L376" s="282" t="s">
        <v>574</v>
      </c>
      <c r="M376" s="287">
        <v>2400</v>
      </c>
      <c r="N376" s="287">
        <v>0</v>
      </c>
      <c r="O376" s="287">
        <v>0</v>
      </c>
      <c r="P376" s="287"/>
      <c r="Q376" s="288" t="s">
        <v>721</v>
      </c>
      <c r="R376" s="288">
        <v>304</v>
      </c>
      <c r="S376" s="288" t="s">
        <v>643</v>
      </c>
      <c r="T376" s="288"/>
      <c r="U376" s="288">
        <v>0</v>
      </c>
      <c r="V376" s="289">
        <v>304.33</v>
      </c>
      <c r="W376" s="289">
        <v>0</v>
      </c>
      <c r="X376" s="288">
        <v>0.12666666666666668</v>
      </c>
      <c r="Y376" s="288">
        <v>0.12666666666666668</v>
      </c>
      <c r="Z376" s="288">
        <v>1.3750000000000001E-4</v>
      </c>
      <c r="AA376" s="288">
        <v>0</v>
      </c>
      <c r="AB376" s="288">
        <v>0</v>
      </c>
      <c r="AC376" s="289">
        <v>0.12680416666666669</v>
      </c>
      <c r="AD376" s="289">
        <v>0</v>
      </c>
    </row>
    <row r="377" spans="1:30" ht="15" customHeight="1" x14ac:dyDescent="0.25">
      <c r="A377" s="282" t="s">
        <v>581</v>
      </c>
      <c r="B377" s="282" t="s">
        <v>611</v>
      </c>
      <c r="C377" s="282" t="s">
        <v>612</v>
      </c>
      <c r="D377" s="286" t="s">
        <v>722</v>
      </c>
      <c r="E377" s="404">
        <v>44816</v>
      </c>
      <c r="F377" s="404">
        <v>46642</v>
      </c>
      <c r="G377" s="290" t="s">
        <v>652</v>
      </c>
      <c r="H377" s="282" t="s">
        <v>653</v>
      </c>
      <c r="I377" s="282" t="s">
        <v>590</v>
      </c>
      <c r="J377" s="282" t="s">
        <v>156</v>
      </c>
      <c r="K377" s="286" t="s">
        <v>654</v>
      </c>
      <c r="L377" s="282" t="s">
        <v>574</v>
      </c>
      <c r="M377" s="287">
        <v>2400</v>
      </c>
      <c r="N377" s="287">
        <v>0</v>
      </c>
      <c r="O377" s="287">
        <v>0</v>
      </c>
      <c r="P377" s="287"/>
      <c r="Q377" s="288" t="s">
        <v>723</v>
      </c>
      <c r="R377" s="288" t="s">
        <v>723</v>
      </c>
      <c r="S377" s="288" t="s">
        <v>724</v>
      </c>
      <c r="T377" s="288"/>
      <c r="U377" s="288">
        <v>0</v>
      </c>
      <c r="V377" s="289">
        <v>203.22</v>
      </c>
      <c r="W377" s="289">
        <v>0</v>
      </c>
      <c r="X377" s="288">
        <v>8.458333333333333E-2</v>
      </c>
      <c r="Y377" s="288">
        <v>8.458333333333333E-2</v>
      </c>
      <c r="Z377" s="288">
        <v>9.1666666666666668E-5</v>
      </c>
      <c r="AA377" s="288">
        <v>0</v>
      </c>
      <c r="AB377" s="288">
        <v>0</v>
      </c>
      <c r="AC377" s="289">
        <v>8.4675E-2</v>
      </c>
      <c r="AD377" s="289">
        <v>0</v>
      </c>
    </row>
    <row r="378" spans="1:30" ht="15" customHeight="1" x14ac:dyDescent="0.25">
      <c r="A378" s="282" t="s">
        <v>581</v>
      </c>
      <c r="B378" s="282" t="s">
        <v>611</v>
      </c>
      <c r="C378" s="282" t="s">
        <v>612</v>
      </c>
      <c r="D378" s="286" t="s">
        <v>725</v>
      </c>
      <c r="E378" s="404">
        <v>44816</v>
      </c>
      <c r="F378" s="404">
        <v>46642</v>
      </c>
      <c r="G378" s="290" t="s">
        <v>652</v>
      </c>
      <c r="H378" s="282" t="s">
        <v>653</v>
      </c>
      <c r="I378" s="282" t="s">
        <v>590</v>
      </c>
      <c r="J378" s="282" t="s">
        <v>156</v>
      </c>
      <c r="K378" s="286" t="s">
        <v>654</v>
      </c>
      <c r="L378" s="282" t="s">
        <v>574</v>
      </c>
      <c r="M378" s="287">
        <v>2400</v>
      </c>
      <c r="N378" s="287">
        <v>0</v>
      </c>
      <c r="O378" s="287">
        <v>0</v>
      </c>
      <c r="P378" s="287"/>
      <c r="Q378" s="288" t="s">
        <v>723</v>
      </c>
      <c r="R378" s="288" t="s">
        <v>723</v>
      </c>
      <c r="S378" s="288" t="s">
        <v>724</v>
      </c>
      <c r="T378" s="288"/>
      <c r="U378" s="288">
        <v>0</v>
      </c>
      <c r="V378" s="289">
        <v>203.22</v>
      </c>
      <c r="W378" s="289">
        <v>0</v>
      </c>
      <c r="X378" s="288">
        <v>8.458333333333333E-2</v>
      </c>
      <c r="Y378" s="288">
        <v>8.458333333333333E-2</v>
      </c>
      <c r="Z378" s="288">
        <v>9.1666666666666668E-5</v>
      </c>
      <c r="AA378" s="288">
        <v>0</v>
      </c>
      <c r="AB378" s="288">
        <v>0</v>
      </c>
      <c r="AC378" s="289">
        <v>8.4675E-2</v>
      </c>
      <c r="AD378" s="289">
        <v>0</v>
      </c>
    </row>
    <row r="379" spans="1:30" ht="15" customHeight="1" x14ac:dyDescent="0.25">
      <c r="A379" s="282" t="s">
        <v>581</v>
      </c>
      <c r="B379" s="282" t="s">
        <v>616</v>
      </c>
      <c r="C379" s="282" t="s">
        <v>617</v>
      </c>
      <c r="D379" s="286" t="s">
        <v>726</v>
      </c>
      <c r="E379" s="404">
        <v>44588</v>
      </c>
      <c r="F379" s="404">
        <v>46414</v>
      </c>
      <c r="G379" s="286" t="s">
        <v>316</v>
      </c>
      <c r="H379" s="282" t="s">
        <v>597</v>
      </c>
      <c r="I379" s="282" t="s">
        <v>590</v>
      </c>
      <c r="J379" s="282" t="s">
        <v>156</v>
      </c>
      <c r="K379" s="286" t="s">
        <v>598</v>
      </c>
      <c r="L379" s="282" t="s">
        <v>574</v>
      </c>
      <c r="M379" s="287">
        <v>2400</v>
      </c>
      <c r="N379" s="287">
        <v>0</v>
      </c>
      <c r="O379" s="287">
        <v>0</v>
      </c>
      <c r="P379" s="287"/>
      <c r="Q379" s="288" t="s">
        <v>727</v>
      </c>
      <c r="R379" s="288">
        <v>388</v>
      </c>
      <c r="S379" s="288" t="s">
        <v>728</v>
      </c>
      <c r="T379" s="288"/>
      <c r="U379" s="288">
        <v>0</v>
      </c>
      <c r="V379" s="289">
        <v>388.42</v>
      </c>
      <c r="W379" s="289">
        <v>0</v>
      </c>
      <c r="X379" s="288">
        <v>0.16166666666666665</v>
      </c>
      <c r="Y379" s="288">
        <v>0.16166666666666665</v>
      </c>
      <c r="Z379" s="288">
        <v>1.75E-4</v>
      </c>
      <c r="AA379" s="288">
        <v>0</v>
      </c>
      <c r="AB379" s="288">
        <v>0</v>
      </c>
      <c r="AC379" s="289">
        <v>0.16184166666666666</v>
      </c>
      <c r="AD379" s="289">
        <v>0</v>
      </c>
    </row>
    <row r="380" spans="1:30" ht="15" customHeight="1" x14ac:dyDescent="0.25">
      <c r="A380" s="282" t="s">
        <v>581</v>
      </c>
      <c r="B380" s="282" t="s">
        <v>616</v>
      </c>
      <c r="C380" s="282" t="s">
        <v>617</v>
      </c>
      <c r="D380" s="286" t="s">
        <v>729</v>
      </c>
      <c r="E380" s="404">
        <v>44588</v>
      </c>
      <c r="F380" s="404">
        <v>46414</v>
      </c>
      <c r="G380" s="286" t="s">
        <v>316</v>
      </c>
      <c r="H380" s="282" t="s">
        <v>597</v>
      </c>
      <c r="I380" s="282" t="s">
        <v>590</v>
      </c>
      <c r="J380" s="282" t="s">
        <v>156</v>
      </c>
      <c r="K380" s="286" t="s">
        <v>598</v>
      </c>
      <c r="L380" s="282" t="s">
        <v>574</v>
      </c>
      <c r="M380" s="287">
        <v>2400</v>
      </c>
      <c r="N380" s="287">
        <v>0</v>
      </c>
      <c r="O380" s="287">
        <v>0</v>
      </c>
      <c r="P380" s="287"/>
      <c r="Q380" s="288" t="s">
        <v>730</v>
      </c>
      <c r="R380" s="288">
        <v>305</v>
      </c>
      <c r="S380" s="288" t="s">
        <v>643</v>
      </c>
      <c r="T380" s="288"/>
      <c r="U380" s="288">
        <v>0</v>
      </c>
      <c r="V380" s="289">
        <v>305.33</v>
      </c>
      <c r="W380" s="289">
        <v>0</v>
      </c>
      <c r="X380" s="288">
        <v>0.12708333333333333</v>
      </c>
      <c r="Y380" s="288">
        <v>0.12708333333333333</v>
      </c>
      <c r="Z380" s="288">
        <v>1.3750000000000001E-4</v>
      </c>
      <c r="AA380" s="288">
        <v>0</v>
      </c>
      <c r="AB380" s="288">
        <v>0</v>
      </c>
      <c r="AC380" s="289">
        <v>0.12722083333333334</v>
      </c>
      <c r="AD380" s="289">
        <v>0</v>
      </c>
    </row>
    <row r="381" spans="1:30" ht="15" customHeight="1" x14ac:dyDescent="0.25">
      <c r="A381" s="282" t="s">
        <v>581</v>
      </c>
      <c r="B381" s="282" t="s">
        <v>611</v>
      </c>
      <c r="C381" s="282" t="s">
        <v>612</v>
      </c>
      <c r="D381" s="286" t="s">
        <v>731</v>
      </c>
      <c r="E381" s="404">
        <v>44573</v>
      </c>
      <c r="F381" s="404">
        <v>46656</v>
      </c>
      <c r="G381" s="286" t="s">
        <v>286</v>
      </c>
      <c r="H381" s="282" t="s">
        <v>602</v>
      </c>
      <c r="I381" s="282" t="s">
        <v>590</v>
      </c>
      <c r="J381" s="282" t="s">
        <v>156</v>
      </c>
      <c r="K381" s="286" t="s">
        <v>603</v>
      </c>
      <c r="L381" s="282" t="s">
        <v>574</v>
      </c>
      <c r="M381" s="287">
        <v>2400</v>
      </c>
      <c r="N381" s="287">
        <v>0</v>
      </c>
      <c r="O381" s="287">
        <v>0</v>
      </c>
      <c r="P381" s="287"/>
      <c r="Q381" s="288" t="s">
        <v>732</v>
      </c>
      <c r="R381" s="288" t="s">
        <v>732</v>
      </c>
      <c r="S381" s="288" t="s">
        <v>706</v>
      </c>
      <c r="T381" s="288"/>
      <c r="U381" s="288">
        <v>0</v>
      </c>
      <c r="V381" s="289">
        <v>269.29000000000002</v>
      </c>
      <c r="W381" s="289">
        <v>0</v>
      </c>
      <c r="X381" s="288">
        <v>0.11208333333333333</v>
      </c>
      <c r="Y381" s="288">
        <v>0.11208333333333333</v>
      </c>
      <c r="Z381" s="288">
        <v>1.2083333333333332E-4</v>
      </c>
      <c r="AA381" s="288">
        <v>0</v>
      </c>
      <c r="AB381" s="288">
        <v>0</v>
      </c>
      <c r="AC381" s="289">
        <v>0.11220416666666666</v>
      </c>
      <c r="AD381" s="289">
        <v>0</v>
      </c>
    </row>
    <row r="382" spans="1:30" ht="15" customHeight="1" x14ac:dyDescent="0.25">
      <c r="A382" s="282" t="s">
        <v>581</v>
      </c>
      <c r="B382" s="282" t="s">
        <v>628</v>
      </c>
      <c r="C382" s="282" t="s">
        <v>629</v>
      </c>
      <c r="D382" s="286" t="s">
        <v>733</v>
      </c>
      <c r="E382" s="404">
        <v>44816</v>
      </c>
      <c r="F382" s="404">
        <v>46642</v>
      </c>
      <c r="G382" s="290" t="s">
        <v>652</v>
      </c>
      <c r="H382" s="282" t="s">
        <v>653</v>
      </c>
      <c r="I382" s="282" t="s">
        <v>590</v>
      </c>
      <c r="J382" s="282" t="s">
        <v>156</v>
      </c>
      <c r="K382" s="286" t="s">
        <v>654</v>
      </c>
      <c r="L382" s="282" t="s">
        <v>574</v>
      </c>
      <c r="M382" s="287">
        <v>2400</v>
      </c>
      <c r="N382" s="287">
        <v>0</v>
      </c>
      <c r="O382" s="287">
        <v>0</v>
      </c>
      <c r="P382" s="287"/>
      <c r="Q382" s="288" t="s">
        <v>734</v>
      </c>
      <c r="R382" s="288" t="s">
        <v>734</v>
      </c>
      <c r="S382" s="288" t="s">
        <v>714</v>
      </c>
      <c r="T382" s="288"/>
      <c r="U382" s="288">
        <v>0</v>
      </c>
      <c r="V382" s="289">
        <v>168.18</v>
      </c>
      <c r="W382" s="289">
        <v>0</v>
      </c>
      <c r="X382" s="288">
        <v>7.0000000000000007E-2</v>
      </c>
      <c r="Y382" s="288">
        <v>7.0000000000000007E-2</v>
      </c>
      <c r="Z382" s="288">
        <v>7.4999999999999993E-5</v>
      </c>
      <c r="AA382" s="288">
        <v>0</v>
      </c>
      <c r="AB382" s="288">
        <v>0</v>
      </c>
      <c r="AC382" s="289">
        <v>7.0075000000000012E-2</v>
      </c>
      <c r="AD382" s="289">
        <v>0</v>
      </c>
    </row>
    <row r="383" spans="1:30" ht="15" customHeight="1" x14ac:dyDescent="0.25">
      <c r="A383" s="282" t="s">
        <v>581</v>
      </c>
      <c r="B383" s="282" t="s">
        <v>616</v>
      </c>
      <c r="C383" s="282" t="s">
        <v>617</v>
      </c>
      <c r="D383" s="283" t="s">
        <v>735</v>
      </c>
      <c r="E383" s="404">
        <v>45016</v>
      </c>
      <c r="F383" s="404">
        <v>46843</v>
      </c>
      <c r="G383" s="286" t="s">
        <v>283</v>
      </c>
      <c r="H383" s="282" t="s">
        <v>736</v>
      </c>
      <c r="I383" s="282" t="s">
        <v>590</v>
      </c>
      <c r="J383" s="282" t="s">
        <v>156</v>
      </c>
      <c r="K383" s="286" t="s">
        <v>737</v>
      </c>
      <c r="L383" s="282" t="s">
        <v>574</v>
      </c>
      <c r="M383" s="287">
        <v>2400</v>
      </c>
      <c r="N383" s="287">
        <v>0</v>
      </c>
      <c r="O383" s="287">
        <v>0</v>
      </c>
      <c r="P383" s="287"/>
      <c r="Q383" s="288">
        <v>336</v>
      </c>
      <c r="R383" s="288">
        <v>336</v>
      </c>
      <c r="S383" s="288">
        <v>0.36</v>
      </c>
      <c r="T383" s="288"/>
      <c r="U383" s="288">
        <v>0</v>
      </c>
      <c r="V383" s="289">
        <v>336.36</v>
      </c>
      <c r="W383" s="289">
        <v>0</v>
      </c>
      <c r="X383" s="288">
        <v>0.14000000000000001</v>
      </c>
      <c r="Y383" s="288">
        <v>0.14000000000000001</v>
      </c>
      <c r="Z383" s="288">
        <v>1.4999999999999999E-4</v>
      </c>
      <c r="AA383" s="288">
        <v>0</v>
      </c>
      <c r="AB383" s="288">
        <v>0</v>
      </c>
      <c r="AC383" s="289">
        <v>0.14015000000000002</v>
      </c>
      <c r="AD383" s="289">
        <v>0</v>
      </c>
    </row>
    <row r="384" spans="1:30" ht="15" customHeight="1" x14ac:dyDescent="0.25">
      <c r="A384" s="282" t="s">
        <v>581</v>
      </c>
      <c r="B384" s="282" t="s">
        <v>585</v>
      </c>
      <c r="C384" s="282" t="s">
        <v>586</v>
      </c>
      <c r="D384" s="286" t="s">
        <v>738</v>
      </c>
      <c r="E384" s="404">
        <v>44573</v>
      </c>
      <c r="F384" s="404">
        <v>46656</v>
      </c>
      <c r="G384" s="286" t="s">
        <v>286</v>
      </c>
      <c r="H384" s="282" t="s">
        <v>602</v>
      </c>
      <c r="I384" s="282" t="s">
        <v>590</v>
      </c>
      <c r="J384" s="282" t="s">
        <v>156</v>
      </c>
      <c r="K384" s="286" t="s">
        <v>603</v>
      </c>
      <c r="L384" s="282" t="s">
        <v>574</v>
      </c>
      <c r="M384" s="287">
        <v>2400</v>
      </c>
      <c r="N384" s="287">
        <v>0</v>
      </c>
      <c r="O384" s="287">
        <v>0</v>
      </c>
      <c r="P384" s="287"/>
      <c r="Q384" s="288" t="s">
        <v>739</v>
      </c>
      <c r="R384" s="288" t="s">
        <v>739</v>
      </c>
      <c r="S384" s="288" t="s">
        <v>656</v>
      </c>
      <c r="T384" s="288"/>
      <c r="U384" s="288">
        <v>0</v>
      </c>
      <c r="V384" s="289">
        <v>283.3</v>
      </c>
      <c r="W384" s="289">
        <v>0</v>
      </c>
      <c r="X384" s="288">
        <v>0.11791666666666667</v>
      </c>
      <c r="Y384" s="288">
        <v>0.11791666666666667</v>
      </c>
      <c r="Z384" s="288">
        <v>1.25E-4</v>
      </c>
      <c r="AA384" s="288">
        <v>0</v>
      </c>
      <c r="AB384" s="288">
        <v>0</v>
      </c>
      <c r="AC384" s="289">
        <v>0.11804166666666667</v>
      </c>
      <c r="AD384" s="289">
        <v>0</v>
      </c>
    </row>
    <row r="385" spans="1:30" ht="15" customHeight="1" x14ac:dyDescent="0.25">
      <c r="A385" s="282" t="s">
        <v>581</v>
      </c>
      <c r="B385" s="282" t="s">
        <v>594</v>
      </c>
      <c r="C385" s="282" t="s">
        <v>595</v>
      </c>
      <c r="D385" s="286" t="s">
        <v>740</v>
      </c>
      <c r="E385" s="404">
        <v>44816</v>
      </c>
      <c r="F385" s="404">
        <v>46642</v>
      </c>
      <c r="G385" s="290" t="s">
        <v>652</v>
      </c>
      <c r="H385" s="282" t="s">
        <v>653</v>
      </c>
      <c r="I385" s="282" t="s">
        <v>590</v>
      </c>
      <c r="J385" s="282" t="s">
        <v>156</v>
      </c>
      <c r="K385" s="286" t="s">
        <v>654</v>
      </c>
      <c r="L385" s="282" t="s">
        <v>574</v>
      </c>
      <c r="M385" s="287">
        <v>2400</v>
      </c>
      <c r="N385" s="287">
        <v>0</v>
      </c>
      <c r="O385" s="287">
        <v>0</v>
      </c>
      <c r="P385" s="287"/>
      <c r="Q385" s="288" t="s">
        <v>741</v>
      </c>
      <c r="R385" s="288" t="s">
        <v>741</v>
      </c>
      <c r="S385" s="288" t="s">
        <v>742</v>
      </c>
      <c r="T385" s="288"/>
      <c r="U385" s="288">
        <v>0</v>
      </c>
      <c r="V385" s="289">
        <v>151.16</v>
      </c>
      <c r="W385" s="289">
        <v>0</v>
      </c>
      <c r="X385" s="288">
        <v>6.2916666666666662E-2</v>
      </c>
      <c r="Y385" s="288">
        <v>6.2916666666666662E-2</v>
      </c>
      <c r="Z385" s="288">
        <v>6.666666666666667E-5</v>
      </c>
      <c r="AA385" s="288">
        <v>0</v>
      </c>
      <c r="AB385" s="288">
        <v>0</v>
      </c>
      <c r="AC385" s="289">
        <v>6.2983333333333336E-2</v>
      </c>
      <c r="AD385" s="289">
        <v>0</v>
      </c>
    </row>
    <row r="386" spans="1:30" ht="15" customHeight="1" x14ac:dyDescent="0.25">
      <c r="A386" s="282" t="s">
        <v>581</v>
      </c>
      <c r="B386" s="282" t="s">
        <v>616</v>
      </c>
      <c r="C386" s="282" t="s">
        <v>617</v>
      </c>
      <c r="D386" s="286" t="s">
        <v>743</v>
      </c>
      <c r="E386" s="404">
        <v>44573</v>
      </c>
      <c r="F386" s="404">
        <v>46656</v>
      </c>
      <c r="G386" s="286" t="s">
        <v>286</v>
      </c>
      <c r="H386" s="282" t="s">
        <v>602</v>
      </c>
      <c r="I386" s="282" t="s">
        <v>590</v>
      </c>
      <c r="J386" s="282" t="s">
        <v>156</v>
      </c>
      <c r="K386" s="286" t="s">
        <v>603</v>
      </c>
      <c r="L386" s="282" t="s">
        <v>574</v>
      </c>
      <c r="M386" s="287">
        <v>2400</v>
      </c>
      <c r="N386" s="287">
        <v>0</v>
      </c>
      <c r="O386" s="287">
        <v>0</v>
      </c>
      <c r="P386" s="287"/>
      <c r="Q386" s="288" t="s">
        <v>744</v>
      </c>
      <c r="R386" s="288" t="s">
        <v>744</v>
      </c>
      <c r="S386" s="288" t="s">
        <v>745</v>
      </c>
      <c r="T386" s="288"/>
      <c r="U386" s="288">
        <v>0</v>
      </c>
      <c r="V386" s="289">
        <v>340.36</v>
      </c>
      <c r="W386" s="289">
        <v>0</v>
      </c>
      <c r="X386" s="288">
        <v>0.14166666666666666</v>
      </c>
      <c r="Y386" s="288">
        <v>0.14166666666666666</v>
      </c>
      <c r="Z386" s="288">
        <v>1.4999999999999999E-4</v>
      </c>
      <c r="AA386" s="288">
        <v>0</v>
      </c>
      <c r="AB386" s="288">
        <v>0</v>
      </c>
      <c r="AC386" s="289">
        <v>0.14181666666666667</v>
      </c>
      <c r="AD386" s="289">
        <v>0</v>
      </c>
    </row>
    <row r="387" spans="1:30" ht="15" customHeight="1" x14ac:dyDescent="0.25">
      <c r="A387" s="282" t="s">
        <v>581</v>
      </c>
      <c r="B387" s="282" t="s">
        <v>585</v>
      </c>
      <c r="C387" s="282" t="s">
        <v>586</v>
      </c>
      <c r="D387" s="283" t="s">
        <v>746</v>
      </c>
      <c r="E387" s="404">
        <v>45016</v>
      </c>
      <c r="F387" s="404">
        <v>46843</v>
      </c>
      <c r="G387" s="286" t="s">
        <v>283</v>
      </c>
      <c r="H387" s="282" t="s">
        <v>736</v>
      </c>
      <c r="I387" s="282" t="s">
        <v>590</v>
      </c>
      <c r="J387" s="282" t="s">
        <v>156</v>
      </c>
      <c r="K387" s="286" t="s">
        <v>737</v>
      </c>
      <c r="L387" s="282" t="s">
        <v>574</v>
      </c>
      <c r="M387" s="287">
        <v>2400</v>
      </c>
      <c r="N387" s="287">
        <v>0</v>
      </c>
      <c r="O387" s="287">
        <v>0</v>
      </c>
      <c r="P387" s="287"/>
      <c r="Q387" s="288">
        <v>282</v>
      </c>
      <c r="R387" s="288">
        <v>282</v>
      </c>
      <c r="S387" s="288">
        <v>0.29799999999999999</v>
      </c>
      <c r="T387" s="288"/>
      <c r="U387" s="288">
        <v>0</v>
      </c>
      <c r="V387" s="289">
        <v>282.298</v>
      </c>
      <c r="W387" s="289">
        <v>0</v>
      </c>
      <c r="X387" s="288">
        <v>0.11749999999999999</v>
      </c>
      <c r="Y387" s="288">
        <v>0.11749999999999999</v>
      </c>
      <c r="Z387" s="288">
        <v>1.2416666666666666E-4</v>
      </c>
      <c r="AA387" s="288">
        <v>0</v>
      </c>
      <c r="AB387" s="288">
        <v>0</v>
      </c>
      <c r="AC387" s="289">
        <v>0.11762416666666665</v>
      </c>
      <c r="AD387" s="289">
        <v>0</v>
      </c>
    </row>
    <row r="388" spans="1:30" ht="15" customHeight="1" x14ac:dyDescent="0.25">
      <c r="A388" s="282" t="s">
        <v>581</v>
      </c>
      <c r="B388" s="282" t="s">
        <v>616</v>
      </c>
      <c r="C388" s="282" t="s">
        <v>617</v>
      </c>
      <c r="D388" s="286" t="s">
        <v>747</v>
      </c>
      <c r="E388" s="404">
        <v>44573</v>
      </c>
      <c r="F388" s="404">
        <v>46656</v>
      </c>
      <c r="G388" s="286" t="s">
        <v>286</v>
      </c>
      <c r="H388" s="282" t="s">
        <v>602</v>
      </c>
      <c r="I388" s="282" t="s">
        <v>590</v>
      </c>
      <c r="J388" s="282" t="s">
        <v>156</v>
      </c>
      <c r="K388" s="286" t="s">
        <v>603</v>
      </c>
      <c r="L388" s="282" t="s">
        <v>574</v>
      </c>
      <c r="M388" s="287">
        <v>2400</v>
      </c>
      <c r="N388" s="287">
        <v>0</v>
      </c>
      <c r="O388" s="287">
        <v>0</v>
      </c>
      <c r="P388" s="287"/>
      <c r="Q388" s="288" t="s">
        <v>748</v>
      </c>
      <c r="R388" s="288" t="s">
        <v>748</v>
      </c>
      <c r="S388" s="288" t="s">
        <v>632</v>
      </c>
      <c r="T388" s="288"/>
      <c r="U388" s="288">
        <v>0</v>
      </c>
      <c r="V388" s="289">
        <v>303.32</v>
      </c>
      <c r="W388" s="289">
        <v>0</v>
      </c>
      <c r="X388" s="288">
        <v>0.12625</v>
      </c>
      <c r="Y388" s="288">
        <v>0.12625</v>
      </c>
      <c r="Z388" s="288">
        <v>1.3333333333333334E-4</v>
      </c>
      <c r="AA388" s="288">
        <v>0</v>
      </c>
      <c r="AB388" s="288">
        <v>0</v>
      </c>
      <c r="AC388" s="289">
        <v>0.12638333333333335</v>
      </c>
      <c r="AD388" s="289">
        <v>0</v>
      </c>
    </row>
    <row r="389" spans="1:30" ht="15" customHeight="1" x14ac:dyDescent="0.25">
      <c r="A389" s="282" t="s">
        <v>581</v>
      </c>
      <c r="B389" s="282" t="s">
        <v>611</v>
      </c>
      <c r="C389" s="282" t="s">
        <v>612</v>
      </c>
      <c r="D389" s="286" t="s">
        <v>749</v>
      </c>
      <c r="E389" s="404">
        <v>44816</v>
      </c>
      <c r="F389" s="404">
        <v>46642</v>
      </c>
      <c r="G389" s="290" t="s">
        <v>652</v>
      </c>
      <c r="H389" s="282" t="s">
        <v>653</v>
      </c>
      <c r="I389" s="282" t="s">
        <v>590</v>
      </c>
      <c r="J389" s="282" t="s">
        <v>156</v>
      </c>
      <c r="K389" s="286" t="s">
        <v>654</v>
      </c>
      <c r="L389" s="282" t="s">
        <v>574</v>
      </c>
      <c r="M389" s="287">
        <v>2400</v>
      </c>
      <c r="N389" s="287">
        <v>0</v>
      </c>
      <c r="O389" s="287">
        <v>0</v>
      </c>
      <c r="P389" s="287"/>
      <c r="Q389" s="288" t="s">
        <v>750</v>
      </c>
      <c r="R389" s="288" t="s">
        <v>750</v>
      </c>
      <c r="S389" s="288" t="s">
        <v>711</v>
      </c>
      <c r="T389" s="288"/>
      <c r="U389" s="288">
        <v>0</v>
      </c>
      <c r="V389" s="289">
        <v>199.21</v>
      </c>
      <c r="W389" s="289">
        <v>0</v>
      </c>
      <c r="X389" s="288">
        <v>8.2916666666666666E-2</v>
      </c>
      <c r="Y389" s="288">
        <v>8.2916666666666666E-2</v>
      </c>
      <c r="Z389" s="288">
        <v>8.7499999999999999E-5</v>
      </c>
      <c r="AA389" s="288">
        <v>0</v>
      </c>
      <c r="AB389" s="288">
        <v>0</v>
      </c>
      <c r="AC389" s="289">
        <v>8.3004166666666671E-2</v>
      </c>
      <c r="AD389" s="289">
        <v>0</v>
      </c>
    </row>
    <row r="390" spans="1:30" ht="15" customHeight="1" x14ac:dyDescent="0.25">
      <c r="A390" s="282" t="s">
        <v>581</v>
      </c>
      <c r="B390" s="282" t="s">
        <v>616</v>
      </c>
      <c r="C390" s="282" t="s">
        <v>617</v>
      </c>
      <c r="D390" s="286" t="s">
        <v>751</v>
      </c>
      <c r="E390" s="404">
        <v>44573</v>
      </c>
      <c r="F390" s="404">
        <v>46656</v>
      </c>
      <c r="G390" s="286" t="s">
        <v>286</v>
      </c>
      <c r="H390" s="282" t="s">
        <v>602</v>
      </c>
      <c r="I390" s="282" t="s">
        <v>590</v>
      </c>
      <c r="J390" s="282" t="s">
        <v>156</v>
      </c>
      <c r="K390" s="286" t="s">
        <v>603</v>
      </c>
      <c r="L390" s="282" t="s">
        <v>574</v>
      </c>
      <c r="M390" s="287">
        <v>2400</v>
      </c>
      <c r="N390" s="287">
        <v>0</v>
      </c>
      <c r="O390" s="287">
        <v>0</v>
      </c>
      <c r="P390" s="287"/>
      <c r="Q390" s="288" t="s">
        <v>752</v>
      </c>
      <c r="R390" s="288" t="s">
        <v>752</v>
      </c>
      <c r="S390" s="288" t="s">
        <v>621</v>
      </c>
      <c r="T390" s="288"/>
      <c r="U390" s="288">
        <v>0</v>
      </c>
      <c r="V390" s="289">
        <v>294.31</v>
      </c>
      <c r="W390" s="289">
        <v>0</v>
      </c>
      <c r="X390" s="288">
        <v>0.1225</v>
      </c>
      <c r="Y390" s="288">
        <v>0.1225</v>
      </c>
      <c r="Z390" s="288">
        <v>1.2916666666666667E-4</v>
      </c>
      <c r="AA390" s="288">
        <v>0</v>
      </c>
      <c r="AB390" s="288">
        <v>0</v>
      </c>
      <c r="AC390" s="289">
        <v>0.12262916666666666</v>
      </c>
      <c r="AD390" s="289">
        <v>0</v>
      </c>
    </row>
    <row r="391" spans="1:30" ht="15" customHeight="1" x14ac:dyDescent="0.25">
      <c r="A391" s="282" t="s">
        <v>581</v>
      </c>
      <c r="B391" s="282" t="s">
        <v>585</v>
      </c>
      <c r="C391" s="282" t="s">
        <v>586</v>
      </c>
      <c r="D391" s="283" t="s">
        <v>753</v>
      </c>
      <c r="E391" s="404">
        <v>45016</v>
      </c>
      <c r="F391" s="404">
        <v>46843</v>
      </c>
      <c r="G391" s="286" t="s">
        <v>283</v>
      </c>
      <c r="H391" s="282" t="s">
        <v>736</v>
      </c>
      <c r="I391" s="282" t="s">
        <v>590</v>
      </c>
      <c r="J391" s="282" t="s">
        <v>156</v>
      </c>
      <c r="K391" s="286" t="s">
        <v>737</v>
      </c>
      <c r="L391" s="282" t="s">
        <v>574</v>
      </c>
      <c r="M391" s="287">
        <v>2400</v>
      </c>
      <c r="N391" s="287">
        <v>0</v>
      </c>
      <c r="O391" s="287">
        <v>0</v>
      </c>
      <c r="P391" s="287"/>
      <c r="Q391" s="288">
        <v>276</v>
      </c>
      <c r="R391" s="288">
        <v>276</v>
      </c>
      <c r="S391" s="288">
        <v>0.28999999999999998</v>
      </c>
      <c r="T391" s="288"/>
      <c r="U391" s="288">
        <v>0</v>
      </c>
      <c r="V391" s="289">
        <v>276.29000000000002</v>
      </c>
      <c r="W391" s="289">
        <v>0</v>
      </c>
      <c r="X391" s="288">
        <v>0.115</v>
      </c>
      <c r="Y391" s="288">
        <v>0.115</v>
      </c>
      <c r="Z391" s="288">
        <v>1.2083333333333332E-4</v>
      </c>
      <c r="AA391" s="288">
        <v>0</v>
      </c>
      <c r="AB391" s="288">
        <v>0</v>
      </c>
      <c r="AC391" s="289">
        <v>0.11512083333333334</v>
      </c>
      <c r="AD391" s="289">
        <v>0</v>
      </c>
    </row>
    <row r="392" spans="1:30" ht="15" customHeight="1" x14ac:dyDescent="0.25">
      <c r="A392" s="282" t="s">
        <v>581</v>
      </c>
      <c r="B392" s="282" t="s">
        <v>611</v>
      </c>
      <c r="C392" s="282" t="s">
        <v>612</v>
      </c>
      <c r="D392" s="286" t="s">
        <v>754</v>
      </c>
      <c r="E392" s="404">
        <v>44816</v>
      </c>
      <c r="F392" s="404">
        <v>46642</v>
      </c>
      <c r="G392" s="290" t="s">
        <v>652</v>
      </c>
      <c r="H392" s="282" t="s">
        <v>653</v>
      </c>
      <c r="I392" s="282" t="s">
        <v>590</v>
      </c>
      <c r="J392" s="282" t="s">
        <v>156</v>
      </c>
      <c r="K392" s="286" t="s">
        <v>654</v>
      </c>
      <c r="L392" s="282" t="s">
        <v>574</v>
      </c>
      <c r="M392" s="287">
        <v>2400</v>
      </c>
      <c r="N392" s="287">
        <v>0</v>
      </c>
      <c r="O392" s="287">
        <v>0</v>
      </c>
      <c r="P392" s="287"/>
      <c r="Q392" s="288" t="s">
        <v>755</v>
      </c>
      <c r="R392" s="288" t="s">
        <v>755</v>
      </c>
      <c r="S392" s="288" t="s">
        <v>724</v>
      </c>
      <c r="T392" s="288"/>
      <c r="U392" s="288">
        <v>0</v>
      </c>
      <c r="V392" s="289">
        <v>210.22</v>
      </c>
      <c r="W392" s="289">
        <v>0</v>
      </c>
      <c r="X392" s="288">
        <v>8.7499999999999994E-2</v>
      </c>
      <c r="Y392" s="288">
        <v>8.7499999999999994E-2</v>
      </c>
      <c r="Z392" s="288">
        <v>9.1666666666666668E-5</v>
      </c>
      <c r="AA392" s="288">
        <v>0</v>
      </c>
      <c r="AB392" s="288">
        <v>0</v>
      </c>
      <c r="AC392" s="289">
        <v>8.7591666666666665E-2</v>
      </c>
      <c r="AD392" s="289">
        <v>0</v>
      </c>
    </row>
    <row r="393" spans="1:30" ht="15" customHeight="1" x14ac:dyDescent="0.25">
      <c r="A393" s="282" t="s">
        <v>581</v>
      </c>
      <c r="B393" s="282" t="s">
        <v>594</v>
      </c>
      <c r="C393" s="282" t="s">
        <v>595</v>
      </c>
      <c r="D393" s="286" t="s">
        <v>756</v>
      </c>
      <c r="E393" s="404">
        <v>44816</v>
      </c>
      <c r="F393" s="404">
        <v>46642</v>
      </c>
      <c r="G393" s="290" t="s">
        <v>652</v>
      </c>
      <c r="H393" s="282" t="s">
        <v>653</v>
      </c>
      <c r="I393" s="282" t="s">
        <v>590</v>
      </c>
      <c r="J393" s="282" t="s">
        <v>156</v>
      </c>
      <c r="K393" s="286" t="s">
        <v>654</v>
      </c>
      <c r="L393" s="282" t="s">
        <v>574</v>
      </c>
      <c r="M393" s="287">
        <v>2400</v>
      </c>
      <c r="N393" s="287">
        <v>0</v>
      </c>
      <c r="O393" s="287">
        <v>0</v>
      </c>
      <c r="P393" s="287"/>
      <c r="Q393" s="288" t="s">
        <v>757</v>
      </c>
      <c r="R393" s="288" t="s">
        <v>757</v>
      </c>
      <c r="S393" s="288" t="s">
        <v>742</v>
      </c>
      <c r="T393" s="288"/>
      <c r="U393" s="288">
        <v>0</v>
      </c>
      <c r="V393" s="289">
        <v>153.16</v>
      </c>
      <c r="W393" s="289">
        <v>0</v>
      </c>
      <c r="X393" s="288">
        <v>6.3750000000000001E-2</v>
      </c>
      <c r="Y393" s="288">
        <v>6.3750000000000001E-2</v>
      </c>
      <c r="Z393" s="288">
        <v>6.666666666666667E-5</v>
      </c>
      <c r="AA393" s="288">
        <v>0</v>
      </c>
      <c r="AB393" s="288">
        <v>0</v>
      </c>
      <c r="AC393" s="289">
        <v>6.3816666666666674E-2</v>
      </c>
      <c r="AD393" s="289">
        <v>0</v>
      </c>
    </row>
    <row r="394" spans="1:30" ht="15" customHeight="1" x14ac:dyDescent="0.25">
      <c r="A394" s="282" t="s">
        <v>581</v>
      </c>
      <c r="B394" s="282" t="s">
        <v>616</v>
      </c>
      <c r="C394" s="282" t="s">
        <v>617</v>
      </c>
      <c r="D394" s="283" t="s">
        <v>758</v>
      </c>
      <c r="E394" s="404">
        <v>45056</v>
      </c>
      <c r="F394" s="404">
        <v>46883</v>
      </c>
      <c r="G394" s="286" t="s">
        <v>286</v>
      </c>
      <c r="H394" s="282" t="s">
        <v>759</v>
      </c>
      <c r="I394" s="282" t="s">
        <v>590</v>
      </c>
      <c r="J394" s="282" t="s">
        <v>156</v>
      </c>
      <c r="K394" s="286" t="s">
        <v>760</v>
      </c>
      <c r="L394" s="282" t="s">
        <v>574</v>
      </c>
      <c r="M394" s="287">
        <v>2400</v>
      </c>
      <c r="N394" s="287">
        <v>0</v>
      </c>
      <c r="O394" s="287">
        <v>0</v>
      </c>
      <c r="P394" s="287"/>
      <c r="Q394" s="288">
        <v>243</v>
      </c>
      <c r="R394" s="288" t="s">
        <v>761</v>
      </c>
      <c r="S394" s="288">
        <v>0.253</v>
      </c>
      <c r="T394" s="288"/>
      <c r="U394" s="288">
        <v>0</v>
      </c>
      <c r="V394" s="289">
        <v>243.25299999999999</v>
      </c>
      <c r="W394" s="289">
        <v>0</v>
      </c>
      <c r="X394" s="288">
        <v>0.10125000000000001</v>
      </c>
      <c r="Y394" s="288">
        <v>0.10125000000000001</v>
      </c>
      <c r="Z394" s="288">
        <v>1.0541666666666666E-4</v>
      </c>
      <c r="AA394" s="288">
        <v>0</v>
      </c>
      <c r="AB394" s="288">
        <v>0</v>
      </c>
      <c r="AC394" s="289">
        <v>0.10135541666666667</v>
      </c>
      <c r="AD394" s="289">
        <v>0</v>
      </c>
    </row>
    <row r="395" spans="1:30" ht="15" customHeight="1" x14ac:dyDescent="0.25">
      <c r="A395" s="282" t="s">
        <v>581</v>
      </c>
      <c r="B395" s="282" t="s">
        <v>616</v>
      </c>
      <c r="C395" s="282" t="s">
        <v>617</v>
      </c>
      <c r="D395" s="286" t="s">
        <v>762</v>
      </c>
      <c r="E395" s="404">
        <v>44573</v>
      </c>
      <c r="F395" s="404">
        <v>46656</v>
      </c>
      <c r="G395" s="286" t="s">
        <v>286</v>
      </c>
      <c r="H395" s="282" t="s">
        <v>602</v>
      </c>
      <c r="I395" s="282" t="s">
        <v>590</v>
      </c>
      <c r="J395" s="282" t="s">
        <v>156</v>
      </c>
      <c r="K395" s="286" t="s">
        <v>603</v>
      </c>
      <c r="L395" s="282" t="s">
        <v>574</v>
      </c>
      <c r="M395" s="287">
        <v>2400</v>
      </c>
      <c r="N395" s="287">
        <v>0</v>
      </c>
      <c r="O395" s="287">
        <v>0</v>
      </c>
      <c r="P395" s="287"/>
      <c r="Q395" s="288" t="s">
        <v>675</v>
      </c>
      <c r="R395" s="288" t="s">
        <v>675</v>
      </c>
      <c r="S395" s="288" t="s">
        <v>706</v>
      </c>
      <c r="T395" s="288"/>
      <c r="U395" s="288">
        <v>0</v>
      </c>
      <c r="V395" s="289">
        <v>279.29000000000002</v>
      </c>
      <c r="W395" s="289">
        <v>0</v>
      </c>
      <c r="X395" s="288">
        <v>0.11625000000000001</v>
      </c>
      <c r="Y395" s="288">
        <v>0.11625000000000001</v>
      </c>
      <c r="Z395" s="288">
        <v>1.2083333333333332E-4</v>
      </c>
      <c r="AA395" s="288">
        <v>0</v>
      </c>
      <c r="AB395" s="288">
        <v>0</v>
      </c>
      <c r="AC395" s="289">
        <v>0.11637083333333334</v>
      </c>
      <c r="AD395" s="289">
        <v>0</v>
      </c>
    </row>
    <row r="396" spans="1:30" ht="15" customHeight="1" x14ac:dyDescent="0.25">
      <c r="A396" s="282" t="s">
        <v>581</v>
      </c>
      <c r="B396" s="282" t="s">
        <v>585</v>
      </c>
      <c r="C396" s="282" t="s">
        <v>586</v>
      </c>
      <c r="D396" s="286" t="s">
        <v>763</v>
      </c>
      <c r="E396" s="404">
        <v>44573</v>
      </c>
      <c r="F396" s="404">
        <v>46656</v>
      </c>
      <c r="G396" s="286" t="s">
        <v>286</v>
      </c>
      <c r="H396" s="282" t="s">
        <v>602</v>
      </c>
      <c r="I396" s="282" t="s">
        <v>590</v>
      </c>
      <c r="J396" s="282" t="s">
        <v>156</v>
      </c>
      <c r="K396" s="286" t="s">
        <v>603</v>
      </c>
      <c r="L396" s="282" t="s">
        <v>574</v>
      </c>
      <c r="M396" s="287">
        <v>2400</v>
      </c>
      <c r="N396" s="287">
        <v>0</v>
      </c>
      <c r="O396" s="287">
        <v>0</v>
      </c>
      <c r="P396" s="287"/>
      <c r="Q396" s="288" t="s">
        <v>675</v>
      </c>
      <c r="R396" s="288" t="s">
        <v>675</v>
      </c>
      <c r="S396" s="288" t="s">
        <v>706</v>
      </c>
      <c r="T396" s="288"/>
      <c r="U396" s="288">
        <v>0</v>
      </c>
      <c r="V396" s="289">
        <v>279.29000000000002</v>
      </c>
      <c r="W396" s="289">
        <v>0</v>
      </c>
      <c r="X396" s="288">
        <v>0.11625000000000001</v>
      </c>
      <c r="Y396" s="288">
        <v>0.11625000000000001</v>
      </c>
      <c r="Z396" s="288">
        <v>1.2083333333333332E-4</v>
      </c>
      <c r="AA396" s="288">
        <v>0</v>
      </c>
      <c r="AB396" s="288">
        <v>0</v>
      </c>
      <c r="AC396" s="289">
        <v>0.11637083333333334</v>
      </c>
      <c r="AD396" s="289">
        <v>0</v>
      </c>
    </row>
    <row r="397" spans="1:30" ht="15" customHeight="1" x14ac:dyDescent="0.25">
      <c r="A397" s="282" t="s">
        <v>581</v>
      </c>
      <c r="B397" s="282" t="s">
        <v>611</v>
      </c>
      <c r="C397" s="282" t="s">
        <v>612</v>
      </c>
      <c r="D397" s="286" t="s">
        <v>764</v>
      </c>
      <c r="E397" s="404">
        <v>44816</v>
      </c>
      <c r="F397" s="404">
        <v>46642</v>
      </c>
      <c r="G397" s="290" t="s">
        <v>652</v>
      </c>
      <c r="H397" s="282" t="s">
        <v>653</v>
      </c>
      <c r="I397" s="282" t="s">
        <v>590</v>
      </c>
      <c r="J397" s="282" t="s">
        <v>156</v>
      </c>
      <c r="K397" s="286" t="s">
        <v>654</v>
      </c>
      <c r="L397" s="282" t="s">
        <v>574</v>
      </c>
      <c r="M397" s="287">
        <v>2400</v>
      </c>
      <c r="N397" s="287">
        <v>0</v>
      </c>
      <c r="O397" s="287">
        <v>0</v>
      </c>
      <c r="P397" s="287"/>
      <c r="Q397" s="288" t="s">
        <v>765</v>
      </c>
      <c r="R397" s="288" t="s">
        <v>765</v>
      </c>
      <c r="S397" s="288" t="s">
        <v>766</v>
      </c>
      <c r="T397" s="288"/>
      <c r="U397" s="288">
        <v>0</v>
      </c>
      <c r="V397" s="289">
        <v>183.19</v>
      </c>
      <c r="W397" s="289">
        <v>0</v>
      </c>
      <c r="X397" s="288">
        <v>7.6249999999999998E-2</v>
      </c>
      <c r="Y397" s="288">
        <v>7.6249999999999998E-2</v>
      </c>
      <c r="Z397" s="288">
        <v>7.9166666666666662E-5</v>
      </c>
      <c r="AA397" s="288">
        <v>0</v>
      </c>
      <c r="AB397" s="288">
        <v>0</v>
      </c>
      <c r="AC397" s="289">
        <v>7.632916666666667E-2</v>
      </c>
      <c r="AD397" s="289">
        <v>0</v>
      </c>
    </row>
    <row r="398" spans="1:30" ht="15" customHeight="1" x14ac:dyDescent="0.25">
      <c r="A398" s="282" t="s">
        <v>581</v>
      </c>
      <c r="B398" s="282" t="s">
        <v>594</v>
      </c>
      <c r="C398" s="282" t="s">
        <v>595</v>
      </c>
      <c r="D398" s="283" t="s">
        <v>767</v>
      </c>
      <c r="E398" s="404">
        <v>45016</v>
      </c>
      <c r="F398" s="404">
        <v>46843</v>
      </c>
      <c r="G398" s="286" t="s">
        <v>283</v>
      </c>
      <c r="H398" s="282" t="s">
        <v>736</v>
      </c>
      <c r="I398" s="282" t="s">
        <v>590</v>
      </c>
      <c r="J398" s="282" t="s">
        <v>156</v>
      </c>
      <c r="K398" s="286" t="s">
        <v>737</v>
      </c>
      <c r="L398" s="282" t="s">
        <v>574</v>
      </c>
      <c r="M398" s="287">
        <v>2400</v>
      </c>
      <c r="N398" s="287">
        <v>0</v>
      </c>
      <c r="O398" s="287">
        <v>0</v>
      </c>
      <c r="P398" s="287"/>
      <c r="Q398" s="288">
        <v>175</v>
      </c>
      <c r="R398" s="288">
        <v>175</v>
      </c>
      <c r="S398" s="288">
        <v>0.18099999999999999</v>
      </c>
      <c r="T398" s="288"/>
      <c r="U398" s="288">
        <v>0</v>
      </c>
      <c r="V398" s="289">
        <v>175.18100000000001</v>
      </c>
      <c r="W398" s="289">
        <v>0</v>
      </c>
      <c r="X398" s="288">
        <v>7.2916666666666671E-2</v>
      </c>
      <c r="Y398" s="288">
        <v>7.2916666666666671E-2</v>
      </c>
      <c r="Z398" s="288">
        <v>7.5416666666666666E-5</v>
      </c>
      <c r="AA398" s="288">
        <v>0</v>
      </c>
      <c r="AB398" s="288">
        <v>0</v>
      </c>
      <c r="AC398" s="289">
        <v>7.2992083333333332E-2</v>
      </c>
      <c r="AD398" s="289">
        <v>0</v>
      </c>
    </row>
    <row r="399" spans="1:30" ht="15" customHeight="1" x14ac:dyDescent="0.25">
      <c r="A399" s="282" t="s">
        <v>581</v>
      </c>
      <c r="B399" s="282" t="s">
        <v>695</v>
      </c>
      <c r="C399" s="282" t="s">
        <v>696</v>
      </c>
      <c r="D399" s="286" t="s">
        <v>768</v>
      </c>
      <c r="E399" s="404">
        <v>44588</v>
      </c>
      <c r="F399" s="404">
        <v>46414</v>
      </c>
      <c r="G399" s="286" t="s">
        <v>316</v>
      </c>
      <c r="H399" s="282" t="s">
        <v>597</v>
      </c>
      <c r="I399" s="282" t="s">
        <v>590</v>
      </c>
      <c r="J399" s="282" t="s">
        <v>156</v>
      </c>
      <c r="K399" s="286" t="s">
        <v>598</v>
      </c>
      <c r="L399" s="282" t="s">
        <v>574</v>
      </c>
      <c r="M399" s="287">
        <v>2400</v>
      </c>
      <c r="N399" s="287">
        <v>0</v>
      </c>
      <c r="O399" s="287">
        <v>0</v>
      </c>
      <c r="P399" s="287"/>
      <c r="Q399" s="288" t="s">
        <v>769</v>
      </c>
      <c r="R399" s="288">
        <v>339</v>
      </c>
      <c r="S399" s="288" t="s">
        <v>664</v>
      </c>
      <c r="T399" s="288"/>
      <c r="U399" s="288">
        <v>0</v>
      </c>
      <c r="V399" s="289">
        <v>339.35</v>
      </c>
      <c r="W399" s="289">
        <v>0</v>
      </c>
      <c r="X399" s="288">
        <v>0.14124999999999999</v>
      </c>
      <c r="Y399" s="288">
        <v>0.14124999999999999</v>
      </c>
      <c r="Z399" s="288">
        <v>1.4583333333333332E-4</v>
      </c>
      <c r="AA399" s="288">
        <v>0</v>
      </c>
      <c r="AB399" s="288">
        <v>0</v>
      </c>
      <c r="AC399" s="289">
        <v>0.14139583333333333</v>
      </c>
      <c r="AD399" s="289">
        <v>0</v>
      </c>
    </row>
    <row r="400" spans="1:30" ht="15" customHeight="1" x14ac:dyDescent="0.25">
      <c r="A400" s="282" t="s">
        <v>581</v>
      </c>
      <c r="B400" s="282" t="s">
        <v>606</v>
      </c>
      <c r="C400" s="282" t="s">
        <v>260</v>
      </c>
      <c r="D400" s="283" t="s">
        <v>770</v>
      </c>
      <c r="E400" s="404">
        <v>45016</v>
      </c>
      <c r="F400" s="404">
        <v>46843</v>
      </c>
      <c r="G400" s="286" t="s">
        <v>283</v>
      </c>
      <c r="H400" s="282" t="s">
        <v>736</v>
      </c>
      <c r="I400" s="282" t="s">
        <v>590</v>
      </c>
      <c r="J400" s="282" t="s">
        <v>156</v>
      </c>
      <c r="K400" s="286" t="s">
        <v>737</v>
      </c>
      <c r="L400" s="282" t="s">
        <v>574</v>
      </c>
      <c r="M400" s="287">
        <v>2400</v>
      </c>
      <c r="N400" s="287">
        <v>0</v>
      </c>
      <c r="O400" s="287">
        <v>0</v>
      </c>
      <c r="P400" s="287"/>
      <c r="Q400" s="288">
        <v>251</v>
      </c>
      <c r="R400" s="288">
        <v>251</v>
      </c>
      <c r="S400" s="288">
        <v>0.25900000000000001</v>
      </c>
      <c r="T400" s="288"/>
      <c r="U400" s="288">
        <v>0</v>
      </c>
      <c r="V400" s="289">
        <v>251.25899999999999</v>
      </c>
      <c r="W400" s="289">
        <v>0</v>
      </c>
      <c r="X400" s="288">
        <v>0.10458333333333333</v>
      </c>
      <c r="Y400" s="288">
        <v>0.10458333333333333</v>
      </c>
      <c r="Z400" s="288">
        <v>1.0791666666666667E-4</v>
      </c>
      <c r="AA400" s="288">
        <v>0</v>
      </c>
      <c r="AB400" s="288">
        <v>0</v>
      </c>
      <c r="AC400" s="289">
        <v>0.10469125</v>
      </c>
      <c r="AD400" s="289">
        <v>0</v>
      </c>
    </row>
    <row r="401" spans="1:30" ht="15" customHeight="1" x14ac:dyDescent="0.25">
      <c r="A401" s="282" t="s">
        <v>581</v>
      </c>
      <c r="B401" s="282" t="s">
        <v>695</v>
      </c>
      <c r="C401" s="282" t="s">
        <v>696</v>
      </c>
      <c r="D401" s="286" t="s">
        <v>771</v>
      </c>
      <c r="E401" s="404">
        <v>44588</v>
      </c>
      <c r="F401" s="404">
        <v>46414</v>
      </c>
      <c r="G401" s="286" t="s">
        <v>316</v>
      </c>
      <c r="H401" s="282" t="s">
        <v>597</v>
      </c>
      <c r="I401" s="282" t="s">
        <v>590</v>
      </c>
      <c r="J401" s="282" t="s">
        <v>156</v>
      </c>
      <c r="K401" s="286" t="s">
        <v>598</v>
      </c>
      <c r="L401" s="282" t="s">
        <v>574</v>
      </c>
      <c r="M401" s="287">
        <v>2400</v>
      </c>
      <c r="N401" s="287">
        <v>0</v>
      </c>
      <c r="O401" s="287">
        <v>0</v>
      </c>
      <c r="P401" s="287"/>
      <c r="Q401" s="288" t="s">
        <v>744</v>
      </c>
      <c r="R401" s="288">
        <v>340</v>
      </c>
      <c r="S401" s="288" t="s">
        <v>664</v>
      </c>
      <c r="T401" s="288"/>
      <c r="U401" s="288">
        <v>0</v>
      </c>
      <c r="V401" s="289">
        <v>340.35</v>
      </c>
      <c r="W401" s="289">
        <v>0</v>
      </c>
      <c r="X401" s="288">
        <v>0.14166666666666666</v>
      </c>
      <c r="Y401" s="288">
        <v>0.14166666666666666</v>
      </c>
      <c r="Z401" s="288">
        <v>1.4583333333333332E-4</v>
      </c>
      <c r="AA401" s="288">
        <v>0</v>
      </c>
      <c r="AB401" s="288">
        <v>0</v>
      </c>
      <c r="AC401" s="289">
        <v>0.14181250000000001</v>
      </c>
      <c r="AD401" s="289">
        <v>0</v>
      </c>
    </row>
    <row r="402" spans="1:30" ht="15" customHeight="1" x14ac:dyDescent="0.25">
      <c r="A402" s="282" t="s">
        <v>581</v>
      </c>
      <c r="B402" s="282" t="s">
        <v>585</v>
      </c>
      <c r="C402" s="282" t="s">
        <v>586</v>
      </c>
      <c r="D402" s="286" t="s">
        <v>772</v>
      </c>
      <c r="E402" s="404">
        <v>44581</v>
      </c>
      <c r="F402" s="404">
        <v>46407</v>
      </c>
      <c r="G402" s="286" t="s">
        <v>588</v>
      </c>
      <c r="H402" s="282" t="s">
        <v>589</v>
      </c>
      <c r="I402" s="282" t="s">
        <v>590</v>
      </c>
      <c r="J402" s="282" t="s">
        <v>156</v>
      </c>
      <c r="K402" s="286" t="s">
        <v>591</v>
      </c>
      <c r="L402" s="282" t="s">
        <v>574</v>
      </c>
      <c r="M402" s="287">
        <v>2400</v>
      </c>
      <c r="N402" s="287">
        <v>0</v>
      </c>
      <c r="O402" s="287">
        <v>0</v>
      </c>
      <c r="P402" s="287"/>
      <c r="Q402" s="288" t="s">
        <v>773</v>
      </c>
      <c r="R402" s="288" t="s">
        <v>773</v>
      </c>
      <c r="S402" s="288" t="s">
        <v>664</v>
      </c>
      <c r="T402" s="288"/>
      <c r="U402" s="288">
        <v>0</v>
      </c>
      <c r="V402" s="289">
        <v>341.35</v>
      </c>
      <c r="W402" s="289">
        <v>0</v>
      </c>
      <c r="X402" s="288">
        <v>0.14208333333333334</v>
      </c>
      <c r="Y402" s="288">
        <v>0.14208333333333334</v>
      </c>
      <c r="Z402" s="288">
        <v>1.4583333333333332E-4</v>
      </c>
      <c r="AA402" s="288">
        <v>0</v>
      </c>
      <c r="AB402" s="288">
        <v>0</v>
      </c>
      <c r="AC402" s="289">
        <v>0.14222916666666668</v>
      </c>
      <c r="AD402" s="289">
        <v>0</v>
      </c>
    </row>
    <row r="403" spans="1:30" ht="15" customHeight="1" x14ac:dyDescent="0.25">
      <c r="A403" s="282" t="s">
        <v>581</v>
      </c>
      <c r="B403" s="282" t="s">
        <v>606</v>
      </c>
      <c r="C403" s="282" t="s">
        <v>260</v>
      </c>
      <c r="D403" s="283" t="s">
        <v>774</v>
      </c>
      <c r="E403" s="404">
        <v>45016</v>
      </c>
      <c r="F403" s="404">
        <v>46843</v>
      </c>
      <c r="G403" s="286" t="s">
        <v>283</v>
      </c>
      <c r="H403" s="282" t="s">
        <v>736</v>
      </c>
      <c r="I403" s="282" t="s">
        <v>590</v>
      </c>
      <c r="J403" s="282" t="s">
        <v>156</v>
      </c>
      <c r="K403" s="286" t="s">
        <v>737</v>
      </c>
      <c r="L403" s="282" t="s">
        <v>574</v>
      </c>
      <c r="M403" s="287">
        <v>2400</v>
      </c>
      <c r="N403" s="287">
        <v>0</v>
      </c>
      <c r="O403" s="287">
        <v>0</v>
      </c>
      <c r="P403" s="287"/>
      <c r="Q403" s="288">
        <v>186</v>
      </c>
      <c r="R403" s="288">
        <v>186</v>
      </c>
      <c r="S403" s="288">
        <v>0.188</v>
      </c>
      <c r="T403" s="288"/>
      <c r="U403" s="288">
        <v>0</v>
      </c>
      <c r="V403" s="289">
        <v>186.18799999999999</v>
      </c>
      <c r="W403" s="289">
        <v>0</v>
      </c>
      <c r="X403" s="288">
        <v>7.7499999999999999E-2</v>
      </c>
      <c r="Y403" s="288">
        <v>7.7499999999999999E-2</v>
      </c>
      <c r="Z403" s="288">
        <v>7.8333333333333331E-5</v>
      </c>
      <c r="AA403" s="288">
        <v>0</v>
      </c>
      <c r="AB403" s="288">
        <v>0</v>
      </c>
      <c r="AC403" s="289">
        <v>7.7578333333333332E-2</v>
      </c>
      <c r="AD403" s="289">
        <v>0</v>
      </c>
    </row>
    <row r="404" spans="1:30" ht="15" customHeight="1" x14ac:dyDescent="0.25">
      <c r="A404" s="282" t="s">
        <v>581</v>
      </c>
      <c r="B404" s="282" t="s">
        <v>611</v>
      </c>
      <c r="C404" s="282" t="s">
        <v>612</v>
      </c>
      <c r="D404" s="283" t="s">
        <v>775</v>
      </c>
      <c r="E404" s="404">
        <v>45016</v>
      </c>
      <c r="F404" s="404">
        <v>46843</v>
      </c>
      <c r="G404" s="286" t="s">
        <v>283</v>
      </c>
      <c r="H404" s="282" t="s">
        <v>736</v>
      </c>
      <c r="I404" s="282" t="s">
        <v>590</v>
      </c>
      <c r="J404" s="282" t="s">
        <v>156</v>
      </c>
      <c r="K404" s="286" t="s">
        <v>737</v>
      </c>
      <c r="L404" s="282" t="s">
        <v>574</v>
      </c>
      <c r="M404" s="287">
        <v>2400</v>
      </c>
      <c r="N404" s="287">
        <v>0</v>
      </c>
      <c r="O404" s="287">
        <v>0</v>
      </c>
      <c r="P404" s="287"/>
      <c r="Q404" s="288">
        <v>225</v>
      </c>
      <c r="R404" s="288">
        <v>225</v>
      </c>
      <c r="S404" s="288">
        <v>0.22600000000000001</v>
      </c>
      <c r="T404" s="288"/>
      <c r="U404" s="288">
        <v>0</v>
      </c>
      <c r="V404" s="289">
        <v>225.226</v>
      </c>
      <c r="W404" s="289">
        <v>0</v>
      </c>
      <c r="X404" s="288">
        <v>9.375E-2</v>
      </c>
      <c r="Y404" s="288">
        <v>9.375E-2</v>
      </c>
      <c r="Z404" s="288">
        <v>9.4166666666666674E-5</v>
      </c>
      <c r="AA404" s="288">
        <v>0</v>
      </c>
      <c r="AB404" s="288">
        <v>0</v>
      </c>
      <c r="AC404" s="289">
        <v>9.3844166666666673E-2</v>
      </c>
      <c r="AD404" s="289">
        <v>0</v>
      </c>
    </row>
    <row r="405" spans="1:30" ht="15" customHeight="1" x14ac:dyDescent="0.25">
      <c r="A405" s="282" t="s">
        <v>581</v>
      </c>
      <c r="B405" s="282" t="s">
        <v>585</v>
      </c>
      <c r="C405" s="282" t="s">
        <v>586</v>
      </c>
      <c r="D405" s="286" t="s">
        <v>776</v>
      </c>
      <c r="E405" s="404">
        <v>44573</v>
      </c>
      <c r="F405" s="404">
        <v>46656</v>
      </c>
      <c r="G405" s="286" t="s">
        <v>286</v>
      </c>
      <c r="H405" s="282" t="s">
        <v>602</v>
      </c>
      <c r="I405" s="282" t="s">
        <v>590</v>
      </c>
      <c r="J405" s="282" t="s">
        <v>156</v>
      </c>
      <c r="K405" s="286" t="s">
        <v>603</v>
      </c>
      <c r="L405" s="282" t="s">
        <v>574</v>
      </c>
      <c r="M405" s="287">
        <v>2400</v>
      </c>
      <c r="N405" s="287">
        <v>0</v>
      </c>
      <c r="O405" s="287">
        <v>0</v>
      </c>
      <c r="P405" s="287"/>
      <c r="Q405" s="288" t="s">
        <v>777</v>
      </c>
      <c r="R405" s="288" t="s">
        <v>777</v>
      </c>
      <c r="S405" s="288" t="s">
        <v>621</v>
      </c>
      <c r="T405" s="288"/>
      <c r="U405" s="288">
        <v>0</v>
      </c>
      <c r="V405" s="289">
        <v>310.31</v>
      </c>
      <c r="W405" s="289">
        <v>0</v>
      </c>
      <c r="X405" s="288">
        <v>0.12916666666666668</v>
      </c>
      <c r="Y405" s="288">
        <v>0.12916666666666668</v>
      </c>
      <c r="Z405" s="288">
        <v>1.2916666666666667E-4</v>
      </c>
      <c r="AA405" s="288">
        <v>0</v>
      </c>
      <c r="AB405" s="288">
        <v>0</v>
      </c>
      <c r="AC405" s="289">
        <v>0.12929583333333336</v>
      </c>
      <c r="AD405" s="289">
        <v>0</v>
      </c>
    </row>
    <row r="406" spans="1:30" ht="15" customHeight="1" x14ac:dyDescent="0.25">
      <c r="A406" s="282" t="s">
        <v>581</v>
      </c>
      <c r="B406" s="282" t="s">
        <v>594</v>
      </c>
      <c r="C406" s="282" t="s">
        <v>595</v>
      </c>
      <c r="D406" s="286" t="s">
        <v>778</v>
      </c>
      <c r="E406" s="404">
        <v>44816</v>
      </c>
      <c r="F406" s="404">
        <v>46642</v>
      </c>
      <c r="G406" s="290" t="s">
        <v>652</v>
      </c>
      <c r="H406" s="282" t="s">
        <v>653</v>
      </c>
      <c r="I406" s="282" t="s">
        <v>590</v>
      </c>
      <c r="J406" s="282" t="s">
        <v>156</v>
      </c>
      <c r="K406" s="286" t="s">
        <v>654</v>
      </c>
      <c r="L406" s="282" t="s">
        <v>574</v>
      </c>
      <c r="M406" s="287">
        <v>2400</v>
      </c>
      <c r="N406" s="287">
        <v>0</v>
      </c>
      <c r="O406" s="287">
        <v>0</v>
      </c>
      <c r="P406" s="287"/>
      <c r="Q406" s="288" t="s">
        <v>779</v>
      </c>
      <c r="R406" s="288" t="s">
        <v>779</v>
      </c>
      <c r="S406" s="288" t="s">
        <v>742</v>
      </c>
      <c r="T406" s="288"/>
      <c r="U406" s="288">
        <v>0</v>
      </c>
      <c r="V406" s="289">
        <v>160.16</v>
      </c>
      <c r="W406" s="289">
        <v>0</v>
      </c>
      <c r="X406" s="288">
        <v>6.6666666666666666E-2</v>
      </c>
      <c r="Y406" s="288">
        <v>6.6666666666666666E-2</v>
      </c>
      <c r="Z406" s="288">
        <v>6.666666666666667E-5</v>
      </c>
      <c r="AA406" s="288">
        <v>0</v>
      </c>
      <c r="AB406" s="288">
        <v>0</v>
      </c>
      <c r="AC406" s="289">
        <v>6.6733333333333339E-2</v>
      </c>
      <c r="AD406" s="289">
        <v>0</v>
      </c>
    </row>
    <row r="407" spans="1:30" ht="15" customHeight="1" x14ac:dyDescent="0.25">
      <c r="A407" s="282" t="s">
        <v>581</v>
      </c>
      <c r="B407" s="282" t="s">
        <v>611</v>
      </c>
      <c r="C407" s="282" t="s">
        <v>612</v>
      </c>
      <c r="D407" s="283" t="s">
        <v>780</v>
      </c>
      <c r="E407" s="404">
        <v>44910</v>
      </c>
      <c r="F407" s="404">
        <v>46736</v>
      </c>
      <c r="G407" s="286" t="s">
        <v>608</v>
      </c>
      <c r="H407" s="282" t="s">
        <v>609</v>
      </c>
      <c r="I407" s="282" t="s">
        <v>590</v>
      </c>
      <c r="J407" s="282" t="s">
        <v>156</v>
      </c>
      <c r="K407" s="286" t="s">
        <v>610</v>
      </c>
      <c r="L407" s="282" t="s">
        <v>574</v>
      </c>
      <c r="M407" s="287">
        <v>2400</v>
      </c>
      <c r="N407" s="287">
        <v>0</v>
      </c>
      <c r="O407" s="287">
        <v>0</v>
      </c>
      <c r="P407" s="287"/>
      <c r="Q407" s="288">
        <v>282</v>
      </c>
      <c r="R407" s="288">
        <v>279</v>
      </c>
      <c r="S407" s="288">
        <v>3.28</v>
      </c>
      <c r="T407" s="288"/>
      <c r="U407" s="288">
        <v>0</v>
      </c>
      <c r="V407" s="289">
        <v>282.27999999999997</v>
      </c>
      <c r="W407" s="289">
        <v>0</v>
      </c>
      <c r="X407" s="288">
        <v>0.11749999999999999</v>
      </c>
      <c r="Y407" s="288">
        <v>0.11625000000000001</v>
      </c>
      <c r="Z407" s="288">
        <v>1.3666666666666666E-3</v>
      </c>
      <c r="AA407" s="288">
        <v>0</v>
      </c>
      <c r="AB407" s="288">
        <v>0</v>
      </c>
      <c r="AC407" s="289">
        <v>0.11761666666666667</v>
      </c>
      <c r="AD407" s="289">
        <v>0</v>
      </c>
    </row>
    <row r="408" spans="1:30" ht="15" customHeight="1" x14ac:dyDescent="0.25">
      <c r="A408" s="282" t="s">
        <v>581</v>
      </c>
      <c r="B408" s="282" t="s">
        <v>616</v>
      </c>
      <c r="C408" s="282" t="s">
        <v>617</v>
      </c>
      <c r="D408" s="283" t="s">
        <v>781</v>
      </c>
      <c r="E408" s="404">
        <v>45016</v>
      </c>
      <c r="F408" s="404">
        <v>46843</v>
      </c>
      <c r="G408" s="286" t="s">
        <v>286</v>
      </c>
      <c r="H408" s="282" t="s">
        <v>782</v>
      </c>
      <c r="I408" s="282" t="s">
        <v>590</v>
      </c>
      <c r="J408" s="282" t="s">
        <v>156</v>
      </c>
      <c r="K408" s="286" t="s">
        <v>783</v>
      </c>
      <c r="L408" s="282" t="s">
        <v>574</v>
      </c>
      <c r="M408" s="287">
        <v>2400</v>
      </c>
      <c r="N408" s="287">
        <v>0</v>
      </c>
      <c r="O408" s="287">
        <v>0</v>
      </c>
      <c r="P408" s="287"/>
      <c r="Q408" s="288">
        <v>293</v>
      </c>
      <c r="R408" s="288">
        <v>293</v>
      </c>
      <c r="S408" s="288">
        <v>0.28999999999999998</v>
      </c>
      <c r="T408" s="288"/>
      <c r="U408" s="288">
        <v>0</v>
      </c>
      <c r="V408" s="289">
        <v>293.29000000000002</v>
      </c>
      <c r="W408" s="289">
        <v>0</v>
      </c>
      <c r="X408" s="288">
        <v>0.12208333333333334</v>
      </c>
      <c r="Y408" s="288">
        <v>0.12208333333333334</v>
      </c>
      <c r="Z408" s="288">
        <v>1.2083333333333332E-4</v>
      </c>
      <c r="AA408" s="288">
        <v>0</v>
      </c>
      <c r="AB408" s="288">
        <v>0</v>
      </c>
      <c r="AC408" s="289">
        <v>0.12220416666666667</v>
      </c>
      <c r="AD408" s="289">
        <v>0</v>
      </c>
    </row>
    <row r="409" spans="1:30" ht="15" customHeight="1" x14ac:dyDescent="0.25">
      <c r="A409" s="282" t="s">
        <v>581</v>
      </c>
      <c r="B409" s="282" t="s">
        <v>628</v>
      </c>
      <c r="C409" s="282" t="s">
        <v>629</v>
      </c>
      <c r="D409" s="286" t="s">
        <v>784</v>
      </c>
      <c r="E409" s="404">
        <v>44816</v>
      </c>
      <c r="F409" s="404">
        <v>46642</v>
      </c>
      <c r="G409" s="290" t="s">
        <v>652</v>
      </c>
      <c r="H409" s="282" t="s">
        <v>653</v>
      </c>
      <c r="I409" s="282" t="s">
        <v>590</v>
      </c>
      <c r="J409" s="282" t="s">
        <v>156</v>
      </c>
      <c r="K409" s="286" t="s">
        <v>654</v>
      </c>
      <c r="L409" s="282" t="s">
        <v>574</v>
      </c>
      <c r="M409" s="287">
        <v>2400</v>
      </c>
      <c r="N409" s="287">
        <v>0</v>
      </c>
      <c r="O409" s="287">
        <v>0</v>
      </c>
      <c r="P409" s="287"/>
      <c r="Q409" s="288" t="s">
        <v>785</v>
      </c>
      <c r="R409" s="288" t="s">
        <v>785</v>
      </c>
      <c r="S409" s="288" t="s">
        <v>786</v>
      </c>
      <c r="T409" s="288"/>
      <c r="U409" s="288">
        <v>0</v>
      </c>
      <c r="V409" s="289">
        <v>172.17</v>
      </c>
      <c r="W409" s="289">
        <v>0</v>
      </c>
      <c r="X409" s="288">
        <v>7.166666666666667E-2</v>
      </c>
      <c r="Y409" s="288">
        <v>7.166666666666667E-2</v>
      </c>
      <c r="Z409" s="288">
        <v>7.0833333333333338E-5</v>
      </c>
      <c r="AA409" s="288">
        <v>0</v>
      </c>
      <c r="AB409" s="288">
        <v>0</v>
      </c>
      <c r="AC409" s="289">
        <v>7.173750000000001E-2</v>
      </c>
      <c r="AD409" s="289">
        <v>0</v>
      </c>
    </row>
    <row r="410" spans="1:30" ht="15" customHeight="1" x14ac:dyDescent="0.25">
      <c r="A410" s="282" t="s">
        <v>581</v>
      </c>
      <c r="B410" s="282" t="s">
        <v>628</v>
      </c>
      <c r="C410" s="282" t="s">
        <v>629</v>
      </c>
      <c r="D410" s="283" t="s">
        <v>787</v>
      </c>
      <c r="E410" s="404">
        <v>45016</v>
      </c>
      <c r="F410" s="404">
        <v>46843</v>
      </c>
      <c r="G410" s="286" t="s">
        <v>283</v>
      </c>
      <c r="H410" s="282" t="s">
        <v>736</v>
      </c>
      <c r="I410" s="282" t="s">
        <v>590</v>
      </c>
      <c r="J410" s="282" t="s">
        <v>156</v>
      </c>
      <c r="K410" s="286" t="s">
        <v>737</v>
      </c>
      <c r="L410" s="282" t="s">
        <v>574</v>
      </c>
      <c r="M410" s="287">
        <v>2400</v>
      </c>
      <c r="N410" s="287">
        <v>0</v>
      </c>
      <c r="O410" s="287">
        <v>0</v>
      </c>
      <c r="P410" s="287"/>
      <c r="Q410" s="288">
        <v>198</v>
      </c>
      <c r="R410" s="288">
        <v>198</v>
      </c>
      <c r="S410" s="288">
        <v>0.19400000000000001</v>
      </c>
      <c r="T410" s="288"/>
      <c r="U410" s="288">
        <v>0</v>
      </c>
      <c r="V410" s="289">
        <v>198.19399999999999</v>
      </c>
      <c r="W410" s="289">
        <v>0</v>
      </c>
      <c r="X410" s="288">
        <v>8.2500000000000004E-2</v>
      </c>
      <c r="Y410" s="288">
        <v>8.2500000000000004E-2</v>
      </c>
      <c r="Z410" s="288">
        <v>8.0833333333333338E-5</v>
      </c>
      <c r="AA410" s="288">
        <v>0</v>
      </c>
      <c r="AB410" s="288">
        <v>0</v>
      </c>
      <c r="AC410" s="289">
        <v>8.2580833333333339E-2</v>
      </c>
      <c r="AD410" s="289">
        <v>0</v>
      </c>
    </row>
    <row r="411" spans="1:30" ht="15" customHeight="1" x14ac:dyDescent="0.25">
      <c r="A411" s="282" t="s">
        <v>581</v>
      </c>
      <c r="B411" s="282" t="s">
        <v>616</v>
      </c>
      <c r="C411" s="282" t="s">
        <v>617</v>
      </c>
      <c r="D411" s="286" t="s">
        <v>788</v>
      </c>
      <c r="E411" s="404">
        <v>44573</v>
      </c>
      <c r="F411" s="404">
        <v>46656</v>
      </c>
      <c r="G411" s="286" t="s">
        <v>286</v>
      </c>
      <c r="H411" s="282" t="s">
        <v>602</v>
      </c>
      <c r="I411" s="282" t="s">
        <v>590</v>
      </c>
      <c r="J411" s="282" t="s">
        <v>156</v>
      </c>
      <c r="K411" s="286" t="s">
        <v>603</v>
      </c>
      <c r="L411" s="282" t="s">
        <v>574</v>
      </c>
      <c r="M411" s="287">
        <v>2400</v>
      </c>
      <c r="N411" s="287">
        <v>0</v>
      </c>
      <c r="O411" s="287">
        <v>0</v>
      </c>
      <c r="P411" s="287"/>
      <c r="Q411" s="288" t="s">
        <v>789</v>
      </c>
      <c r="R411" s="288" t="s">
        <v>789</v>
      </c>
      <c r="S411" s="288" t="s">
        <v>656</v>
      </c>
      <c r="T411" s="288"/>
      <c r="U411" s="288">
        <v>0</v>
      </c>
      <c r="V411" s="289">
        <v>307.3</v>
      </c>
      <c r="W411" s="289">
        <v>0</v>
      </c>
      <c r="X411" s="288">
        <v>0.12791666666666668</v>
      </c>
      <c r="Y411" s="288">
        <v>0.12791666666666668</v>
      </c>
      <c r="Z411" s="288">
        <v>1.25E-4</v>
      </c>
      <c r="AA411" s="288">
        <v>0</v>
      </c>
      <c r="AB411" s="288">
        <v>0</v>
      </c>
      <c r="AC411" s="289">
        <v>0.12804166666666666</v>
      </c>
      <c r="AD411" s="289">
        <v>0</v>
      </c>
    </row>
    <row r="412" spans="1:30" ht="15" customHeight="1" x14ac:dyDescent="0.25">
      <c r="A412" s="282" t="s">
        <v>581</v>
      </c>
      <c r="B412" s="282" t="s">
        <v>628</v>
      </c>
      <c r="C412" s="282" t="s">
        <v>629</v>
      </c>
      <c r="D412" s="286" t="s">
        <v>790</v>
      </c>
      <c r="E412" s="404">
        <v>44816</v>
      </c>
      <c r="F412" s="404">
        <v>46642</v>
      </c>
      <c r="G412" s="290" t="s">
        <v>652</v>
      </c>
      <c r="H412" s="282" t="s">
        <v>653</v>
      </c>
      <c r="I412" s="282" t="s">
        <v>590</v>
      </c>
      <c r="J412" s="282" t="s">
        <v>156</v>
      </c>
      <c r="K412" s="286" t="s">
        <v>654</v>
      </c>
      <c r="L412" s="282" t="s">
        <v>574</v>
      </c>
      <c r="M412" s="287">
        <v>2400</v>
      </c>
      <c r="N412" s="287">
        <v>0</v>
      </c>
      <c r="O412" s="287">
        <v>0</v>
      </c>
      <c r="P412" s="287"/>
      <c r="Q412" s="288" t="s">
        <v>791</v>
      </c>
      <c r="R412" s="288" t="s">
        <v>791</v>
      </c>
      <c r="S412" s="288" t="s">
        <v>786</v>
      </c>
      <c r="T412" s="288"/>
      <c r="U412" s="288">
        <v>0</v>
      </c>
      <c r="V412" s="289">
        <v>174.17</v>
      </c>
      <c r="W412" s="289">
        <v>0</v>
      </c>
      <c r="X412" s="288">
        <v>7.2499999999999995E-2</v>
      </c>
      <c r="Y412" s="288">
        <v>7.2499999999999995E-2</v>
      </c>
      <c r="Z412" s="288">
        <v>7.0833333333333338E-5</v>
      </c>
      <c r="AA412" s="288">
        <v>0</v>
      </c>
      <c r="AB412" s="288">
        <v>0</v>
      </c>
      <c r="AC412" s="289">
        <v>7.2570833333333334E-2</v>
      </c>
      <c r="AD412" s="289">
        <v>0</v>
      </c>
    </row>
    <row r="413" spans="1:30" ht="15" customHeight="1" x14ac:dyDescent="0.25">
      <c r="A413" s="282" t="s">
        <v>581</v>
      </c>
      <c r="B413" s="282" t="s">
        <v>616</v>
      </c>
      <c r="C413" s="282" t="s">
        <v>617</v>
      </c>
      <c r="D413" s="283" t="s">
        <v>792</v>
      </c>
      <c r="E413" s="404">
        <v>45016</v>
      </c>
      <c r="F413" s="404">
        <v>46843</v>
      </c>
      <c r="G413" s="286" t="s">
        <v>283</v>
      </c>
      <c r="H413" s="282" t="s">
        <v>736</v>
      </c>
      <c r="I413" s="282" t="s">
        <v>590</v>
      </c>
      <c r="J413" s="282" t="s">
        <v>156</v>
      </c>
      <c r="K413" s="286" t="s">
        <v>737</v>
      </c>
      <c r="L413" s="282" t="s">
        <v>574</v>
      </c>
      <c r="M413" s="287">
        <v>2400</v>
      </c>
      <c r="N413" s="287">
        <v>0</v>
      </c>
      <c r="O413" s="287">
        <v>0</v>
      </c>
      <c r="P413" s="287"/>
      <c r="Q413" s="288">
        <v>344</v>
      </c>
      <c r="R413" s="288">
        <v>344</v>
      </c>
      <c r="S413" s="288">
        <v>0.33600000000000002</v>
      </c>
      <c r="T413" s="288"/>
      <c r="U413" s="288">
        <v>0</v>
      </c>
      <c r="V413" s="289">
        <v>344.33600000000001</v>
      </c>
      <c r="W413" s="289">
        <v>0</v>
      </c>
      <c r="X413" s="288">
        <v>0.14333333333333334</v>
      </c>
      <c r="Y413" s="288">
        <v>0.14333333333333334</v>
      </c>
      <c r="Z413" s="288">
        <v>1.4000000000000001E-4</v>
      </c>
      <c r="AA413" s="288">
        <v>0</v>
      </c>
      <c r="AB413" s="288">
        <v>0</v>
      </c>
      <c r="AC413" s="289">
        <v>0.14347333333333334</v>
      </c>
      <c r="AD413" s="289">
        <v>0</v>
      </c>
    </row>
    <row r="414" spans="1:30" ht="15" customHeight="1" x14ac:dyDescent="0.25">
      <c r="A414" s="282" t="s">
        <v>581</v>
      </c>
      <c r="B414" s="282" t="s">
        <v>594</v>
      </c>
      <c r="C414" s="282" t="s">
        <v>595</v>
      </c>
      <c r="D414" s="286" t="s">
        <v>793</v>
      </c>
      <c r="E414" s="404">
        <v>44816</v>
      </c>
      <c r="F414" s="404">
        <v>46642</v>
      </c>
      <c r="G414" s="290" t="s">
        <v>652</v>
      </c>
      <c r="H414" s="282" t="s">
        <v>653</v>
      </c>
      <c r="I414" s="282" t="s">
        <v>590</v>
      </c>
      <c r="J414" s="282" t="s">
        <v>156</v>
      </c>
      <c r="K414" s="286" t="s">
        <v>654</v>
      </c>
      <c r="L414" s="282" t="s">
        <v>574</v>
      </c>
      <c r="M414" s="287">
        <v>2400</v>
      </c>
      <c r="N414" s="287">
        <v>0</v>
      </c>
      <c r="O414" s="287">
        <v>0</v>
      </c>
      <c r="P414" s="287"/>
      <c r="Q414" s="288" t="s">
        <v>794</v>
      </c>
      <c r="R414" s="288" t="s">
        <v>794</v>
      </c>
      <c r="S414" s="288" t="s">
        <v>795</v>
      </c>
      <c r="T414" s="288"/>
      <c r="U414" s="288">
        <v>0</v>
      </c>
      <c r="V414" s="289">
        <v>157.15</v>
      </c>
      <c r="W414" s="289">
        <v>0</v>
      </c>
      <c r="X414" s="288">
        <v>6.5416666666666665E-2</v>
      </c>
      <c r="Y414" s="288">
        <v>6.5416666666666665E-2</v>
      </c>
      <c r="Z414" s="288">
        <v>6.2500000000000001E-5</v>
      </c>
      <c r="AA414" s="288">
        <v>0</v>
      </c>
      <c r="AB414" s="288">
        <v>0</v>
      </c>
      <c r="AC414" s="289">
        <v>6.5479166666666658E-2</v>
      </c>
      <c r="AD414" s="289">
        <v>0</v>
      </c>
    </row>
    <row r="415" spans="1:30" ht="15" customHeight="1" x14ac:dyDescent="0.25">
      <c r="A415" s="282" t="s">
        <v>581</v>
      </c>
      <c r="B415" s="282" t="s">
        <v>695</v>
      </c>
      <c r="C415" s="282" t="s">
        <v>696</v>
      </c>
      <c r="D415" s="283" t="s">
        <v>796</v>
      </c>
      <c r="E415" s="404">
        <v>45016</v>
      </c>
      <c r="F415" s="404">
        <v>46843</v>
      </c>
      <c r="G415" s="286" t="s">
        <v>286</v>
      </c>
      <c r="H415" s="282" t="s">
        <v>782</v>
      </c>
      <c r="I415" s="282" t="s">
        <v>590</v>
      </c>
      <c r="J415" s="282" t="s">
        <v>156</v>
      </c>
      <c r="K415" s="286" t="s">
        <v>783</v>
      </c>
      <c r="L415" s="282" t="s">
        <v>574</v>
      </c>
      <c r="M415" s="287">
        <v>2400</v>
      </c>
      <c r="N415" s="287">
        <v>0</v>
      </c>
      <c r="O415" s="287">
        <v>0</v>
      </c>
      <c r="P415" s="287"/>
      <c r="Q415" s="288">
        <v>372</v>
      </c>
      <c r="R415" s="288">
        <v>372</v>
      </c>
      <c r="S415" s="288">
        <v>0.35</v>
      </c>
      <c r="T415" s="288"/>
      <c r="U415" s="288">
        <v>0</v>
      </c>
      <c r="V415" s="289">
        <v>372.35</v>
      </c>
      <c r="W415" s="289">
        <v>0</v>
      </c>
      <c r="X415" s="288">
        <v>0.155</v>
      </c>
      <c r="Y415" s="288">
        <v>0.155</v>
      </c>
      <c r="Z415" s="288">
        <v>1.4583333333333332E-4</v>
      </c>
      <c r="AA415" s="288">
        <v>0</v>
      </c>
      <c r="AB415" s="288">
        <v>0</v>
      </c>
      <c r="AC415" s="289">
        <v>0.15514583333333334</v>
      </c>
      <c r="AD415" s="289">
        <v>0</v>
      </c>
    </row>
    <row r="416" spans="1:30" ht="15" customHeight="1" x14ac:dyDescent="0.25">
      <c r="A416" s="282" t="s">
        <v>581</v>
      </c>
      <c r="B416" s="282" t="s">
        <v>594</v>
      </c>
      <c r="C416" s="282" t="s">
        <v>595</v>
      </c>
      <c r="D416" s="283" t="s">
        <v>797</v>
      </c>
      <c r="E416" s="404">
        <v>45016</v>
      </c>
      <c r="F416" s="404">
        <v>46843</v>
      </c>
      <c r="G416" s="286" t="s">
        <v>286</v>
      </c>
      <c r="H416" s="282" t="s">
        <v>782</v>
      </c>
      <c r="I416" s="282" t="s">
        <v>590</v>
      </c>
      <c r="J416" s="282" t="s">
        <v>156</v>
      </c>
      <c r="K416" s="286" t="s">
        <v>783</v>
      </c>
      <c r="L416" s="282" t="s">
        <v>574</v>
      </c>
      <c r="M416" s="287">
        <v>2400</v>
      </c>
      <c r="N416" s="287">
        <v>0</v>
      </c>
      <c r="O416" s="287">
        <v>0</v>
      </c>
      <c r="P416" s="287"/>
      <c r="Q416" s="288">
        <v>149</v>
      </c>
      <c r="R416" s="288">
        <v>149</v>
      </c>
      <c r="S416" s="288">
        <v>0.14000000000000001</v>
      </c>
      <c r="T416" s="288"/>
      <c r="U416" s="288">
        <v>0</v>
      </c>
      <c r="V416" s="289">
        <v>149.13999999999999</v>
      </c>
      <c r="W416" s="289">
        <v>0</v>
      </c>
      <c r="X416" s="288">
        <v>6.2083333333333331E-2</v>
      </c>
      <c r="Y416" s="288">
        <v>6.2083333333333331E-2</v>
      </c>
      <c r="Z416" s="288">
        <v>5.833333333333334E-5</v>
      </c>
      <c r="AA416" s="288">
        <v>0</v>
      </c>
      <c r="AB416" s="288">
        <v>0</v>
      </c>
      <c r="AC416" s="289">
        <v>6.2141666666666664E-2</v>
      </c>
      <c r="AD416" s="289">
        <v>0</v>
      </c>
    </row>
    <row r="417" spans="1:30" ht="15" customHeight="1" x14ac:dyDescent="0.25">
      <c r="A417" s="282" t="s">
        <v>581</v>
      </c>
      <c r="B417" s="282" t="s">
        <v>616</v>
      </c>
      <c r="C417" s="282" t="s">
        <v>617</v>
      </c>
      <c r="D417" s="286" t="s">
        <v>798</v>
      </c>
      <c r="E417" s="404">
        <v>44294</v>
      </c>
      <c r="F417" s="404">
        <v>46120</v>
      </c>
      <c r="G417" s="286" t="s">
        <v>799</v>
      </c>
      <c r="H417" s="282" t="s">
        <v>800</v>
      </c>
      <c r="I417" s="282" t="s">
        <v>590</v>
      </c>
      <c r="J417" s="282" t="s">
        <v>156</v>
      </c>
      <c r="K417" s="286" t="s">
        <v>801</v>
      </c>
      <c r="L417" s="282" t="s">
        <v>574</v>
      </c>
      <c r="M417" s="287">
        <v>2400</v>
      </c>
      <c r="N417" s="287">
        <v>0</v>
      </c>
      <c r="O417" s="287">
        <v>0</v>
      </c>
      <c r="P417" s="287"/>
      <c r="Q417" s="288" t="s">
        <v>802</v>
      </c>
      <c r="R417" s="287" t="s">
        <v>802</v>
      </c>
      <c r="S417" s="288" t="s">
        <v>643</v>
      </c>
      <c r="T417" s="288"/>
      <c r="U417" s="288">
        <v>0</v>
      </c>
      <c r="V417" s="289">
        <v>353.33</v>
      </c>
      <c r="W417" s="289">
        <v>0</v>
      </c>
      <c r="X417" s="288">
        <v>0.14708333333333334</v>
      </c>
      <c r="Y417" s="288">
        <v>0.14708333333333334</v>
      </c>
      <c r="Z417" s="288">
        <v>1.3750000000000001E-4</v>
      </c>
      <c r="AA417" s="288">
        <v>0</v>
      </c>
      <c r="AB417" s="288">
        <v>0</v>
      </c>
      <c r="AC417" s="289">
        <v>0.14722083333333336</v>
      </c>
      <c r="AD417" s="289">
        <v>0</v>
      </c>
    </row>
    <row r="418" spans="1:30" ht="15" customHeight="1" x14ac:dyDescent="0.25">
      <c r="A418" s="282" t="s">
        <v>581</v>
      </c>
      <c r="B418" s="282" t="s">
        <v>628</v>
      </c>
      <c r="C418" s="282" t="s">
        <v>629</v>
      </c>
      <c r="D418" s="283" t="s">
        <v>803</v>
      </c>
      <c r="E418" s="404">
        <v>45016</v>
      </c>
      <c r="F418" s="404">
        <v>46843</v>
      </c>
      <c r="G418" s="286" t="s">
        <v>283</v>
      </c>
      <c r="H418" s="282" t="s">
        <v>736</v>
      </c>
      <c r="I418" s="282" t="s">
        <v>590</v>
      </c>
      <c r="J418" s="282" t="s">
        <v>156</v>
      </c>
      <c r="K418" s="286" t="s">
        <v>737</v>
      </c>
      <c r="L418" s="282" t="s">
        <v>574</v>
      </c>
      <c r="M418" s="287">
        <v>2400</v>
      </c>
      <c r="N418" s="287">
        <v>0</v>
      </c>
      <c r="O418" s="287">
        <v>0</v>
      </c>
      <c r="P418" s="287"/>
      <c r="Q418" s="288">
        <v>264</v>
      </c>
      <c r="R418" s="288">
        <v>264</v>
      </c>
      <c r="S418" s="288">
        <v>0.246</v>
      </c>
      <c r="T418" s="288"/>
      <c r="U418" s="288">
        <v>0</v>
      </c>
      <c r="V418" s="289">
        <v>264.24599999999998</v>
      </c>
      <c r="W418" s="289">
        <v>0</v>
      </c>
      <c r="X418" s="288">
        <v>0.11</v>
      </c>
      <c r="Y418" s="288">
        <v>0.11</v>
      </c>
      <c r="Z418" s="288">
        <v>1.025E-4</v>
      </c>
      <c r="AA418" s="288">
        <v>0</v>
      </c>
      <c r="AB418" s="288">
        <v>0</v>
      </c>
      <c r="AC418" s="289">
        <v>0.11010250000000001</v>
      </c>
      <c r="AD418" s="289">
        <v>0</v>
      </c>
    </row>
    <row r="419" spans="1:30" ht="15" customHeight="1" x14ac:dyDescent="0.25">
      <c r="A419" s="282" t="s">
        <v>581</v>
      </c>
      <c r="B419" s="282" t="s">
        <v>628</v>
      </c>
      <c r="C419" s="282" t="s">
        <v>629</v>
      </c>
      <c r="D419" s="283" t="s">
        <v>804</v>
      </c>
      <c r="E419" s="404">
        <v>45016</v>
      </c>
      <c r="F419" s="404">
        <v>46843</v>
      </c>
      <c r="G419" s="286" t="s">
        <v>286</v>
      </c>
      <c r="H419" s="282" t="s">
        <v>782</v>
      </c>
      <c r="I419" s="282" t="s">
        <v>590</v>
      </c>
      <c r="J419" s="282" t="s">
        <v>156</v>
      </c>
      <c r="K419" s="286" t="s">
        <v>783</v>
      </c>
      <c r="L419" s="282" t="s">
        <v>574</v>
      </c>
      <c r="M419" s="287">
        <v>2400</v>
      </c>
      <c r="N419" s="287">
        <v>0</v>
      </c>
      <c r="O419" s="287">
        <v>0</v>
      </c>
      <c r="P419" s="287"/>
      <c r="Q419" s="288">
        <v>161</v>
      </c>
      <c r="R419" s="288">
        <v>161</v>
      </c>
      <c r="S419" s="288">
        <v>0.15</v>
      </c>
      <c r="T419" s="288"/>
      <c r="U419" s="288">
        <v>0</v>
      </c>
      <c r="V419" s="289">
        <v>161.15</v>
      </c>
      <c r="W419" s="289">
        <v>0</v>
      </c>
      <c r="X419" s="288">
        <v>6.7083333333333328E-2</v>
      </c>
      <c r="Y419" s="288">
        <v>6.7083333333333328E-2</v>
      </c>
      <c r="Z419" s="288">
        <v>6.2500000000000001E-5</v>
      </c>
      <c r="AA419" s="288">
        <v>0</v>
      </c>
      <c r="AB419" s="288">
        <v>0</v>
      </c>
      <c r="AC419" s="289">
        <v>6.7145833333333321E-2</v>
      </c>
      <c r="AD419" s="289">
        <v>0</v>
      </c>
    </row>
    <row r="420" spans="1:30" ht="15" customHeight="1" x14ac:dyDescent="0.25">
      <c r="A420" s="282" t="s">
        <v>581</v>
      </c>
      <c r="B420" s="282" t="s">
        <v>695</v>
      </c>
      <c r="C420" s="282" t="s">
        <v>696</v>
      </c>
      <c r="D420" s="286" t="s">
        <v>805</v>
      </c>
      <c r="E420" s="404">
        <v>44573</v>
      </c>
      <c r="F420" s="404">
        <v>46656</v>
      </c>
      <c r="G420" s="286" t="s">
        <v>286</v>
      </c>
      <c r="H420" s="282" t="s">
        <v>602</v>
      </c>
      <c r="I420" s="282" t="s">
        <v>590</v>
      </c>
      <c r="J420" s="282" t="s">
        <v>156</v>
      </c>
      <c r="K420" s="286" t="s">
        <v>603</v>
      </c>
      <c r="L420" s="282" t="s">
        <v>574</v>
      </c>
      <c r="M420" s="287">
        <v>2400</v>
      </c>
      <c r="N420" s="287">
        <v>0</v>
      </c>
      <c r="O420" s="287">
        <v>0</v>
      </c>
      <c r="P420" s="287"/>
      <c r="Q420" s="288" t="s">
        <v>806</v>
      </c>
      <c r="R420" s="288" t="s">
        <v>806</v>
      </c>
      <c r="S420" s="288" t="s">
        <v>632</v>
      </c>
      <c r="T420" s="288"/>
      <c r="U420" s="288">
        <v>0</v>
      </c>
      <c r="V420" s="289">
        <v>344.32</v>
      </c>
      <c r="W420" s="289">
        <v>0</v>
      </c>
      <c r="X420" s="288">
        <v>0.14333333333333334</v>
      </c>
      <c r="Y420" s="288">
        <v>0.14333333333333334</v>
      </c>
      <c r="Z420" s="288">
        <v>1.3333333333333334E-4</v>
      </c>
      <c r="AA420" s="288">
        <v>0</v>
      </c>
      <c r="AB420" s="288">
        <v>0</v>
      </c>
      <c r="AC420" s="289">
        <v>0.14346666666666669</v>
      </c>
      <c r="AD420" s="289">
        <v>0</v>
      </c>
    </row>
    <row r="421" spans="1:30" ht="15" customHeight="1" x14ac:dyDescent="0.25">
      <c r="A421" s="282" t="s">
        <v>581</v>
      </c>
      <c r="B421" s="282" t="s">
        <v>585</v>
      </c>
      <c r="C421" s="282" t="s">
        <v>586</v>
      </c>
      <c r="D421" s="286" t="s">
        <v>807</v>
      </c>
      <c r="E421" s="404">
        <v>44816</v>
      </c>
      <c r="F421" s="404">
        <v>46642</v>
      </c>
      <c r="G421" s="290" t="s">
        <v>652</v>
      </c>
      <c r="H421" s="282" t="s">
        <v>653</v>
      </c>
      <c r="I421" s="282" t="s">
        <v>590</v>
      </c>
      <c r="J421" s="282" t="s">
        <v>156</v>
      </c>
      <c r="K421" s="286" t="s">
        <v>654</v>
      </c>
      <c r="L421" s="282" t="s">
        <v>574</v>
      </c>
      <c r="M421" s="287">
        <v>2400</v>
      </c>
      <c r="N421" s="287">
        <v>0</v>
      </c>
      <c r="O421" s="287">
        <v>0</v>
      </c>
      <c r="P421" s="287"/>
      <c r="Q421" s="288" t="s">
        <v>730</v>
      </c>
      <c r="R421" s="288" t="s">
        <v>730</v>
      </c>
      <c r="S421" s="288" t="s">
        <v>688</v>
      </c>
      <c r="T421" s="288"/>
      <c r="U421" s="288">
        <v>0</v>
      </c>
      <c r="V421" s="289">
        <v>305.27999999999997</v>
      </c>
      <c r="W421" s="289">
        <v>0</v>
      </c>
      <c r="X421" s="288">
        <v>0.12708333333333333</v>
      </c>
      <c r="Y421" s="288">
        <v>0.12708333333333333</v>
      </c>
      <c r="Z421" s="288">
        <v>1.1666666666666668E-4</v>
      </c>
      <c r="AA421" s="288">
        <v>0</v>
      </c>
      <c r="AB421" s="288">
        <v>0</v>
      </c>
      <c r="AC421" s="289">
        <v>0.12719999999999998</v>
      </c>
      <c r="AD421" s="289">
        <v>0</v>
      </c>
    </row>
    <row r="422" spans="1:30" ht="15" customHeight="1" x14ac:dyDescent="0.25">
      <c r="A422" s="282" t="s">
        <v>581</v>
      </c>
      <c r="B422" s="282" t="s">
        <v>585</v>
      </c>
      <c r="C422" s="282" t="s">
        <v>586</v>
      </c>
      <c r="D422" s="283" t="s">
        <v>808</v>
      </c>
      <c r="E422" s="404">
        <v>45016</v>
      </c>
      <c r="F422" s="404">
        <v>46843</v>
      </c>
      <c r="G422" s="286" t="s">
        <v>283</v>
      </c>
      <c r="H422" s="282" t="s">
        <v>736</v>
      </c>
      <c r="I422" s="282" t="s">
        <v>590</v>
      </c>
      <c r="J422" s="282" t="s">
        <v>156</v>
      </c>
      <c r="K422" s="286" t="s">
        <v>737</v>
      </c>
      <c r="L422" s="282" t="s">
        <v>574</v>
      </c>
      <c r="M422" s="287">
        <v>2400</v>
      </c>
      <c r="N422" s="287">
        <v>0</v>
      </c>
      <c r="O422" s="287">
        <v>0</v>
      </c>
      <c r="P422" s="287"/>
      <c r="Q422" s="288">
        <v>268</v>
      </c>
      <c r="R422" s="288">
        <v>268</v>
      </c>
      <c r="S422" s="288">
        <v>0.246</v>
      </c>
      <c r="T422" s="288"/>
      <c r="U422" s="288">
        <v>0</v>
      </c>
      <c r="V422" s="289">
        <v>268.24599999999998</v>
      </c>
      <c r="W422" s="289">
        <v>0</v>
      </c>
      <c r="X422" s="288">
        <v>0.11166666666666666</v>
      </c>
      <c r="Y422" s="288">
        <v>0.11166666666666666</v>
      </c>
      <c r="Z422" s="288">
        <v>1.025E-4</v>
      </c>
      <c r="AA422" s="288">
        <v>0</v>
      </c>
      <c r="AB422" s="288">
        <v>0</v>
      </c>
      <c r="AC422" s="289">
        <v>0.11176916666666667</v>
      </c>
      <c r="AD422" s="289">
        <v>0</v>
      </c>
    </row>
    <row r="423" spans="1:30" ht="15" customHeight="1" x14ac:dyDescent="0.25">
      <c r="A423" s="282" t="s">
        <v>581</v>
      </c>
      <c r="B423" s="282" t="s">
        <v>611</v>
      </c>
      <c r="C423" s="282" t="s">
        <v>612</v>
      </c>
      <c r="D423" s="286" t="s">
        <v>809</v>
      </c>
      <c r="E423" s="404">
        <v>44294</v>
      </c>
      <c r="F423" s="404">
        <v>46120</v>
      </c>
      <c r="G423" s="286" t="s">
        <v>799</v>
      </c>
      <c r="H423" s="282" t="s">
        <v>800</v>
      </c>
      <c r="I423" s="282" t="s">
        <v>590</v>
      </c>
      <c r="J423" s="282" t="s">
        <v>156</v>
      </c>
      <c r="K423" s="286" t="s">
        <v>801</v>
      </c>
      <c r="L423" s="282" t="s">
        <v>574</v>
      </c>
      <c r="M423" s="287">
        <v>2400</v>
      </c>
      <c r="N423" s="287">
        <v>0</v>
      </c>
      <c r="O423" s="287">
        <v>0</v>
      </c>
      <c r="P423" s="287"/>
      <c r="Q423" s="288" t="s">
        <v>810</v>
      </c>
      <c r="R423" s="287" t="s">
        <v>810</v>
      </c>
      <c r="S423" s="288" t="s">
        <v>724</v>
      </c>
      <c r="T423" s="288"/>
      <c r="U423" s="288">
        <v>0</v>
      </c>
      <c r="V423" s="289">
        <v>240.22</v>
      </c>
      <c r="W423" s="289">
        <v>0</v>
      </c>
      <c r="X423" s="288">
        <v>0.1</v>
      </c>
      <c r="Y423" s="288">
        <v>0.1</v>
      </c>
      <c r="Z423" s="288">
        <v>9.1666666666666668E-5</v>
      </c>
      <c r="AA423" s="288">
        <v>0</v>
      </c>
      <c r="AB423" s="288">
        <v>0</v>
      </c>
      <c r="AC423" s="289">
        <v>0.10009166666666668</v>
      </c>
      <c r="AD423" s="289">
        <v>0</v>
      </c>
    </row>
    <row r="424" spans="1:30" ht="15" customHeight="1" x14ac:dyDescent="0.25">
      <c r="A424" s="282" t="s">
        <v>581</v>
      </c>
      <c r="B424" s="282" t="s">
        <v>585</v>
      </c>
      <c r="C424" s="282" t="s">
        <v>586</v>
      </c>
      <c r="D424" s="286" t="s">
        <v>811</v>
      </c>
      <c r="E424" s="404">
        <v>44816</v>
      </c>
      <c r="F424" s="404">
        <v>46642</v>
      </c>
      <c r="G424" s="290" t="s">
        <v>652</v>
      </c>
      <c r="H424" s="282" t="s">
        <v>653</v>
      </c>
      <c r="I424" s="282" t="s">
        <v>590</v>
      </c>
      <c r="J424" s="282" t="s">
        <v>156</v>
      </c>
      <c r="K424" s="286" t="s">
        <v>654</v>
      </c>
      <c r="L424" s="282" t="s">
        <v>574</v>
      </c>
      <c r="M424" s="287">
        <v>2400</v>
      </c>
      <c r="N424" s="287">
        <v>0</v>
      </c>
      <c r="O424" s="287">
        <v>0</v>
      </c>
      <c r="P424" s="287"/>
      <c r="Q424" s="288" t="s">
        <v>812</v>
      </c>
      <c r="R424" s="288" t="s">
        <v>812</v>
      </c>
      <c r="S424" s="288" t="s">
        <v>670</v>
      </c>
      <c r="T424" s="288"/>
      <c r="U424" s="288">
        <v>0</v>
      </c>
      <c r="V424" s="289">
        <v>295.27</v>
      </c>
      <c r="W424" s="289">
        <v>0</v>
      </c>
      <c r="X424" s="288">
        <v>0.12291666666666666</v>
      </c>
      <c r="Y424" s="288">
        <v>0.12291666666666666</v>
      </c>
      <c r="Z424" s="288">
        <v>1.1250000000000001E-4</v>
      </c>
      <c r="AA424" s="288">
        <v>0</v>
      </c>
      <c r="AB424" s="288">
        <v>0</v>
      </c>
      <c r="AC424" s="289">
        <v>0.12302916666666666</v>
      </c>
      <c r="AD424" s="289">
        <v>0</v>
      </c>
    </row>
    <row r="425" spans="1:30" ht="15" customHeight="1" x14ac:dyDescent="0.25">
      <c r="A425" s="282" t="s">
        <v>581</v>
      </c>
      <c r="B425" s="282" t="s">
        <v>606</v>
      </c>
      <c r="C425" s="282" t="s">
        <v>260</v>
      </c>
      <c r="D425" s="283" t="s">
        <v>813</v>
      </c>
      <c r="E425" s="404">
        <v>45016</v>
      </c>
      <c r="F425" s="404">
        <v>46843</v>
      </c>
      <c r="G425" s="286" t="s">
        <v>283</v>
      </c>
      <c r="H425" s="282" t="s">
        <v>736</v>
      </c>
      <c r="I425" s="282" t="s">
        <v>590</v>
      </c>
      <c r="J425" s="282" t="s">
        <v>156</v>
      </c>
      <c r="K425" s="286" t="s">
        <v>737</v>
      </c>
      <c r="L425" s="282" t="s">
        <v>574</v>
      </c>
      <c r="M425" s="287">
        <v>2400</v>
      </c>
      <c r="N425" s="287">
        <v>0</v>
      </c>
      <c r="O425" s="287">
        <v>0</v>
      </c>
      <c r="P425" s="287"/>
      <c r="Q425" s="288">
        <v>164</v>
      </c>
      <c r="R425" s="288">
        <v>164</v>
      </c>
      <c r="S425" s="288">
        <v>0.15</v>
      </c>
      <c r="T425" s="288"/>
      <c r="U425" s="288">
        <v>0</v>
      </c>
      <c r="V425" s="289">
        <v>164.15</v>
      </c>
      <c r="W425" s="289">
        <v>0</v>
      </c>
      <c r="X425" s="288">
        <v>6.8333333333333329E-2</v>
      </c>
      <c r="Y425" s="288">
        <v>6.8333333333333329E-2</v>
      </c>
      <c r="Z425" s="288">
        <v>6.2500000000000001E-5</v>
      </c>
      <c r="AA425" s="288">
        <v>0</v>
      </c>
      <c r="AB425" s="288">
        <v>0</v>
      </c>
      <c r="AC425" s="289">
        <v>6.8395833333333322E-2</v>
      </c>
      <c r="AD425" s="289">
        <v>0</v>
      </c>
    </row>
    <row r="426" spans="1:30" ht="15" customHeight="1" x14ac:dyDescent="0.25">
      <c r="A426" s="282" t="s">
        <v>581</v>
      </c>
      <c r="B426" s="282" t="s">
        <v>611</v>
      </c>
      <c r="C426" s="282" t="s">
        <v>612</v>
      </c>
      <c r="D426" s="286" t="s">
        <v>814</v>
      </c>
      <c r="E426" s="404">
        <v>44816</v>
      </c>
      <c r="F426" s="404">
        <v>46642</v>
      </c>
      <c r="G426" s="290" t="s">
        <v>652</v>
      </c>
      <c r="H426" s="282" t="s">
        <v>653</v>
      </c>
      <c r="I426" s="282" t="s">
        <v>590</v>
      </c>
      <c r="J426" s="282" t="s">
        <v>156</v>
      </c>
      <c r="K426" s="286" t="s">
        <v>654</v>
      </c>
      <c r="L426" s="282" t="s">
        <v>574</v>
      </c>
      <c r="M426" s="287">
        <v>2400</v>
      </c>
      <c r="N426" s="287">
        <v>0</v>
      </c>
      <c r="O426" s="287">
        <v>0</v>
      </c>
      <c r="P426" s="287"/>
      <c r="Q426" s="288" t="s">
        <v>815</v>
      </c>
      <c r="R426" s="288" t="s">
        <v>815</v>
      </c>
      <c r="S426" s="288" t="s">
        <v>724</v>
      </c>
      <c r="T426" s="288"/>
      <c r="U426" s="288">
        <v>0</v>
      </c>
      <c r="V426" s="289">
        <v>242.22</v>
      </c>
      <c r="W426" s="289">
        <v>0</v>
      </c>
      <c r="X426" s="288">
        <v>0.10083333333333333</v>
      </c>
      <c r="Y426" s="288">
        <v>0.10083333333333333</v>
      </c>
      <c r="Z426" s="288">
        <v>9.1666666666666668E-5</v>
      </c>
      <c r="AA426" s="288">
        <v>0</v>
      </c>
      <c r="AB426" s="288">
        <v>0</v>
      </c>
      <c r="AC426" s="289">
        <v>0.100925</v>
      </c>
      <c r="AD426" s="289">
        <v>0</v>
      </c>
    </row>
    <row r="427" spans="1:30" ht="15" customHeight="1" x14ac:dyDescent="0.25">
      <c r="A427" s="282" t="s">
        <v>581</v>
      </c>
      <c r="B427" s="282" t="s">
        <v>628</v>
      </c>
      <c r="C427" s="282" t="s">
        <v>629</v>
      </c>
      <c r="D427" s="286" t="s">
        <v>816</v>
      </c>
      <c r="E427" s="404">
        <v>44294</v>
      </c>
      <c r="F427" s="404">
        <v>46120</v>
      </c>
      <c r="G427" s="286" t="s">
        <v>799</v>
      </c>
      <c r="H427" s="282" t="s">
        <v>800</v>
      </c>
      <c r="I427" s="282" t="s">
        <v>590</v>
      </c>
      <c r="J427" s="282" t="s">
        <v>156</v>
      </c>
      <c r="K427" s="286" t="s">
        <v>801</v>
      </c>
      <c r="L427" s="282" t="s">
        <v>574</v>
      </c>
      <c r="M427" s="287">
        <v>2400</v>
      </c>
      <c r="N427" s="287">
        <v>0</v>
      </c>
      <c r="O427" s="287">
        <v>0</v>
      </c>
      <c r="P427" s="287"/>
      <c r="Q427" s="288" t="s">
        <v>817</v>
      </c>
      <c r="R427" s="287" t="s">
        <v>817</v>
      </c>
      <c r="S427" s="288" t="s">
        <v>766</v>
      </c>
      <c r="T427" s="288"/>
      <c r="U427" s="288">
        <v>0</v>
      </c>
      <c r="V427" s="289">
        <v>209.19</v>
      </c>
      <c r="W427" s="289">
        <v>0</v>
      </c>
      <c r="X427" s="288">
        <v>8.7083333333333332E-2</v>
      </c>
      <c r="Y427" s="288">
        <v>8.7083333333333332E-2</v>
      </c>
      <c r="Z427" s="288">
        <v>7.9166666666666662E-5</v>
      </c>
      <c r="AA427" s="288">
        <v>0</v>
      </c>
      <c r="AB427" s="288">
        <v>0</v>
      </c>
      <c r="AC427" s="289">
        <v>8.7162500000000004E-2</v>
      </c>
      <c r="AD427" s="289">
        <v>0</v>
      </c>
    </row>
    <row r="428" spans="1:30" ht="15" customHeight="1" x14ac:dyDescent="0.25">
      <c r="A428" s="282" t="s">
        <v>581</v>
      </c>
      <c r="B428" s="282" t="s">
        <v>585</v>
      </c>
      <c r="C428" s="282" t="s">
        <v>586</v>
      </c>
      <c r="D428" s="286" t="s">
        <v>818</v>
      </c>
      <c r="E428" s="404">
        <v>44816</v>
      </c>
      <c r="F428" s="404">
        <v>46642</v>
      </c>
      <c r="G428" s="290" t="s">
        <v>652</v>
      </c>
      <c r="H428" s="282" t="s">
        <v>653</v>
      </c>
      <c r="I428" s="282" t="s">
        <v>590</v>
      </c>
      <c r="J428" s="282" t="s">
        <v>156</v>
      </c>
      <c r="K428" s="286" t="s">
        <v>654</v>
      </c>
      <c r="L428" s="282" t="s">
        <v>574</v>
      </c>
      <c r="M428" s="287">
        <v>2400</v>
      </c>
      <c r="N428" s="287">
        <v>0</v>
      </c>
      <c r="O428" s="287">
        <v>0</v>
      </c>
      <c r="P428" s="287"/>
      <c r="Q428" s="288" t="s">
        <v>819</v>
      </c>
      <c r="R428" s="288" t="s">
        <v>819</v>
      </c>
      <c r="S428" s="288" t="s">
        <v>670</v>
      </c>
      <c r="T428" s="288"/>
      <c r="U428" s="288">
        <v>0</v>
      </c>
      <c r="V428" s="289">
        <v>297.27</v>
      </c>
      <c r="W428" s="289">
        <v>0</v>
      </c>
      <c r="X428" s="288">
        <v>0.12375</v>
      </c>
      <c r="Y428" s="288">
        <v>0.12375</v>
      </c>
      <c r="Z428" s="288">
        <v>1.1250000000000001E-4</v>
      </c>
      <c r="AA428" s="288">
        <v>0</v>
      </c>
      <c r="AB428" s="288">
        <v>0</v>
      </c>
      <c r="AC428" s="289">
        <v>0.1238625</v>
      </c>
      <c r="AD428" s="289">
        <v>0</v>
      </c>
    </row>
    <row r="429" spans="1:30" ht="15" customHeight="1" x14ac:dyDescent="0.25">
      <c r="A429" s="282" t="s">
        <v>581</v>
      </c>
      <c r="B429" s="282" t="s">
        <v>616</v>
      </c>
      <c r="C429" s="282" t="s">
        <v>617</v>
      </c>
      <c r="D429" s="286" t="s">
        <v>820</v>
      </c>
      <c r="E429" s="404">
        <v>44573</v>
      </c>
      <c r="F429" s="404">
        <v>46656</v>
      </c>
      <c r="G429" s="286" t="s">
        <v>286</v>
      </c>
      <c r="H429" s="282" t="s">
        <v>602</v>
      </c>
      <c r="I429" s="282" t="s">
        <v>590</v>
      </c>
      <c r="J429" s="282" t="s">
        <v>156</v>
      </c>
      <c r="K429" s="286" t="s">
        <v>603</v>
      </c>
      <c r="L429" s="282" t="s">
        <v>574</v>
      </c>
      <c r="M429" s="287">
        <v>2400</v>
      </c>
      <c r="N429" s="287">
        <v>0</v>
      </c>
      <c r="O429" s="287">
        <v>0</v>
      </c>
      <c r="P429" s="287"/>
      <c r="Q429" s="288" t="s">
        <v>821</v>
      </c>
      <c r="R429" s="288" t="s">
        <v>821</v>
      </c>
      <c r="S429" s="288" t="s">
        <v>646</v>
      </c>
      <c r="T429" s="288"/>
      <c r="U429" s="288">
        <v>0</v>
      </c>
      <c r="V429" s="289">
        <v>375.34</v>
      </c>
      <c r="W429" s="289">
        <v>0</v>
      </c>
      <c r="X429" s="288">
        <v>0.15625</v>
      </c>
      <c r="Y429" s="288">
        <v>0.15625</v>
      </c>
      <c r="Z429" s="288">
        <v>1.4166666666666668E-4</v>
      </c>
      <c r="AA429" s="288">
        <v>0</v>
      </c>
      <c r="AB429" s="288">
        <v>0</v>
      </c>
      <c r="AC429" s="289">
        <v>0.15639166666666668</v>
      </c>
      <c r="AD429" s="289">
        <v>0</v>
      </c>
    </row>
    <row r="430" spans="1:30" ht="15" customHeight="1" x14ac:dyDescent="0.25">
      <c r="A430" s="282" t="s">
        <v>581</v>
      </c>
      <c r="B430" s="282" t="s">
        <v>585</v>
      </c>
      <c r="C430" s="282" t="s">
        <v>586</v>
      </c>
      <c r="D430" s="286" t="s">
        <v>822</v>
      </c>
      <c r="E430" s="404">
        <v>44294</v>
      </c>
      <c r="F430" s="404">
        <v>46120</v>
      </c>
      <c r="G430" s="286" t="s">
        <v>799</v>
      </c>
      <c r="H430" s="282" t="s">
        <v>800</v>
      </c>
      <c r="I430" s="282" t="s">
        <v>590</v>
      </c>
      <c r="J430" s="282" t="s">
        <v>156</v>
      </c>
      <c r="K430" s="286" t="s">
        <v>801</v>
      </c>
      <c r="L430" s="282" t="s">
        <v>574</v>
      </c>
      <c r="M430" s="287">
        <v>2400</v>
      </c>
      <c r="N430" s="287">
        <v>0</v>
      </c>
      <c r="O430" s="287">
        <v>0</v>
      </c>
      <c r="P430" s="287"/>
      <c r="Q430" s="288" t="s">
        <v>823</v>
      </c>
      <c r="R430" s="287" t="s">
        <v>823</v>
      </c>
      <c r="S430" s="288" t="s">
        <v>670</v>
      </c>
      <c r="T430" s="288"/>
      <c r="U430" s="288">
        <v>0</v>
      </c>
      <c r="V430" s="289">
        <v>298.27</v>
      </c>
      <c r="W430" s="289">
        <v>0</v>
      </c>
      <c r="X430" s="288">
        <v>0.12416666666666666</v>
      </c>
      <c r="Y430" s="288">
        <v>0.12416666666666666</v>
      </c>
      <c r="Z430" s="288">
        <v>1.1250000000000001E-4</v>
      </c>
      <c r="AA430" s="288">
        <v>0</v>
      </c>
      <c r="AB430" s="288">
        <v>0</v>
      </c>
      <c r="AC430" s="289">
        <v>0.12427916666666666</v>
      </c>
      <c r="AD430" s="289">
        <v>0</v>
      </c>
    </row>
    <row r="431" spans="1:30" ht="15" customHeight="1" x14ac:dyDescent="0.25">
      <c r="A431" s="282" t="s">
        <v>581</v>
      </c>
      <c r="B431" s="282" t="s">
        <v>585</v>
      </c>
      <c r="C431" s="282" t="s">
        <v>586</v>
      </c>
      <c r="D431" s="286" t="s">
        <v>824</v>
      </c>
      <c r="E431" s="404">
        <v>44816</v>
      </c>
      <c r="F431" s="404">
        <v>46642</v>
      </c>
      <c r="G431" s="290" t="s">
        <v>652</v>
      </c>
      <c r="H431" s="282" t="s">
        <v>653</v>
      </c>
      <c r="I431" s="282" t="s">
        <v>590</v>
      </c>
      <c r="J431" s="282" t="s">
        <v>156</v>
      </c>
      <c r="K431" s="286" t="s">
        <v>654</v>
      </c>
      <c r="L431" s="282" t="s">
        <v>574</v>
      </c>
      <c r="M431" s="287">
        <v>2400</v>
      </c>
      <c r="N431" s="287">
        <v>0</v>
      </c>
      <c r="O431" s="287">
        <v>0</v>
      </c>
      <c r="P431" s="287"/>
      <c r="Q431" s="288" t="s">
        <v>825</v>
      </c>
      <c r="R431" s="288" t="s">
        <v>825</v>
      </c>
      <c r="S431" s="288" t="s">
        <v>659</v>
      </c>
      <c r="T431" s="288"/>
      <c r="U431" s="288">
        <v>0</v>
      </c>
      <c r="V431" s="289">
        <v>287.26</v>
      </c>
      <c r="W431" s="289">
        <v>0</v>
      </c>
      <c r="X431" s="288">
        <v>0.11958333333333333</v>
      </c>
      <c r="Y431" s="288">
        <v>0.11958333333333333</v>
      </c>
      <c r="Z431" s="288">
        <v>1.0833333333333334E-4</v>
      </c>
      <c r="AA431" s="288">
        <v>0</v>
      </c>
      <c r="AB431" s="288">
        <v>0</v>
      </c>
      <c r="AC431" s="289">
        <v>0.11969166666666667</v>
      </c>
      <c r="AD431" s="289">
        <v>0</v>
      </c>
    </row>
    <row r="432" spans="1:30" ht="15" customHeight="1" x14ac:dyDescent="0.25">
      <c r="A432" s="282" t="s">
        <v>581</v>
      </c>
      <c r="B432" s="282" t="s">
        <v>594</v>
      </c>
      <c r="C432" s="282" t="s">
        <v>595</v>
      </c>
      <c r="D432" s="286" t="s">
        <v>826</v>
      </c>
      <c r="E432" s="404">
        <v>44816</v>
      </c>
      <c r="F432" s="404">
        <v>46642</v>
      </c>
      <c r="G432" s="290" t="s">
        <v>652</v>
      </c>
      <c r="H432" s="282" t="s">
        <v>653</v>
      </c>
      <c r="I432" s="282" t="s">
        <v>590</v>
      </c>
      <c r="J432" s="282" t="s">
        <v>156</v>
      </c>
      <c r="K432" s="286" t="s">
        <v>654</v>
      </c>
      <c r="L432" s="282" t="s">
        <v>574</v>
      </c>
      <c r="M432" s="287">
        <v>2400</v>
      </c>
      <c r="N432" s="287">
        <v>0</v>
      </c>
      <c r="O432" s="287">
        <v>0</v>
      </c>
      <c r="P432" s="287"/>
      <c r="Q432" s="288" t="s">
        <v>827</v>
      </c>
      <c r="R432" s="288" t="s">
        <v>827</v>
      </c>
      <c r="S432" s="288" t="s">
        <v>714</v>
      </c>
      <c r="T432" s="288"/>
      <c r="U432" s="288">
        <v>0</v>
      </c>
      <c r="V432" s="289">
        <v>200.18</v>
      </c>
      <c r="W432" s="289">
        <v>0</v>
      </c>
      <c r="X432" s="288">
        <v>8.3333333333333329E-2</v>
      </c>
      <c r="Y432" s="288">
        <v>8.3333333333333329E-2</v>
      </c>
      <c r="Z432" s="288">
        <v>7.4999999999999993E-5</v>
      </c>
      <c r="AA432" s="288">
        <v>0</v>
      </c>
      <c r="AB432" s="288">
        <v>0</v>
      </c>
      <c r="AC432" s="289">
        <v>8.3408333333333334E-2</v>
      </c>
      <c r="AD432" s="289">
        <v>0</v>
      </c>
    </row>
    <row r="433" spans="1:30" ht="15" customHeight="1" x14ac:dyDescent="0.25">
      <c r="A433" s="282" t="s">
        <v>581</v>
      </c>
      <c r="B433" s="282" t="s">
        <v>611</v>
      </c>
      <c r="C433" s="282" t="s">
        <v>612</v>
      </c>
      <c r="D433" s="286" t="s">
        <v>828</v>
      </c>
      <c r="E433" s="404">
        <v>44816</v>
      </c>
      <c r="F433" s="404">
        <v>46642</v>
      </c>
      <c r="G433" s="290" t="s">
        <v>652</v>
      </c>
      <c r="H433" s="282" t="s">
        <v>653</v>
      </c>
      <c r="I433" s="282" t="s">
        <v>590</v>
      </c>
      <c r="J433" s="282" t="s">
        <v>156</v>
      </c>
      <c r="K433" s="286" t="s">
        <v>654</v>
      </c>
      <c r="L433" s="282" t="s">
        <v>574</v>
      </c>
      <c r="M433" s="287">
        <v>2400</v>
      </c>
      <c r="N433" s="287">
        <v>0</v>
      </c>
      <c r="O433" s="287">
        <v>0</v>
      </c>
      <c r="P433" s="287"/>
      <c r="Q433" s="288" t="s">
        <v>829</v>
      </c>
      <c r="R433" s="288" t="s">
        <v>829</v>
      </c>
      <c r="S433" s="288" t="s">
        <v>694</v>
      </c>
      <c r="T433" s="288"/>
      <c r="U433" s="288">
        <v>0</v>
      </c>
      <c r="V433" s="289">
        <v>256.23</v>
      </c>
      <c r="W433" s="289">
        <v>0</v>
      </c>
      <c r="X433" s="288">
        <v>0.10666666666666667</v>
      </c>
      <c r="Y433" s="288">
        <v>0.10666666666666667</v>
      </c>
      <c r="Z433" s="288">
        <v>9.5833333333333336E-5</v>
      </c>
      <c r="AA433" s="288">
        <v>0</v>
      </c>
      <c r="AB433" s="288">
        <v>0</v>
      </c>
      <c r="AC433" s="289">
        <v>0.10676250000000001</v>
      </c>
      <c r="AD433" s="289">
        <v>0</v>
      </c>
    </row>
    <row r="434" spans="1:30" ht="15" customHeight="1" x14ac:dyDescent="0.25">
      <c r="A434" s="282" t="s">
        <v>581</v>
      </c>
      <c r="B434" s="282" t="s">
        <v>628</v>
      </c>
      <c r="C434" s="282" t="s">
        <v>629</v>
      </c>
      <c r="D434" s="286" t="s">
        <v>830</v>
      </c>
      <c r="E434" s="404">
        <v>44816</v>
      </c>
      <c r="F434" s="404">
        <v>46642</v>
      </c>
      <c r="G434" s="290" t="s">
        <v>652</v>
      </c>
      <c r="H434" s="282" t="s">
        <v>653</v>
      </c>
      <c r="I434" s="282" t="s">
        <v>590</v>
      </c>
      <c r="J434" s="282" t="s">
        <v>156</v>
      </c>
      <c r="K434" s="286" t="s">
        <v>654</v>
      </c>
      <c r="L434" s="282" t="s">
        <v>574</v>
      </c>
      <c r="M434" s="287">
        <v>2400</v>
      </c>
      <c r="N434" s="287">
        <v>0</v>
      </c>
      <c r="O434" s="287">
        <v>0</v>
      </c>
      <c r="P434" s="287"/>
      <c r="Q434" s="288" t="s">
        <v>831</v>
      </c>
      <c r="R434" s="288" t="s">
        <v>831</v>
      </c>
      <c r="S434" s="288" t="s">
        <v>832</v>
      </c>
      <c r="T434" s="288"/>
      <c r="U434" s="288">
        <v>0</v>
      </c>
      <c r="V434" s="289">
        <v>223.2</v>
      </c>
      <c r="W434" s="289">
        <v>0</v>
      </c>
      <c r="X434" s="288">
        <v>9.2916666666666661E-2</v>
      </c>
      <c r="Y434" s="288">
        <v>9.2916666666666661E-2</v>
      </c>
      <c r="Z434" s="288">
        <v>8.3333333333333344E-5</v>
      </c>
      <c r="AA434" s="288">
        <v>0</v>
      </c>
      <c r="AB434" s="288">
        <v>0</v>
      </c>
      <c r="AC434" s="289">
        <v>9.2999999999999999E-2</v>
      </c>
      <c r="AD434" s="289">
        <v>0</v>
      </c>
    </row>
    <row r="435" spans="1:30" ht="15" customHeight="1" x14ac:dyDescent="0.25">
      <c r="A435" s="282" t="s">
        <v>581</v>
      </c>
      <c r="B435" s="282" t="s">
        <v>611</v>
      </c>
      <c r="C435" s="282" t="s">
        <v>612</v>
      </c>
      <c r="D435" s="283" t="s">
        <v>833</v>
      </c>
      <c r="E435" s="404">
        <v>45016</v>
      </c>
      <c r="F435" s="404">
        <v>46843</v>
      </c>
      <c r="G435" s="286" t="s">
        <v>283</v>
      </c>
      <c r="H435" s="282" t="s">
        <v>736</v>
      </c>
      <c r="I435" s="282" t="s">
        <v>590</v>
      </c>
      <c r="J435" s="282" t="s">
        <v>156</v>
      </c>
      <c r="K435" s="286" t="s">
        <v>737</v>
      </c>
      <c r="L435" s="282" t="s">
        <v>574</v>
      </c>
      <c r="M435" s="287">
        <v>2400</v>
      </c>
      <c r="N435" s="287">
        <v>0</v>
      </c>
      <c r="O435" s="287">
        <v>0</v>
      </c>
      <c r="P435" s="287"/>
      <c r="Q435" s="288">
        <v>295</v>
      </c>
      <c r="R435" s="288">
        <v>295</v>
      </c>
      <c r="S435" s="288">
        <v>0.26400000000000001</v>
      </c>
      <c r="T435" s="288"/>
      <c r="U435" s="288">
        <v>0</v>
      </c>
      <c r="V435" s="289">
        <v>295.26400000000001</v>
      </c>
      <c r="W435" s="289">
        <v>0</v>
      </c>
      <c r="X435" s="288">
        <v>0.12291666666666666</v>
      </c>
      <c r="Y435" s="288">
        <v>0.12291666666666666</v>
      </c>
      <c r="Z435" s="288">
        <v>1.1E-4</v>
      </c>
      <c r="AA435" s="288">
        <v>0</v>
      </c>
      <c r="AB435" s="288">
        <v>0</v>
      </c>
      <c r="AC435" s="289">
        <v>0.12302666666666666</v>
      </c>
      <c r="AD435" s="289">
        <v>0</v>
      </c>
    </row>
    <row r="436" spans="1:30" ht="15" customHeight="1" x14ac:dyDescent="0.25">
      <c r="A436" s="282" t="s">
        <v>581</v>
      </c>
      <c r="B436" s="282" t="s">
        <v>628</v>
      </c>
      <c r="C436" s="282" t="s">
        <v>629</v>
      </c>
      <c r="D436" s="286" t="s">
        <v>834</v>
      </c>
      <c r="E436" s="404">
        <v>44816</v>
      </c>
      <c r="F436" s="404">
        <v>46642</v>
      </c>
      <c r="G436" s="290" t="s">
        <v>652</v>
      </c>
      <c r="H436" s="282" t="s">
        <v>653</v>
      </c>
      <c r="I436" s="282" t="s">
        <v>590</v>
      </c>
      <c r="J436" s="282" t="s">
        <v>156</v>
      </c>
      <c r="K436" s="286" t="s">
        <v>654</v>
      </c>
      <c r="L436" s="282" t="s">
        <v>574</v>
      </c>
      <c r="M436" s="287">
        <v>2400</v>
      </c>
      <c r="N436" s="287">
        <v>0</v>
      </c>
      <c r="O436" s="287">
        <v>0</v>
      </c>
      <c r="P436" s="287"/>
      <c r="Q436" s="288" t="s">
        <v>631</v>
      </c>
      <c r="R436" s="288" t="s">
        <v>631</v>
      </c>
      <c r="S436" s="288" t="s">
        <v>766</v>
      </c>
      <c r="T436" s="288"/>
      <c r="U436" s="288">
        <v>0</v>
      </c>
      <c r="V436" s="289">
        <v>213.19</v>
      </c>
      <c r="W436" s="289">
        <v>0</v>
      </c>
      <c r="X436" s="288">
        <v>8.8749999999999996E-2</v>
      </c>
      <c r="Y436" s="288">
        <v>8.8749999999999996E-2</v>
      </c>
      <c r="Z436" s="288">
        <v>7.9166666666666662E-5</v>
      </c>
      <c r="AA436" s="288">
        <v>0</v>
      </c>
      <c r="AB436" s="288">
        <v>0</v>
      </c>
      <c r="AC436" s="289">
        <v>8.8829166666666667E-2</v>
      </c>
      <c r="AD436" s="289">
        <v>0</v>
      </c>
    </row>
    <row r="437" spans="1:30" ht="15" customHeight="1" x14ac:dyDescent="0.25">
      <c r="A437" s="282" t="s">
        <v>581</v>
      </c>
      <c r="B437" s="282" t="s">
        <v>611</v>
      </c>
      <c r="C437" s="282" t="s">
        <v>612</v>
      </c>
      <c r="D437" s="286" t="s">
        <v>835</v>
      </c>
      <c r="E437" s="404">
        <v>44816</v>
      </c>
      <c r="F437" s="404">
        <v>46642</v>
      </c>
      <c r="G437" s="290" t="s">
        <v>652</v>
      </c>
      <c r="H437" s="282" t="s">
        <v>653</v>
      </c>
      <c r="I437" s="282" t="s">
        <v>590</v>
      </c>
      <c r="J437" s="282" t="s">
        <v>156</v>
      </c>
      <c r="K437" s="286" t="s">
        <v>654</v>
      </c>
      <c r="L437" s="282" t="s">
        <v>574</v>
      </c>
      <c r="M437" s="287">
        <v>2400</v>
      </c>
      <c r="N437" s="287">
        <v>0</v>
      </c>
      <c r="O437" s="287">
        <v>0</v>
      </c>
      <c r="P437" s="287"/>
      <c r="Q437" s="288" t="s">
        <v>836</v>
      </c>
      <c r="R437" s="288" t="s">
        <v>836</v>
      </c>
      <c r="S437" s="288" t="s">
        <v>724</v>
      </c>
      <c r="T437" s="288"/>
      <c r="U437" s="288">
        <v>0</v>
      </c>
      <c r="V437" s="289">
        <v>248.22</v>
      </c>
      <c r="W437" s="289">
        <v>0</v>
      </c>
      <c r="X437" s="288">
        <v>0.10333333333333333</v>
      </c>
      <c r="Y437" s="288">
        <v>0.10333333333333333</v>
      </c>
      <c r="Z437" s="288">
        <v>9.1666666666666668E-5</v>
      </c>
      <c r="AA437" s="288">
        <v>0</v>
      </c>
      <c r="AB437" s="288">
        <v>0</v>
      </c>
      <c r="AC437" s="289">
        <v>0.103425</v>
      </c>
      <c r="AD437" s="289">
        <v>0</v>
      </c>
    </row>
    <row r="438" spans="1:30" ht="15" customHeight="1" x14ac:dyDescent="0.25">
      <c r="A438" s="282" t="s">
        <v>581</v>
      </c>
      <c r="B438" s="282" t="s">
        <v>611</v>
      </c>
      <c r="C438" s="282" t="s">
        <v>612</v>
      </c>
      <c r="D438" s="283" t="s">
        <v>837</v>
      </c>
      <c r="E438" s="404">
        <v>45016</v>
      </c>
      <c r="F438" s="404">
        <v>46843</v>
      </c>
      <c r="G438" s="286" t="s">
        <v>286</v>
      </c>
      <c r="H438" s="282" t="s">
        <v>782</v>
      </c>
      <c r="I438" s="282" t="s">
        <v>590</v>
      </c>
      <c r="J438" s="282" t="s">
        <v>156</v>
      </c>
      <c r="K438" s="286" t="s">
        <v>783</v>
      </c>
      <c r="L438" s="282" t="s">
        <v>574</v>
      </c>
      <c r="M438" s="287">
        <v>2400</v>
      </c>
      <c r="N438" s="287">
        <v>0</v>
      </c>
      <c r="O438" s="287">
        <v>0</v>
      </c>
      <c r="P438" s="287"/>
      <c r="Q438" s="288">
        <v>181</v>
      </c>
      <c r="R438" s="288">
        <v>181</v>
      </c>
      <c r="S438" s="288">
        <v>0.16</v>
      </c>
      <c r="T438" s="288"/>
      <c r="U438" s="288">
        <v>0</v>
      </c>
      <c r="V438" s="289">
        <v>181.16</v>
      </c>
      <c r="W438" s="289">
        <v>0</v>
      </c>
      <c r="X438" s="288">
        <v>7.5416666666666674E-2</v>
      </c>
      <c r="Y438" s="288">
        <v>7.5416666666666674E-2</v>
      </c>
      <c r="Z438" s="288">
        <v>6.666666666666667E-5</v>
      </c>
      <c r="AA438" s="288">
        <v>0</v>
      </c>
      <c r="AB438" s="288">
        <v>0</v>
      </c>
      <c r="AC438" s="289">
        <v>7.5483333333333347E-2</v>
      </c>
      <c r="AD438" s="289">
        <v>0</v>
      </c>
    </row>
    <row r="439" spans="1:30" ht="15" customHeight="1" x14ac:dyDescent="0.25">
      <c r="A439" s="282" t="s">
        <v>581</v>
      </c>
      <c r="B439" s="282" t="s">
        <v>594</v>
      </c>
      <c r="C439" s="282" t="s">
        <v>595</v>
      </c>
      <c r="D439" s="286" t="s">
        <v>838</v>
      </c>
      <c r="E439" s="404">
        <v>44816</v>
      </c>
      <c r="F439" s="404">
        <v>46642</v>
      </c>
      <c r="G439" s="290" t="s">
        <v>652</v>
      </c>
      <c r="H439" s="282" t="s">
        <v>653</v>
      </c>
      <c r="I439" s="282" t="s">
        <v>590</v>
      </c>
      <c r="J439" s="282" t="s">
        <v>156</v>
      </c>
      <c r="K439" s="286" t="s">
        <v>654</v>
      </c>
      <c r="L439" s="282" t="s">
        <v>574</v>
      </c>
      <c r="M439" s="287">
        <v>2400</v>
      </c>
      <c r="N439" s="287">
        <v>0</v>
      </c>
      <c r="O439" s="287">
        <v>0</v>
      </c>
      <c r="P439" s="287"/>
      <c r="Q439" s="288" t="s">
        <v>693</v>
      </c>
      <c r="R439" s="288" t="s">
        <v>693</v>
      </c>
      <c r="S439" s="288" t="s">
        <v>714</v>
      </c>
      <c r="T439" s="288"/>
      <c r="U439" s="288">
        <v>0</v>
      </c>
      <c r="V439" s="289">
        <v>204.18</v>
      </c>
      <c r="W439" s="289">
        <v>0</v>
      </c>
      <c r="X439" s="288">
        <v>8.5000000000000006E-2</v>
      </c>
      <c r="Y439" s="288">
        <v>8.5000000000000006E-2</v>
      </c>
      <c r="Z439" s="288">
        <v>7.4999999999999993E-5</v>
      </c>
      <c r="AA439" s="288">
        <v>0</v>
      </c>
      <c r="AB439" s="288">
        <v>0</v>
      </c>
      <c r="AC439" s="289">
        <v>8.5075000000000012E-2</v>
      </c>
      <c r="AD439" s="289">
        <v>0</v>
      </c>
    </row>
    <row r="440" spans="1:30" ht="15" customHeight="1" x14ac:dyDescent="0.25">
      <c r="A440" s="282" t="s">
        <v>581</v>
      </c>
      <c r="B440" s="282" t="s">
        <v>839</v>
      </c>
      <c r="C440" s="282" t="s">
        <v>840</v>
      </c>
      <c r="D440" s="286" t="s">
        <v>841</v>
      </c>
      <c r="E440" s="404">
        <v>44573</v>
      </c>
      <c r="F440" s="404">
        <v>46656</v>
      </c>
      <c r="G440" s="286" t="s">
        <v>286</v>
      </c>
      <c r="H440" s="282" t="s">
        <v>602</v>
      </c>
      <c r="I440" s="282" t="s">
        <v>590</v>
      </c>
      <c r="J440" s="282" t="s">
        <v>156</v>
      </c>
      <c r="K440" s="286" t="s">
        <v>603</v>
      </c>
      <c r="L440" s="282" t="s">
        <v>574</v>
      </c>
      <c r="M440" s="287">
        <v>2400</v>
      </c>
      <c r="N440" s="287">
        <v>0</v>
      </c>
      <c r="O440" s="287">
        <v>0</v>
      </c>
      <c r="P440" s="287"/>
      <c r="Q440" s="288" t="s">
        <v>842</v>
      </c>
      <c r="R440" s="288" t="s">
        <v>842</v>
      </c>
      <c r="S440" s="288" t="s">
        <v>745</v>
      </c>
      <c r="T440" s="288"/>
      <c r="U440" s="288">
        <v>0</v>
      </c>
      <c r="V440" s="289">
        <v>408.36</v>
      </c>
      <c r="W440" s="289">
        <v>0</v>
      </c>
      <c r="X440" s="288">
        <v>0.17</v>
      </c>
      <c r="Y440" s="288">
        <v>0.17</v>
      </c>
      <c r="Z440" s="288">
        <v>1.4999999999999999E-4</v>
      </c>
      <c r="AA440" s="288">
        <v>0</v>
      </c>
      <c r="AB440" s="288">
        <v>0</v>
      </c>
      <c r="AC440" s="289">
        <v>0.17015000000000002</v>
      </c>
      <c r="AD440" s="289">
        <v>0</v>
      </c>
    </row>
    <row r="441" spans="1:30" ht="15" customHeight="1" x14ac:dyDescent="0.25">
      <c r="A441" s="282" t="s">
        <v>581</v>
      </c>
      <c r="B441" s="282" t="s">
        <v>594</v>
      </c>
      <c r="C441" s="282" t="s">
        <v>595</v>
      </c>
      <c r="D441" s="286" t="s">
        <v>843</v>
      </c>
      <c r="E441" s="404">
        <v>44816</v>
      </c>
      <c r="F441" s="404">
        <v>46642</v>
      </c>
      <c r="G441" s="290" t="s">
        <v>652</v>
      </c>
      <c r="H441" s="282" t="s">
        <v>653</v>
      </c>
      <c r="I441" s="282" t="s">
        <v>590</v>
      </c>
      <c r="J441" s="282" t="s">
        <v>156</v>
      </c>
      <c r="K441" s="286" t="s">
        <v>654</v>
      </c>
      <c r="L441" s="282" t="s">
        <v>574</v>
      </c>
      <c r="M441" s="287">
        <v>2400</v>
      </c>
      <c r="N441" s="287">
        <v>0</v>
      </c>
      <c r="O441" s="287">
        <v>0</v>
      </c>
      <c r="P441" s="287"/>
      <c r="Q441" s="288" t="s">
        <v>844</v>
      </c>
      <c r="R441" s="288" t="s">
        <v>844</v>
      </c>
      <c r="S441" s="288" t="s">
        <v>786</v>
      </c>
      <c r="T441" s="288"/>
      <c r="U441" s="288">
        <v>0</v>
      </c>
      <c r="V441" s="289">
        <v>194.17</v>
      </c>
      <c r="W441" s="289">
        <v>0</v>
      </c>
      <c r="X441" s="288">
        <v>8.0833333333333326E-2</v>
      </c>
      <c r="Y441" s="288">
        <v>8.0833333333333326E-2</v>
      </c>
      <c r="Z441" s="288">
        <v>7.0833333333333338E-5</v>
      </c>
      <c r="AA441" s="288">
        <v>0</v>
      </c>
      <c r="AB441" s="288">
        <v>0</v>
      </c>
      <c r="AC441" s="289">
        <v>8.0904166666666666E-2</v>
      </c>
      <c r="AD441" s="289">
        <v>0</v>
      </c>
    </row>
    <row r="442" spans="1:30" ht="15" customHeight="1" x14ac:dyDescent="0.25">
      <c r="A442" s="282" t="s">
        <v>581</v>
      </c>
      <c r="B442" s="282" t="s">
        <v>616</v>
      </c>
      <c r="C442" s="282" t="s">
        <v>617</v>
      </c>
      <c r="D442" s="283" t="s">
        <v>845</v>
      </c>
      <c r="E442" s="404">
        <v>45016</v>
      </c>
      <c r="F442" s="404">
        <v>46843</v>
      </c>
      <c r="G442" s="286" t="s">
        <v>286</v>
      </c>
      <c r="H442" s="282" t="s">
        <v>782</v>
      </c>
      <c r="I442" s="282" t="s">
        <v>590</v>
      </c>
      <c r="J442" s="282" t="s">
        <v>156</v>
      </c>
      <c r="K442" s="286" t="s">
        <v>783</v>
      </c>
      <c r="L442" s="282" t="s">
        <v>574</v>
      </c>
      <c r="M442" s="287">
        <v>2400</v>
      </c>
      <c r="N442" s="287">
        <v>0</v>
      </c>
      <c r="O442" s="287">
        <v>0</v>
      </c>
      <c r="P442" s="287"/>
      <c r="Q442" s="288">
        <v>242</v>
      </c>
      <c r="R442" s="288">
        <v>242</v>
      </c>
      <c r="S442" s="288">
        <v>0.21</v>
      </c>
      <c r="T442" s="288"/>
      <c r="U442" s="288">
        <v>0</v>
      </c>
      <c r="V442" s="289">
        <v>242.21</v>
      </c>
      <c r="W442" s="289">
        <v>0</v>
      </c>
      <c r="X442" s="288">
        <v>0.10083333333333333</v>
      </c>
      <c r="Y442" s="288">
        <v>0.10083333333333333</v>
      </c>
      <c r="Z442" s="288">
        <v>8.7499999999999999E-5</v>
      </c>
      <c r="AA442" s="288">
        <v>0</v>
      </c>
      <c r="AB442" s="288">
        <v>0</v>
      </c>
      <c r="AC442" s="289">
        <v>0.10092083333333333</v>
      </c>
      <c r="AD442" s="289">
        <v>0</v>
      </c>
    </row>
    <row r="443" spans="1:30" ht="15" customHeight="1" x14ac:dyDescent="0.25">
      <c r="A443" s="282" t="s">
        <v>581</v>
      </c>
      <c r="B443" s="282" t="s">
        <v>628</v>
      </c>
      <c r="C443" s="282" t="s">
        <v>629</v>
      </c>
      <c r="D443" s="283" t="s">
        <v>846</v>
      </c>
      <c r="E443" s="404">
        <v>45016</v>
      </c>
      <c r="F443" s="404">
        <v>46843</v>
      </c>
      <c r="G443" s="286" t="s">
        <v>283</v>
      </c>
      <c r="H443" s="282" t="s">
        <v>736</v>
      </c>
      <c r="I443" s="282" t="s">
        <v>590</v>
      </c>
      <c r="J443" s="282" t="s">
        <v>156</v>
      </c>
      <c r="K443" s="286" t="s">
        <v>737</v>
      </c>
      <c r="L443" s="282" t="s">
        <v>574</v>
      </c>
      <c r="M443" s="287">
        <v>2400</v>
      </c>
      <c r="N443" s="287">
        <v>0</v>
      </c>
      <c r="O443" s="287">
        <v>0</v>
      </c>
      <c r="P443" s="287"/>
      <c r="Q443" s="288">
        <v>201</v>
      </c>
      <c r="R443" s="288">
        <v>201</v>
      </c>
      <c r="S443" s="288">
        <v>0.17299999999999999</v>
      </c>
      <c r="T443" s="288"/>
      <c r="U443" s="288">
        <v>0</v>
      </c>
      <c r="V443" s="289">
        <v>201.173</v>
      </c>
      <c r="W443" s="289">
        <v>0</v>
      </c>
      <c r="X443" s="288">
        <v>8.3750000000000005E-2</v>
      </c>
      <c r="Y443" s="288">
        <v>8.3750000000000005E-2</v>
      </c>
      <c r="Z443" s="288">
        <v>7.2083333333333328E-5</v>
      </c>
      <c r="AA443" s="288">
        <v>0</v>
      </c>
      <c r="AB443" s="288">
        <v>0</v>
      </c>
      <c r="AC443" s="289">
        <v>8.3822083333333339E-2</v>
      </c>
      <c r="AD443" s="289">
        <v>0</v>
      </c>
    </row>
    <row r="444" spans="1:30" ht="15" customHeight="1" x14ac:dyDescent="0.25">
      <c r="A444" s="282" t="s">
        <v>581</v>
      </c>
      <c r="B444" s="282" t="s">
        <v>594</v>
      </c>
      <c r="C444" s="282" t="s">
        <v>595</v>
      </c>
      <c r="D444" s="286" t="s">
        <v>847</v>
      </c>
      <c r="E444" s="404">
        <v>44816</v>
      </c>
      <c r="F444" s="404">
        <v>46642</v>
      </c>
      <c r="G444" s="290" t="s">
        <v>652</v>
      </c>
      <c r="H444" s="282" t="s">
        <v>653</v>
      </c>
      <c r="I444" s="282" t="s">
        <v>590</v>
      </c>
      <c r="J444" s="282" t="s">
        <v>156</v>
      </c>
      <c r="K444" s="286" t="s">
        <v>654</v>
      </c>
      <c r="L444" s="282" t="s">
        <v>574</v>
      </c>
      <c r="M444" s="287">
        <v>2400</v>
      </c>
      <c r="N444" s="287">
        <v>0</v>
      </c>
      <c r="O444" s="287">
        <v>0</v>
      </c>
      <c r="P444" s="287"/>
      <c r="Q444" s="288" t="s">
        <v>848</v>
      </c>
      <c r="R444" s="288" t="s">
        <v>848</v>
      </c>
      <c r="S444" s="288" t="s">
        <v>786</v>
      </c>
      <c r="T444" s="288"/>
      <c r="U444" s="288">
        <v>0</v>
      </c>
      <c r="V444" s="289">
        <v>198.17</v>
      </c>
      <c r="W444" s="289">
        <v>0</v>
      </c>
      <c r="X444" s="288">
        <v>8.2500000000000004E-2</v>
      </c>
      <c r="Y444" s="288">
        <v>8.2500000000000004E-2</v>
      </c>
      <c r="Z444" s="288">
        <v>7.0833333333333338E-5</v>
      </c>
      <c r="AA444" s="288">
        <v>0</v>
      </c>
      <c r="AB444" s="288">
        <v>0</v>
      </c>
      <c r="AC444" s="289">
        <v>8.2570833333333343E-2</v>
      </c>
      <c r="AD444" s="289">
        <v>0</v>
      </c>
    </row>
    <row r="445" spans="1:30" ht="15" customHeight="1" x14ac:dyDescent="0.25">
      <c r="A445" s="282" t="s">
        <v>581</v>
      </c>
      <c r="B445" s="282" t="s">
        <v>585</v>
      </c>
      <c r="C445" s="282" t="s">
        <v>586</v>
      </c>
      <c r="D445" s="283" t="s">
        <v>849</v>
      </c>
      <c r="E445" s="404">
        <v>45016</v>
      </c>
      <c r="F445" s="404">
        <v>46843</v>
      </c>
      <c r="G445" s="286" t="s">
        <v>286</v>
      </c>
      <c r="H445" s="282" t="s">
        <v>782</v>
      </c>
      <c r="I445" s="282" t="s">
        <v>590</v>
      </c>
      <c r="J445" s="282" t="s">
        <v>156</v>
      </c>
      <c r="K445" s="286" t="s">
        <v>783</v>
      </c>
      <c r="L445" s="282" t="s">
        <v>574</v>
      </c>
      <c r="M445" s="287">
        <v>2400</v>
      </c>
      <c r="N445" s="287">
        <v>0</v>
      </c>
      <c r="O445" s="287">
        <v>0</v>
      </c>
      <c r="P445" s="287"/>
      <c r="Q445" s="288">
        <v>257</v>
      </c>
      <c r="R445" s="288">
        <v>257</v>
      </c>
      <c r="S445" s="288">
        <v>0.22</v>
      </c>
      <c r="T445" s="288"/>
      <c r="U445" s="288">
        <v>0</v>
      </c>
      <c r="V445" s="289">
        <v>257.22000000000003</v>
      </c>
      <c r="W445" s="289">
        <v>0</v>
      </c>
      <c r="X445" s="288">
        <v>0.10708333333333334</v>
      </c>
      <c r="Y445" s="288">
        <v>0.10708333333333334</v>
      </c>
      <c r="Z445" s="288">
        <v>9.1666666666666668E-5</v>
      </c>
      <c r="AA445" s="288">
        <v>0</v>
      </c>
      <c r="AB445" s="288">
        <v>0</v>
      </c>
      <c r="AC445" s="289">
        <v>0.10717500000000001</v>
      </c>
      <c r="AD445" s="289">
        <v>0</v>
      </c>
    </row>
    <row r="446" spans="1:30" ht="15" customHeight="1" x14ac:dyDescent="0.25">
      <c r="A446" s="282" t="s">
        <v>581</v>
      </c>
      <c r="B446" s="282" t="s">
        <v>616</v>
      </c>
      <c r="C446" s="282" t="s">
        <v>617</v>
      </c>
      <c r="D446" s="286" t="s">
        <v>850</v>
      </c>
      <c r="E446" s="404">
        <v>44294</v>
      </c>
      <c r="F446" s="404">
        <v>46120</v>
      </c>
      <c r="G446" s="286" t="s">
        <v>799</v>
      </c>
      <c r="H446" s="282" t="s">
        <v>800</v>
      </c>
      <c r="I446" s="282" t="s">
        <v>590</v>
      </c>
      <c r="J446" s="282" t="s">
        <v>156</v>
      </c>
      <c r="K446" s="286" t="s">
        <v>801</v>
      </c>
      <c r="L446" s="282" t="s">
        <v>574</v>
      </c>
      <c r="M446" s="287">
        <v>2400</v>
      </c>
      <c r="N446" s="287">
        <v>0</v>
      </c>
      <c r="O446" s="287">
        <v>0</v>
      </c>
      <c r="P446" s="287"/>
      <c r="Q446" s="288" t="s">
        <v>851</v>
      </c>
      <c r="R446" s="287" t="s">
        <v>851</v>
      </c>
      <c r="S446" s="288" t="s">
        <v>711</v>
      </c>
      <c r="T446" s="288"/>
      <c r="U446" s="288">
        <v>0</v>
      </c>
      <c r="V446" s="289">
        <v>247.21</v>
      </c>
      <c r="W446" s="289">
        <v>0</v>
      </c>
      <c r="X446" s="288">
        <v>0.10291666666666667</v>
      </c>
      <c r="Y446" s="288">
        <v>0.10291666666666667</v>
      </c>
      <c r="Z446" s="288">
        <v>8.7499999999999999E-5</v>
      </c>
      <c r="AA446" s="288">
        <v>0</v>
      </c>
      <c r="AB446" s="288">
        <v>0</v>
      </c>
      <c r="AC446" s="289">
        <v>0.10300416666666667</v>
      </c>
      <c r="AD446" s="289">
        <v>0</v>
      </c>
    </row>
    <row r="447" spans="1:30" ht="15" customHeight="1" x14ac:dyDescent="0.25">
      <c r="A447" s="282" t="s">
        <v>581</v>
      </c>
      <c r="B447" s="282" t="s">
        <v>616</v>
      </c>
      <c r="C447" s="282" t="s">
        <v>617</v>
      </c>
      <c r="D447" s="286" t="s">
        <v>852</v>
      </c>
      <c r="E447" s="404">
        <v>44294</v>
      </c>
      <c r="F447" s="404">
        <v>46120</v>
      </c>
      <c r="G447" s="286" t="s">
        <v>799</v>
      </c>
      <c r="H447" s="282" t="s">
        <v>800</v>
      </c>
      <c r="I447" s="282" t="s">
        <v>590</v>
      </c>
      <c r="J447" s="282" t="s">
        <v>156</v>
      </c>
      <c r="K447" s="286" t="s">
        <v>801</v>
      </c>
      <c r="L447" s="282" t="s">
        <v>574</v>
      </c>
      <c r="M447" s="287">
        <v>2400</v>
      </c>
      <c r="N447" s="287">
        <v>0</v>
      </c>
      <c r="O447" s="287">
        <v>0</v>
      </c>
      <c r="P447" s="287"/>
      <c r="Q447" s="288" t="s">
        <v>836</v>
      </c>
      <c r="R447" s="287" t="s">
        <v>836</v>
      </c>
      <c r="S447" s="288" t="s">
        <v>711</v>
      </c>
      <c r="T447" s="288"/>
      <c r="U447" s="288">
        <v>0</v>
      </c>
      <c r="V447" s="289">
        <v>248.21</v>
      </c>
      <c r="W447" s="289">
        <v>0</v>
      </c>
      <c r="X447" s="288">
        <v>0.10333333333333333</v>
      </c>
      <c r="Y447" s="288">
        <v>0.10333333333333333</v>
      </c>
      <c r="Z447" s="288">
        <v>8.7499999999999999E-5</v>
      </c>
      <c r="AA447" s="288">
        <v>0</v>
      </c>
      <c r="AB447" s="288">
        <v>0</v>
      </c>
      <c r="AC447" s="289">
        <v>0.10342083333333334</v>
      </c>
      <c r="AD447" s="289">
        <v>0</v>
      </c>
    </row>
    <row r="448" spans="1:30" ht="15" customHeight="1" x14ac:dyDescent="0.25">
      <c r="A448" s="282" t="s">
        <v>581</v>
      </c>
      <c r="B448" s="282" t="s">
        <v>611</v>
      </c>
      <c r="C448" s="282" t="s">
        <v>612</v>
      </c>
      <c r="D448" s="283" t="s">
        <v>853</v>
      </c>
      <c r="E448" s="404">
        <v>45016</v>
      </c>
      <c r="F448" s="404">
        <v>46843</v>
      </c>
      <c r="G448" s="286" t="s">
        <v>854</v>
      </c>
      <c r="H448" s="282" t="s">
        <v>855</v>
      </c>
      <c r="I448" s="282" t="s">
        <v>590</v>
      </c>
      <c r="J448" s="282" t="s">
        <v>156</v>
      </c>
      <c r="K448" s="286" t="s">
        <v>856</v>
      </c>
      <c r="L448" s="282" t="s">
        <v>574</v>
      </c>
      <c r="M448" s="287">
        <v>2400</v>
      </c>
      <c r="N448" s="287">
        <v>0</v>
      </c>
      <c r="O448" s="287">
        <v>0</v>
      </c>
      <c r="P448" s="287"/>
      <c r="Q448" s="288">
        <v>248</v>
      </c>
      <c r="R448" s="288">
        <v>248</v>
      </c>
      <c r="S448" s="288">
        <v>0.21</v>
      </c>
      <c r="T448" s="288"/>
      <c r="U448" s="288">
        <v>0</v>
      </c>
      <c r="V448" s="289">
        <v>248.21</v>
      </c>
      <c r="W448" s="289">
        <v>0</v>
      </c>
      <c r="X448" s="288">
        <v>0.10333333333333333</v>
      </c>
      <c r="Y448" s="288">
        <v>0.10333333333333333</v>
      </c>
      <c r="Z448" s="288">
        <v>8.7499999999999999E-5</v>
      </c>
      <c r="AA448" s="288">
        <v>0</v>
      </c>
      <c r="AB448" s="288">
        <v>0</v>
      </c>
      <c r="AC448" s="289">
        <v>0.10342083333333334</v>
      </c>
      <c r="AD448" s="289">
        <v>0</v>
      </c>
    </row>
    <row r="449" spans="1:30" ht="15" customHeight="1" x14ac:dyDescent="0.25">
      <c r="A449" s="282" t="s">
        <v>581</v>
      </c>
      <c r="B449" s="282" t="s">
        <v>611</v>
      </c>
      <c r="C449" s="282" t="s">
        <v>612</v>
      </c>
      <c r="D449" s="283" t="s">
        <v>857</v>
      </c>
      <c r="E449" s="404">
        <v>45016</v>
      </c>
      <c r="F449" s="404">
        <v>46843</v>
      </c>
      <c r="G449" s="286" t="s">
        <v>286</v>
      </c>
      <c r="H449" s="282" t="s">
        <v>782</v>
      </c>
      <c r="I449" s="282" t="s">
        <v>590</v>
      </c>
      <c r="J449" s="282" t="s">
        <v>156</v>
      </c>
      <c r="K449" s="286" t="s">
        <v>783</v>
      </c>
      <c r="L449" s="282" t="s">
        <v>574</v>
      </c>
      <c r="M449" s="287">
        <v>2400</v>
      </c>
      <c r="N449" s="287">
        <v>0</v>
      </c>
      <c r="O449" s="287">
        <v>0</v>
      </c>
      <c r="P449" s="287"/>
      <c r="Q449" s="288">
        <v>260</v>
      </c>
      <c r="R449" s="288">
        <v>260</v>
      </c>
      <c r="S449" s="288">
        <v>0.22</v>
      </c>
      <c r="T449" s="288"/>
      <c r="U449" s="288">
        <v>0</v>
      </c>
      <c r="V449" s="289">
        <v>260.22000000000003</v>
      </c>
      <c r="W449" s="289">
        <v>0</v>
      </c>
      <c r="X449" s="288">
        <v>0.10833333333333334</v>
      </c>
      <c r="Y449" s="288">
        <v>0.10833333333333334</v>
      </c>
      <c r="Z449" s="288">
        <v>9.1666666666666668E-5</v>
      </c>
      <c r="AA449" s="288">
        <v>0</v>
      </c>
      <c r="AB449" s="288">
        <v>0</v>
      </c>
      <c r="AC449" s="289">
        <v>0.10842500000000001</v>
      </c>
      <c r="AD449" s="289">
        <v>0</v>
      </c>
    </row>
    <row r="450" spans="1:30" ht="15" customHeight="1" x14ac:dyDescent="0.25">
      <c r="A450" s="282" t="s">
        <v>581</v>
      </c>
      <c r="B450" s="282" t="s">
        <v>585</v>
      </c>
      <c r="C450" s="282" t="s">
        <v>586</v>
      </c>
      <c r="D450" s="286" t="s">
        <v>858</v>
      </c>
      <c r="E450" s="404">
        <v>44294</v>
      </c>
      <c r="F450" s="404">
        <v>46120</v>
      </c>
      <c r="G450" s="286" t="s">
        <v>799</v>
      </c>
      <c r="H450" s="282" t="s">
        <v>800</v>
      </c>
      <c r="I450" s="282" t="s">
        <v>590</v>
      </c>
      <c r="J450" s="282" t="s">
        <v>156</v>
      </c>
      <c r="K450" s="286" t="s">
        <v>801</v>
      </c>
      <c r="L450" s="282" t="s">
        <v>574</v>
      </c>
      <c r="M450" s="287">
        <v>2400</v>
      </c>
      <c r="N450" s="287">
        <v>0</v>
      </c>
      <c r="O450" s="287">
        <v>0</v>
      </c>
      <c r="P450" s="287"/>
      <c r="Q450" s="288" t="s">
        <v>859</v>
      </c>
      <c r="R450" s="287" t="s">
        <v>859</v>
      </c>
      <c r="S450" s="288" t="s">
        <v>786</v>
      </c>
      <c r="T450" s="288"/>
      <c r="U450" s="288">
        <v>0</v>
      </c>
      <c r="V450" s="289">
        <v>202.17</v>
      </c>
      <c r="W450" s="289">
        <v>0</v>
      </c>
      <c r="X450" s="288">
        <v>8.4166666666666667E-2</v>
      </c>
      <c r="Y450" s="288">
        <v>8.4166666666666667E-2</v>
      </c>
      <c r="Z450" s="288">
        <v>7.0833333333333338E-5</v>
      </c>
      <c r="AA450" s="288">
        <v>0</v>
      </c>
      <c r="AB450" s="288">
        <v>0</v>
      </c>
      <c r="AC450" s="289">
        <v>8.4237500000000007E-2</v>
      </c>
      <c r="AD450" s="289">
        <v>0</v>
      </c>
    </row>
    <row r="451" spans="1:30" ht="15" customHeight="1" x14ac:dyDescent="0.25">
      <c r="A451" s="282" t="s">
        <v>581</v>
      </c>
      <c r="B451" s="282" t="s">
        <v>594</v>
      </c>
      <c r="C451" s="282" t="s">
        <v>595</v>
      </c>
      <c r="D451" s="283" t="s">
        <v>860</v>
      </c>
      <c r="E451" s="404">
        <v>45016</v>
      </c>
      <c r="F451" s="404">
        <v>46843</v>
      </c>
      <c r="G451" s="286" t="s">
        <v>854</v>
      </c>
      <c r="H451" s="282" t="s">
        <v>855</v>
      </c>
      <c r="I451" s="282" t="s">
        <v>590</v>
      </c>
      <c r="J451" s="282" t="s">
        <v>156</v>
      </c>
      <c r="K451" s="286" t="s">
        <v>856</v>
      </c>
      <c r="L451" s="282" t="s">
        <v>574</v>
      </c>
      <c r="M451" s="287">
        <v>2400</v>
      </c>
      <c r="N451" s="287">
        <v>0</v>
      </c>
      <c r="O451" s="287">
        <v>0</v>
      </c>
      <c r="P451" s="287"/>
      <c r="Q451" s="288">
        <v>206</v>
      </c>
      <c r="R451" s="288">
        <v>206</v>
      </c>
      <c r="S451" s="288">
        <v>0.17299999999999999</v>
      </c>
      <c r="T451" s="288"/>
      <c r="U451" s="288">
        <v>0</v>
      </c>
      <c r="V451" s="289">
        <v>206.173</v>
      </c>
      <c r="W451" s="289">
        <v>0</v>
      </c>
      <c r="X451" s="288">
        <v>8.5833333333333331E-2</v>
      </c>
      <c r="Y451" s="288">
        <v>8.5833333333333331E-2</v>
      </c>
      <c r="Z451" s="288">
        <v>7.2083333333333328E-5</v>
      </c>
      <c r="AA451" s="288">
        <v>0</v>
      </c>
      <c r="AB451" s="288">
        <v>0</v>
      </c>
      <c r="AC451" s="289">
        <v>8.5905416666666665E-2</v>
      </c>
      <c r="AD451" s="289">
        <v>0</v>
      </c>
    </row>
    <row r="452" spans="1:30" ht="15" customHeight="1" x14ac:dyDescent="0.25">
      <c r="A452" s="282" t="s">
        <v>581</v>
      </c>
      <c r="B452" s="282" t="s">
        <v>616</v>
      </c>
      <c r="C452" s="282" t="s">
        <v>617</v>
      </c>
      <c r="D452" s="283" t="s">
        <v>861</v>
      </c>
      <c r="E452" s="404">
        <v>45016</v>
      </c>
      <c r="F452" s="404">
        <v>46843</v>
      </c>
      <c r="G452" s="286" t="s">
        <v>286</v>
      </c>
      <c r="H452" s="282" t="s">
        <v>782</v>
      </c>
      <c r="I452" s="282" t="s">
        <v>590</v>
      </c>
      <c r="J452" s="282" t="s">
        <v>156</v>
      </c>
      <c r="K452" s="286" t="s">
        <v>783</v>
      </c>
      <c r="L452" s="282" t="s">
        <v>574</v>
      </c>
      <c r="M452" s="287">
        <v>2400</v>
      </c>
      <c r="N452" s="287">
        <v>0</v>
      </c>
      <c r="O452" s="287">
        <v>0</v>
      </c>
      <c r="P452" s="287"/>
      <c r="Q452" s="288">
        <v>298</v>
      </c>
      <c r="R452" s="288">
        <v>298</v>
      </c>
      <c r="S452" s="288">
        <v>0.25</v>
      </c>
      <c r="T452" s="288"/>
      <c r="U452" s="288">
        <v>0</v>
      </c>
      <c r="V452" s="289">
        <v>298.25</v>
      </c>
      <c r="W452" s="289">
        <v>0</v>
      </c>
      <c r="X452" s="288">
        <v>0.12416666666666666</v>
      </c>
      <c r="Y452" s="288">
        <v>0.12416666666666666</v>
      </c>
      <c r="Z452" s="288">
        <v>1.0416666666666667E-4</v>
      </c>
      <c r="AA452" s="288">
        <v>0</v>
      </c>
      <c r="AB452" s="288">
        <v>0</v>
      </c>
      <c r="AC452" s="289">
        <v>0.12427083333333333</v>
      </c>
      <c r="AD452" s="289">
        <v>0</v>
      </c>
    </row>
    <row r="453" spans="1:30" ht="15" customHeight="1" x14ac:dyDescent="0.25">
      <c r="A453" s="282" t="s">
        <v>581</v>
      </c>
      <c r="B453" s="282" t="s">
        <v>611</v>
      </c>
      <c r="C453" s="282" t="s">
        <v>612</v>
      </c>
      <c r="D453" s="286" t="s">
        <v>862</v>
      </c>
      <c r="E453" s="404">
        <v>44294</v>
      </c>
      <c r="F453" s="404">
        <v>46120</v>
      </c>
      <c r="G453" s="286" t="s">
        <v>799</v>
      </c>
      <c r="H453" s="282" t="s">
        <v>800</v>
      </c>
      <c r="I453" s="282" t="s">
        <v>590</v>
      </c>
      <c r="J453" s="282" t="s">
        <v>156</v>
      </c>
      <c r="K453" s="286" t="s">
        <v>801</v>
      </c>
      <c r="L453" s="282" t="s">
        <v>574</v>
      </c>
      <c r="M453" s="287">
        <v>2400</v>
      </c>
      <c r="N453" s="287">
        <v>0</v>
      </c>
      <c r="O453" s="287">
        <v>0</v>
      </c>
      <c r="P453" s="287"/>
      <c r="Q453" s="288" t="s">
        <v>863</v>
      </c>
      <c r="R453" s="287" t="s">
        <v>863</v>
      </c>
      <c r="S453" s="288" t="s">
        <v>864</v>
      </c>
      <c r="T453" s="288"/>
      <c r="U453" s="288">
        <v>0</v>
      </c>
      <c r="V453" s="289">
        <v>167.14</v>
      </c>
      <c r="W453" s="289">
        <v>0</v>
      </c>
      <c r="X453" s="288">
        <v>6.958333333333333E-2</v>
      </c>
      <c r="Y453" s="288">
        <v>6.958333333333333E-2</v>
      </c>
      <c r="Z453" s="288">
        <v>5.833333333333334E-5</v>
      </c>
      <c r="AA453" s="288">
        <v>0</v>
      </c>
      <c r="AB453" s="288">
        <v>0</v>
      </c>
      <c r="AC453" s="289">
        <v>6.9641666666666657E-2</v>
      </c>
      <c r="AD453" s="289">
        <v>0</v>
      </c>
    </row>
    <row r="454" spans="1:30" ht="15" customHeight="1" x14ac:dyDescent="0.25">
      <c r="A454" s="282" t="s">
        <v>581</v>
      </c>
      <c r="B454" s="282" t="s">
        <v>611</v>
      </c>
      <c r="C454" s="282" t="s">
        <v>612</v>
      </c>
      <c r="D454" s="286" t="s">
        <v>865</v>
      </c>
      <c r="E454" s="404">
        <v>44294</v>
      </c>
      <c r="F454" s="404">
        <v>46120</v>
      </c>
      <c r="G454" s="286" t="s">
        <v>799</v>
      </c>
      <c r="H454" s="282" t="s">
        <v>800</v>
      </c>
      <c r="I454" s="282" t="s">
        <v>590</v>
      </c>
      <c r="J454" s="282" t="s">
        <v>156</v>
      </c>
      <c r="K454" s="286" t="s">
        <v>801</v>
      </c>
      <c r="L454" s="282" t="s">
        <v>574</v>
      </c>
      <c r="M454" s="287">
        <v>2400</v>
      </c>
      <c r="N454" s="287">
        <v>0</v>
      </c>
      <c r="O454" s="287">
        <v>0</v>
      </c>
      <c r="P454" s="287"/>
      <c r="Q454" s="288" t="s">
        <v>863</v>
      </c>
      <c r="R454" s="287" t="s">
        <v>863</v>
      </c>
      <c r="S454" s="288" t="s">
        <v>864</v>
      </c>
      <c r="T454" s="288"/>
      <c r="U454" s="288">
        <v>0</v>
      </c>
      <c r="V454" s="289">
        <v>167.14</v>
      </c>
      <c r="W454" s="289">
        <v>0</v>
      </c>
      <c r="X454" s="288">
        <v>6.958333333333333E-2</v>
      </c>
      <c r="Y454" s="288">
        <v>6.958333333333333E-2</v>
      </c>
      <c r="Z454" s="288">
        <v>5.833333333333334E-5</v>
      </c>
      <c r="AA454" s="288">
        <v>0</v>
      </c>
      <c r="AB454" s="288">
        <v>0</v>
      </c>
      <c r="AC454" s="289">
        <v>6.9641666666666657E-2</v>
      </c>
      <c r="AD454" s="289">
        <v>0</v>
      </c>
    </row>
    <row r="455" spans="1:30" ht="15" customHeight="1" x14ac:dyDescent="0.25">
      <c r="A455" s="282" t="s">
        <v>581</v>
      </c>
      <c r="B455" s="282" t="s">
        <v>628</v>
      </c>
      <c r="C455" s="282" t="s">
        <v>629</v>
      </c>
      <c r="D455" s="286" t="s">
        <v>866</v>
      </c>
      <c r="E455" s="404">
        <v>44294</v>
      </c>
      <c r="F455" s="404">
        <v>46120</v>
      </c>
      <c r="G455" s="286" t="s">
        <v>799</v>
      </c>
      <c r="H455" s="282" t="s">
        <v>800</v>
      </c>
      <c r="I455" s="282" t="s">
        <v>590</v>
      </c>
      <c r="J455" s="282" t="s">
        <v>156</v>
      </c>
      <c r="K455" s="286" t="s">
        <v>801</v>
      </c>
      <c r="L455" s="282" t="s">
        <v>574</v>
      </c>
      <c r="M455" s="287">
        <v>2400</v>
      </c>
      <c r="N455" s="287">
        <v>0</v>
      </c>
      <c r="O455" s="287">
        <v>0</v>
      </c>
      <c r="P455" s="287"/>
      <c r="Q455" s="288" t="s">
        <v>734</v>
      </c>
      <c r="R455" s="287" t="s">
        <v>734</v>
      </c>
      <c r="S455" s="288" t="s">
        <v>864</v>
      </c>
      <c r="T455" s="288"/>
      <c r="U455" s="288">
        <v>0</v>
      </c>
      <c r="V455" s="289">
        <v>168.14</v>
      </c>
      <c r="W455" s="289">
        <v>0</v>
      </c>
      <c r="X455" s="288">
        <v>7.0000000000000007E-2</v>
      </c>
      <c r="Y455" s="288">
        <v>7.0000000000000007E-2</v>
      </c>
      <c r="Z455" s="288">
        <v>5.833333333333334E-5</v>
      </c>
      <c r="AA455" s="288">
        <v>0</v>
      </c>
      <c r="AB455" s="288">
        <v>0</v>
      </c>
      <c r="AC455" s="289">
        <v>7.0058333333333334E-2</v>
      </c>
      <c r="AD455" s="289">
        <v>0</v>
      </c>
    </row>
    <row r="456" spans="1:30" ht="15" customHeight="1" x14ac:dyDescent="0.25">
      <c r="A456" s="282" t="s">
        <v>581</v>
      </c>
      <c r="B456" s="282" t="s">
        <v>611</v>
      </c>
      <c r="C456" s="282" t="s">
        <v>612</v>
      </c>
      <c r="D456" s="283" t="s">
        <v>867</v>
      </c>
      <c r="E456" s="404">
        <v>45016</v>
      </c>
      <c r="F456" s="404">
        <v>46843</v>
      </c>
      <c r="G456" s="286" t="s">
        <v>283</v>
      </c>
      <c r="H456" s="282" t="s">
        <v>736</v>
      </c>
      <c r="I456" s="282" t="s">
        <v>590</v>
      </c>
      <c r="J456" s="282" t="s">
        <v>156</v>
      </c>
      <c r="K456" s="286" t="s">
        <v>737</v>
      </c>
      <c r="L456" s="282" t="s">
        <v>574</v>
      </c>
      <c r="M456" s="287">
        <v>2400</v>
      </c>
      <c r="N456" s="287">
        <v>0</v>
      </c>
      <c r="O456" s="287">
        <v>0</v>
      </c>
      <c r="P456" s="287"/>
      <c r="Q456" s="288">
        <v>271</v>
      </c>
      <c r="R456" s="288">
        <v>271</v>
      </c>
      <c r="S456" s="288">
        <v>0.22500000000000001</v>
      </c>
      <c r="T456" s="288"/>
      <c r="U456" s="288">
        <v>0</v>
      </c>
      <c r="V456" s="289">
        <v>271.22500000000002</v>
      </c>
      <c r="W456" s="289">
        <v>0</v>
      </c>
      <c r="X456" s="288">
        <v>0.11291666666666667</v>
      </c>
      <c r="Y456" s="288">
        <v>0.11291666666666667</v>
      </c>
      <c r="Z456" s="288">
        <v>9.3750000000000002E-5</v>
      </c>
      <c r="AA456" s="288">
        <v>0</v>
      </c>
      <c r="AB456" s="288">
        <v>0</v>
      </c>
      <c r="AC456" s="289">
        <v>0.11301041666666667</v>
      </c>
      <c r="AD456" s="289">
        <v>0</v>
      </c>
    </row>
    <row r="457" spans="1:30" ht="15" customHeight="1" x14ac:dyDescent="0.25">
      <c r="A457" s="282" t="s">
        <v>581</v>
      </c>
      <c r="B457" s="282" t="s">
        <v>585</v>
      </c>
      <c r="C457" s="282" t="s">
        <v>586</v>
      </c>
      <c r="D457" s="283" t="s">
        <v>868</v>
      </c>
      <c r="E457" s="404">
        <v>45016</v>
      </c>
      <c r="F457" s="404">
        <v>46843</v>
      </c>
      <c r="G457" s="286" t="s">
        <v>286</v>
      </c>
      <c r="H457" s="282" t="s">
        <v>782</v>
      </c>
      <c r="I457" s="282" t="s">
        <v>590</v>
      </c>
      <c r="J457" s="282" t="s">
        <v>156</v>
      </c>
      <c r="K457" s="286" t="s">
        <v>783</v>
      </c>
      <c r="L457" s="282" t="s">
        <v>574</v>
      </c>
      <c r="M457" s="287">
        <v>2400</v>
      </c>
      <c r="N457" s="287">
        <v>0</v>
      </c>
      <c r="O457" s="287">
        <v>0</v>
      </c>
      <c r="P457" s="287"/>
      <c r="Q457" s="288">
        <v>253</v>
      </c>
      <c r="R457" s="288">
        <v>253</v>
      </c>
      <c r="S457" s="288">
        <v>0.21</v>
      </c>
      <c r="T457" s="288"/>
      <c r="U457" s="288">
        <v>0</v>
      </c>
      <c r="V457" s="289">
        <v>253.21</v>
      </c>
      <c r="W457" s="289">
        <v>0</v>
      </c>
      <c r="X457" s="288">
        <v>0.10541666666666667</v>
      </c>
      <c r="Y457" s="288">
        <v>0.10541666666666667</v>
      </c>
      <c r="Z457" s="288">
        <v>8.7499999999999999E-5</v>
      </c>
      <c r="AA457" s="288">
        <v>0</v>
      </c>
      <c r="AB457" s="288">
        <v>0</v>
      </c>
      <c r="AC457" s="289">
        <v>0.10550416666666668</v>
      </c>
      <c r="AD457" s="289">
        <v>0</v>
      </c>
    </row>
    <row r="458" spans="1:30" ht="15" customHeight="1" x14ac:dyDescent="0.25">
      <c r="A458" s="282" t="s">
        <v>581</v>
      </c>
      <c r="B458" s="282" t="s">
        <v>611</v>
      </c>
      <c r="C458" s="282" t="s">
        <v>612</v>
      </c>
      <c r="D458" s="286" t="s">
        <v>869</v>
      </c>
      <c r="E458" s="404">
        <v>44294</v>
      </c>
      <c r="F458" s="404">
        <v>46120</v>
      </c>
      <c r="G458" s="286" t="s">
        <v>799</v>
      </c>
      <c r="H458" s="282" t="s">
        <v>800</v>
      </c>
      <c r="I458" s="282" t="s">
        <v>590</v>
      </c>
      <c r="J458" s="282" t="s">
        <v>156</v>
      </c>
      <c r="K458" s="286" t="s">
        <v>801</v>
      </c>
      <c r="L458" s="282" t="s">
        <v>574</v>
      </c>
      <c r="M458" s="287">
        <v>2400</v>
      </c>
      <c r="N458" s="287">
        <v>0</v>
      </c>
      <c r="O458" s="287">
        <v>0</v>
      </c>
      <c r="P458" s="287"/>
      <c r="Q458" s="288" t="s">
        <v>870</v>
      </c>
      <c r="R458" s="287" t="s">
        <v>870</v>
      </c>
      <c r="S458" s="288" t="s">
        <v>864</v>
      </c>
      <c r="T458" s="288"/>
      <c r="U458" s="288">
        <v>0</v>
      </c>
      <c r="V458" s="289">
        <v>169.14</v>
      </c>
      <c r="W458" s="289">
        <v>0</v>
      </c>
      <c r="X458" s="288">
        <v>7.0416666666666669E-2</v>
      </c>
      <c r="Y458" s="288">
        <v>7.0416666666666669E-2</v>
      </c>
      <c r="Z458" s="288">
        <v>5.833333333333334E-5</v>
      </c>
      <c r="AA458" s="288">
        <v>0</v>
      </c>
      <c r="AB458" s="288">
        <v>0</v>
      </c>
      <c r="AC458" s="289">
        <v>7.0474999999999996E-2</v>
      </c>
      <c r="AD458" s="289">
        <v>0</v>
      </c>
    </row>
    <row r="459" spans="1:30" ht="15" customHeight="1" x14ac:dyDescent="0.25">
      <c r="A459" s="282" t="s">
        <v>581</v>
      </c>
      <c r="B459" s="282" t="s">
        <v>611</v>
      </c>
      <c r="C459" s="282" t="s">
        <v>612</v>
      </c>
      <c r="D459" s="286" t="s">
        <v>871</v>
      </c>
      <c r="E459" s="404">
        <v>44294</v>
      </c>
      <c r="F459" s="404">
        <v>46120</v>
      </c>
      <c r="G459" s="286" t="s">
        <v>799</v>
      </c>
      <c r="H459" s="282" t="s">
        <v>800</v>
      </c>
      <c r="I459" s="282" t="s">
        <v>590</v>
      </c>
      <c r="J459" s="282" t="s">
        <v>156</v>
      </c>
      <c r="K459" s="286" t="s">
        <v>801</v>
      </c>
      <c r="L459" s="282" t="s">
        <v>574</v>
      </c>
      <c r="M459" s="287">
        <v>2400</v>
      </c>
      <c r="N459" s="287">
        <v>0</v>
      </c>
      <c r="O459" s="287">
        <v>0</v>
      </c>
      <c r="P459" s="287"/>
      <c r="Q459" s="288" t="s">
        <v>870</v>
      </c>
      <c r="R459" s="287" t="s">
        <v>870</v>
      </c>
      <c r="S459" s="288" t="s">
        <v>864</v>
      </c>
      <c r="T459" s="288"/>
      <c r="U459" s="288">
        <v>0</v>
      </c>
      <c r="V459" s="289">
        <v>169.14</v>
      </c>
      <c r="W459" s="289">
        <v>0</v>
      </c>
      <c r="X459" s="288">
        <v>7.0416666666666669E-2</v>
      </c>
      <c r="Y459" s="288">
        <v>7.0416666666666669E-2</v>
      </c>
      <c r="Z459" s="288">
        <v>5.833333333333334E-5</v>
      </c>
      <c r="AA459" s="288">
        <v>0</v>
      </c>
      <c r="AB459" s="288">
        <v>0</v>
      </c>
      <c r="AC459" s="289">
        <v>7.0474999999999996E-2</v>
      </c>
      <c r="AD459" s="289">
        <v>0</v>
      </c>
    </row>
    <row r="460" spans="1:30" ht="15" customHeight="1" x14ac:dyDescent="0.25">
      <c r="A460" s="282" t="s">
        <v>581</v>
      </c>
      <c r="B460" s="282" t="s">
        <v>585</v>
      </c>
      <c r="C460" s="282" t="s">
        <v>586</v>
      </c>
      <c r="D460" s="283" t="s">
        <v>872</v>
      </c>
      <c r="E460" s="404">
        <v>45016</v>
      </c>
      <c r="F460" s="404">
        <v>46843</v>
      </c>
      <c r="G460" s="286" t="s">
        <v>854</v>
      </c>
      <c r="H460" s="282" t="s">
        <v>855</v>
      </c>
      <c r="I460" s="282" t="s">
        <v>590</v>
      </c>
      <c r="J460" s="282" t="s">
        <v>156</v>
      </c>
      <c r="K460" s="286" t="s">
        <v>856</v>
      </c>
      <c r="L460" s="282" t="s">
        <v>574</v>
      </c>
      <c r="M460" s="287">
        <v>2400</v>
      </c>
      <c r="N460" s="287">
        <v>0</v>
      </c>
      <c r="O460" s="287">
        <v>0</v>
      </c>
      <c r="P460" s="287"/>
      <c r="Q460" s="288">
        <v>298</v>
      </c>
      <c r="R460" s="288">
        <v>298</v>
      </c>
      <c r="S460" s="288">
        <v>0.246</v>
      </c>
      <c r="T460" s="288"/>
      <c r="U460" s="288">
        <v>0</v>
      </c>
      <c r="V460" s="289">
        <v>298.24599999999998</v>
      </c>
      <c r="W460" s="289">
        <v>0</v>
      </c>
      <c r="X460" s="288">
        <v>0.12416666666666666</v>
      </c>
      <c r="Y460" s="288">
        <v>0.12416666666666666</v>
      </c>
      <c r="Z460" s="288">
        <v>1.025E-4</v>
      </c>
      <c r="AA460" s="288">
        <v>0</v>
      </c>
      <c r="AB460" s="288">
        <v>0</v>
      </c>
      <c r="AC460" s="289">
        <v>0.12426916666666667</v>
      </c>
      <c r="AD460" s="289">
        <v>0</v>
      </c>
    </row>
    <row r="461" spans="1:30" ht="15" customHeight="1" x14ac:dyDescent="0.25">
      <c r="A461" s="282" t="s">
        <v>581</v>
      </c>
      <c r="B461" s="282" t="s">
        <v>616</v>
      </c>
      <c r="C461" s="282" t="s">
        <v>617</v>
      </c>
      <c r="D461" s="286" t="s">
        <v>873</v>
      </c>
      <c r="E461" s="404">
        <v>44581</v>
      </c>
      <c r="F461" s="404">
        <v>46407</v>
      </c>
      <c r="G461" s="286" t="s">
        <v>588</v>
      </c>
      <c r="H461" s="282" t="s">
        <v>589</v>
      </c>
      <c r="I461" s="282" t="s">
        <v>590</v>
      </c>
      <c r="J461" s="282" t="s">
        <v>156</v>
      </c>
      <c r="K461" s="286" t="s">
        <v>591</v>
      </c>
      <c r="L461" s="282" t="s">
        <v>574</v>
      </c>
      <c r="M461" s="287">
        <v>2400</v>
      </c>
      <c r="N461" s="287">
        <v>0</v>
      </c>
      <c r="O461" s="287">
        <v>0</v>
      </c>
      <c r="P461" s="287"/>
      <c r="Q461" s="288" t="s">
        <v>874</v>
      </c>
      <c r="R461" s="288" t="s">
        <v>874</v>
      </c>
      <c r="S461" s="288" t="s">
        <v>643</v>
      </c>
      <c r="T461" s="288"/>
      <c r="U461" s="288">
        <v>0</v>
      </c>
      <c r="V461" s="289">
        <v>400.33</v>
      </c>
      <c r="W461" s="289">
        <v>0</v>
      </c>
      <c r="X461" s="288">
        <v>0.16666666666666666</v>
      </c>
      <c r="Y461" s="288">
        <v>0.16666666666666666</v>
      </c>
      <c r="Z461" s="288">
        <v>1.3750000000000001E-4</v>
      </c>
      <c r="AA461" s="288">
        <v>0</v>
      </c>
      <c r="AB461" s="288">
        <v>0</v>
      </c>
      <c r="AC461" s="289">
        <v>0.16680416666666667</v>
      </c>
      <c r="AD461" s="289">
        <v>0</v>
      </c>
    </row>
    <row r="462" spans="1:30" ht="15" customHeight="1" x14ac:dyDescent="0.25">
      <c r="A462" s="282" t="s">
        <v>581</v>
      </c>
      <c r="B462" s="282" t="s">
        <v>616</v>
      </c>
      <c r="C462" s="282" t="s">
        <v>617</v>
      </c>
      <c r="D462" s="286" t="s">
        <v>875</v>
      </c>
      <c r="E462" s="404">
        <v>44294</v>
      </c>
      <c r="F462" s="404">
        <v>46120</v>
      </c>
      <c r="G462" s="286" t="s">
        <v>799</v>
      </c>
      <c r="H462" s="282" t="s">
        <v>800</v>
      </c>
      <c r="I462" s="282" t="s">
        <v>590</v>
      </c>
      <c r="J462" s="282" t="s">
        <v>156</v>
      </c>
      <c r="K462" s="286" t="s">
        <v>801</v>
      </c>
      <c r="L462" s="282" t="s">
        <v>574</v>
      </c>
      <c r="M462" s="287">
        <v>2400</v>
      </c>
      <c r="N462" s="287">
        <v>0</v>
      </c>
      <c r="O462" s="287">
        <v>0</v>
      </c>
      <c r="P462" s="287"/>
      <c r="Q462" s="288" t="s">
        <v>761</v>
      </c>
      <c r="R462" s="287" t="s">
        <v>761</v>
      </c>
      <c r="S462" s="288" t="s">
        <v>832</v>
      </c>
      <c r="T462" s="288"/>
      <c r="U462" s="288">
        <v>0</v>
      </c>
      <c r="V462" s="289">
        <v>243.2</v>
      </c>
      <c r="W462" s="289">
        <v>0</v>
      </c>
      <c r="X462" s="288">
        <v>0.10125000000000001</v>
      </c>
      <c r="Y462" s="288">
        <v>0.10125000000000001</v>
      </c>
      <c r="Z462" s="288">
        <v>8.3333333333333344E-5</v>
      </c>
      <c r="AA462" s="288">
        <v>0</v>
      </c>
      <c r="AB462" s="288">
        <v>0</v>
      </c>
      <c r="AC462" s="289">
        <v>0.10133333333333334</v>
      </c>
      <c r="AD462" s="289">
        <v>0</v>
      </c>
    </row>
    <row r="463" spans="1:30" ht="15" customHeight="1" x14ac:dyDescent="0.25">
      <c r="A463" s="282" t="s">
        <v>581</v>
      </c>
      <c r="B463" s="282" t="s">
        <v>616</v>
      </c>
      <c r="C463" s="282" t="s">
        <v>617</v>
      </c>
      <c r="D463" s="286" t="s">
        <v>876</v>
      </c>
      <c r="E463" s="404">
        <v>44294</v>
      </c>
      <c r="F463" s="404">
        <v>46120</v>
      </c>
      <c r="G463" s="286" t="s">
        <v>799</v>
      </c>
      <c r="H463" s="282" t="s">
        <v>800</v>
      </c>
      <c r="I463" s="282" t="s">
        <v>590</v>
      </c>
      <c r="J463" s="282" t="s">
        <v>156</v>
      </c>
      <c r="K463" s="286" t="s">
        <v>801</v>
      </c>
      <c r="L463" s="282" t="s">
        <v>574</v>
      </c>
      <c r="M463" s="287">
        <v>2400</v>
      </c>
      <c r="N463" s="287">
        <v>0</v>
      </c>
      <c r="O463" s="287">
        <v>0</v>
      </c>
      <c r="P463" s="287"/>
      <c r="Q463" s="288" t="s">
        <v>877</v>
      </c>
      <c r="R463" s="287" t="s">
        <v>877</v>
      </c>
      <c r="S463" s="288" t="s">
        <v>832</v>
      </c>
      <c r="T463" s="288"/>
      <c r="U463" s="288">
        <v>0</v>
      </c>
      <c r="V463" s="289">
        <v>244.2</v>
      </c>
      <c r="W463" s="289">
        <v>0</v>
      </c>
      <c r="X463" s="288">
        <v>0.10166666666666667</v>
      </c>
      <c r="Y463" s="288">
        <v>0.10166666666666667</v>
      </c>
      <c r="Z463" s="288">
        <v>8.3333333333333344E-5</v>
      </c>
      <c r="AA463" s="288">
        <v>0</v>
      </c>
      <c r="AB463" s="288">
        <v>0</v>
      </c>
      <c r="AC463" s="289">
        <v>0.10175000000000001</v>
      </c>
      <c r="AD463" s="289">
        <v>0</v>
      </c>
    </row>
    <row r="464" spans="1:30" ht="15" customHeight="1" x14ac:dyDescent="0.25">
      <c r="A464" s="282" t="s">
        <v>581</v>
      </c>
      <c r="B464" s="282" t="s">
        <v>585</v>
      </c>
      <c r="C464" s="282" t="s">
        <v>586</v>
      </c>
      <c r="D464" s="286" t="s">
        <v>878</v>
      </c>
      <c r="E464" s="404">
        <v>44294</v>
      </c>
      <c r="F464" s="404">
        <v>46120</v>
      </c>
      <c r="G464" s="286" t="s">
        <v>799</v>
      </c>
      <c r="H464" s="282" t="s">
        <v>800</v>
      </c>
      <c r="I464" s="282" t="s">
        <v>590</v>
      </c>
      <c r="J464" s="282" t="s">
        <v>156</v>
      </c>
      <c r="K464" s="286" t="s">
        <v>801</v>
      </c>
      <c r="L464" s="282" t="s">
        <v>574</v>
      </c>
      <c r="M464" s="287">
        <v>2400</v>
      </c>
      <c r="N464" s="287">
        <v>0</v>
      </c>
      <c r="O464" s="287">
        <v>0</v>
      </c>
      <c r="P464" s="287"/>
      <c r="Q464" s="288" t="s">
        <v>879</v>
      </c>
      <c r="R464" s="287" t="s">
        <v>879</v>
      </c>
      <c r="S464" s="288" t="s">
        <v>709</v>
      </c>
      <c r="T464" s="288"/>
      <c r="U464" s="288">
        <v>0</v>
      </c>
      <c r="V464" s="289">
        <v>293.24</v>
      </c>
      <c r="W464" s="289">
        <v>0</v>
      </c>
      <c r="X464" s="288">
        <v>0.12208333333333334</v>
      </c>
      <c r="Y464" s="288">
        <v>0.12208333333333334</v>
      </c>
      <c r="Z464" s="288">
        <v>9.9999999999999991E-5</v>
      </c>
      <c r="AA464" s="288">
        <v>0</v>
      </c>
      <c r="AB464" s="288">
        <v>0</v>
      </c>
      <c r="AC464" s="289">
        <v>0.12218333333333334</v>
      </c>
      <c r="AD464" s="289">
        <v>0</v>
      </c>
    </row>
    <row r="465" spans="1:30" ht="15" customHeight="1" x14ac:dyDescent="0.25">
      <c r="A465" s="282" t="s">
        <v>581</v>
      </c>
      <c r="B465" s="282" t="s">
        <v>585</v>
      </c>
      <c r="C465" s="282" t="s">
        <v>586</v>
      </c>
      <c r="D465" s="286" t="s">
        <v>880</v>
      </c>
      <c r="E465" s="404">
        <v>45038</v>
      </c>
      <c r="F465" s="404">
        <v>46865</v>
      </c>
      <c r="G465" s="290" t="s">
        <v>283</v>
      </c>
      <c r="H465" s="282" t="s">
        <v>881</v>
      </c>
      <c r="I465" s="282" t="s">
        <v>590</v>
      </c>
      <c r="J465" s="282" t="s">
        <v>156</v>
      </c>
      <c r="K465" s="286" t="s">
        <v>882</v>
      </c>
      <c r="L465" s="282" t="s">
        <v>574</v>
      </c>
      <c r="M465" s="287">
        <v>2400</v>
      </c>
      <c r="N465" s="287">
        <v>0</v>
      </c>
      <c r="O465" s="287">
        <v>0</v>
      </c>
      <c r="P465" s="287"/>
      <c r="Q465" s="288" t="s">
        <v>883</v>
      </c>
      <c r="R465" s="288" t="s">
        <v>883</v>
      </c>
      <c r="S465" s="288" t="s">
        <v>714</v>
      </c>
      <c r="T465" s="288"/>
      <c r="U465" s="288">
        <v>0</v>
      </c>
      <c r="V465" s="289">
        <v>220.18</v>
      </c>
      <c r="W465" s="289">
        <v>0</v>
      </c>
      <c r="X465" s="288">
        <v>9.166666666666666E-2</v>
      </c>
      <c r="Y465" s="288">
        <v>9.166666666666666E-2</v>
      </c>
      <c r="Z465" s="288">
        <v>7.4999999999999993E-5</v>
      </c>
      <c r="AA465" s="288">
        <v>0</v>
      </c>
      <c r="AB465" s="288">
        <v>0</v>
      </c>
      <c r="AC465" s="289">
        <v>9.1741666666666666E-2</v>
      </c>
      <c r="AD465" s="289">
        <v>0</v>
      </c>
    </row>
    <row r="466" spans="1:30" ht="15" customHeight="1" x14ac:dyDescent="0.25">
      <c r="A466" s="282" t="s">
        <v>581</v>
      </c>
      <c r="B466" s="282" t="s">
        <v>616</v>
      </c>
      <c r="C466" s="282" t="s">
        <v>617</v>
      </c>
      <c r="D466" s="283" t="s">
        <v>884</v>
      </c>
      <c r="E466" s="404">
        <v>45016</v>
      </c>
      <c r="F466" s="404">
        <v>46843</v>
      </c>
      <c r="G466" s="286" t="s">
        <v>854</v>
      </c>
      <c r="H466" s="282" t="s">
        <v>855</v>
      </c>
      <c r="I466" s="282" t="s">
        <v>590</v>
      </c>
      <c r="J466" s="282" t="s">
        <v>156</v>
      </c>
      <c r="K466" s="286" t="s">
        <v>856</v>
      </c>
      <c r="L466" s="282" t="s">
        <v>574</v>
      </c>
      <c r="M466" s="287">
        <v>2400</v>
      </c>
      <c r="N466" s="287">
        <v>0</v>
      </c>
      <c r="O466" s="287">
        <v>0</v>
      </c>
      <c r="P466" s="287"/>
      <c r="Q466" s="288">
        <v>351</v>
      </c>
      <c r="R466" s="288">
        <v>351</v>
      </c>
      <c r="S466" s="288">
        <v>0.28599999999999998</v>
      </c>
      <c r="T466" s="288"/>
      <c r="U466" s="288">
        <v>0</v>
      </c>
      <c r="V466" s="289">
        <v>351.286</v>
      </c>
      <c r="W466" s="289">
        <v>0</v>
      </c>
      <c r="X466" s="288">
        <v>0.14624999999999999</v>
      </c>
      <c r="Y466" s="288">
        <v>0.14624999999999999</v>
      </c>
      <c r="Z466" s="288">
        <v>1.1916666666666666E-4</v>
      </c>
      <c r="AA466" s="288">
        <v>0</v>
      </c>
      <c r="AB466" s="288">
        <v>0</v>
      </c>
      <c r="AC466" s="289">
        <v>0.14636916666666666</v>
      </c>
      <c r="AD466" s="289">
        <v>0</v>
      </c>
    </row>
    <row r="467" spans="1:30" ht="15" customHeight="1" x14ac:dyDescent="0.25">
      <c r="A467" s="282" t="s">
        <v>581</v>
      </c>
      <c r="B467" s="282" t="s">
        <v>616</v>
      </c>
      <c r="C467" s="282" t="s">
        <v>617</v>
      </c>
      <c r="D467" s="283" t="s">
        <v>885</v>
      </c>
      <c r="E467" s="404">
        <v>45016</v>
      </c>
      <c r="F467" s="404">
        <v>46843</v>
      </c>
      <c r="G467" s="286" t="s">
        <v>286</v>
      </c>
      <c r="H467" s="282" t="s">
        <v>782</v>
      </c>
      <c r="I467" s="282" t="s">
        <v>590</v>
      </c>
      <c r="J467" s="282" t="s">
        <v>156</v>
      </c>
      <c r="K467" s="286" t="s">
        <v>783</v>
      </c>
      <c r="L467" s="282" t="s">
        <v>574</v>
      </c>
      <c r="M467" s="287">
        <v>2400</v>
      </c>
      <c r="N467" s="287">
        <v>0</v>
      </c>
      <c r="O467" s="287">
        <v>0</v>
      </c>
      <c r="P467" s="287"/>
      <c r="Q467" s="288">
        <v>332</v>
      </c>
      <c r="R467" s="288">
        <v>332</v>
      </c>
      <c r="S467" s="288">
        <v>0.27</v>
      </c>
      <c r="T467" s="288"/>
      <c r="U467" s="288">
        <v>0</v>
      </c>
      <c r="V467" s="289">
        <v>332.27</v>
      </c>
      <c r="W467" s="289">
        <v>0</v>
      </c>
      <c r="X467" s="288">
        <v>0.13833333333333334</v>
      </c>
      <c r="Y467" s="288">
        <v>0.13833333333333334</v>
      </c>
      <c r="Z467" s="288">
        <v>1.1250000000000001E-4</v>
      </c>
      <c r="AA467" s="288">
        <v>0</v>
      </c>
      <c r="AB467" s="288">
        <v>0</v>
      </c>
      <c r="AC467" s="289">
        <v>0.13844583333333332</v>
      </c>
      <c r="AD467" s="289">
        <v>0</v>
      </c>
    </row>
    <row r="468" spans="1:30" ht="15" customHeight="1" x14ac:dyDescent="0.25">
      <c r="A468" s="282" t="s">
        <v>581</v>
      </c>
      <c r="B468" s="282" t="s">
        <v>839</v>
      </c>
      <c r="C468" s="282" t="s">
        <v>840</v>
      </c>
      <c r="D468" s="283" t="s">
        <v>886</v>
      </c>
      <c r="E468" s="404">
        <v>45016</v>
      </c>
      <c r="F468" s="404">
        <v>46843</v>
      </c>
      <c r="G468" s="286" t="s">
        <v>286</v>
      </c>
      <c r="H468" s="282" t="s">
        <v>782</v>
      </c>
      <c r="I468" s="282" t="s">
        <v>590</v>
      </c>
      <c r="J468" s="282" t="s">
        <v>156</v>
      </c>
      <c r="K468" s="286" t="s">
        <v>783</v>
      </c>
      <c r="L468" s="282" t="s">
        <v>574</v>
      </c>
      <c r="M468" s="287">
        <v>2400</v>
      </c>
      <c r="N468" s="287">
        <v>0</v>
      </c>
      <c r="O468" s="287">
        <v>0</v>
      </c>
      <c r="P468" s="287"/>
      <c r="Q468" s="288">
        <v>406</v>
      </c>
      <c r="R468" s="288">
        <v>406</v>
      </c>
      <c r="S468" s="288">
        <v>0.33</v>
      </c>
      <c r="T468" s="288"/>
      <c r="U468" s="288">
        <v>0</v>
      </c>
      <c r="V468" s="289">
        <v>406.33</v>
      </c>
      <c r="W468" s="289">
        <v>0</v>
      </c>
      <c r="X468" s="288">
        <v>0.16916666666666666</v>
      </c>
      <c r="Y468" s="288">
        <v>0.16916666666666666</v>
      </c>
      <c r="Z468" s="288">
        <v>1.3750000000000001E-4</v>
      </c>
      <c r="AA468" s="288">
        <v>0</v>
      </c>
      <c r="AB468" s="288">
        <v>0</v>
      </c>
      <c r="AC468" s="289">
        <v>0.16930416666666667</v>
      </c>
      <c r="AD468" s="289">
        <v>0</v>
      </c>
    </row>
    <row r="469" spans="1:30" ht="15" customHeight="1" x14ac:dyDescent="0.25">
      <c r="A469" s="282" t="s">
        <v>581</v>
      </c>
      <c r="B469" s="282" t="s">
        <v>594</v>
      </c>
      <c r="C469" s="282" t="s">
        <v>595</v>
      </c>
      <c r="D469" s="286" t="s">
        <v>887</v>
      </c>
      <c r="E469" s="404">
        <v>44294</v>
      </c>
      <c r="F469" s="404">
        <v>46120</v>
      </c>
      <c r="G469" s="286" t="s">
        <v>799</v>
      </c>
      <c r="H469" s="282" t="s">
        <v>800</v>
      </c>
      <c r="I469" s="282" t="s">
        <v>590</v>
      </c>
      <c r="J469" s="282" t="s">
        <v>156</v>
      </c>
      <c r="K469" s="286" t="s">
        <v>801</v>
      </c>
      <c r="L469" s="282" t="s">
        <v>574</v>
      </c>
      <c r="M469" s="287">
        <v>2400</v>
      </c>
      <c r="N469" s="287">
        <v>0</v>
      </c>
      <c r="O469" s="287">
        <v>0</v>
      </c>
      <c r="P469" s="287"/>
      <c r="Q469" s="288" t="s">
        <v>888</v>
      </c>
      <c r="R469" s="287" t="s">
        <v>888</v>
      </c>
      <c r="S469" s="288" t="s">
        <v>889</v>
      </c>
      <c r="T469" s="288"/>
      <c r="U469" s="288">
        <v>0</v>
      </c>
      <c r="V469" s="289">
        <v>136.11000000000001</v>
      </c>
      <c r="W469" s="289">
        <v>0</v>
      </c>
      <c r="X469" s="288">
        <v>5.6666666666666664E-2</v>
      </c>
      <c r="Y469" s="288">
        <v>5.6666666666666664E-2</v>
      </c>
      <c r="Z469" s="288">
        <v>4.5833333333333334E-5</v>
      </c>
      <c r="AA469" s="288">
        <v>0</v>
      </c>
      <c r="AB469" s="288">
        <v>0</v>
      </c>
      <c r="AC469" s="289">
        <v>5.6712499999999999E-2</v>
      </c>
      <c r="AD469" s="289">
        <v>0</v>
      </c>
    </row>
    <row r="470" spans="1:30" ht="15" customHeight="1" x14ac:dyDescent="0.25">
      <c r="A470" s="282" t="s">
        <v>581</v>
      </c>
      <c r="B470" s="282" t="s">
        <v>594</v>
      </c>
      <c r="C470" s="282" t="s">
        <v>595</v>
      </c>
      <c r="D470" s="286" t="s">
        <v>890</v>
      </c>
      <c r="E470" s="404">
        <v>44294</v>
      </c>
      <c r="F470" s="404">
        <v>46120</v>
      </c>
      <c r="G470" s="286" t="s">
        <v>799</v>
      </c>
      <c r="H470" s="282" t="s">
        <v>800</v>
      </c>
      <c r="I470" s="282" t="s">
        <v>590</v>
      </c>
      <c r="J470" s="282" t="s">
        <v>156</v>
      </c>
      <c r="K470" s="286" t="s">
        <v>801</v>
      </c>
      <c r="L470" s="282" t="s">
        <v>574</v>
      </c>
      <c r="M470" s="287">
        <v>2400</v>
      </c>
      <c r="N470" s="287">
        <v>0</v>
      </c>
      <c r="O470" s="287">
        <v>0</v>
      </c>
      <c r="P470" s="287"/>
      <c r="Q470" s="288" t="s">
        <v>888</v>
      </c>
      <c r="R470" s="287" t="s">
        <v>888</v>
      </c>
      <c r="S470" s="288" t="s">
        <v>889</v>
      </c>
      <c r="T470" s="288"/>
      <c r="U470" s="288">
        <v>0</v>
      </c>
      <c r="V470" s="289">
        <v>136.11000000000001</v>
      </c>
      <c r="W470" s="289">
        <v>0</v>
      </c>
      <c r="X470" s="288">
        <v>5.6666666666666664E-2</v>
      </c>
      <c r="Y470" s="288">
        <v>5.6666666666666664E-2</v>
      </c>
      <c r="Z470" s="288">
        <v>4.5833333333333334E-5</v>
      </c>
      <c r="AA470" s="288">
        <v>0</v>
      </c>
      <c r="AB470" s="288">
        <v>0</v>
      </c>
      <c r="AC470" s="289">
        <v>5.6712499999999999E-2</v>
      </c>
      <c r="AD470" s="289">
        <v>0</v>
      </c>
    </row>
    <row r="471" spans="1:30" ht="15" customHeight="1" x14ac:dyDescent="0.25">
      <c r="A471" s="282" t="s">
        <v>581</v>
      </c>
      <c r="B471" s="282" t="s">
        <v>611</v>
      </c>
      <c r="C471" s="282" t="s">
        <v>612</v>
      </c>
      <c r="D471" s="286" t="s">
        <v>891</v>
      </c>
      <c r="E471" s="404">
        <v>45038</v>
      </c>
      <c r="F471" s="404">
        <v>46865</v>
      </c>
      <c r="G471" s="290" t="s">
        <v>283</v>
      </c>
      <c r="H471" s="282" t="s">
        <v>881</v>
      </c>
      <c r="I471" s="282" t="s">
        <v>590</v>
      </c>
      <c r="J471" s="282" t="s">
        <v>156</v>
      </c>
      <c r="K471" s="286" t="s">
        <v>882</v>
      </c>
      <c r="L471" s="282" t="s">
        <v>574</v>
      </c>
      <c r="M471" s="287">
        <v>2400</v>
      </c>
      <c r="N471" s="287">
        <v>0</v>
      </c>
      <c r="O471" s="287">
        <v>0</v>
      </c>
      <c r="P471" s="287"/>
      <c r="Q471" s="288" t="s">
        <v>836</v>
      </c>
      <c r="R471" s="288" t="s">
        <v>836</v>
      </c>
      <c r="S471" s="288" t="s">
        <v>832</v>
      </c>
      <c r="T471" s="288"/>
      <c r="U471" s="288">
        <v>0</v>
      </c>
      <c r="V471" s="289">
        <v>248.2</v>
      </c>
      <c r="W471" s="289">
        <v>0</v>
      </c>
      <c r="X471" s="288">
        <v>0.10333333333333333</v>
      </c>
      <c r="Y471" s="288">
        <v>0.10333333333333333</v>
      </c>
      <c r="Z471" s="288">
        <v>8.3333333333333344E-5</v>
      </c>
      <c r="AA471" s="288">
        <v>0</v>
      </c>
      <c r="AB471" s="288">
        <v>0</v>
      </c>
      <c r="AC471" s="289">
        <v>0.10341666666666667</v>
      </c>
      <c r="AD471" s="289">
        <v>0</v>
      </c>
    </row>
    <row r="472" spans="1:30" ht="15" customHeight="1" x14ac:dyDescent="0.25">
      <c r="A472" s="282" t="s">
        <v>581</v>
      </c>
      <c r="B472" s="282" t="s">
        <v>628</v>
      </c>
      <c r="C472" s="282" t="s">
        <v>629</v>
      </c>
      <c r="D472" s="286" t="s">
        <v>892</v>
      </c>
      <c r="E472" s="404">
        <v>44294</v>
      </c>
      <c r="F472" s="404">
        <v>46120</v>
      </c>
      <c r="G472" s="286" t="s">
        <v>799</v>
      </c>
      <c r="H472" s="282" t="s">
        <v>800</v>
      </c>
      <c r="I472" s="282" t="s">
        <v>590</v>
      </c>
      <c r="J472" s="282" t="s">
        <v>156</v>
      </c>
      <c r="K472" s="286" t="s">
        <v>801</v>
      </c>
      <c r="L472" s="282" t="s">
        <v>574</v>
      </c>
      <c r="M472" s="287">
        <v>2400</v>
      </c>
      <c r="N472" s="287">
        <v>0</v>
      </c>
      <c r="O472" s="287">
        <v>0</v>
      </c>
      <c r="P472" s="287"/>
      <c r="Q472" s="288" t="s">
        <v>893</v>
      </c>
      <c r="R472" s="287" t="s">
        <v>893</v>
      </c>
      <c r="S472" s="288" t="s">
        <v>894</v>
      </c>
      <c r="T472" s="288"/>
      <c r="U472" s="288">
        <v>0</v>
      </c>
      <c r="V472" s="289">
        <v>149.12</v>
      </c>
      <c r="W472" s="289">
        <v>0</v>
      </c>
      <c r="X472" s="288">
        <v>6.2083333333333331E-2</v>
      </c>
      <c r="Y472" s="288">
        <v>6.2083333333333331E-2</v>
      </c>
      <c r="Z472" s="288">
        <v>4.9999999999999996E-5</v>
      </c>
      <c r="AA472" s="288">
        <v>0</v>
      </c>
      <c r="AB472" s="288">
        <v>0</v>
      </c>
      <c r="AC472" s="289">
        <v>6.2133333333333332E-2</v>
      </c>
      <c r="AD472" s="289">
        <v>0</v>
      </c>
    </row>
    <row r="473" spans="1:30" ht="15" customHeight="1" x14ac:dyDescent="0.25">
      <c r="A473" s="282" t="s">
        <v>581</v>
      </c>
      <c r="B473" s="282" t="s">
        <v>628</v>
      </c>
      <c r="C473" s="282" t="s">
        <v>629</v>
      </c>
      <c r="D473" s="286" t="s">
        <v>895</v>
      </c>
      <c r="E473" s="404">
        <v>44294</v>
      </c>
      <c r="F473" s="404">
        <v>46120</v>
      </c>
      <c r="G473" s="286" t="s">
        <v>799</v>
      </c>
      <c r="H473" s="282" t="s">
        <v>800</v>
      </c>
      <c r="I473" s="282" t="s">
        <v>590</v>
      </c>
      <c r="J473" s="282" t="s">
        <v>156</v>
      </c>
      <c r="K473" s="286" t="s">
        <v>801</v>
      </c>
      <c r="L473" s="282" t="s">
        <v>574</v>
      </c>
      <c r="M473" s="287">
        <v>2400</v>
      </c>
      <c r="N473" s="287">
        <v>0</v>
      </c>
      <c r="O473" s="287">
        <v>0</v>
      </c>
      <c r="P473" s="287"/>
      <c r="Q473" s="288" t="s">
        <v>893</v>
      </c>
      <c r="R473" s="287" t="s">
        <v>893</v>
      </c>
      <c r="S473" s="288" t="s">
        <v>894</v>
      </c>
      <c r="T473" s="288"/>
      <c r="U473" s="288">
        <v>0</v>
      </c>
      <c r="V473" s="289">
        <v>149.12</v>
      </c>
      <c r="W473" s="289">
        <v>0</v>
      </c>
      <c r="X473" s="288">
        <v>6.2083333333333331E-2</v>
      </c>
      <c r="Y473" s="288">
        <v>6.2083333333333331E-2</v>
      </c>
      <c r="Z473" s="288">
        <v>4.9999999999999996E-5</v>
      </c>
      <c r="AA473" s="288">
        <v>0</v>
      </c>
      <c r="AB473" s="288">
        <v>0</v>
      </c>
      <c r="AC473" s="289">
        <v>6.2133333333333332E-2</v>
      </c>
      <c r="AD473" s="289">
        <v>0</v>
      </c>
    </row>
    <row r="474" spans="1:30" ht="15" customHeight="1" x14ac:dyDescent="0.25">
      <c r="A474" s="282" t="s">
        <v>581</v>
      </c>
      <c r="B474" s="282" t="s">
        <v>585</v>
      </c>
      <c r="C474" s="282" t="s">
        <v>586</v>
      </c>
      <c r="D474" s="286" t="s">
        <v>896</v>
      </c>
      <c r="E474" s="404">
        <v>44294</v>
      </c>
      <c r="F474" s="404">
        <v>46120</v>
      </c>
      <c r="G474" s="286" t="s">
        <v>799</v>
      </c>
      <c r="H474" s="282" t="s">
        <v>800</v>
      </c>
      <c r="I474" s="282" t="s">
        <v>590</v>
      </c>
      <c r="J474" s="282" t="s">
        <v>156</v>
      </c>
      <c r="K474" s="286" t="s">
        <v>801</v>
      </c>
      <c r="L474" s="282" t="s">
        <v>574</v>
      </c>
      <c r="M474" s="287">
        <v>2400</v>
      </c>
      <c r="N474" s="287">
        <v>0</v>
      </c>
      <c r="O474" s="287">
        <v>0</v>
      </c>
      <c r="P474" s="287"/>
      <c r="Q474" s="288" t="s">
        <v>750</v>
      </c>
      <c r="R474" s="287" t="s">
        <v>750</v>
      </c>
      <c r="S474" s="288" t="s">
        <v>742</v>
      </c>
      <c r="T474" s="288"/>
      <c r="U474" s="288">
        <v>0</v>
      </c>
      <c r="V474" s="289">
        <v>199.16</v>
      </c>
      <c r="W474" s="289">
        <v>0</v>
      </c>
      <c r="X474" s="288">
        <v>8.2916666666666666E-2</v>
      </c>
      <c r="Y474" s="288">
        <v>8.2916666666666666E-2</v>
      </c>
      <c r="Z474" s="288">
        <v>6.666666666666667E-5</v>
      </c>
      <c r="AA474" s="288">
        <v>0</v>
      </c>
      <c r="AB474" s="288">
        <v>0</v>
      </c>
      <c r="AC474" s="289">
        <v>8.2983333333333339E-2</v>
      </c>
      <c r="AD474" s="289">
        <v>0</v>
      </c>
    </row>
    <row r="475" spans="1:30" ht="15" customHeight="1" x14ac:dyDescent="0.25">
      <c r="A475" s="282" t="s">
        <v>581</v>
      </c>
      <c r="B475" s="282" t="s">
        <v>585</v>
      </c>
      <c r="C475" s="282" t="s">
        <v>586</v>
      </c>
      <c r="D475" s="286" t="s">
        <v>897</v>
      </c>
      <c r="E475" s="404">
        <v>44294</v>
      </c>
      <c r="F475" s="404">
        <v>46120</v>
      </c>
      <c r="G475" s="286" t="s">
        <v>799</v>
      </c>
      <c r="H475" s="282" t="s">
        <v>800</v>
      </c>
      <c r="I475" s="282" t="s">
        <v>590</v>
      </c>
      <c r="J475" s="282" t="s">
        <v>156</v>
      </c>
      <c r="K475" s="286" t="s">
        <v>801</v>
      </c>
      <c r="L475" s="282" t="s">
        <v>574</v>
      </c>
      <c r="M475" s="287">
        <v>2400</v>
      </c>
      <c r="N475" s="287">
        <v>0</v>
      </c>
      <c r="O475" s="287">
        <v>0</v>
      </c>
      <c r="P475" s="287"/>
      <c r="Q475" s="288" t="s">
        <v>827</v>
      </c>
      <c r="R475" s="287" t="s">
        <v>827</v>
      </c>
      <c r="S475" s="288" t="s">
        <v>742</v>
      </c>
      <c r="T475" s="288"/>
      <c r="U475" s="288">
        <v>0</v>
      </c>
      <c r="V475" s="289">
        <v>200.16</v>
      </c>
      <c r="W475" s="289">
        <v>0</v>
      </c>
      <c r="X475" s="288">
        <v>8.3333333333333329E-2</v>
      </c>
      <c r="Y475" s="288">
        <v>8.3333333333333329E-2</v>
      </c>
      <c r="Z475" s="288">
        <v>6.666666666666667E-5</v>
      </c>
      <c r="AA475" s="288">
        <v>0</v>
      </c>
      <c r="AB475" s="288">
        <v>0</v>
      </c>
      <c r="AC475" s="289">
        <v>8.3400000000000002E-2</v>
      </c>
      <c r="AD475" s="289">
        <v>0</v>
      </c>
    </row>
    <row r="476" spans="1:30" ht="15" customHeight="1" x14ac:dyDescent="0.25">
      <c r="A476" s="282" t="s">
        <v>581</v>
      </c>
      <c r="B476" s="282" t="s">
        <v>585</v>
      </c>
      <c r="C476" s="282" t="s">
        <v>586</v>
      </c>
      <c r="D476" s="286" t="s">
        <v>898</v>
      </c>
      <c r="E476" s="404">
        <v>44294</v>
      </c>
      <c r="F476" s="404">
        <v>46120</v>
      </c>
      <c r="G476" s="286" t="s">
        <v>799</v>
      </c>
      <c r="H476" s="282" t="s">
        <v>800</v>
      </c>
      <c r="I476" s="282" t="s">
        <v>590</v>
      </c>
      <c r="J476" s="282" t="s">
        <v>156</v>
      </c>
      <c r="K476" s="286" t="s">
        <v>801</v>
      </c>
      <c r="L476" s="282" t="s">
        <v>574</v>
      </c>
      <c r="M476" s="287">
        <v>2400</v>
      </c>
      <c r="N476" s="287">
        <v>0</v>
      </c>
      <c r="O476" s="287">
        <v>0</v>
      </c>
      <c r="P476" s="287"/>
      <c r="Q476" s="288" t="s">
        <v>899</v>
      </c>
      <c r="R476" s="287" t="s">
        <v>899</v>
      </c>
      <c r="S476" s="288" t="s">
        <v>694</v>
      </c>
      <c r="T476" s="288"/>
      <c r="U476" s="288">
        <v>0</v>
      </c>
      <c r="V476" s="289">
        <v>288.23</v>
      </c>
      <c r="W476" s="289">
        <v>0</v>
      </c>
      <c r="X476" s="288">
        <v>0.12</v>
      </c>
      <c r="Y476" s="288">
        <v>0.12</v>
      </c>
      <c r="Z476" s="288">
        <v>9.5833333333333336E-5</v>
      </c>
      <c r="AA476" s="288">
        <v>0</v>
      </c>
      <c r="AB476" s="288">
        <v>0</v>
      </c>
      <c r="AC476" s="289">
        <v>0.12009583333333333</v>
      </c>
      <c r="AD476" s="289">
        <v>0</v>
      </c>
    </row>
    <row r="477" spans="1:30" ht="15" customHeight="1" x14ac:dyDescent="0.25">
      <c r="A477" s="282" t="s">
        <v>581</v>
      </c>
      <c r="B477" s="282" t="s">
        <v>616</v>
      </c>
      <c r="C477" s="282" t="s">
        <v>617</v>
      </c>
      <c r="D477" s="286" t="s">
        <v>900</v>
      </c>
      <c r="E477" s="404">
        <v>45038</v>
      </c>
      <c r="F477" s="404">
        <v>46865</v>
      </c>
      <c r="G477" s="290" t="s">
        <v>283</v>
      </c>
      <c r="H477" s="282" t="s">
        <v>881</v>
      </c>
      <c r="I477" s="282" t="s">
        <v>590</v>
      </c>
      <c r="J477" s="282" t="s">
        <v>156</v>
      </c>
      <c r="K477" s="286" t="s">
        <v>882</v>
      </c>
      <c r="L477" s="282" t="s">
        <v>574</v>
      </c>
      <c r="M477" s="287">
        <v>2400</v>
      </c>
      <c r="N477" s="287">
        <v>0</v>
      </c>
      <c r="O477" s="287">
        <v>0</v>
      </c>
      <c r="P477" s="287"/>
      <c r="Q477" s="288" t="s">
        <v>901</v>
      </c>
      <c r="R477" s="288" t="s">
        <v>901</v>
      </c>
      <c r="S477" s="288" t="s">
        <v>709</v>
      </c>
      <c r="T477" s="288"/>
      <c r="U477" s="288">
        <v>0</v>
      </c>
      <c r="V477" s="289">
        <v>301.24</v>
      </c>
      <c r="W477" s="289">
        <v>0</v>
      </c>
      <c r="X477" s="288">
        <v>0.12541666666666668</v>
      </c>
      <c r="Y477" s="288">
        <v>0.12541666666666668</v>
      </c>
      <c r="Z477" s="288">
        <v>9.9999999999999991E-5</v>
      </c>
      <c r="AA477" s="288">
        <v>0</v>
      </c>
      <c r="AB477" s="288">
        <v>0</v>
      </c>
      <c r="AC477" s="289">
        <v>0.12551666666666667</v>
      </c>
      <c r="AD477" s="289">
        <v>0</v>
      </c>
    </row>
    <row r="478" spans="1:30" ht="15" customHeight="1" x14ac:dyDescent="0.25">
      <c r="A478" s="282" t="s">
        <v>581</v>
      </c>
      <c r="B478" s="282" t="s">
        <v>594</v>
      </c>
      <c r="C478" s="282" t="s">
        <v>595</v>
      </c>
      <c r="D478" s="283" t="s">
        <v>902</v>
      </c>
      <c r="E478" s="404">
        <v>45016</v>
      </c>
      <c r="F478" s="404">
        <v>46843</v>
      </c>
      <c r="G478" s="286" t="s">
        <v>286</v>
      </c>
      <c r="H478" s="282" t="s">
        <v>782</v>
      </c>
      <c r="I478" s="282" t="s">
        <v>590</v>
      </c>
      <c r="J478" s="282" t="s">
        <v>156</v>
      </c>
      <c r="K478" s="286" t="s">
        <v>783</v>
      </c>
      <c r="L478" s="282" t="s">
        <v>574</v>
      </c>
      <c r="M478" s="287">
        <v>2400</v>
      </c>
      <c r="N478" s="287">
        <v>0</v>
      </c>
      <c r="O478" s="287">
        <v>0</v>
      </c>
      <c r="P478" s="287"/>
      <c r="Q478" s="288">
        <v>176</v>
      </c>
      <c r="R478" s="288">
        <v>176</v>
      </c>
      <c r="S478" s="288">
        <v>0.14000000000000001</v>
      </c>
      <c r="T478" s="288"/>
      <c r="U478" s="288">
        <v>0</v>
      </c>
      <c r="V478" s="289">
        <v>176.14</v>
      </c>
      <c r="W478" s="289">
        <v>0</v>
      </c>
      <c r="X478" s="288">
        <v>7.3333333333333334E-2</v>
      </c>
      <c r="Y478" s="288">
        <v>7.3333333333333334E-2</v>
      </c>
      <c r="Z478" s="288">
        <v>5.833333333333334E-5</v>
      </c>
      <c r="AA478" s="288">
        <v>0</v>
      </c>
      <c r="AB478" s="288">
        <v>0</v>
      </c>
      <c r="AC478" s="289">
        <v>7.3391666666666661E-2</v>
      </c>
      <c r="AD478" s="289">
        <v>0</v>
      </c>
    </row>
    <row r="479" spans="1:30" ht="15" customHeight="1" x14ac:dyDescent="0.25">
      <c r="A479" s="282" t="s">
        <v>581</v>
      </c>
      <c r="B479" s="282" t="s">
        <v>606</v>
      </c>
      <c r="C479" s="282" t="s">
        <v>260</v>
      </c>
      <c r="D479" s="283" t="s">
        <v>903</v>
      </c>
      <c r="E479" s="404">
        <v>45016</v>
      </c>
      <c r="F479" s="404">
        <v>46843</v>
      </c>
      <c r="G479" s="286" t="s">
        <v>286</v>
      </c>
      <c r="H479" s="282" t="s">
        <v>782</v>
      </c>
      <c r="I479" s="282" t="s">
        <v>590</v>
      </c>
      <c r="J479" s="282" t="s">
        <v>156</v>
      </c>
      <c r="K479" s="286" t="s">
        <v>783</v>
      </c>
      <c r="L479" s="282" t="s">
        <v>574</v>
      </c>
      <c r="M479" s="287">
        <v>2400</v>
      </c>
      <c r="N479" s="287">
        <v>0</v>
      </c>
      <c r="O479" s="287">
        <v>0</v>
      </c>
      <c r="P479" s="287"/>
      <c r="Q479" s="288">
        <v>302</v>
      </c>
      <c r="R479" s="288">
        <v>302</v>
      </c>
      <c r="S479" s="288">
        <v>0.24</v>
      </c>
      <c r="T479" s="288"/>
      <c r="U479" s="288">
        <v>0</v>
      </c>
      <c r="V479" s="289">
        <v>302.24</v>
      </c>
      <c r="W479" s="289">
        <v>0</v>
      </c>
      <c r="X479" s="288">
        <v>0.12583333333333332</v>
      </c>
      <c r="Y479" s="288">
        <v>0.12583333333333332</v>
      </c>
      <c r="Z479" s="288">
        <v>9.9999999999999991E-5</v>
      </c>
      <c r="AA479" s="288">
        <v>0</v>
      </c>
      <c r="AB479" s="288">
        <v>0</v>
      </c>
      <c r="AC479" s="289">
        <v>0.12593333333333331</v>
      </c>
      <c r="AD479" s="289">
        <v>0</v>
      </c>
    </row>
    <row r="480" spans="1:30" ht="15" customHeight="1" x14ac:dyDescent="0.25">
      <c r="A480" s="282" t="s">
        <v>581</v>
      </c>
      <c r="B480" s="282" t="s">
        <v>585</v>
      </c>
      <c r="C480" s="282" t="s">
        <v>586</v>
      </c>
      <c r="D480" s="283" t="s">
        <v>904</v>
      </c>
      <c r="E480" s="404">
        <v>45016</v>
      </c>
      <c r="F480" s="404">
        <v>46843</v>
      </c>
      <c r="G480" s="286" t="s">
        <v>286</v>
      </c>
      <c r="H480" s="282" t="s">
        <v>782</v>
      </c>
      <c r="I480" s="282" t="s">
        <v>590</v>
      </c>
      <c r="J480" s="282" t="s">
        <v>156</v>
      </c>
      <c r="K480" s="286" t="s">
        <v>783</v>
      </c>
      <c r="L480" s="282" t="s">
        <v>574</v>
      </c>
      <c r="M480" s="287">
        <v>2400</v>
      </c>
      <c r="N480" s="287">
        <v>0</v>
      </c>
      <c r="O480" s="287">
        <v>0</v>
      </c>
      <c r="P480" s="287"/>
      <c r="Q480" s="288">
        <v>290</v>
      </c>
      <c r="R480" s="288">
        <v>290</v>
      </c>
      <c r="S480" s="288">
        <v>0.23</v>
      </c>
      <c r="T480" s="288"/>
      <c r="U480" s="288">
        <v>0</v>
      </c>
      <c r="V480" s="289">
        <v>290.23</v>
      </c>
      <c r="W480" s="289">
        <v>0</v>
      </c>
      <c r="X480" s="288">
        <v>0.12083333333333333</v>
      </c>
      <c r="Y480" s="288">
        <v>0.12083333333333333</v>
      </c>
      <c r="Z480" s="288">
        <v>9.5833333333333336E-5</v>
      </c>
      <c r="AA480" s="288">
        <v>0</v>
      </c>
      <c r="AB480" s="288">
        <v>0</v>
      </c>
      <c r="AC480" s="289">
        <v>0.12092916666666667</v>
      </c>
      <c r="AD480" s="289">
        <v>0</v>
      </c>
    </row>
    <row r="481" spans="1:30" ht="15" customHeight="1" x14ac:dyDescent="0.25">
      <c r="A481" s="282" t="s">
        <v>581</v>
      </c>
      <c r="B481" s="282" t="s">
        <v>585</v>
      </c>
      <c r="C481" s="282" t="s">
        <v>586</v>
      </c>
      <c r="D481" s="283" t="s">
        <v>905</v>
      </c>
      <c r="E481" s="404">
        <v>45016</v>
      </c>
      <c r="F481" s="404">
        <v>46843</v>
      </c>
      <c r="G481" s="286" t="s">
        <v>283</v>
      </c>
      <c r="H481" s="282" t="s">
        <v>736</v>
      </c>
      <c r="I481" s="282" t="s">
        <v>590</v>
      </c>
      <c r="J481" s="282" t="s">
        <v>156</v>
      </c>
      <c r="K481" s="286" t="s">
        <v>737</v>
      </c>
      <c r="L481" s="282" t="s">
        <v>574</v>
      </c>
      <c r="M481" s="287">
        <v>2400</v>
      </c>
      <c r="N481" s="287">
        <v>0</v>
      </c>
      <c r="O481" s="287">
        <v>0</v>
      </c>
      <c r="P481" s="287"/>
      <c r="Q481" s="288">
        <v>324</v>
      </c>
      <c r="R481" s="288">
        <v>324</v>
      </c>
      <c r="S481" s="288">
        <v>0.25600000000000001</v>
      </c>
      <c r="T481" s="288"/>
      <c r="U481" s="288">
        <v>0</v>
      </c>
      <c r="V481" s="289">
        <v>324.25599999999997</v>
      </c>
      <c r="W481" s="289">
        <v>0</v>
      </c>
      <c r="X481" s="288">
        <v>0.13500000000000001</v>
      </c>
      <c r="Y481" s="288">
        <v>0.13500000000000001</v>
      </c>
      <c r="Z481" s="288">
        <v>1.0666666666666667E-4</v>
      </c>
      <c r="AA481" s="288">
        <v>0</v>
      </c>
      <c r="AB481" s="288">
        <v>0</v>
      </c>
      <c r="AC481" s="289">
        <v>0.13510666666666668</v>
      </c>
      <c r="AD481" s="289">
        <v>0</v>
      </c>
    </row>
    <row r="482" spans="1:30" ht="15" customHeight="1" x14ac:dyDescent="0.25">
      <c r="A482" s="282" t="s">
        <v>581</v>
      </c>
      <c r="B482" s="282" t="s">
        <v>585</v>
      </c>
      <c r="C482" s="282" t="s">
        <v>586</v>
      </c>
      <c r="D482" s="283" t="s">
        <v>906</v>
      </c>
      <c r="E482" s="404">
        <v>45016</v>
      </c>
      <c r="F482" s="404">
        <v>46843</v>
      </c>
      <c r="G482" s="286" t="s">
        <v>283</v>
      </c>
      <c r="H482" s="282" t="s">
        <v>736</v>
      </c>
      <c r="I482" s="282" t="s">
        <v>590</v>
      </c>
      <c r="J482" s="282" t="s">
        <v>156</v>
      </c>
      <c r="K482" s="286" t="s">
        <v>737</v>
      </c>
      <c r="L482" s="282" t="s">
        <v>574</v>
      </c>
      <c r="M482" s="287">
        <v>2400</v>
      </c>
      <c r="N482" s="287">
        <v>0</v>
      </c>
      <c r="O482" s="287">
        <v>0</v>
      </c>
      <c r="P482" s="287"/>
      <c r="Q482" s="288">
        <v>390</v>
      </c>
      <c r="R482" s="288">
        <v>390</v>
      </c>
      <c r="S482" s="288">
        <v>0.308</v>
      </c>
      <c r="T482" s="288"/>
      <c r="U482" s="288">
        <v>0</v>
      </c>
      <c r="V482" s="289">
        <v>390.30799999999999</v>
      </c>
      <c r="W482" s="289">
        <v>0</v>
      </c>
      <c r="X482" s="288">
        <v>0.16250000000000001</v>
      </c>
      <c r="Y482" s="288">
        <v>0.16250000000000001</v>
      </c>
      <c r="Z482" s="288">
        <v>1.2833333333333333E-4</v>
      </c>
      <c r="AA482" s="288">
        <v>0</v>
      </c>
      <c r="AB482" s="288">
        <v>0</v>
      </c>
      <c r="AC482" s="289">
        <v>0.16262833333333335</v>
      </c>
      <c r="AD482" s="289">
        <v>0</v>
      </c>
    </row>
    <row r="483" spans="1:30" ht="15" customHeight="1" x14ac:dyDescent="0.25">
      <c r="A483" s="282" t="s">
        <v>581</v>
      </c>
      <c r="B483" s="282" t="s">
        <v>585</v>
      </c>
      <c r="C483" s="282" t="s">
        <v>586</v>
      </c>
      <c r="D483" s="283" t="s">
        <v>907</v>
      </c>
      <c r="E483" s="404">
        <v>45056</v>
      </c>
      <c r="F483" s="404">
        <v>46883</v>
      </c>
      <c r="G483" s="286" t="s">
        <v>286</v>
      </c>
      <c r="H483" s="282" t="s">
        <v>759</v>
      </c>
      <c r="I483" s="282" t="s">
        <v>590</v>
      </c>
      <c r="J483" s="282" t="s">
        <v>156</v>
      </c>
      <c r="K483" s="286" t="s">
        <v>760</v>
      </c>
      <c r="L483" s="282" t="s">
        <v>574</v>
      </c>
      <c r="M483" s="287">
        <v>2400</v>
      </c>
      <c r="N483" s="287">
        <v>0</v>
      </c>
      <c r="O483" s="287">
        <v>0</v>
      </c>
      <c r="P483" s="287"/>
      <c r="Q483" s="288">
        <v>185</v>
      </c>
      <c r="R483" s="288" t="s">
        <v>908</v>
      </c>
      <c r="S483" s="288">
        <v>0.14599999999999999</v>
      </c>
      <c r="T483" s="288"/>
      <c r="U483" s="288">
        <v>0</v>
      </c>
      <c r="V483" s="289">
        <v>185.14599999999999</v>
      </c>
      <c r="W483" s="289">
        <v>0</v>
      </c>
      <c r="X483" s="288">
        <v>7.7083333333333337E-2</v>
      </c>
      <c r="Y483" s="288">
        <v>7.7083333333333337E-2</v>
      </c>
      <c r="Z483" s="288">
        <v>6.0833333333333333E-5</v>
      </c>
      <c r="AA483" s="288">
        <v>0</v>
      </c>
      <c r="AB483" s="288">
        <v>0</v>
      </c>
      <c r="AC483" s="289">
        <v>7.7144166666666666E-2</v>
      </c>
      <c r="AD483" s="289">
        <v>0</v>
      </c>
    </row>
    <row r="484" spans="1:30" ht="15" customHeight="1" x14ac:dyDescent="0.25">
      <c r="A484" s="282" t="s">
        <v>581</v>
      </c>
      <c r="B484" s="282" t="s">
        <v>585</v>
      </c>
      <c r="C484" s="282" t="s">
        <v>586</v>
      </c>
      <c r="D484" s="283" t="s">
        <v>909</v>
      </c>
      <c r="E484" s="404">
        <v>45016</v>
      </c>
      <c r="F484" s="404">
        <v>46843</v>
      </c>
      <c r="G484" s="286" t="s">
        <v>286</v>
      </c>
      <c r="H484" s="282" t="s">
        <v>782</v>
      </c>
      <c r="I484" s="282" t="s">
        <v>590</v>
      </c>
      <c r="J484" s="282" t="s">
        <v>156</v>
      </c>
      <c r="K484" s="286" t="s">
        <v>783</v>
      </c>
      <c r="L484" s="282" t="s">
        <v>574</v>
      </c>
      <c r="M484" s="287">
        <v>2400</v>
      </c>
      <c r="N484" s="287">
        <v>0</v>
      </c>
      <c r="O484" s="287">
        <v>0</v>
      </c>
      <c r="P484" s="287"/>
      <c r="Q484" s="288">
        <v>317</v>
      </c>
      <c r="R484" s="288">
        <v>317</v>
      </c>
      <c r="S484" s="288">
        <v>0.25</v>
      </c>
      <c r="T484" s="288"/>
      <c r="U484" s="288">
        <v>0</v>
      </c>
      <c r="V484" s="289">
        <v>317.25</v>
      </c>
      <c r="W484" s="289">
        <v>0</v>
      </c>
      <c r="X484" s="288">
        <v>0.13208333333333333</v>
      </c>
      <c r="Y484" s="288">
        <v>0.13208333333333333</v>
      </c>
      <c r="Z484" s="288">
        <v>1.0416666666666667E-4</v>
      </c>
      <c r="AA484" s="288">
        <v>0</v>
      </c>
      <c r="AB484" s="288">
        <v>0</v>
      </c>
      <c r="AC484" s="289">
        <v>0.13218749999999999</v>
      </c>
      <c r="AD484" s="289">
        <v>0</v>
      </c>
    </row>
    <row r="485" spans="1:30" ht="15" customHeight="1" x14ac:dyDescent="0.25">
      <c r="A485" s="282" t="s">
        <v>581</v>
      </c>
      <c r="B485" s="282" t="s">
        <v>585</v>
      </c>
      <c r="C485" s="282" t="s">
        <v>586</v>
      </c>
      <c r="D485" s="286" t="s">
        <v>910</v>
      </c>
      <c r="E485" s="404">
        <v>45038</v>
      </c>
      <c r="F485" s="404">
        <v>46865</v>
      </c>
      <c r="G485" s="290" t="s">
        <v>283</v>
      </c>
      <c r="H485" s="282" t="s">
        <v>881</v>
      </c>
      <c r="I485" s="282" t="s">
        <v>590</v>
      </c>
      <c r="J485" s="282" t="s">
        <v>156</v>
      </c>
      <c r="K485" s="286" t="s">
        <v>882</v>
      </c>
      <c r="L485" s="282" t="s">
        <v>574</v>
      </c>
      <c r="M485" s="287">
        <v>2400</v>
      </c>
      <c r="N485" s="287">
        <v>0</v>
      </c>
      <c r="O485" s="287">
        <v>0</v>
      </c>
      <c r="P485" s="287"/>
      <c r="Q485" s="288" t="s">
        <v>911</v>
      </c>
      <c r="R485" s="288" t="s">
        <v>911</v>
      </c>
      <c r="S485" s="288" t="s">
        <v>766</v>
      </c>
      <c r="T485" s="288"/>
      <c r="U485" s="288">
        <v>0</v>
      </c>
      <c r="V485" s="289">
        <v>241.19</v>
      </c>
      <c r="W485" s="289">
        <v>0</v>
      </c>
      <c r="X485" s="288">
        <v>0.10041666666666667</v>
      </c>
      <c r="Y485" s="288">
        <v>0.10041666666666667</v>
      </c>
      <c r="Z485" s="288">
        <v>7.9166666666666662E-5</v>
      </c>
      <c r="AA485" s="288">
        <v>0</v>
      </c>
      <c r="AB485" s="288">
        <v>0</v>
      </c>
      <c r="AC485" s="289">
        <v>0.10049583333333334</v>
      </c>
      <c r="AD485" s="289">
        <v>0</v>
      </c>
    </row>
    <row r="486" spans="1:30" ht="15" customHeight="1" x14ac:dyDescent="0.25">
      <c r="A486" s="282" t="s">
        <v>581</v>
      </c>
      <c r="B486" s="282" t="s">
        <v>585</v>
      </c>
      <c r="C486" s="282" t="s">
        <v>586</v>
      </c>
      <c r="D486" s="286" t="s">
        <v>912</v>
      </c>
      <c r="E486" s="404">
        <v>44294</v>
      </c>
      <c r="F486" s="404">
        <v>46120</v>
      </c>
      <c r="G486" s="286" t="s">
        <v>799</v>
      </c>
      <c r="H486" s="282" t="s">
        <v>800</v>
      </c>
      <c r="I486" s="282" t="s">
        <v>590</v>
      </c>
      <c r="J486" s="282" t="s">
        <v>156</v>
      </c>
      <c r="K486" s="286" t="s">
        <v>801</v>
      </c>
      <c r="L486" s="282" t="s">
        <v>574</v>
      </c>
      <c r="M486" s="287">
        <v>2400</v>
      </c>
      <c r="N486" s="287">
        <v>0</v>
      </c>
      <c r="O486" s="287">
        <v>0</v>
      </c>
      <c r="P486" s="287"/>
      <c r="Q486" s="288" t="s">
        <v>913</v>
      </c>
      <c r="R486" s="287" t="s">
        <v>913</v>
      </c>
      <c r="S486" s="288" t="s">
        <v>786</v>
      </c>
      <c r="T486" s="288"/>
      <c r="U486" s="288">
        <v>0</v>
      </c>
      <c r="V486" s="289">
        <v>216.17</v>
      </c>
      <c r="W486" s="289">
        <v>0</v>
      </c>
      <c r="X486" s="288">
        <v>0.09</v>
      </c>
      <c r="Y486" s="288">
        <v>0.09</v>
      </c>
      <c r="Z486" s="288">
        <v>7.0833333333333338E-5</v>
      </c>
      <c r="AA486" s="288">
        <v>0</v>
      </c>
      <c r="AB486" s="288">
        <v>0</v>
      </c>
      <c r="AC486" s="289">
        <v>9.0070833333333336E-2</v>
      </c>
      <c r="AD486" s="289">
        <v>0</v>
      </c>
    </row>
    <row r="487" spans="1:30" ht="15" customHeight="1" x14ac:dyDescent="0.25">
      <c r="A487" s="282" t="s">
        <v>581</v>
      </c>
      <c r="B487" s="282" t="s">
        <v>594</v>
      </c>
      <c r="C487" s="282" t="s">
        <v>595</v>
      </c>
      <c r="D487" s="286" t="s">
        <v>914</v>
      </c>
      <c r="E487" s="404">
        <v>44294</v>
      </c>
      <c r="F487" s="404">
        <v>46120</v>
      </c>
      <c r="G487" s="286" t="s">
        <v>799</v>
      </c>
      <c r="H487" s="282" t="s">
        <v>800</v>
      </c>
      <c r="I487" s="282" t="s">
        <v>590</v>
      </c>
      <c r="J487" s="282" t="s">
        <v>156</v>
      </c>
      <c r="K487" s="286" t="s">
        <v>801</v>
      </c>
      <c r="L487" s="282" t="s">
        <v>574</v>
      </c>
      <c r="M487" s="287">
        <v>2400</v>
      </c>
      <c r="N487" s="287">
        <v>0</v>
      </c>
      <c r="O487" s="287">
        <v>0</v>
      </c>
      <c r="P487" s="287"/>
      <c r="Q487" s="288" t="s">
        <v>915</v>
      </c>
      <c r="R487" s="287" t="s">
        <v>915</v>
      </c>
      <c r="S487" s="288" t="s">
        <v>889</v>
      </c>
      <c r="T487" s="288"/>
      <c r="U487" s="288">
        <v>0</v>
      </c>
      <c r="V487" s="289">
        <v>140.11000000000001</v>
      </c>
      <c r="W487" s="289">
        <v>0</v>
      </c>
      <c r="X487" s="288">
        <v>5.8333333333333334E-2</v>
      </c>
      <c r="Y487" s="288">
        <v>5.8333333333333334E-2</v>
      </c>
      <c r="Z487" s="288">
        <v>4.5833333333333334E-5</v>
      </c>
      <c r="AA487" s="288">
        <v>0</v>
      </c>
      <c r="AB487" s="288">
        <v>0</v>
      </c>
      <c r="AC487" s="289">
        <v>5.8379166666666669E-2</v>
      </c>
      <c r="AD487" s="289">
        <v>0</v>
      </c>
    </row>
    <row r="488" spans="1:30" ht="15" customHeight="1" x14ac:dyDescent="0.25">
      <c r="A488" s="282" t="s">
        <v>581</v>
      </c>
      <c r="B488" s="282" t="s">
        <v>628</v>
      </c>
      <c r="C488" s="282" t="s">
        <v>629</v>
      </c>
      <c r="D488" s="286" t="s">
        <v>916</v>
      </c>
      <c r="E488" s="404">
        <v>44294</v>
      </c>
      <c r="F488" s="404">
        <v>46120</v>
      </c>
      <c r="G488" s="286" t="s">
        <v>799</v>
      </c>
      <c r="H488" s="282" t="s">
        <v>800</v>
      </c>
      <c r="I488" s="282" t="s">
        <v>590</v>
      </c>
      <c r="J488" s="282" t="s">
        <v>156</v>
      </c>
      <c r="K488" s="286" t="s">
        <v>801</v>
      </c>
      <c r="L488" s="282" t="s">
        <v>574</v>
      </c>
      <c r="M488" s="287">
        <v>2400</v>
      </c>
      <c r="N488" s="287">
        <v>0</v>
      </c>
      <c r="O488" s="287">
        <v>0</v>
      </c>
      <c r="P488" s="287"/>
      <c r="Q488" s="288" t="s">
        <v>757</v>
      </c>
      <c r="R488" s="287" t="s">
        <v>757</v>
      </c>
      <c r="S488" s="288" t="s">
        <v>894</v>
      </c>
      <c r="T488" s="288"/>
      <c r="U488" s="288">
        <v>0</v>
      </c>
      <c r="V488" s="289">
        <v>153.12</v>
      </c>
      <c r="W488" s="289">
        <v>0</v>
      </c>
      <c r="X488" s="288">
        <v>6.3750000000000001E-2</v>
      </c>
      <c r="Y488" s="288">
        <v>6.3750000000000001E-2</v>
      </c>
      <c r="Z488" s="288">
        <v>4.9999999999999996E-5</v>
      </c>
      <c r="AA488" s="288">
        <v>0</v>
      </c>
      <c r="AB488" s="288">
        <v>0</v>
      </c>
      <c r="AC488" s="289">
        <v>6.3799999999999996E-2</v>
      </c>
      <c r="AD488" s="289">
        <v>0</v>
      </c>
    </row>
    <row r="489" spans="1:30" ht="15" customHeight="1" x14ac:dyDescent="0.25">
      <c r="A489" s="282" t="s">
        <v>581</v>
      </c>
      <c r="B489" s="282" t="s">
        <v>628</v>
      </c>
      <c r="C489" s="282" t="s">
        <v>629</v>
      </c>
      <c r="D489" s="286" t="s">
        <v>917</v>
      </c>
      <c r="E489" s="404">
        <v>44294</v>
      </c>
      <c r="F489" s="404">
        <v>46120</v>
      </c>
      <c r="G489" s="286" t="s">
        <v>799</v>
      </c>
      <c r="H489" s="282" t="s">
        <v>800</v>
      </c>
      <c r="I489" s="282" t="s">
        <v>590</v>
      </c>
      <c r="J489" s="282" t="s">
        <v>156</v>
      </c>
      <c r="K489" s="286" t="s">
        <v>801</v>
      </c>
      <c r="L489" s="282" t="s">
        <v>574</v>
      </c>
      <c r="M489" s="287">
        <v>2400</v>
      </c>
      <c r="N489" s="287">
        <v>0</v>
      </c>
      <c r="O489" s="287">
        <v>0</v>
      </c>
      <c r="P489" s="287"/>
      <c r="Q489" s="288" t="s">
        <v>757</v>
      </c>
      <c r="R489" s="287" t="s">
        <v>757</v>
      </c>
      <c r="S489" s="288" t="s">
        <v>894</v>
      </c>
      <c r="T489" s="288"/>
      <c r="U489" s="288">
        <v>0</v>
      </c>
      <c r="V489" s="289">
        <v>153.12</v>
      </c>
      <c r="W489" s="289">
        <v>0</v>
      </c>
      <c r="X489" s="288">
        <v>6.3750000000000001E-2</v>
      </c>
      <c r="Y489" s="288">
        <v>6.3750000000000001E-2</v>
      </c>
      <c r="Z489" s="288">
        <v>4.9999999999999996E-5</v>
      </c>
      <c r="AA489" s="288">
        <v>0</v>
      </c>
      <c r="AB489" s="288">
        <v>0</v>
      </c>
      <c r="AC489" s="289">
        <v>6.3799999999999996E-2</v>
      </c>
      <c r="AD489" s="289">
        <v>0</v>
      </c>
    </row>
    <row r="490" spans="1:30" ht="15" customHeight="1" x14ac:dyDescent="0.25">
      <c r="A490" s="282" t="s">
        <v>581</v>
      </c>
      <c r="B490" s="282" t="s">
        <v>628</v>
      </c>
      <c r="C490" s="282" t="s">
        <v>629</v>
      </c>
      <c r="D490" s="286" t="s">
        <v>918</v>
      </c>
      <c r="E490" s="404">
        <v>45038</v>
      </c>
      <c r="F490" s="404">
        <v>46865</v>
      </c>
      <c r="G490" s="290" t="s">
        <v>283</v>
      </c>
      <c r="H490" s="282" t="s">
        <v>881</v>
      </c>
      <c r="I490" s="282" t="s">
        <v>590</v>
      </c>
      <c r="J490" s="282" t="s">
        <v>156</v>
      </c>
      <c r="K490" s="286" t="s">
        <v>882</v>
      </c>
      <c r="L490" s="282" t="s">
        <v>574</v>
      </c>
      <c r="M490" s="287">
        <v>2400</v>
      </c>
      <c r="N490" s="287">
        <v>0</v>
      </c>
      <c r="O490" s="287">
        <v>0</v>
      </c>
      <c r="P490" s="287"/>
      <c r="Q490" s="288" t="s">
        <v>693</v>
      </c>
      <c r="R490" s="288" t="s">
        <v>693</v>
      </c>
      <c r="S490" s="288" t="s">
        <v>742</v>
      </c>
      <c r="T490" s="288"/>
      <c r="U490" s="288">
        <v>0</v>
      </c>
      <c r="V490" s="289">
        <v>204.16</v>
      </c>
      <c r="W490" s="289">
        <v>0</v>
      </c>
      <c r="X490" s="288">
        <v>8.5000000000000006E-2</v>
      </c>
      <c r="Y490" s="288">
        <v>8.5000000000000006E-2</v>
      </c>
      <c r="Z490" s="288">
        <v>6.666666666666667E-5</v>
      </c>
      <c r="AA490" s="288">
        <v>0</v>
      </c>
      <c r="AB490" s="288">
        <v>0</v>
      </c>
      <c r="AC490" s="289">
        <v>8.5066666666666679E-2</v>
      </c>
      <c r="AD490" s="289">
        <v>0</v>
      </c>
    </row>
    <row r="491" spans="1:30" ht="15" customHeight="1" x14ac:dyDescent="0.25">
      <c r="A491" s="282" t="s">
        <v>581</v>
      </c>
      <c r="B491" s="282" t="s">
        <v>611</v>
      </c>
      <c r="C491" s="282" t="s">
        <v>612</v>
      </c>
      <c r="D491" s="283" t="s">
        <v>919</v>
      </c>
      <c r="E491" s="404">
        <v>45016</v>
      </c>
      <c r="F491" s="404">
        <v>46843</v>
      </c>
      <c r="G491" s="286" t="s">
        <v>286</v>
      </c>
      <c r="H491" s="282" t="s">
        <v>782</v>
      </c>
      <c r="I491" s="282" t="s">
        <v>590</v>
      </c>
      <c r="J491" s="282" t="s">
        <v>156</v>
      </c>
      <c r="K491" s="286" t="s">
        <v>783</v>
      </c>
      <c r="L491" s="282" t="s">
        <v>574</v>
      </c>
      <c r="M491" s="287">
        <v>2400</v>
      </c>
      <c r="N491" s="287">
        <v>0</v>
      </c>
      <c r="O491" s="287">
        <v>0</v>
      </c>
      <c r="P491" s="287"/>
      <c r="Q491" s="288">
        <v>217</v>
      </c>
      <c r="R491" s="288">
        <v>217</v>
      </c>
      <c r="S491" s="288">
        <v>0.17</v>
      </c>
      <c r="T491" s="288"/>
      <c r="U491" s="288">
        <v>0</v>
      </c>
      <c r="V491" s="289">
        <v>217.17</v>
      </c>
      <c r="W491" s="289">
        <v>0</v>
      </c>
      <c r="X491" s="288">
        <v>9.0416666666666673E-2</v>
      </c>
      <c r="Y491" s="288">
        <v>9.0416666666666673E-2</v>
      </c>
      <c r="Z491" s="288">
        <v>7.0833333333333338E-5</v>
      </c>
      <c r="AA491" s="288">
        <v>0</v>
      </c>
      <c r="AB491" s="288">
        <v>0</v>
      </c>
      <c r="AC491" s="289">
        <v>9.0487500000000012E-2</v>
      </c>
      <c r="AD491" s="289">
        <v>0</v>
      </c>
    </row>
    <row r="492" spans="1:30" ht="15" customHeight="1" x14ac:dyDescent="0.25">
      <c r="A492" s="282" t="s">
        <v>581</v>
      </c>
      <c r="B492" s="282" t="s">
        <v>611</v>
      </c>
      <c r="C492" s="282" t="s">
        <v>612</v>
      </c>
      <c r="D492" s="286" t="s">
        <v>920</v>
      </c>
      <c r="E492" s="404">
        <v>45038</v>
      </c>
      <c r="F492" s="404">
        <v>46865</v>
      </c>
      <c r="G492" s="290" t="s">
        <v>283</v>
      </c>
      <c r="H492" s="282" t="s">
        <v>881</v>
      </c>
      <c r="I492" s="282" t="s">
        <v>590</v>
      </c>
      <c r="J492" s="282" t="s">
        <v>156</v>
      </c>
      <c r="K492" s="286" t="s">
        <v>882</v>
      </c>
      <c r="L492" s="282" t="s">
        <v>574</v>
      </c>
      <c r="M492" s="287">
        <v>2400</v>
      </c>
      <c r="N492" s="287">
        <v>0</v>
      </c>
      <c r="O492" s="287">
        <v>0</v>
      </c>
      <c r="P492" s="287"/>
      <c r="Q492" s="288" t="s">
        <v>921</v>
      </c>
      <c r="R492" s="288" t="s">
        <v>921</v>
      </c>
      <c r="S492" s="288" t="s">
        <v>714</v>
      </c>
      <c r="T492" s="288"/>
      <c r="U492" s="288">
        <v>0</v>
      </c>
      <c r="V492" s="289">
        <v>230.18</v>
      </c>
      <c r="W492" s="289">
        <v>0</v>
      </c>
      <c r="X492" s="288">
        <v>9.583333333333334E-2</v>
      </c>
      <c r="Y492" s="288">
        <v>9.583333333333334E-2</v>
      </c>
      <c r="Z492" s="288">
        <v>7.4999999999999993E-5</v>
      </c>
      <c r="AA492" s="288">
        <v>0</v>
      </c>
      <c r="AB492" s="288">
        <v>0</v>
      </c>
      <c r="AC492" s="289">
        <v>9.5908333333333345E-2</v>
      </c>
      <c r="AD492" s="289">
        <v>0</v>
      </c>
    </row>
    <row r="493" spans="1:30" ht="15" customHeight="1" x14ac:dyDescent="0.25">
      <c r="A493" s="282" t="s">
        <v>581</v>
      </c>
      <c r="B493" s="282" t="s">
        <v>616</v>
      </c>
      <c r="C493" s="282" t="s">
        <v>617</v>
      </c>
      <c r="D493" s="286" t="s">
        <v>922</v>
      </c>
      <c r="E493" s="404">
        <v>44581</v>
      </c>
      <c r="F493" s="404">
        <v>46407</v>
      </c>
      <c r="G493" s="286" t="s">
        <v>588</v>
      </c>
      <c r="H493" s="282" t="s">
        <v>589</v>
      </c>
      <c r="I493" s="282" t="s">
        <v>590</v>
      </c>
      <c r="J493" s="282" t="s">
        <v>156</v>
      </c>
      <c r="K493" s="286" t="s">
        <v>591</v>
      </c>
      <c r="L493" s="282" t="s">
        <v>574</v>
      </c>
      <c r="M493" s="287">
        <v>2400</v>
      </c>
      <c r="N493" s="287">
        <v>0</v>
      </c>
      <c r="O493" s="287">
        <v>0</v>
      </c>
      <c r="P493" s="287"/>
      <c r="Q493" s="288" t="s">
        <v>752</v>
      </c>
      <c r="R493" s="288" t="s">
        <v>752</v>
      </c>
      <c r="S493" s="288" t="s">
        <v>694</v>
      </c>
      <c r="T493" s="288"/>
      <c r="U493" s="288">
        <v>0</v>
      </c>
      <c r="V493" s="289">
        <v>294.23</v>
      </c>
      <c r="W493" s="289">
        <v>0</v>
      </c>
      <c r="X493" s="288">
        <v>0.1225</v>
      </c>
      <c r="Y493" s="288">
        <v>0.1225</v>
      </c>
      <c r="Z493" s="288">
        <v>9.5833333333333336E-5</v>
      </c>
      <c r="AA493" s="288">
        <v>0</v>
      </c>
      <c r="AB493" s="288">
        <v>0</v>
      </c>
      <c r="AC493" s="289">
        <v>0.12259583333333333</v>
      </c>
      <c r="AD493" s="289">
        <v>0</v>
      </c>
    </row>
    <row r="494" spans="1:30" ht="15" customHeight="1" x14ac:dyDescent="0.25">
      <c r="A494" s="282" t="s">
        <v>581</v>
      </c>
      <c r="B494" s="282" t="s">
        <v>616</v>
      </c>
      <c r="C494" s="282" t="s">
        <v>617</v>
      </c>
      <c r="D494" s="286" t="s">
        <v>923</v>
      </c>
      <c r="E494" s="404">
        <v>44581</v>
      </c>
      <c r="F494" s="404">
        <v>46407</v>
      </c>
      <c r="G494" s="286" t="s">
        <v>588</v>
      </c>
      <c r="H494" s="282" t="s">
        <v>589</v>
      </c>
      <c r="I494" s="282" t="s">
        <v>590</v>
      </c>
      <c r="J494" s="282" t="s">
        <v>156</v>
      </c>
      <c r="K494" s="286" t="s">
        <v>591</v>
      </c>
      <c r="L494" s="282" t="s">
        <v>574</v>
      </c>
      <c r="M494" s="287">
        <v>2400</v>
      </c>
      <c r="N494" s="287">
        <v>0</v>
      </c>
      <c r="O494" s="287">
        <v>0</v>
      </c>
      <c r="P494" s="287"/>
      <c r="Q494" s="288" t="s">
        <v>789</v>
      </c>
      <c r="R494" s="288" t="s">
        <v>789</v>
      </c>
      <c r="S494" s="288" t="s">
        <v>709</v>
      </c>
      <c r="T494" s="288"/>
      <c r="U494" s="288">
        <v>0</v>
      </c>
      <c r="V494" s="289">
        <v>307.24</v>
      </c>
      <c r="W494" s="289">
        <v>0</v>
      </c>
      <c r="X494" s="288">
        <v>0.12791666666666668</v>
      </c>
      <c r="Y494" s="288">
        <v>0.12791666666666668</v>
      </c>
      <c r="Z494" s="288">
        <v>9.9999999999999991E-5</v>
      </c>
      <c r="AA494" s="288">
        <v>0</v>
      </c>
      <c r="AB494" s="288">
        <v>0</v>
      </c>
      <c r="AC494" s="289">
        <v>0.12801666666666667</v>
      </c>
      <c r="AD494" s="289">
        <v>0</v>
      </c>
    </row>
    <row r="495" spans="1:30" ht="15" customHeight="1" x14ac:dyDescent="0.25">
      <c r="A495" s="282" t="s">
        <v>581</v>
      </c>
      <c r="B495" s="282" t="s">
        <v>616</v>
      </c>
      <c r="C495" s="282" t="s">
        <v>617</v>
      </c>
      <c r="D495" s="286" t="s">
        <v>924</v>
      </c>
      <c r="E495" s="404">
        <v>45038</v>
      </c>
      <c r="F495" s="404">
        <v>46865</v>
      </c>
      <c r="G495" s="290" t="s">
        <v>283</v>
      </c>
      <c r="H495" s="282" t="s">
        <v>881</v>
      </c>
      <c r="I495" s="282" t="s">
        <v>590</v>
      </c>
      <c r="J495" s="282" t="s">
        <v>156</v>
      </c>
      <c r="K495" s="286" t="s">
        <v>882</v>
      </c>
      <c r="L495" s="282" t="s">
        <v>574</v>
      </c>
      <c r="M495" s="287">
        <v>2400</v>
      </c>
      <c r="N495" s="287">
        <v>0</v>
      </c>
      <c r="O495" s="287">
        <v>0</v>
      </c>
      <c r="P495" s="287"/>
      <c r="Q495" s="288" t="s">
        <v>925</v>
      </c>
      <c r="R495" s="288" t="s">
        <v>925</v>
      </c>
      <c r="S495" s="288" t="s">
        <v>709</v>
      </c>
      <c r="T495" s="288"/>
      <c r="U495" s="288">
        <v>0</v>
      </c>
      <c r="V495" s="289">
        <v>308.24</v>
      </c>
      <c r="W495" s="289">
        <v>0</v>
      </c>
      <c r="X495" s="288">
        <v>0.12833333333333333</v>
      </c>
      <c r="Y495" s="288">
        <v>0.12833333333333333</v>
      </c>
      <c r="Z495" s="288">
        <v>9.9999999999999991E-5</v>
      </c>
      <c r="AA495" s="288">
        <v>0</v>
      </c>
      <c r="AB495" s="288">
        <v>0</v>
      </c>
      <c r="AC495" s="289">
        <v>0.12843333333333332</v>
      </c>
      <c r="AD495" s="289">
        <v>0</v>
      </c>
    </row>
    <row r="496" spans="1:30" ht="15" customHeight="1" x14ac:dyDescent="0.25">
      <c r="A496" s="282" t="s">
        <v>581</v>
      </c>
      <c r="B496" s="282" t="s">
        <v>628</v>
      </c>
      <c r="C496" s="282" t="s">
        <v>629</v>
      </c>
      <c r="D496" s="286" t="s">
        <v>926</v>
      </c>
      <c r="E496" s="404">
        <v>45038</v>
      </c>
      <c r="F496" s="404">
        <v>46865</v>
      </c>
      <c r="G496" s="290" t="s">
        <v>283</v>
      </c>
      <c r="H496" s="282" t="s">
        <v>881</v>
      </c>
      <c r="I496" s="282" t="s">
        <v>590</v>
      </c>
      <c r="J496" s="282" t="s">
        <v>156</v>
      </c>
      <c r="K496" s="286" t="s">
        <v>882</v>
      </c>
      <c r="L496" s="282" t="s">
        <v>574</v>
      </c>
      <c r="M496" s="287">
        <v>2400</v>
      </c>
      <c r="N496" s="287">
        <v>0</v>
      </c>
      <c r="O496" s="287">
        <v>0</v>
      </c>
      <c r="P496" s="287"/>
      <c r="Q496" s="288" t="s">
        <v>863</v>
      </c>
      <c r="R496" s="288" t="s">
        <v>863</v>
      </c>
      <c r="S496" s="288" t="s">
        <v>927</v>
      </c>
      <c r="T496" s="288"/>
      <c r="U496" s="288">
        <v>0</v>
      </c>
      <c r="V496" s="289">
        <v>167.13</v>
      </c>
      <c r="W496" s="289">
        <v>0</v>
      </c>
      <c r="X496" s="288">
        <v>6.958333333333333E-2</v>
      </c>
      <c r="Y496" s="288">
        <v>6.958333333333333E-2</v>
      </c>
      <c r="Z496" s="288">
        <v>5.4166666666666671E-5</v>
      </c>
      <c r="AA496" s="288">
        <v>0</v>
      </c>
      <c r="AB496" s="288">
        <v>0</v>
      </c>
      <c r="AC496" s="289">
        <v>6.9637499999999991E-2</v>
      </c>
      <c r="AD496" s="289">
        <v>0</v>
      </c>
    </row>
    <row r="497" spans="1:30" ht="15" customHeight="1" x14ac:dyDescent="0.25">
      <c r="A497" s="282" t="s">
        <v>581</v>
      </c>
      <c r="B497" s="282" t="s">
        <v>616</v>
      </c>
      <c r="C497" s="282" t="s">
        <v>617</v>
      </c>
      <c r="D497" s="286" t="s">
        <v>928</v>
      </c>
      <c r="E497" s="404">
        <v>45038</v>
      </c>
      <c r="F497" s="404">
        <v>46865</v>
      </c>
      <c r="G497" s="290" t="s">
        <v>283</v>
      </c>
      <c r="H497" s="282" t="s">
        <v>881</v>
      </c>
      <c r="I497" s="282" t="s">
        <v>590</v>
      </c>
      <c r="J497" s="282" t="s">
        <v>156</v>
      </c>
      <c r="K497" s="286" t="s">
        <v>882</v>
      </c>
      <c r="L497" s="282" t="s">
        <v>574</v>
      </c>
      <c r="M497" s="287">
        <v>2400</v>
      </c>
      <c r="N497" s="287">
        <v>0</v>
      </c>
      <c r="O497" s="287">
        <v>0</v>
      </c>
      <c r="P497" s="287"/>
      <c r="Q497" s="288" t="s">
        <v>929</v>
      </c>
      <c r="R497" s="288" t="s">
        <v>929</v>
      </c>
      <c r="S497" s="288" t="s">
        <v>709</v>
      </c>
      <c r="T497" s="288"/>
      <c r="U497" s="288">
        <v>0</v>
      </c>
      <c r="V497" s="289">
        <v>309.24</v>
      </c>
      <c r="W497" s="289">
        <v>0</v>
      </c>
      <c r="X497" s="288">
        <v>0.12875</v>
      </c>
      <c r="Y497" s="288">
        <v>0.12875</v>
      </c>
      <c r="Z497" s="288">
        <v>9.9999999999999991E-5</v>
      </c>
      <c r="AA497" s="288">
        <v>0</v>
      </c>
      <c r="AB497" s="288">
        <v>0</v>
      </c>
      <c r="AC497" s="289">
        <v>0.12884999999999999</v>
      </c>
      <c r="AD497" s="289">
        <v>0</v>
      </c>
    </row>
    <row r="498" spans="1:30" ht="15" customHeight="1" x14ac:dyDescent="0.25">
      <c r="A498" s="282" t="s">
        <v>581</v>
      </c>
      <c r="B498" s="282" t="s">
        <v>585</v>
      </c>
      <c r="C498" s="282" t="s">
        <v>586</v>
      </c>
      <c r="D498" s="286" t="s">
        <v>930</v>
      </c>
      <c r="E498" s="404">
        <v>45038</v>
      </c>
      <c r="F498" s="404">
        <v>46865</v>
      </c>
      <c r="G498" s="290" t="s">
        <v>283</v>
      </c>
      <c r="H498" s="282" t="s">
        <v>881</v>
      </c>
      <c r="I498" s="282" t="s">
        <v>590</v>
      </c>
      <c r="J498" s="282" t="s">
        <v>156</v>
      </c>
      <c r="K498" s="286" t="s">
        <v>882</v>
      </c>
      <c r="L498" s="282" t="s">
        <v>574</v>
      </c>
      <c r="M498" s="287">
        <v>2400</v>
      </c>
      <c r="N498" s="287">
        <v>0</v>
      </c>
      <c r="O498" s="287">
        <v>0</v>
      </c>
      <c r="P498" s="287"/>
      <c r="Q498" s="288" t="s">
        <v>931</v>
      </c>
      <c r="R498" s="288" t="s">
        <v>931</v>
      </c>
      <c r="S498" s="288" t="s">
        <v>832</v>
      </c>
      <c r="T498" s="288"/>
      <c r="U498" s="288">
        <v>0</v>
      </c>
      <c r="V498" s="289">
        <v>258.2</v>
      </c>
      <c r="W498" s="289">
        <v>0</v>
      </c>
      <c r="X498" s="288">
        <v>0.1075</v>
      </c>
      <c r="Y498" s="288">
        <v>0.1075</v>
      </c>
      <c r="Z498" s="288">
        <v>8.3333333333333344E-5</v>
      </c>
      <c r="AA498" s="288">
        <v>0</v>
      </c>
      <c r="AB498" s="288">
        <v>0</v>
      </c>
      <c r="AC498" s="289">
        <v>0.10758333333333334</v>
      </c>
      <c r="AD498" s="289">
        <v>0</v>
      </c>
    </row>
    <row r="499" spans="1:30" ht="15" customHeight="1" x14ac:dyDescent="0.25">
      <c r="A499" s="282" t="s">
        <v>581</v>
      </c>
      <c r="B499" s="282" t="s">
        <v>611</v>
      </c>
      <c r="C499" s="282" t="s">
        <v>612</v>
      </c>
      <c r="D499" s="286" t="s">
        <v>932</v>
      </c>
      <c r="E499" s="404">
        <v>44581</v>
      </c>
      <c r="F499" s="404">
        <v>46407</v>
      </c>
      <c r="G499" s="286" t="s">
        <v>588</v>
      </c>
      <c r="H499" s="282" t="s">
        <v>589</v>
      </c>
      <c r="I499" s="282" t="s">
        <v>590</v>
      </c>
      <c r="J499" s="282" t="s">
        <v>156</v>
      </c>
      <c r="K499" s="286" t="s">
        <v>591</v>
      </c>
      <c r="L499" s="282" t="s">
        <v>574</v>
      </c>
      <c r="M499" s="287">
        <v>2400</v>
      </c>
      <c r="N499" s="287">
        <v>0</v>
      </c>
      <c r="O499" s="287">
        <v>0</v>
      </c>
      <c r="P499" s="287"/>
      <c r="Q499" s="288" t="s">
        <v>931</v>
      </c>
      <c r="R499" s="288" t="s">
        <v>931</v>
      </c>
      <c r="S499" s="288" t="s">
        <v>832</v>
      </c>
      <c r="T499" s="288"/>
      <c r="U499" s="288">
        <v>0</v>
      </c>
      <c r="V499" s="289">
        <v>258.2</v>
      </c>
      <c r="W499" s="289">
        <v>0</v>
      </c>
      <c r="X499" s="288">
        <v>0.1075</v>
      </c>
      <c r="Y499" s="288">
        <v>0.1075</v>
      </c>
      <c r="Z499" s="288">
        <v>8.3333333333333344E-5</v>
      </c>
      <c r="AA499" s="288">
        <v>0</v>
      </c>
      <c r="AB499" s="288">
        <v>0</v>
      </c>
      <c r="AC499" s="289">
        <v>0.10758333333333334</v>
      </c>
      <c r="AD499" s="289">
        <v>0</v>
      </c>
    </row>
    <row r="500" spans="1:30" ht="15" customHeight="1" x14ac:dyDescent="0.25">
      <c r="A500" s="282" t="s">
        <v>581</v>
      </c>
      <c r="B500" s="282" t="s">
        <v>585</v>
      </c>
      <c r="C500" s="282" t="s">
        <v>586</v>
      </c>
      <c r="D500" s="286" t="s">
        <v>933</v>
      </c>
      <c r="E500" s="404">
        <v>44581</v>
      </c>
      <c r="F500" s="404">
        <v>46407</v>
      </c>
      <c r="G500" s="286" t="s">
        <v>588</v>
      </c>
      <c r="H500" s="282" t="s">
        <v>589</v>
      </c>
      <c r="I500" s="282" t="s">
        <v>590</v>
      </c>
      <c r="J500" s="282" t="s">
        <v>156</v>
      </c>
      <c r="K500" s="286" t="s">
        <v>591</v>
      </c>
      <c r="L500" s="282" t="s">
        <v>574</v>
      </c>
      <c r="M500" s="287">
        <v>2400</v>
      </c>
      <c r="N500" s="287">
        <v>0</v>
      </c>
      <c r="O500" s="287">
        <v>0</v>
      </c>
      <c r="P500" s="287"/>
      <c r="Q500" s="288" t="s">
        <v>661</v>
      </c>
      <c r="R500" s="288" t="s">
        <v>661</v>
      </c>
      <c r="S500" s="288" t="s">
        <v>714</v>
      </c>
      <c r="T500" s="288"/>
      <c r="U500" s="288">
        <v>0</v>
      </c>
      <c r="V500" s="289">
        <v>233.18</v>
      </c>
      <c r="W500" s="289">
        <v>0</v>
      </c>
      <c r="X500" s="288">
        <v>9.7083333333333327E-2</v>
      </c>
      <c r="Y500" s="288">
        <v>9.7083333333333327E-2</v>
      </c>
      <c r="Z500" s="288">
        <v>7.4999999999999993E-5</v>
      </c>
      <c r="AA500" s="288">
        <v>0</v>
      </c>
      <c r="AB500" s="288">
        <v>0</v>
      </c>
      <c r="AC500" s="289">
        <v>9.7158333333333333E-2</v>
      </c>
      <c r="AD500" s="289">
        <v>0</v>
      </c>
    </row>
    <row r="501" spans="1:30" ht="15" customHeight="1" x14ac:dyDescent="0.25">
      <c r="A501" s="282" t="s">
        <v>581</v>
      </c>
      <c r="B501" s="282" t="s">
        <v>585</v>
      </c>
      <c r="C501" s="282" t="s">
        <v>586</v>
      </c>
      <c r="D501" s="286" t="s">
        <v>934</v>
      </c>
      <c r="E501" s="404">
        <v>45038</v>
      </c>
      <c r="F501" s="404">
        <v>46865</v>
      </c>
      <c r="G501" s="290" t="s">
        <v>283</v>
      </c>
      <c r="H501" s="282" t="s">
        <v>881</v>
      </c>
      <c r="I501" s="282" t="s">
        <v>590</v>
      </c>
      <c r="J501" s="282" t="s">
        <v>156</v>
      </c>
      <c r="K501" s="286" t="s">
        <v>882</v>
      </c>
      <c r="L501" s="282" t="s">
        <v>574</v>
      </c>
      <c r="M501" s="287">
        <v>2400</v>
      </c>
      <c r="N501" s="287">
        <v>0</v>
      </c>
      <c r="O501" s="287">
        <v>0</v>
      </c>
      <c r="P501" s="287"/>
      <c r="Q501" s="288" t="s">
        <v>935</v>
      </c>
      <c r="R501" s="288" t="s">
        <v>935</v>
      </c>
      <c r="S501" s="288" t="s">
        <v>832</v>
      </c>
      <c r="T501" s="288"/>
      <c r="U501" s="288">
        <v>0</v>
      </c>
      <c r="V501" s="289">
        <v>259.2</v>
      </c>
      <c r="W501" s="289">
        <v>0</v>
      </c>
      <c r="X501" s="288">
        <v>0.10791666666666666</v>
      </c>
      <c r="Y501" s="288">
        <v>0.10791666666666666</v>
      </c>
      <c r="Z501" s="288">
        <v>8.3333333333333344E-5</v>
      </c>
      <c r="AA501" s="288">
        <v>0</v>
      </c>
      <c r="AB501" s="288">
        <v>0</v>
      </c>
      <c r="AC501" s="289">
        <v>0.108</v>
      </c>
      <c r="AD501" s="289">
        <v>0</v>
      </c>
    </row>
    <row r="502" spans="1:30" ht="15" customHeight="1" x14ac:dyDescent="0.25">
      <c r="A502" s="282" t="s">
        <v>581</v>
      </c>
      <c r="B502" s="282" t="s">
        <v>585</v>
      </c>
      <c r="C502" s="282" t="s">
        <v>586</v>
      </c>
      <c r="D502" s="283" t="s">
        <v>936</v>
      </c>
      <c r="E502" s="404">
        <v>45016</v>
      </c>
      <c r="F502" s="404">
        <v>46843</v>
      </c>
      <c r="G502" s="286" t="s">
        <v>286</v>
      </c>
      <c r="H502" s="282" t="s">
        <v>782</v>
      </c>
      <c r="I502" s="282" t="s">
        <v>590</v>
      </c>
      <c r="J502" s="282" t="s">
        <v>156</v>
      </c>
      <c r="K502" s="286" t="s">
        <v>783</v>
      </c>
      <c r="L502" s="282" t="s">
        <v>574</v>
      </c>
      <c r="M502" s="287">
        <v>2400</v>
      </c>
      <c r="N502" s="287">
        <v>0</v>
      </c>
      <c r="O502" s="287">
        <v>0</v>
      </c>
      <c r="P502" s="287"/>
      <c r="Q502" s="288">
        <v>259</v>
      </c>
      <c r="R502" s="288">
        <v>259</v>
      </c>
      <c r="S502" s="288">
        <v>0.2</v>
      </c>
      <c r="T502" s="288"/>
      <c r="U502" s="288">
        <v>0</v>
      </c>
      <c r="V502" s="289">
        <v>259.2</v>
      </c>
      <c r="W502" s="289">
        <v>0</v>
      </c>
      <c r="X502" s="288">
        <v>0.10791666666666666</v>
      </c>
      <c r="Y502" s="288">
        <v>0.10791666666666666</v>
      </c>
      <c r="Z502" s="288">
        <v>8.3333333333333344E-5</v>
      </c>
      <c r="AA502" s="288">
        <v>0</v>
      </c>
      <c r="AB502" s="288">
        <v>0</v>
      </c>
      <c r="AC502" s="289">
        <v>0.108</v>
      </c>
      <c r="AD502" s="289">
        <v>0</v>
      </c>
    </row>
    <row r="503" spans="1:30" ht="15" customHeight="1" x14ac:dyDescent="0.25">
      <c r="A503" s="282" t="s">
        <v>581</v>
      </c>
      <c r="B503" s="282" t="s">
        <v>616</v>
      </c>
      <c r="C503" s="282" t="s">
        <v>617</v>
      </c>
      <c r="D503" s="283" t="s">
        <v>937</v>
      </c>
      <c r="E503" s="404">
        <v>45016</v>
      </c>
      <c r="F503" s="404">
        <v>46843</v>
      </c>
      <c r="G503" s="286" t="s">
        <v>283</v>
      </c>
      <c r="H503" s="282" t="s">
        <v>736</v>
      </c>
      <c r="I503" s="282" t="s">
        <v>590</v>
      </c>
      <c r="J503" s="282" t="s">
        <v>156</v>
      </c>
      <c r="K503" s="286" t="s">
        <v>737</v>
      </c>
      <c r="L503" s="282" t="s">
        <v>574</v>
      </c>
      <c r="M503" s="287">
        <v>2400</v>
      </c>
      <c r="N503" s="287">
        <v>0</v>
      </c>
      <c r="O503" s="287">
        <v>0</v>
      </c>
      <c r="P503" s="287"/>
      <c r="Q503" s="288">
        <v>482</v>
      </c>
      <c r="R503" s="288">
        <v>482</v>
      </c>
      <c r="S503" s="288">
        <v>0.371</v>
      </c>
      <c r="T503" s="288"/>
      <c r="U503" s="288">
        <v>0</v>
      </c>
      <c r="V503" s="289">
        <v>482.37099999999998</v>
      </c>
      <c r="W503" s="289">
        <v>0</v>
      </c>
      <c r="X503" s="288">
        <v>0.20083333333333334</v>
      </c>
      <c r="Y503" s="288">
        <v>0.20083333333333334</v>
      </c>
      <c r="Z503" s="288">
        <v>1.5458333333333334E-4</v>
      </c>
      <c r="AA503" s="288">
        <v>0</v>
      </c>
      <c r="AB503" s="288">
        <v>0</v>
      </c>
      <c r="AC503" s="289">
        <v>0.20098791666666668</v>
      </c>
      <c r="AD503" s="289">
        <v>0</v>
      </c>
    </row>
    <row r="504" spans="1:30" ht="15" customHeight="1" x14ac:dyDescent="0.25">
      <c r="A504" s="282" t="s">
        <v>581</v>
      </c>
      <c r="B504" s="282" t="s">
        <v>616</v>
      </c>
      <c r="C504" s="282" t="s">
        <v>617</v>
      </c>
      <c r="D504" s="286" t="s">
        <v>938</v>
      </c>
      <c r="E504" s="404">
        <v>44581</v>
      </c>
      <c r="F504" s="404">
        <v>46407</v>
      </c>
      <c r="G504" s="286" t="s">
        <v>588</v>
      </c>
      <c r="H504" s="282" t="s">
        <v>589</v>
      </c>
      <c r="I504" s="282" t="s">
        <v>590</v>
      </c>
      <c r="J504" s="282" t="s">
        <v>156</v>
      </c>
      <c r="K504" s="286" t="s">
        <v>591</v>
      </c>
      <c r="L504" s="282" t="s">
        <v>574</v>
      </c>
      <c r="M504" s="287">
        <v>2400</v>
      </c>
      <c r="N504" s="287">
        <v>0</v>
      </c>
      <c r="O504" s="287">
        <v>0</v>
      </c>
      <c r="P504" s="287"/>
      <c r="Q504" s="288" t="s">
        <v>939</v>
      </c>
      <c r="R504" s="288" t="s">
        <v>939</v>
      </c>
      <c r="S504" s="288" t="s">
        <v>694</v>
      </c>
      <c r="T504" s="288"/>
      <c r="U504" s="288">
        <v>0</v>
      </c>
      <c r="V504" s="289">
        <v>299.23</v>
      </c>
      <c r="W504" s="289">
        <v>0</v>
      </c>
      <c r="X504" s="288">
        <v>0.12458333333333334</v>
      </c>
      <c r="Y504" s="288">
        <v>0.12458333333333334</v>
      </c>
      <c r="Z504" s="288">
        <v>9.5833333333333336E-5</v>
      </c>
      <c r="AA504" s="288">
        <v>0</v>
      </c>
      <c r="AB504" s="288">
        <v>0</v>
      </c>
      <c r="AC504" s="289">
        <v>0.12467916666666667</v>
      </c>
      <c r="AD504" s="289">
        <v>0</v>
      </c>
    </row>
    <row r="505" spans="1:30" ht="15" customHeight="1" x14ac:dyDescent="0.25">
      <c r="A505" s="282" t="s">
        <v>581</v>
      </c>
      <c r="B505" s="282" t="s">
        <v>616</v>
      </c>
      <c r="C505" s="282" t="s">
        <v>617</v>
      </c>
      <c r="D505" s="286" t="s">
        <v>940</v>
      </c>
      <c r="E505" s="404">
        <v>44581</v>
      </c>
      <c r="F505" s="404">
        <v>46407</v>
      </c>
      <c r="G505" s="286" t="s">
        <v>588</v>
      </c>
      <c r="H505" s="282" t="s">
        <v>589</v>
      </c>
      <c r="I505" s="282" t="s">
        <v>590</v>
      </c>
      <c r="J505" s="282" t="s">
        <v>156</v>
      </c>
      <c r="K505" s="286" t="s">
        <v>591</v>
      </c>
      <c r="L505" s="282" t="s">
        <v>574</v>
      </c>
      <c r="M505" s="287">
        <v>2400</v>
      </c>
      <c r="N505" s="287">
        <v>0</v>
      </c>
      <c r="O505" s="287">
        <v>0</v>
      </c>
      <c r="P505" s="287"/>
      <c r="Q505" s="288" t="s">
        <v>939</v>
      </c>
      <c r="R505" s="288" t="s">
        <v>939</v>
      </c>
      <c r="S505" s="288" t="s">
        <v>694</v>
      </c>
      <c r="T505" s="288"/>
      <c r="U505" s="288">
        <v>0</v>
      </c>
      <c r="V505" s="289">
        <v>299.23</v>
      </c>
      <c r="W505" s="289">
        <v>0</v>
      </c>
      <c r="X505" s="288">
        <v>0.12458333333333334</v>
      </c>
      <c r="Y505" s="288">
        <v>0.12458333333333334</v>
      </c>
      <c r="Z505" s="288">
        <v>9.5833333333333336E-5</v>
      </c>
      <c r="AA505" s="288">
        <v>0</v>
      </c>
      <c r="AB505" s="288">
        <v>0</v>
      </c>
      <c r="AC505" s="289">
        <v>0.12467916666666667</v>
      </c>
      <c r="AD505" s="289">
        <v>0</v>
      </c>
    </row>
    <row r="506" spans="1:30" ht="15" customHeight="1" x14ac:dyDescent="0.25">
      <c r="A506" s="282" t="s">
        <v>581</v>
      </c>
      <c r="B506" s="282" t="s">
        <v>585</v>
      </c>
      <c r="C506" s="282" t="s">
        <v>586</v>
      </c>
      <c r="D506" s="286" t="s">
        <v>941</v>
      </c>
      <c r="E506" s="404">
        <v>45038</v>
      </c>
      <c r="F506" s="404">
        <v>46865</v>
      </c>
      <c r="G506" s="290" t="s">
        <v>283</v>
      </c>
      <c r="H506" s="282" t="s">
        <v>881</v>
      </c>
      <c r="I506" s="282" t="s">
        <v>590</v>
      </c>
      <c r="J506" s="282" t="s">
        <v>156</v>
      </c>
      <c r="K506" s="286" t="s">
        <v>882</v>
      </c>
      <c r="L506" s="282" t="s">
        <v>574</v>
      </c>
      <c r="M506" s="287">
        <v>2400</v>
      </c>
      <c r="N506" s="287">
        <v>0</v>
      </c>
      <c r="O506" s="287">
        <v>0</v>
      </c>
      <c r="P506" s="287"/>
      <c r="Q506" s="288" t="s">
        <v>942</v>
      </c>
      <c r="R506" s="288" t="s">
        <v>942</v>
      </c>
      <c r="S506" s="288" t="s">
        <v>714</v>
      </c>
      <c r="T506" s="288"/>
      <c r="U506" s="288">
        <v>0</v>
      </c>
      <c r="V506" s="289">
        <v>234.18</v>
      </c>
      <c r="W506" s="289">
        <v>0</v>
      </c>
      <c r="X506" s="288">
        <v>9.7500000000000003E-2</v>
      </c>
      <c r="Y506" s="288">
        <v>9.7500000000000003E-2</v>
      </c>
      <c r="Z506" s="288">
        <v>7.4999999999999993E-5</v>
      </c>
      <c r="AA506" s="288">
        <v>0</v>
      </c>
      <c r="AB506" s="288">
        <v>0</v>
      </c>
      <c r="AC506" s="289">
        <v>9.7575000000000009E-2</v>
      </c>
      <c r="AD506" s="289">
        <v>0</v>
      </c>
    </row>
    <row r="507" spans="1:30" ht="15" customHeight="1" x14ac:dyDescent="0.25">
      <c r="A507" s="282" t="s">
        <v>581</v>
      </c>
      <c r="B507" s="282" t="s">
        <v>585</v>
      </c>
      <c r="C507" s="282" t="s">
        <v>586</v>
      </c>
      <c r="D507" s="286" t="s">
        <v>943</v>
      </c>
      <c r="E507" s="404">
        <v>44581</v>
      </c>
      <c r="F507" s="404">
        <v>46407</v>
      </c>
      <c r="G507" s="286" t="s">
        <v>588</v>
      </c>
      <c r="H507" s="282" t="s">
        <v>589</v>
      </c>
      <c r="I507" s="282" t="s">
        <v>590</v>
      </c>
      <c r="J507" s="282" t="s">
        <v>156</v>
      </c>
      <c r="K507" s="286" t="s">
        <v>591</v>
      </c>
      <c r="L507" s="282" t="s">
        <v>574</v>
      </c>
      <c r="M507" s="287">
        <v>2400</v>
      </c>
      <c r="N507" s="287">
        <v>0</v>
      </c>
      <c r="O507" s="287">
        <v>0</v>
      </c>
      <c r="P507" s="287"/>
      <c r="Q507" s="288" t="s">
        <v>942</v>
      </c>
      <c r="R507" s="288" t="s">
        <v>942</v>
      </c>
      <c r="S507" s="288" t="s">
        <v>714</v>
      </c>
      <c r="T507" s="288"/>
      <c r="U507" s="288">
        <v>0</v>
      </c>
      <c r="V507" s="289">
        <v>234.18</v>
      </c>
      <c r="W507" s="289">
        <v>0</v>
      </c>
      <c r="X507" s="288">
        <v>9.7500000000000003E-2</v>
      </c>
      <c r="Y507" s="288">
        <v>9.7500000000000003E-2</v>
      </c>
      <c r="Z507" s="288">
        <v>7.4999999999999993E-5</v>
      </c>
      <c r="AA507" s="288">
        <v>0</v>
      </c>
      <c r="AB507" s="288">
        <v>0</v>
      </c>
      <c r="AC507" s="289">
        <v>9.7575000000000009E-2</v>
      </c>
      <c r="AD507" s="289">
        <v>0</v>
      </c>
    </row>
    <row r="508" spans="1:30" ht="15" customHeight="1" x14ac:dyDescent="0.25">
      <c r="A508" s="282" t="s">
        <v>581</v>
      </c>
      <c r="B508" s="282" t="s">
        <v>594</v>
      </c>
      <c r="C508" s="282" t="s">
        <v>595</v>
      </c>
      <c r="D508" s="286" t="s">
        <v>944</v>
      </c>
      <c r="E508" s="404">
        <v>45038</v>
      </c>
      <c r="F508" s="404">
        <v>46865</v>
      </c>
      <c r="G508" s="290" t="s">
        <v>283</v>
      </c>
      <c r="H508" s="282" t="s">
        <v>881</v>
      </c>
      <c r="I508" s="282" t="s">
        <v>590</v>
      </c>
      <c r="J508" s="282" t="s">
        <v>156</v>
      </c>
      <c r="K508" s="286" t="s">
        <v>882</v>
      </c>
      <c r="L508" s="282" t="s">
        <v>574</v>
      </c>
      <c r="M508" s="287">
        <v>2400</v>
      </c>
      <c r="N508" s="287">
        <v>0</v>
      </c>
      <c r="O508" s="287">
        <v>0</v>
      </c>
      <c r="P508" s="287"/>
      <c r="Q508" s="288" t="s">
        <v>672</v>
      </c>
      <c r="R508" s="288" t="s">
        <v>672</v>
      </c>
      <c r="S508" s="288" t="s">
        <v>742</v>
      </c>
      <c r="T508" s="288"/>
      <c r="U508" s="288">
        <v>0</v>
      </c>
      <c r="V508" s="289">
        <v>208.16</v>
      </c>
      <c r="W508" s="289">
        <v>0</v>
      </c>
      <c r="X508" s="288">
        <v>8.666666666666667E-2</v>
      </c>
      <c r="Y508" s="288">
        <v>8.666666666666667E-2</v>
      </c>
      <c r="Z508" s="288">
        <v>6.666666666666667E-5</v>
      </c>
      <c r="AA508" s="288">
        <v>0</v>
      </c>
      <c r="AB508" s="288">
        <v>0</v>
      </c>
      <c r="AC508" s="289">
        <v>8.6733333333333343E-2</v>
      </c>
      <c r="AD508" s="289">
        <v>0</v>
      </c>
    </row>
    <row r="509" spans="1:30" ht="15" customHeight="1" x14ac:dyDescent="0.25">
      <c r="A509" s="282" t="s">
        <v>581</v>
      </c>
      <c r="B509" s="282" t="s">
        <v>628</v>
      </c>
      <c r="C509" s="282" t="s">
        <v>629</v>
      </c>
      <c r="D509" s="286" t="s">
        <v>945</v>
      </c>
      <c r="E509" s="404">
        <v>44581</v>
      </c>
      <c r="F509" s="404">
        <v>46407</v>
      </c>
      <c r="G509" s="286" t="s">
        <v>588</v>
      </c>
      <c r="H509" s="282" t="s">
        <v>589</v>
      </c>
      <c r="I509" s="282" t="s">
        <v>590</v>
      </c>
      <c r="J509" s="282" t="s">
        <v>156</v>
      </c>
      <c r="K509" s="286" t="s">
        <v>591</v>
      </c>
      <c r="L509" s="282" t="s">
        <v>574</v>
      </c>
      <c r="M509" s="287">
        <v>2400</v>
      </c>
      <c r="N509" s="287">
        <v>0</v>
      </c>
      <c r="O509" s="287">
        <v>0</v>
      </c>
      <c r="P509" s="287"/>
      <c r="Q509" s="288" t="s">
        <v>637</v>
      </c>
      <c r="R509" s="288" t="s">
        <v>637</v>
      </c>
      <c r="S509" s="288" t="s">
        <v>786</v>
      </c>
      <c r="T509" s="288"/>
      <c r="U509" s="288">
        <v>0</v>
      </c>
      <c r="V509" s="289">
        <v>221.17</v>
      </c>
      <c r="W509" s="289">
        <v>0</v>
      </c>
      <c r="X509" s="288">
        <v>9.2083333333333336E-2</v>
      </c>
      <c r="Y509" s="288">
        <v>9.2083333333333336E-2</v>
      </c>
      <c r="Z509" s="288">
        <v>7.0833333333333338E-5</v>
      </c>
      <c r="AA509" s="288">
        <v>0</v>
      </c>
      <c r="AB509" s="288">
        <v>0</v>
      </c>
      <c r="AC509" s="289">
        <v>9.2154166666666676E-2</v>
      </c>
      <c r="AD509" s="289">
        <v>0</v>
      </c>
    </row>
    <row r="510" spans="1:30" ht="15" customHeight="1" x14ac:dyDescent="0.25">
      <c r="A510" s="282" t="s">
        <v>581</v>
      </c>
      <c r="B510" s="282" t="s">
        <v>628</v>
      </c>
      <c r="C510" s="282" t="s">
        <v>629</v>
      </c>
      <c r="D510" s="283" t="s">
        <v>946</v>
      </c>
      <c r="E510" s="404">
        <v>45016</v>
      </c>
      <c r="F510" s="404">
        <v>46843</v>
      </c>
      <c r="G510" s="286" t="s">
        <v>283</v>
      </c>
      <c r="H510" s="282" t="s">
        <v>736</v>
      </c>
      <c r="I510" s="282" t="s">
        <v>590</v>
      </c>
      <c r="J510" s="282" t="s">
        <v>156</v>
      </c>
      <c r="K510" s="286" t="s">
        <v>737</v>
      </c>
      <c r="L510" s="282" t="s">
        <v>574</v>
      </c>
      <c r="M510" s="287">
        <v>2400</v>
      </c>
      <c r="N510" s="287">
        <v>0</v>
      </c>
      <c r="O510" s="287">
        <v>0</v>
      </c>
      <c r="P510" s="287"/>
      <c r="Q510" s="288">
        <v>245</v>
      </c>
      <c r="R510" s="288">
        <v>245</v>
      </c>
      <c r="S510" s="288">
        <v>0.188</v>
      </c>
      <c r="T510" s="288"/>
      <c r="U510" s="288">
        <v>0</v>
      </c>
      <c r="V510" s="289">
        <v>245.18799999999999</v>
      </c>
      <c r="W510" s="289">
        <v>0</v>
      </c>
      <c r="X510" s="288">
        <v>0.10208333333333333</v>
      </c>
      <c r="Y510" s="288">
        <v>0.10208333333333333</v>
      </c>
      <c r="Z510" s="288">
        <v>7.8333333333333331E-5</v>
      </c>
      <c r="AA510" s="288">
        <v>0</v>
      </c>
      <c r="AB510" s="288">
        <v>0</v>
      </c>
      <c r="AC510" s="289">
        <v>0.10216166666666666</v>
      </c>
      <c r="AD510" s="289">
        <v>0</v>
      </c>
    </row>
    <row r="511" spans="1:30" ht="15" customHeight="1" x14ac:dyDescent="0.25">
      <c r="A511" s="282" t="s">
        <v>581</v>
      </c>
      <c r="B511" s="282" t="s">
        <v>585</v>
      </c>
      <c r="C511" s="282" t="s">
        <v>586</v>
      </c>
      <c r="D511" s="286" t="s">
        <v>947</v>
      </c>
      <c r="E511" s="404">
        <v>45038</v>
      </c>
      <c r="F511" s="404">
        <v>46865</v>
      </c>
      <c r="G511" s="290" t="s">
        <v>283</v>
      </c>
      <c r="H511" s="282" t="s">
        <v>881</v>
      </c>
      <c r="I511" s="282" t="s">
        <v>590</v>
      </c>
      <c r="J511" s="282" t="s">
        <v>156</v>
      </c>
      <c r="K511" s="286" t="s">
        <v>882</v>
      </c>
      <c r="L511" s="282" t="s">
        <v>574</v>
      </c>
      <c r="M511" s="287">
        <v>2400</v>
      </c>
      <c r="N511" s="287">
        <v>0</v>
      </c>
      <c r="O511" s="287">
        <v>0</v>
      </c>
      <c r="P511" s="287"/>
      <c r="Q511" s="288" t="s">
        <v>948</v>
      </c>
      <c r="R511" s="288" t="s">
        <v>948</v>
      </c>
      <c r="S511" s="288" t="s">
        <v>714</v>
      </c>
      <c r="T511" s="288"/>
      <c r="U511" s="288">
        <v>0</v>
      </c>
      <c r="V511" s="289">
        <v>235.18</v>
      </c>
      <c r="W511" s="289">
        <v>0</v>
      </c>
      <c r="X511" s="288">
        <v>9.7916666666666666E-2</v>
      </c>
      <c r="Y511" s="288">
        <v>9.7916666666666666E-2</v>
      </c>
      <c r="Z511" s="288">
        <v>7.4999999999999993E-5</v>
      </c>
      <c r="AA511" s="288">
        <v>0</v>
      </c>
      <c r="AB511" s="288">
        <v>0</v>
      </c>
      <c r="AC511" s="289">
        <v>9.7991666666666671E-2</v>
      </c>
      <c r="AD511" s="289">
        <v>0</v>
      </c>
    </row>
    <row r="512" spans="1:30" ht="15" customHeight="1" x14ac:dyDescent="0.25">
      <c r="A512" s="282" t="s">
        <v>581</v>
      </c>
      <c r="B512" s="282" t="s">
        <v>628</v>
      </c>
      <c r="C512" s="282" t="s">
        <v>629</v>
      </c>
      <c r="D512" s="286" t="s">
        <v>949</v>
      </c>
      <c r="E512" s="404">
        <v>45038</v>
      </c>
      <c r="F512" s="404">
        <v>46865</v>
      </c>
      <c r="G512" s="290" t="s">
        <v>283</v>
      </c>
      <c r="H512" s="282" t="s">
        <v>881</v>
      </c>
      <c r="I512" s="282" t="s">
        <v>590</v>
      </c>
      <c r="J512" s="282" t="s">
        <v>156</v>
      </c>
      <c r="K512" s="286" t="s">
        <v>882</v>
      </c>
      <c r="L512" s="282" t="s">
        <v>574</v>
      </c>
      <c r="M512" s="287">
        <v>2400</v>
      </c>
      <c r="N512" s="287">
        <v>0</v>
      </c>
      <c r="O512" s="287">
        <v>0</v>
      </c>
      <c r="P512" s="287"/>
      <c r="Q512" s="288" t="s">
        <v>701</v>
      </c>
      <c r="R512" s="288" t="s">
        <v>701</v>
      </c>
      <c r="S512" s="288" t="s">
        <v>786</v>
      </c>
      <c r="T512" s="288"/>
      <c r="U512" s="288">
        <v>0</v>
      </c>
      <c r="V512" s="289">
        <v>222.17</v>
      </c>
      <c r="W512" s="289">
        <v>0</v>
      </c>
      <c r="X512" s="288">
        <v>9.2499999999999999E-2</v>
      </c>
      <c r="Y512" s="288">
        <v>9.2499999999999999E-2</v>
      </c>
      <c r="Z512" s="288">
        <v>7.0833333333333338E-5</v>
      </c>
      <c r="AA512" s="288">
        <v>0</v>
      </c>
      <c r="AB512" s="288">
        <v>0</v>
      </c>
      <c r="AC512" s="289">
        <v>9.2570833333333338E-2</v>
      </c>
      <c r="AD512" s="289">
        <v>0</v>
      </c>
    </row>
    <row r="513" spans="1:30" ht="15" customHeight="1" x14ac:dyDescent="0.25">
      <c r="A513" s="282" t="s">
        <v>581</v>
      </c>
      <c r="B513" s="282" t="s">
        <v>611</v>
      </c>
      <c r="C513" s="282" t="s">
        <v>612</v>
      </c>
      <c r="D513" s="286" t="s">
        <v>950</v>
      </c>
      <c r="E513" s="404">
        <v>45038</v>
      </c>
      <c r="F513" s="404">
        <v>46865</v>
      </c>
      <c r="G513" s="290" t="s">
        <v>283</v>
      </c>
      <c r="H513" s="282" t="s">
        <v>881</v>
      </c>
      <c r="I513" s="282" t="s">
        <v>590</v>
      </c>
      <c r="J513" s="282" t="s">
        <v>156</v>
      </c>
      <c r="K513" s="286" t="s">
        <v>882</v>
      </c>
      <c r="L513" s="282" t="s">
        <v>574</v>
      </c>
      <c r="M513" s="287">
        <v>2400</v>
      </c>
      <c r="N513" s="287">
        <v>0</v>
      </c>
      <c r="O513" s="287">
        <v>0</v>
      </c>
      <c r="P513" s="287"/>
      <c r="Q513" s="288" t="s">
        <v>817</v>
      </c>
      <c r="R513" s="288" t="s">
        <v>817</v>
      </c>
      <c r="S513" s="288" t="s">
        <v>742</v>
      </c>
      <c r="T513" s="288"/>
      <c r="U513" s="288">
        <v>0</v>
      </c>
      <c r="V513" s="289">
        <v>209.16</v>
      </c>
      <c r="W513" s="289">
        <v>0</v>
      </c>
      <c r="X513" s="288">
        <v>8.7083333333333332E-2</v>
      </c>
      <c r="Y513" s="288">
        <v>8.7083333333333332E-2</v>
      </c>
      <c r="Z513" s="288">
        <v>6.666666666666667E-5</v>
      </c>
      <c r="AA513" s="288">
        <v>0</v>
      </c>
      <c r="AB513" s="288">
        <v>0</v>
      </c>
      <c r="AC513" s="289">
        <v>8.7150000000000005E-2</v>
      </c>
      <c r="AD513" s="289">
        <v>0</v>
      </c>
    </row>
    <row r="514" spans="1:30" ht="15" customHeight="1" x14ac:dyDescent="0.25">
      <c r="A514" s="282" t="s">
        <v>581</v>
      </c>
      <c r="B514" s="282" t="s">
        <v>616</v>
      </c>
      <c r="C514" s="282" t="s">
        <v>617</v>
      </c>
      <c r="D514" s="286" t="s">
        <v>951</v>
      </c>
      <c r="E514" s="404">
        <v>45038</v>
      </c>
      <c r="F514" s="404">
        <v>46865</v>
      </c>
      <c r="G514" s="290" t="s">
        <v>283</v>
      </c>
      <c r="H514" s="282" t="s">
        <v>881</v>
      </c>
      <c r="I514" s="282" t="s">
        <v>590</v>
      </c>
      <c r="J514" s="282" t="s">
        <v>156</v>
      </c>
      <c r="K514" s="286" t="s">
        <v>882</v>
      </c>
      <c r="L514" s="282" t="s">
        <v>574</v>
      </c>
      <c r="M514" s="287">
        <v>2400</v>
      </c>
      <c r="N514" s="287">
        <v>0</v>
      </c>
      <c r="O514" s="287">
        <v>0</v>
      </c>
      <c r="P514" s="287"/>
      <c r="Q514" s="288" t="s">
        <v>901</v>
      </c>
      <c r="R514" s="288" t="s">
        <v>901</v>
      </c>
      <c r="S514" s="288" t="s">
        <v>694</v>
      </c>
      <c r="T514" s="288"/>
      <c r="U514" s="288">
        <v>0</v>
      </c>
      <c r="V514" s="289">
        <v>301.23</v>
      </c>
      <c r="W514" s="289">
        <v>0</v>
      </c>
      <c r="X514" s="288">
        <v>0.12541666666666668</v>
      </c>
      <c r="Y514" s="288">
        <v>0.12541666666666668</v>
      </c>
      <c r="Z514" s="288">
        <v>9.5833333333333336E-5</v>
      </c>
      <c r="AA514" s="288">
        <v>0</v>
      </c>
      <c r="AB514" s="288">
        <v>0</v>
      </c>
      <c r="AC514" s="289">
        <v>0.1255125</v>
      </c>
      <c r="AD514" s="289">
        <v>0</v>
      </c>
    </row>
    <row r="515" spans="1:30" ht="15" customHeight="1" x14ac:dyDescent="0.25">
      <c r="A515" s="282" t="s">
        <v>581</v>
      </c>
      <c r="B515" s="282" t="s">
        <v>616</v>
      </c>
      <c r="C515" s="282" t="s">
        <v>617</v>
      </c>
      <c r="D515" s="286" t="s">
        <v>952</v>
      </c>
      <c r="E515" s="404">
        <v>45038</v>
      </c>
      <c r="F515" s="404">
        <v>46865</v>
      </c>
      <c r="G515" s="290" t="s">
        <v>283</v>
      </c>
      <c r="H515" s="282" t="s">
        <v>881</v>
      </c>
      <c r="I515" s="282" t="s">
        <v>590</v>
      </c>
      <c r="J515" s="282" t="s">
        <v>156</v>
      </c>
      <c r="K515" s="286" t="s">
        <v>882</v>
      </c>
      <c r="L515" s="282" t="s">
        <v>574</v>
      </c>
      <c r="M515" s="287">
        <v>2400</v>
      </c>
      <c r="N515" s="287">
        <v>0</v>
      </c>
      <c r="O515" s="287">
        <v>0</v>
      </c>
      <c r="P515" s="287"/>
      <c r="Q515" s="288" t="s">
        <v>899</v>
      </c>
      <c r="R515" s="288" t="s">
        <v>899</v>
      </c>
      <c r="S515" s="288" t="s">
        <v>724</v>
      </c>
      <c r="T515" s="288"/>
      <c r="U515" s="288">
        <v>0</v>
      </c>
      <c r="V515" s="289">
        <v>288.22000000000003</v>
      </c>
      <c r="W515" s="289">
        <v>0</v>
      </c>
      <c r="X515" s="288">
        <v>0.12</v>
      </c>
      <c r="Y515" s="288">
        <v>0.12</v>
      </c>
      <c r="Z515" s="288">
        <v>9.1666666666666668E-5</v>
      </c>
      <c r="AA515" s="288">
        <v>0</v>
      </c>
      <c r="AB515" s="288">
        <v>0</v>
      </c>
      <c r="AC515" s="289">
        <v>0.12009166666666667</v>
      </c>
      <c r="AD515" s="289">
        <v>0</v>
      </c>
    </row>
    <row r="516" spans="1:30" ht="15" customHeight="1" x14ac:dyDescent="0.25">
      <c r="A516" s="282" t="s">
        <v>581</v>
      </c>
      <c r="B516" s="282" t="s">
        <v>839</v>
      </c>
      <c r="C516" s="282" t="s">
        <v>840</v>
      </c>
      <c r="D516" s="286" t="s">
        <v>953</v>
      </c>
      <c r="E516" s="404">
        <v>45038</v>
      </c>
      <c r="F516" s="404">
        <v>46865</v>
      </c>
      <c r="G516" s="290" t="s">
        <v>283</v>
      </c>
      <c r="H516" s="282" t="s">
        <v>881</v>
      </c>
      <c r="I516" s="282" t="s">
        <v>590</v>
      </c>
      <c r="J516" s="282" t="s">
        <v>156</v>
      </c>
      <c r="K516" s="286" t="s">
        <v>882</v>
      </c>
      <c r="L516" s="282" t="s">
        <v>574</v>
      </c>
      <c r="M516" s="287">
        <v>2400</v>
      </c>
      <c r="N516" s="287">
        <v>0</v>
      </c>
      <c r="O516" s="287">
        <v>0</v>
      </c>
      <c r="P516" s="287"/>
      <c r="Q516" s="288" t="s">
        <v>954</v>
      </c>
      <c r="R516" s="288" t="s">
        <v>954</v>
      </c>
      <c r="S516" s="288" t="s">
        <v>643</v>
      </c>
      <c r="T516" s="288"/>
      <c r="U516" s="288">
        <v>0</v>
      </c>
      <c r="V516" s="289">
        <v>432.33</v>
      </c>
      <c r="W516" s="289">
        <v>0</v>
      </c>
      <c r="X516" s="288">
        <v>0.18</v>
      </c>
      <c r="Y516" s="288">
        <v>0.18</v>
      </c>
      <c r="Z516" s="288">
        <v>1.3750000000000001E-4</v>
      </c>
      <c r="AA516" s="288">
        <v>0</v>
      </c>
      <c r="AB516" s="288">
        <v>0</v>
      </c>
      <c r="AC516" s="289">
        <v>0.18013750000000001</v>
      </c>
      <c r="AD516" s="289">
        <v>0</v>
      </c>
    </row>
    <row r="517" spans="1:30" ht="15" customHeight="1" x14ac:dyDescent="0.25">
      <c r="A517" s="282" t="s">
        <v>581</v>
      </c>
      <c r="B517" s="282" t="s">
        <v>616</v>
      </c>
      <c r="C517" s="282" t="s">
        <v>617</v>
      </c>
      <c r="D517" s="286" t="s">
        <v>955</v>
      </c>
      <c r="E517" s="404">
        <v>44581</v>
      </c>
      <c r="F517" s="404">
        <v>46407</v>
      </c>
      <c r="G517" s="286" t="s">
        <v>588</v>
      </c>
      <c r="H517" s="282" t="s">
        <v>589</v>
      </c>
      <c r="I517" s="282" t="s">
        <v>590</v>
      </c>
      <c r="J517" s="282" t="s">
        <v>156</v>
      </c>
      <c r="K517" s="286" t="s">
        <v>591</v>
      </c>
      <c r="L517" s="282" t="s">
        <v>574</v>
      </c>
      <c r="M517" s="287">
        <v>2400</v>
      </c>
      <c r="N517" s="287">
        <v>0</v>
      </c>
      <c r="O517" s="287">
        <v>0</v>
      </c>
      <c r="P517" s="287"/>
      <c r="Q517" s="288" t="s">
        <v>956</v>
      </c>
      <c r="R517" s="288" t="s">
        <v>956</v>
      </c>
      <c r="S517" s="288" t="s">
        <v>694</v>
      </c>
      <c r="T517" s="288"/>
      <c r="U517" s="288">
        <v>0</v>
      </c>
      <c r="V517" s="289">
        <v>302.23</v>
      </c>
      <c r="W517" s="289">
        <v>0</v>
      </c>
      <c r="X517" s="288">
        <v>0.12583333333333332</v>
      </c>
      <c r="Y517" s="288">
        <v>0.12583333333333332</v>
      </c>
      <c r="Z517" s="288">
        <v>9.5833333333333336E-5</v>
      </c>
      <c r="AA517" s="288">
        <v>0</v>
      </c>
      <c r="AB517" s="288">
        <v>0</v>
      </c>
      <c r="AC517" s="289">
        <v>0.12592916666666665</v>
      </c>
      <c r="AD517" s="289">
        <v>0</v>
      </c>
    </row>
    <row r="518" spans="1:30" ht="15" customHeight="1" x14ac:dyDescent="0.25">
      <c r="A518" s="282" t="s">
        <v>581</v>
      </c>
      <c r="B518" s="282" t="s">
        <v>611</v>
      </c>
      <c r="C518" s="282" t="s">
        <v>612</v>
      </c>
      <c r="D518" s="283" t="s">
        <v>957</v>
      </c>
      <c r="E518" s="404">
        <v>45016</v>
      </c>
      <c r="F518" s="404">
        <v>46843</v>
      </c>
      <c r="G518" s="286" t="s">
        <v>283</v>
      </c>
      <c r="H518" s="282" t="s">
        <v>736</v>
      </c>
      <c r="I518" s="282" t="s">
        <v>590</v>
      </c>
      <c r="J518" s="282" t="s">
        <v>156</v>
      </c>
      <c r="K518" s="286" t="s">
        <v>737</v>
      </c>
      <c r="L518" s="282" t="s">
        <v>574</v>
      </c>
      <c r="M518" s="287">
        <v>2400</v>
      </c>
      <c r="N518" s="287">
        <v>0</v>
      </c>
      <c r="O518" s="287">
        <v>0</v>
      </c>
      <c r="P518" s="287"/>
      <c r="Q518" s="288">
        <v>325</v>
      </c>
      <c r="R518" s="288">
        <v>325</v>
      </c>
      <c r="S518" s="288">
        <v>0.247</v>
      </c>
      <c r="T518" s="288"/>
      <c r="U518" s="288">
        <v>0</v>
      </c>
      <c r="V518" s="289">
        <v>325.24700000000001</v>
      </c>
      <c r="W518" s="289">
        <v>0</v>
      </c>
      <c r="X518" s="288">
        <v>0.13541666666666666</v>
      </c>
      <c r="Y518" s="288">
        <v>0.13541666666666666</v>
      </c>
      <c r="Z518" s="288">
        <v>1.0291666666666667E-4</v>
      </c>
      <c r="AA518" s="288">
        <v>0</v>
      </c>
      <c r="AB518" s="288">
        <v>0</v>
      </c>
      <c r="AC518" s="289">
        <v>0.13551958333333333</v>
      </c>
      <c r="AD518" s="289">
        <v>0</v>
      </c>
    </row>
    <row r="519" spans="1:30" ht="15" customHeight="1" x14ac:dyDescent="0.25">
      <c r="A519" s="282" t="s">
        <v>581</v>
      </c>
      <c r="B519" s="282" t="s">
        <v>585</v>
      </c>
      <c r="C519" s="282" t="s">
        <v>586</v>
      </c>
      <c r="D519" s="286" t="s">
        <v>958</v>
      </c>
      <c r="E519" s="404">
        <v>45038</v>
      </c>
      <c r="F519" s="404">
        <v>46865</v>
      </c>
      <c r="G519" s="290" t="s">
        <v>283</v>
      </c>
      <c r="H519" s="282" t="s">
        <v>881</v>
      </c>
      <c r="I519" s="282" t="s">
        <v>590</v>
      </c>
      <c r="J519" s="282" t="s">
        <v>156</v>
      </c>
      <c r="K519" s="286" t="s">
        <v>882</v>
      </c>
      <c r="L519" s="282" t="s">
        <v>574</v>
      </c>
      <c r="M519" s="287">
        <v>2400</v>
      </c>
      <c r="N519" s="287">
        <v>0</v>
      </c>
      <c r="O519" s="287">
        <v>0</v>
      </c>
      <c r="P519" s="287"/>
      <c r="Q519" s="288" t="s">
        <v>703</v>
      </c>
      <c r="R519" s="288" t="s">
        <v>703</v>
      </c>
      <c r="S519" s="288" t="s">
        <v>766</v>
      </c>
      <c r="T519" s="288"/>
      <c r="U519" s="288">
        <v>0</v>
      </c>
      <c r="V519" s="289">
        <v>250.19</v>
      </c>
      <c r="W519" s="289">
        <v>0</v>
      </c>
      <c r="X519" s="288">
        <v>0.10416666666666667</v>
      </c>
      <c r="Y519" s="288">
        <v>0.10416666666666667</v>
      </c>
      <c r="Z519" s="288">
        <v>7.9166666666666662E-5</v>
      </c>
      <c r="AA519" s="288">
        <v>0</v>
      </c>
      <c r="AB519" s="288">
        <v>0</v>
      </c>
      <c r="AC519" s="289">
        <v>0.10424583333333334</v>
      </c>
      <c r="AD519" s="289">
        <v>0</v>
      </c>
    </row>
    <row r="520" spans="1:30" ht="15" customHeight="1" x14ac:dyDescent="0.25">
      <c r="A520" s="282" t="s">
        <v>581</v>
      </c>
      <c r="B520" s="282" t="s">
        <v>585</v>
      </c>
      <c r="C520" s="282" t="s">
        <v>586</v>
      </c>
      <c r="D520" s="286" t="s">
        <v>959</v>
      </c>
      <c r="E520" s="404">
        <v>44581</v>
      </c>
      <c r="F520" s="404">
        <v>46407</v>
      </c>
      <c r="G520" s="286" t="s">
        <v>588</v>
      </c>
      <c r="H520" s="282" t="s">
        <v>589</v>
      </c>
      <c r="I520" s="282" t="s">
        <v>590</v>
      </c>
      <c r="J520" s="282" t="s">
        <v>156</v>
      </c>
      <c r="K520" s="286" t="s">
        <v>591</v>
      </c>
      <c r="L520" s="282" t="s">
        <v>574</v>
      </c>
      <c r="M520" s="287">
        <v>2400</v>
      </c>
      <c r="N520" s="287">
        <v>0</v>
      </c>
      <c r="O520" s="287">
        <v>0</v>
      </c>
      <c r="P520" s="287"/>
      <c r="Q520" s="288" t="s">
        <v>960</v>
      </c>
      <c r="R520" s="288" t="s">
        <v>960</v>
      </c>
      <c r="S520" s="288" t="s">
        <v>786</v>
      </c>
      <c r="T520" s="288"/>
      <c r="U520" s="288">
        <v>0</v>
      </c>
      <c r="V520" s="289">
        <v>224.17</v>
      </c>
      <c r="W520" s="289">
        <v>0</v>
      </c>
      <c r="X520" s="288">
        <v>9.3333333333333338E-2</v>
      </c>
      <c r="Y520" s="288">
        <v>9.3333333333333338E-2</v>
      </c>
      <c r="Z520" s="288">
        <v>7.0833333333333338E-5</v>
      </c>
      <c r="AA520" s="288">
        <v>0</v>
      </c>
      <c r="AB520" s="288">
        <v>0</v>
      </c>
      <c r="AC520" s="289">
        <v>9.3404166666666677E-2</v>
      </c>
      <c r="AD520" s="289">
        <v>0</v>
      </c>
    </row>
    <row r="521" spans="1:30" ht="15" customHeight="1" x14ac:dyDescent="0.25">
      <c r="A521" s="282" t="s">
        <v>581</v>
      </c>
      <c r="B521" s="282" t="s">
        <v>611</v>
      </c>
      <c r="C521" s="282" t="s">
        <v>612</v>
      </c>
      <c r="D521" s="286" t="s">
        <v>961</v>
      </c>
      <c r="E521" s="404">
        <v>44581</v>
      </c>
      <c r="F521" s="404">
        <v>46407</v>
      </c>
      <c r="G521" s="286" t="s">
        <v>588</v>
      </c>
      <c r="H521" s="282" t="s">
        <v>589</v>
      </c>
      <c r="I521" s="282" t="s">
        <v>590</v>
      </c>
      <c r="J521" s="282" t="s">
        <v>156</v>
      </c>
      <c r="K521" s="286" t="s">
        <v>591</v>
      </c>
      <c r="L521" s="282" t="s">
        <v>574</v>
      </c>
      <c r="M521" s="287">
        <v>2400</v>
      </c>
      <c r="N521" s="287">
        <v>0</v>
      </c>
      <c r="O521" s="287">
        <v>0</v>
      </c>
      <c r="P521" s="287"/>
      <c r="Q521" s="288" t="s">
        <v>848</v>
      </c>
      <c r="R521" s="288" t="s">
        <v>848</v>
      </c>
      <c r="S521" s="288" t="s">
        <v>795</v>
      </c>
      <c r="T521" s="288"/>
      <c r="U521" s="288">
        <v>0</v>
      </c>
      <c r="V521" s="289">
        <v>198.15</v>
      </c>
      <c r="W521" s="289">
        <v>0</v>
      </c>
      <c r="X521" s="288">
        <v>8.2500000000000004E-2</v>
      </c>
      <c r="Y521" s="288">
        <v>8.2500000000000004E-2</v>
      </c>
      <c r="Z521" s="288">
        <v>6.2500000000000001E-5</v>
      </c>
      <c r="AA521" s="288">
        <v>0</v>
      </c>
      <c r="AB521" s="288">
        <v>0</v>
      </c>
      <c r="AC521" s="289">
        <v>8.2562499999999997E-2</v>
      </c>
      <c r="AD521" s="289">
        <v>0</v>
      </c>
    </row>
    <row r="522" spans="1:30" ht="15" customHeight="1" x14ac:dyDescent="0.25">
      <c r="A522" s="282" t="s">
        <v>581</v>
      </c>
      <c r="B522" s="282" t="s">
        <v>585</v>
      </c>
      <c r="C522" s="282" t="s">
        <v>586</v>
      </c>
      <c r="D522" s="286" t="s">
        <v>962</v>
      </c>
      <c r="E522" s="404">
        <v>45038</v>
      </c>
      <c r="F522" s="404">
        <v>46865</v>
      </c>
      <c r="G522" s="290" t="s">
        <v>283</v>
      </c>
      <c r="H522" s="282" t="s">
        <v>881</v>
      </c>
      <c r="I522" s="282" t="s">
        <v>590</v>
      </c>
      <c r="J522" s="282" t="s">
        <v>156</v>
      </c>
      <c r="K522" s="286" t="s">
        <v>882</v>
      </c>
      <c r="L522" s="282" t="s">
        <v>574</v>
      </c>
      <c r="M522" s="287">
        <v>2400</v>
      </c>
      <c r="N522" s="287">
        <v>0</v>
      </c>
      <c r="O522" s="287">
        <v>0</v>
      </c>
      <c r="P522" s="287"/>
      <c r="Q522" s="288" t="s">
        <v>730</v>
      </c>
      <c r="R522" s="288" t="s">
        <v>730</v>
      </c>
      <c r="S522" s="288" t="s">
        <v>694</v>
      </c>
      <c r="T522" s="288"/>
      <c r="U522" s="288">
        <v>0</v>
      </c>
      <c r="V522" s="289">
        <v>305.23</v>
      </c>
      <c r="W522" s="289">
        <v>0</v>
      </c>
      <c r="X522" s="288">
        <v>0.12708333333333333</v>
      </c>
      <c r="Y522" s="288">
        <v>0.12708333333333333</v>
      </c>
      <c r="Z522" s="288">
        <v>9.5833333333333336E-5</v>
      </c>
      <c r="AA522" s="288">
        <v>0</v>
      </c>
      <c r="AB522" s="288">
        <v>0</v>
      </c>
      <c r="AC522" s="289">
        <v>0.12717916666666665</v>
      </c>
      <c r="AD522" s="289">
        <v>0</v>
      </c>
    </row>
    <row r="523" spans="1:30" ht="15" customHeight="1" x14ac:dyDescent="0.25">
      <c r="A523" s="282" t="s">
        <v>581</v>
      </c>
      <c r="B523" s="282" t="s">
        <v>594</v>
      </c>
      <c r="C523" s="282" t="s">
        <v>595</v>
      </c>
      <c r="D523" s="283" t="s">
        <v>963</v>
      </c>
      <c r="E523" s="404">
        <v>44910</v>
      </c>
      <c r="F523" s="404">
        <v>46736</v>
      </c>
      <c r="G523" s="286" t="s">
        <v>608</v>
      </c>
      <c r="H523" s="282" t="s">
        <v>609</v>
      </c>
      <c r="I523" s="282" t="s">
        <v>590</v>
      </c>
      <c r="J523" s="282" t="s">
        <v>156</v>
      </c>
      <c r="K523" s="286" t="s">
        <v>610</v>
      </c>
      <c r="L523" s="282" t="s">
        <v>574</v>
      </c>
      <c r="M523" s="287">
        <v>2400</v>
      </c>
      <c r="N523" s="287">
        <v>0</v>
      </c>
      <c r="O523" s="287">
        <v>0</v>
      </c>
      <c r="P523" s="287"/>
      <c r="Q523" s="288">
        <v>199</v>
      </c>
      <c r="R523" s="288">
        <v>197</v>
      </c>
      <c r="S523" s="288">
        <v>2.15</v>
      </c>
      <c r="T523" s="288"/>
      <c r="U523" s="288">
        <v>0</v>
      </c>
      <c r="V523" s="289">
        <v>199.15</v>
      </c>
      <c r="W523" s="289">
        <v>0</v>
      </c>
      <c r="X523" s="288">
        <v>8.2916666666666666E-2</v>
      </c>
      <c r="Y523" s="288">
        <v>8.2083333333333328E-2</v>
      </c>
      <c r="Z523" s="288">
        <v>8.9583333333333333E-4</v>
      </c>
      <c r="AA523" s="288">
        <v>0</v>
      </c>
      <c r="AB523" s="288">
        <v>0</v>
      </c>
      <c r="AC523" s="289">
        <v>8.2979166666666659E-2</v>
      </c>
      <c r="AD523" s="289">
        <v>0</v>
      </c>
    </row>
    <row r="524" spans="1:30" ht="15" customHeight="1" x14ac:dyDescent="0.25">
      <c r="A524" s="282" t="s">
        <v>581</v>
      </c>
      <c r="B524" s="282" t="s">
        <v>585</v>
      </c>
      <c r="C524" s="282" t="s">
        <v>586</v>
      </c>
      <c r="D524" s="286" t="s">
        <v>964</v>
      </c>
      <c r="E524" s="404">
        <v>44581</v>
      </c>
      <c r="F524" s="404">
        <v>46407</v>
      </c>
      <c r="G524" s="286" t="s">
        <v>588</v>
      </c>
      <c r="H524" s="282" t="s">
        <v>589</v>
      </c>
      <c r="I524" s="282" t="s">
        <v>590</v>
      </c>
      <c r="J524" s="282" t="s">
        <v>156</v>
      </c>
      <c r="K524" s="286" t="s">
        <v>591</v>
      </c>
      <c r="L524" s="282" t="s">
        <v>574</v>
      </c>
      <c r="M524" s="287">
        <v>2400</v>
      </c>
      <c r="N524" s="287">
        <v>0</v>
      </c>
      <c r="O524" s="287">
        <v>0</v>
      </c>
      <c r="P524" s="287"/>
      <c r="Q524" s="288" t="s">
        <v>648</v>
      </c>
      <c r="R524" s="288" t="s">
        <v>648</v>
      </c>
      <c r="S524" s="288" t="s">
        <v>714</v>
      </c>
      <c r="T524" s="288"/>
      <c r="U524" s="288">
        <v>0</v>
      </c>
      <c r="V524" s="289">
        <v>239.18</v>
      </c>
      <c r="W524" s="289">
        <v>0</v>
      </c>
      <c r="X524" s="288">
        <v>9.9583333333333329E-2</v>
      </c>
      <c r="Y524" s="288">
        <v>9.9583333333333329E-2</v>
      </c>
      <c r="Z524" s="288">
        <v>7.4999999999999993E-5</v>
      </c>
      <c r="AA524" s="288">
        <v>0</v>
      </c>
      <c r="AB524" s="288">
        <v>0</v>
      </c>
      <c r="AC524" s="289">
        <v>9.9658333333333335E-2</v>
      </c>
      <c r="AD524" s="289">
        <v>0</v>
      </c>
    </row>
    <row r="525" spans="1:30" ht="15" customHeight="1" x14ac:dyDescent="0.25">
      <c r="A525" s="282" t="s">
        <v>581</v>
      </c>
      <c r="B525" s="282" t="s">
        <v>628</v>
      </c>
      <c r="C525" s="282" t="s">
        <v>629</v>
      </c>
      <c r="D525" s="283" t="s">
        <v>965</v>
      </c>
      <c r="E525" s="404">
        <v>45016</v>
      </c>
      <c r="F525" s="404">
        <v>46843</v>
      </c>
      <c r="G525" s="286" t="s">
        <v>283</v>
      </c>
      <c r="H525" s="282" t="s">
        <v>736</v>
      </c>
      <c r="I525" s="282" t="s">
        <v>590</v>
      </c>
      <c r="J525" s="282" t="s">
        <v>156</v>
      </c>
      <c r="K525" s="286" t="s">
        <v>737</v>
      </c>
      <c r="L525" s="282" t="s">
        <v>574</v>
      </c>
      <c r="M525" s="287">
        <v>2400</v>
      </c>
      <c r="N525" s="287">
        <v>0</v>
      </c>
      <c r="O525" s="287">
        <v>0</v>
      </c>
      <c r="P525" s="287"/>
      <c r="Q525" s="288">
        <v>279</v>
      </c>
      <c r="R525" s="288">
        <v>279</v>
      </c>
      <c r="S525" s="288">
        <v>0.21</v>
      </c>
      <c r="T525" s="288"/>
      <c r="U525" s="288">
        <v>0</v>
      </c>
      <c r="V525" s="289">
        <v>279.20999999999998</v>
      </c>
      <c r="W525" s="289">
        <v>0</v>
      </c>
      <c r="X525" s="288">
        <v>0.11625000000000001</v>
      </c>
      <c r="Y525" s="288">
        <v>0.11625000000000001</v>
      </c>
      <c r="Z525" s="288">
        <v>8.7499999999999999E-5</v>
      </c>
      <c r="AA525" s="288">
        <v>0</v>
      </c>
      <c r="AB525" s="288">
        <v>0</v>
      </c>
      <c r="AC525" s="289">
        <v>0.11633750000000001</v>
      </c>
      <c r="AD525" s="289">
        <v>0</v>
      </c>
    </row>
    <row r="526" spans="1:30" ht="15" customHeight="1" x14ac:dyDescent="0.25">
      <c r="A526" s="282" t="s">
        <v>581</v>
      </c>
      <c r="B526" s="282" t="s">
        <v>585</v>
      </c>
      <c r="C526" s="282" t="s">
        <v>586</v>
      </c>
      <c r="D526" s="286" t="s">
        <v>966</v>
      </c>
      <c r="E526" s="404">
        <v>44581</v>
      </c>
      <c r="F526" s="404">
        <v>46407</v>
      </c>
      <c r="G526" s="286" t="s">
        <v>588</v>
      </c>
      <c r="H526" s="282" t="s">
        <v>589</v>
      </c>
      <c r="I526" s="282" t="s">
        <v>590</v>
      </c>
      <c r="J526" s="282" t="s">
        <v>156</v>
      </c>
      <c r="K526" s="286" t="s">
        <v>591</v>
      </c>
      <c r="L526" s="282" t="s">
        <v>574</v>
      </c>
      <c r="M526" s="287">
        <v>2400</v>
      </c>
      <c r="N526" s="287">
        <v>0</v>
      </c>
      <c r="O526" s="287">
        <v>0</v>
      </c>
      <c r="P526" s="287"/>
      <c r="Q526" s="288" t="s">
        <v>967</v>
      </c>
      <c r="R526" s="288" t="s">
        <v>967</v>
      </c>
      <c r="S526" s="288" t="s">
        <v>766</v>
      </c>
      <c r="T526" s="288"/>
      <c r="U526" s="288">
        <v>0</v>
      </c>
      <c r="V526" s="289">
        <v>253.19</v>
      </c>
      <c r="W526" s="289">
        <v>0</v>
      </c>
      <c r="X526" s="288">
        <v>0.10541666666666667</v>
      </c>
      <c r="Y526" s="288">
        <v>0.10541666666666667</v>
      </c>
      <c r="Z526" s="288">
        <v>7.9166666666666662E-5</v>
      </c>
      <c r="AA526" s="288">
        <v>0</v>
      </c>
      <c r="AB526" s="288">
        <v>0</v>
      </c>
      <c r="AC526" s="289">
        <v>0.10549583333333334</v>
      </c>
      <c r="AD526" s="289">
        <v>0</v>
      </c>
    </row>
    <row r="527" spans="1:30" ht="15" customHeight="1" x14ac:dyDescent="0.25">
      <c r="A527" s="282" t="s">
        <v>581</v>
      </c>
      <c r="B527" s="282" t="s">
        <v>585</v>
      </c>
      <c r="C527" s="282" t="s">
        <v>586</v>
      </c>
      <c r="D527" s="286" t="s">
        <v>968</v>
      </c>
      <c r="E527" s="404">
        <v>45038</v>
      </c>
      <c r="F527" s="404">
        <v>46865</v>
      </c>
      <c r="G527" s="290" t="s">
        <v>283</v>
      </c>
      <c r="H527" s="282" t="s">
        <v>881</v>
      </c>
      <c r="I527" s="282" t="s">
        <v>590</v>
      </c>
      <c r="J527" s="282" t="s">
        <v>156</v>
      </c>
      <c r="K527" s="286" t="s">
        <v>882</v>
      </c>
      <c r="L527" s="282" t="s">
        <v>574</v>
      </c>
      <c r="M527" s="287">
        <v>2400</v>
      </c>
      <c r="N527" s="287">
        <v>0</v>
      </c>
      <c r="O527" s="287">
        <v>0</v>
      </c>
      <c r="P527" s="287"/>
      <c r="Q527" s="288" t="s">
        <v>810</v>
      </c>
      <c r="R527" s="288" t="s">
        <v>810</v>
      </c>
      <c r="S527" s="288" t="s">
        <v>714</v>
      </c>
      <c r="T527" s="288"/>
      <c r="U527" s="288">
        <v>0</v>
      </c>
      <c r="V527" s="289">
        <v>240.18</v>
      </c>
      <c r="W527" s="289">
        <v>0</v>
      </c>
      <c r="X527" s="288">
        <v>0.1</v>
      </c>
      <c r="Y527" s="288">
        <v>0.1</v>
      </c>
      <c r="Z527" s="288">
        <v>7.4999999999999993E-5</v>
      </c>
      <c r="AA527" s="288">
        <v>0</v>
      </c>
      <c r="AB527" s="288">
        <v>0</v>
      </c>
      <c r="AC527" s="289">
        <v>0.10007500000000001</v>
      </c>
      <c r="AD527" s="289">
        <v>0</v>
      </c>
    </row>
    <row r="528" spans="1:30" ht="15" customHeight="1" x14ac:dyDescent="0.25">
      <c r="A528" s="282" t="s">
        <v>581</v>
      </c>
      <c r="B528" s="282" t="s">
        <v>616</v>
      </c>
      <c r="C528" s="282" t="s">
        <v>617</v>
      </c>
      <c r="D528" s="286" t="s">
        <v>969</v>
      </c>
      <c r="E528" s="404">
        <v>44581</v>
      </c>
      <c r="F528" s="404">
        <v>46407</v>
      </c>
      <c r="G528" s="286" t="s">
        <v>588</v>
      </c>
      <c r="H528" s="282" t="s">
        <v>589</v>
      </c>
      <c r="I528" s="282" t="s">
        <v>590</v>
      </c>
      <c r="J528" s="282" t="s">
        <v>156</v>
      </c>
      <c r="K528" s="286" t="s">
        <v>591</v>
      </c>
      <c r="L528" s="282" t="s">
        <v>574</v>
      </c>
      <c r="M528" s="287">
        <v>2400</v>
      </c>
      <c r="N528" s="287">
        <v>0</v>
      </c>
      <c r="O528" s="287">
        <v>0</v>
      </c>
      <c r="P528" s="287"/>
      <c r="Q528" s="288" t="s">
        <v>970</v>
      </c>
      <c r="R528" s="288" t="s">
        <v>970</v>
      </c>
      <c r="S528" s="288" t="s">
        <v>711</v>
      </c>
      <c r="T528" s="288"/>
      <c r="U528" s="288">
        <v>0</v>
      </c>
      <c r="V528" s="289">
        <v>280.20999999999998</v>
      </c>
      <c r="W528" s="289">
        <v>0</v>
      </c>
      <c r="X528" s="288">
        <v>0.11666666666666667</v>
      </c>
      <c r="Y528" s="288">
        <v>0.11666666666666667</v>
      </c>
      <c r="Z528" s="288">
        <v>8.7499999999999999E-5</v>
      </c>
      <c r="AA528" s="288">
        <v>0</v>
      </c>
      <c r="AB528" s="288">
        <v>0</v>
      </c>
      <c r="AC528" s="289">
        <v>0.11675416666666667</v>
      </c>
      <c r="AD528" s="289">
        <v>0</v>
      </c>
    </row>
    <row r="529" spans="1:30" ht="15" customHeight="1" x14ac:dyDescent="0.25">
      <c r="A529" s="282" t="s">
        <v>581</v>
      </c>
      <c r="B529" s="282" t="s">
        <v>585</v>
      </c>
      <c r="C529" s="282" t="s">
        <v>586</v>
      </c>
      <c r="D529" s="283" t="s">
        <v>971</v>
      </c>
      <c r="E529" s="404">
        <v>45016</v>
      </c>
      <c r="F529" s="404">
        <v>46843</v>
      </c>
      <c r="G529" s="286" t="s">
        <v>283</v>
      </c>
      <c r="H529" s="282" t="s">
        <v>736</v>
      </c>
      <c r="I529" s="282" t="s">
        <v>590</v>
      </c>
      <c r="J529" s="282" t="s">
        <v>156</v>
      </c>
      <c r="K529" s="286" t="s">
        <v>737</v>
      </c>
      <c r="L529" s="282" t="s">
        <v>574</v>
      </c>
      <c r="M529" s="287">
        <v>2400</v>
      </c>
      <c r="N529" s="287">
        <v>0</v>
      </c>
      <c r="O529" s="287">
        <v>0</v>
      </c>
      <c r="P529" s="287"/>
      <c r="Q529" s="288">
        <v>327</v>
      </c>
      <c r="R529" s="288">
        <v>327</v>
      </c>
      <c r="S529" s="288">
        <v>0.245</v>
      </c>
      <c r="T529" s="288"/>
      <c r="U529" s="288">
        <v>0</v>
      </c>
      <c r="V529" s="289">
        <v>327.245</v>
      </c>
      <c r="W529" s="289">
        <v>0</v>
      </c>
      <c r="X529" s="288">
        <v>0.13625000000000001</v>
      </c>
      <c r="Y529" s="288">
        <v>0.13625000000000001</v>
      </c>
      <c r="Z529" s="288">
        <v>1.0208333333333333E-4</v>
      </c>
      <c r="AA529" s="288">
        <v>0</v>
      </c>
      <c r="AB529" s="288">
        <v>0</v>
      </c>
      <c r="AC529" s="289">
        <v>0.13635208333333335</v>
      </c>
      <c r="AD529" s="289">
        <v>0</v>
      </c>
    </row>
    <row r="530" spans="1:30" ht="15" customHeight="1" x14ac:dyDescent="0.25">
      <c r="A530" s="282" t="s">
        <v>581</v>
      </c>
      <c r="B530" s="282" t="s">
        <v>585</v>
      </c>
      <c r="C530" s="282" t="s">
        <v>586</v>
      </c>
      <c r="D530" s="286" t="s">
        <v>972</v>
      </c>
      <c r="E530" s="404">
        <v>44581</v>
      </c>
      <c r="F530" s="404">
        <v>46407</v>
      </c>
      <c r="G530" s="286" t="s">
        <v>588</v>
      </c>
      <c r="H530" s="282" t="s">
        <v>589</v>
      </c>
      <c r="I530" s="282" t="s">
        <v>590</v>
      </c>
      <c r="J530" s="282" t="s">
        <v>156</v>
      </c>
      <c r="K530" s="286" t="s">
        <v>591</v>
      </c>
      <c r="L530" s="282" t="s">
        <v>574</v>
      </c>
      <c r="M530" s="287">
        <v>2400</v>
      </c>
      <c r="N530" s="287">
        <v>0</v>
      </c>
      <c r="O530" s="287">
        <v>0</v>
      </c>
      <c r="P530" s="287"/>
      <c r="Q530" s="288" t="s">
        <v>973</v>
      </c>
      <c r="R530" s="288" t="s">
        <v>973</v>
      </c>
      <c r="S530" s="288" t="s">
        <v>786</v>
      </c>
      <c r="T530" s="288"/>
      <c r="U530" s="288">
        <v>0</v>
      </c>
      <c r="V530" s="289">
        <v>227.17</v>
      </c>
      <c r="W530" s="289">
        <v>0</v>
      </c>
      <c r="X530" s="288">
        <v>9.4583333333333339E-2</v>
      </c>
      <c r="Y530" s="288">
        <v>9.4583333333333339E-2</v>
      </c>
      <c r="Z530" s="288">
        <v>7.0833333333333338E-5</v>
      </c>
      <c r="AA530" s="288">
        <v>0</v>
      </c>
      <c r="AB530" s="288">
        <v>0</v>
      </c>
      <c r="AC530" s="289">
        <v>9.4654166666666678E-2</v>
      </c>
      <c r="AD530" s="289">
        <v>0</v>
      </c>
    </row>
    <row r="531" spans="1:30" ht="15" customHeight="1" x14ac:dyDescent="0.25">
      <c r="A531" s="282" t="s">
        <v>581</v>
      </c>
      <c r="B531" s="282" t="s">
        <v>594</v>
      </c>
      <c r="C531" s="282" t="s">
        <v>595</v>
      </c>
      <c r="D531" s="286" t="s">
        <v>974</v>
      </c>
      <c r="E531" s="404">
        <v>45038</v>
      </c>
      <c r="F531" s="404">
        <v>46865</v>
      </c>
      <c r="G531" s="290" t="s">
        <v>283</v>
      </c>
      <c r="H531" s="282" t="s">
        <v>881</v>
      </c>
      <c r="I531" s="282" t="s">
        <v>590</v>
      </c>
      <c r="J531" s="282" t="s">
        <v>156</v>
      </c>
      <c r="K531" s="286" t="s">
        <v>882</v>
      </c>
      <c r="L531" s="282" t="s">
        <v>574</v>
      </c>
      <c r="M531" s="287">
        <v>2400</v>
      </c>
      <c r="N531" s="287">
        <v>0</v>
      </c>
      <c r="O531" s="287">
        <v>0</v>
      </c>
      <c r="P531" s="287"/>
      <c r="Q531" s="288" t="s">
        <v>975</v>
      </c>
      <c r="R531" s="288" t="s">
        <v>975</v>
      </c>
      <c r="S531" s="288" t="s">
        <v>864</v>
      </c>
      <c r="T531" s="288"/>
      <c r="U531" s="288">
        <v>0</v>
      </c>
      <c r="V531" s="289">
        <v>187.14</v>
      </c>
      <c r="W531" s="289">
        <v>0</v>
      </c>
      <c r="X531" s="288">
        <v>7.7916666666666662E-2</v>
      </c>
      <c r="Y531" s="288">
        <v>7.7916666666666662E-2</v>
      </c>
      <c r="Z531" s="288">
        <v>5.833333333333334E-5</v>
      </c>
      <c r="AA531" s="288">
        <v>0</v>
      </c>
      <c r="AB531" s="288">
        <v>0</v>
      </c>
      <c r="AC531" s="289">
        <v>7.7974999999999989E-2</v>
      </c>
      <c r="AD531" s="289">
        <v>0</v>
      </c>
    </row>
    <row r="532" spans="1:30" ht="15" customHeight="1" x14ac:dyDescent="0.25">
      <c r="A532" s="282" t="s">
        <v>581</v>
      </c>
      <c r="B532" s="282" t="s">
        <v>594</v>
      </c>
      <c r="C532" s="282" t="s">
        <v>595</v>
      </c>
      <c r="D532" s="283" t="s">
        <v>976</v>
      </c>
      <c r="E532" s="404">
        <v>45016</v>
      </c>
      <c r="F532" s="404">
        <v>46843</v>
      </c>
      <c r="G532" s="286" t="s">
        <v>283</v>
      </c>
      <c r="H532" s="282" t="s">
        <v>736</v>
      </c>
      <c r="I532" s="282" t="s">
        <v>590</v>
      </c>
      <c r="J532" s="282" t="s">
        <v>156</v>
      </c>
      <c r="K532" s="286" t="s">
        <v>737</v>
      </c>
      <c r="L532" s="282" t="s">
        <v>574</v>
      </c>
      <c r="M532" s="287">
        <v>2400</v>
      </c>
      <c r="N532" s="287">
        <v>0</v>
      </c>
      <c r="O532" s="287">
        <v>0</v>
      </c>
      <c r="P532" s="287"/>
      <c r="Q532" s="288">
        <v>261</v>
      </c>
      <c r="R532" s="288">
        <v>261</v>
      </c>
      <c r="S532" s="288">
        <v>0.19500000000000001</v>
      </c>
      <c r="T532" s="288"/>
      <c r="U532" s="288">
        <v>0</v>
      </c>
      <c r="V532" s="289">
        <v>261.19499999999999</v>
      </c>
      <c r="W532" s="289">
        <v>0</v>
      </c>
      <c r="X532" s="288">
        <v>0.10875</v>
      </c>
      <c r="Y532" s="288">
        <v>0.10875</v>
      </c>
      <c r="Z532" s="288">
        <v>8.1249999999999996E-5</v>
      </c>
      <c r="AA532" s="288">
        <v>0</v>
      </c>
      <c r="AB532" s="288">
        <v>0</v>
      </c>
      <c r="AC532" s="289">
        <v>0.10883125</v>
      </c>
      <c r="AD532" s="289">
        <v>0</v>
      </c>
    </row>
    <row r="533" spans="1:30" ht="15" customHeight="1" x14ac:dyDescent="0.25">
      <c r="A533" s="282" t="s">
        <v>581</v>
      </c>
      <c r="B533" s="282" t="s">
        <v>977</v>
      </c>
      <c r="C533" s="282" t="s">
        <v>978</v>
      </c>
      <c r="D533" s="283" t="s">
        <v>979</v>
      </c>
      <c r="E533" s="404">
        <v>45016</v>
      </c>
      <c r="F533" s="404">
        <v>46843</v>
      </c>
      <c r="G533" s="286" t="s">
        <v>283</v>
      </c>
      <c r="H533" s="282" t="s">
        <v>736</v>
      </c>
      <c r="I533" s="282" t="s">
        <v>590</v>
      </c>
      <c r="J533" s="282" t="s">
        <v>156</v>
      </c>
      <c r="K533" s="286" t="s">
        <v>737</v>
      </c>
      <c r="L533" s="282" t="s">
        <v>574</v>
      </c>
      <c r="M533" s="287">
        <v>2400</v>
      </c>
      <c r="N533" s="287">
        <v>0</v>
      </c>
      <c r="O533" s="287">
        <v>0</v>
      </c>
      <c r="P533" s="287"/>
      <c r="Q533" s="288">
        <v>101</v>
      </c>
      <c r="R533" s="288">
        <v>101</v>
      </c>
      <c r="S533" s="288">
        <v>7.5399999999999995E-2</v>
      </c>
      <c r="T533" s="288"/>
      <c r="U533" s="288">
        <v>0</v>
      </c>
      <c r="V533" s="289">
        <v>101.0754</v>
      </c>
      <c r="W533" s="289">
        <v>0</v>
      </c>
      <c r="X533" s="288">
        <v>4.2083333333333334E-2</v>
      </c>
      <c r="Y533" s="288">
        <v>4.2083333333333334E-2</v>
      </c>
      <c r="Z533" s="288">
        <v>3.1416666666666667E-5</v>
      </c>
      <c r="AA533" s="288">
        <v>0</v>
      </c>
      <c r="AB533" s="288">
        <v>0</v>
      </c>
      <c r="AC533" s="289">
        <v>4.2114749999999999E-2</v>
      </c>
      <c r="AD533" s="289">
        <v>0</v>
      </c>
    </row>
    <row r="534" spans="1:30" ht="15" customHeight="1" x14ac:dyDescent="0.25">
      <c r="A534" s="282" t="s">
        <v>581</v>
      </c>
      <c r="B534" s="282" t="s">
        <v>585</v>
      </c>
      <c r="C534" s="282" t="s">
        <v>586</v>
      </c>
      <c r="D534" s="286" t="s">
        <v>980</v>
      </c>
      <c r="E534" s="404">
        <v>45038</v>
      </c>
      <c r="F534" s="404">
        <v>46865</v>
      </c>
      <c r="G534" s="290" t="s">
        <v>283</v>
      </c>
      <c r="H534" s="282" t="s">
        <v>881</v>
      </c>
      <c r="I534" s="282" t="s">
        <v>590</v>
      </c>
      <c r="J534" s="282" t="s">
        <v>156</v>
      </c>
      <c r="K534" s="286" t="s">
        <v>882</v>
      </c>
      <c r="L534" s="282" t="s">
        <v>574</v>
      </c>
      <c r="M534" s="287">
        <v>2400</v>
      </c>
      <c r="N534" s="287">
        <v>0</v>
      </c>
      <c r="O534" s="287">
        <v>0</v>
      </c>
      <c r="P534" s="287"/>
      <c r="Q534" s="288" t="s">
        <v>981</v>
      </c>
      <c r="R534" s="288" t="s">
        <v>981</v>
      </c>
      <c r="S534" s="288" t="s">
        <v>786</v>
      </c>
      <c r="T534" s="288"/>
      <c r="U534" s="288">
        <v>0</v>
      </c>
      <c r="V534" s="289">
        <v>228.17</v>
      </c>
      <c r="W534" s="289">
        <v>0</v>
      </c>
      <c r="X534" s="288">
        <v>9.5000000000000001E-2</v>
      </c>
      <c r="Y534" s="288">
        <v>9.5000000000000001E-2</v>
      </c>
      <c r="Z534" s="288">
        <v>7.0833333333333338E-5</v>
      </c>
      <c r="AA534" s="288">
        <v>0</v>
      </c>
      <c r="AB534" s="288">
        <v>0</v>
      </c>
      <c r="AC534" s="289">
        <v>9.5070833333333341E-2</v>
      </c>
      <c r="AD534" s="289">
        <v>0</v>
      </c>
    </row>
    <row r="535" spans="1:30" ht="15" customHeight="1" x14ac:dyDescent="0.25">
      <c r="A535" s="282" t="s">
        <v>581</v>
      </c>
      <c r="B535" s="282" t="s">
        <v>611</v>
      </c>
      <c r="C535" s="282" t="s">
        <v>612</v>
      </c>
      <c r="D535" s="286" t="s">
        <v>982</v>
      </c>
      <c r="E535" s="404">
        <v>44581</v>
      </c>
      <c r="F535" s="404">
        <v>46407</v>
      </c>
      <c r="G535" s="286" t="s">
        <v>588</v>
      </c>
      <c r="H535" s="282" t="s">
        <v>589</v>
      </c>
      <c r="I535" s="282" t="s">
        <v>590</v>
      </c>
      <c r="J535" s="282" t="s">
        <v>156</v>
      </c>
      <c r="K535" s="286" t="s">
        <v>591</v>
      </c>
      <c r="L535" s="282" t="s">
        <v>574</v>
      </c>
      <c r="M535" s="287">
        <v>2400</v>
      </c>
      <c r="N535" s="287">
        <v>0</v>
      </c>
      <c r="O535" s="287">
        <v>0</v>
      </c>
      <c r="P535" s="287"/>
      <c r="Q535" s="288" t="s">
        <v>983</v>
      </c>
      <c r="R535" s="288" t="s">
        <v>983</v>
      </c>
      <c r="S535" s="288" t="s">
        <v>864</v>
      </c>
      <c r="T535" s="288"/>
      <c r="U535" s="288">
        <v>0</v>
      </c>
      <c r="V535" s="289">
        <v>188.14</v>
      </c>
      <c r="W535" s="289">
        <v>0</v>
      </c>
      <c r="X535" s="288">
        <v>7.8333333333333338E-2</v>
      </c>
      <c r="Y535" s="288">
        <v>7.8333333333333338E-2</v>
      </c>
      <c r="Z535" s="288">
        <v>5.833333333333334E-5</v>
      </c>
      <c r="AA535" s="288">
        <v>0</v>
      </c>
      <c r="AB535" s="288">
        <v>0</v>
      </c>
      <c r="AC535" s="289">
        <v>7.8391666666666665E-2</v>
      </c>
      <c r="AD535" s="289">
        <v>0</v>
      </c>
    </row>
    <row r="536" spans="1:30" ht="15" customHeight="1" x14ac:dyDescent="0.25">
      <c r="A536" s="282" t="s">
        <v>581</v>
      </c>
      <c r="B536" s="282" t="s">
        <v>585</v>
      </c>
      <c r="C536" s="282" t="s">
        <v>586</v>
      </c>
      <c r="D536" s="286" t="s">
        <v>984</v>
      </c>
      <c r="E536" s="404">
        <v>45038</v>
      </c>
      <c r="F536" s="404">
        <v>46865</v>
      </c>
      <c r="G536" s="290" t="s">
        <v>283</v>
      </c>
      <c r="H536" s="282" t="s">
        <v>881</v>
      </c>
      <c r="I536" s="282" t="s">
        <v>590</v>
      </c>
      <c r="J536" s="282" t="s">
        <v>156</v>
      </c>
      <c r="K536" s="286" t="s">
        <v>882</v>
      </c>
      <c r="L536" s="282" t="s">
        <v>574</v>
      </c>
      <c r="M536" s="287">
        <v>2400</v>
      </c>
      <c r="N536" s="287">
        <v>0</v>
      </c>
      <c r="O536" s="287">
        <v>0</v>
      </c>
      <c r="P536" s="287"/>
      <c r="Q536" s="288" t="s">
        <v>815</v>
      </c>
      <c r="R536" s="288" t="s">
        <v>815</v>
      </c>
      <c r="S536" s="288" t="s">
        <v>714</v>
      </c>
      <c r="T536" s="288"/>
      <c r="U536" s="288">
        <v>0</v>
      </c>
      <c r="V536" s="289">
        <v>242.18</v>
      </c>
      <c r="W536" s="289">
        <v>0</v>
      </c>
      <c r="X536" s="288">
        <v>0.10083333333333333</v>
      </c>
      <c r="Y536" s="288">
        <v>0.10083333333333333</v>
      </c>
      <c r="Z536" s="288">
        <v>7.4999999999999993E-5</v>
      </c>
      <c r="AA536" s="288">
        <v>0</v>
      </c>
      <c r="AB536" s="288">
        <v>0</v>
      </c>
      <c r="AC536" s="289">
        <v>0.10090833333333334</v>
      </c>
      <c r="AD536" s="289">
        <v>0</v>
      </c>
    </row>
    <row r="537" spans="1:30" ht="15" customHeight="1" x14ac:dyDescent="0.25">
      <c r="A537" s="282" t="s">
        <v>581</v>
      </c>
      <c r="B537" s="282" t="s">
        <v>628</v>
      </c>
      <c r="C537" s="282" t="s">
        <v>629</v>
      </c>
      <c r="D537" s="286" t="s">
        <v>985</v>
      </c>
      <c r="E537" s="404">
        <v>44581</v>
      </c>
      <c r="F537" s="404">
        <v>46407</v>
      </c>
      <c r="G537" s="286" t="s">
        <v>588</v>
      </c>
      <c r="H537" s="282" t="s">
        <v>589</v>
      </c>
      <c r="I537" s="282" t="s">
        <v>590</v>
      </c>
      <c r="J537" s="282" t="s">
        <v>156</v>
      </c>
      <c r="K537" s="286" t="s">
        <v>591</v>
      </c>
      <c r="L537" s="282" t="s">
        <v>574</v>
      </c>
      <c r="M537" s="287">
        <v>2400</v>
      </c>
      <c r="N537" s="287">
        <v>0</v>
      </c>
      <c r="O537" s="287">
        <v>0</v>
      </c>
      <c r="P537" s="287"/>
      <c r="Q537" s="288" t="s">
        <v>986</v>
      </c>
      <c r="R537" s="288" t="s">
        <v>986</v>
      </c>
      <c r="S537" s="288" t="s">
        <v>927</v>
      </c>
      <c r="T537" s="288"/>
      <c r="U537" s="288">
        <v>0</v>
      </c>
      <c r="V537" s="289">
        <v>175.13</v>
      </c>
      <c r="W537" s="289">
        <v>0</v>
      </c>
      <c r="X537" s="288">
        <v>7.2916666666666671E-2</v>
      </c>
      <c r="Y537" s="288">
        <v>7.2916666666666671E-2</v>
      </c>
      <c r="Z537" s="288">
        <v>5.4166666666666671E-5</v>
      </c>
      <c r="AA537" s="288">
        <v>0</v>
      </c>
      <c r="AB537" s="288">
        <v>0</v>
      </c>
      <c r="AC537" s="289">
        <v>7.2970833333333332E-2</v>
      </c>
      <c r="AD537" s="289">
        <v>0</v>
      </c>
    </row>
    <row r="538" spans="1:30" ht="15" customHeight="1" x14ac:dyDescent="0.25">
      <c r="A538" s="282" t="s">
        <v>581</v>
      </c>
      <c r="B538" s="282" t="s">
        <v>628</v>
      </c>
      <c r="C538" s="282" t="s">
        <v>629</v>
      </c>
      <c r="D538" s="286" t="s">
        <v>987</v>
      </c>
      <c r="E538" s="404">
        <v>44581</v>
      </c>
      <c r="F538" s="404">
        <v>46407</v>
      </c>
      <c r="G538" s="286" t="s">
        <v>588</v>
      </c>
      <c r="H538" s="282" t="s">
        <v>589</v>
      </c>
      <c r="I538" s="282" t="s">
        <v>590</v>
      </c>
      <c r="J538" s="282" t="s">
        <v>156</v>
      </c>
      <c r="K538" s="286" t="s">
        <v>591</v>
      </c>
      <c r="L538" s="282" t="s">
        <v>574</v>
      </c>
      <c r="M538" s="287">
        <v>2400</v>
      </c>
      <c r="N538" s="287">
        <v>0</v>
      </c>
      <c r="O538" s="287">
        <v>0</v>
      </c>
      <c r="P538" s="287"/>
      <c r="Q538" s="288" t="s">
        <v>986</v>
      </c>
      <c r="R538" s="288" t="s">
        <v>986</v>
      </c>
      <c r="S538" s="288" t="s">
        <v>927</v>
      </c>
      <c r="T538" s="288"/>
      <c r="U538" s="288">
        <v>0</v>
      </c>
      <c r="V538" s="289">
        <v>175.13</v>
      </c>
      <c r="W538" s="289">
        <v>0</v>
      </c>
      <c r="X538" s="288">
        <v>7.2916666666666671E-2</v>
      </c>
      <c r="Y538" s="288">
        <v>7.2916666666666671E-2</v>
      </c>
      <c r="Z538" s="288">
        <v>5.4166666666666671E-5</v>
      </c>
      <c r="AA538" s="288">
        <v>0</v>
      </c>
      <c r="AB538" s="288">
        <v>0</v>
      </c>
      <c r="AC538" s="289">
        <v>7.2970833333333332E-2</v>
      </c>
      <c r="AD538" s="289">
        <v>0</v>
      </c>
    </row>
    <row r="539" spans="1:30" ht="15" customHeight="1" x14ac:dyDescent="0.25">
      <c r="A539" s="282" t="s">
        <v>581</v>
      </c>
      <c r="B539" s="282" t="s">
        <v>611</v>
      </c>
      <c r="C539" s="282" t="s">
        <v>612</v>
      </c>
      <c r="D539" s="286" t="s">
        <v>988</v>
      </c>
      <c r="E539" s="404">
        <v>45038</v>
      </c>
      <c r="F539" s="404">
        <v>46865</v>
      </c>
      <c r="G539" s="290" t="s">
        <v>283</v>
      </c>
      <c r="H539" s="282" t="s">
        <v>881</v>
      </c>
      <c r="I539" s="282" t="s">
        <v>590</v>
      </c>
      <c r="J539" s="282" t="s">
        <v>156</v>
      </c>
      <c r="K539" s="286" t="s">
        <v>882</v>
      </c>
      <c r="L539" s="282" t="s">
        <v>574</v>
      </c>
      <c r="M539" s="287">
        <v>2400</v>
      </c>
      <c r="N539" s="287">
        <v>0</v>
      </c>
      <c r="O539" s="287">
        <v>0</v>
      </c>
      <c r="P539" s="287"/>
      <c r="Q539" s="288" t="s">
        <v>859</v>
      </c>
      <c r="R539" s="288" t="s">
        <v>859</v>
      </c>
      <c r="S539" s="288" t="s">
        <v>795</v>
      </c>
      <c r="T539" s="288"/>
      <c r="U539" s="288">
        <v>0</v>
      </c>
      <c r="V539" s="289">
        <v>202.15</v>
      </c>
      <c r="W539" s="289">
        <v>0</v>
      </c>
      <c r="X539" s="288">
        <v>8.4166666666666667E-2</v>
      </c>
      <c r="Y539" s="288">
        <v>8.4166666666666667E-2</v>
      </c>
      <c r="Z539" s="288">
        <v>6.2500000000000001E-5</v>
      </c>
      <c r="AA539" s="288">
        <v>0</v>
      </c>
      <c r="AB539" s="288">
        <v>0</v>
      </c>
      <c r="AC539" s="289">
        <v>8.4229166666666661E-2</v>
      </c>
      <c r="AD539" s="289">
        <v>0</v>
      </c>
    </row>
    <row r="540" spans="1:30" ht="15" customHeight="1" x14ac:dyDescent="0.25">
      <c r="A540" s="282" t="s">
        <v>581</v>
      </c>
      <c r="B540" s="282" t="s">
        <v>611</v>
      </c>
      <c r="C540" s="282" t="s">
        <v>612</v>
      </c>
      <c r="D540" s="286" t="s">
        <v>989</v>
      </c>
      <c r="E540" s="404">
        <v>44581</v>
      </c>
      <c r="F540" s="404">
        <v>46407</v>
      </c>
      <c r="G540" s="286" t="s">
        <v>588</v>
      </c>
      <c r="H540" s="282" t="s">
        <v>589</v>
      </c>
      <c r="I540" s="282" t="s">
        <v>590</v>
      </c>
      <c r="J540" s="282" t="s">
        <v>156</v>
      </c>
      <c r="K540" s="286" t="s">
        <v>591</v>
      </c>
      <c r="L540" s="282" t="s">
        <v>574</v>
      </c>
      <c r="M540" s="287">
        <v>2400</v>
      </c>
      <c r="N540" s="287">
        <v>0</v>
      </c>
      <c r="O540" s="287">
        <v>0</v>
      </c>
      <c r="P540" s="287"/>
      <c r="Q540" s="288" t="s">
        <v>677</v>
      </c>
      <c r="R540" s="288" t="s">
        <v>677</v>
      </c>
      <c r="S540" s="288" t="s">
        <v>786</v>
      </c>
      <c r="T540" s="288"/>
      <c r="U540" s="288">
        <v>0</v>
      </c>
      <c r="V540" s="289">
        <v>229.17</v>
      </c>
      <c r="W540" s="289">
        <v>0</v>
      </c>
      <c r="X540" s="288">
        <v>9.5416666666666664E-2</v>
      </c>
      <c r="Y540" s="288">
        <v>9.5416666666666664E-2</v>
      </c>
      <c r="Z540" s="288">
        <v>7.0833333333333338E-5</v>
      </c>
      <c r="AA540" s="288">
        <v>0</v>
      </c>
      <c r="AB540" s="288">
        <v>0</v>
      </c>
      <c r="AC540" s="289">
        <v>9.5487500000000003E-2</v>
      </c>
      <c r="AD540" s="289">
        <v>0</v>
      </c>
    </row>
    <row r="541" spans="1:30" ht="15" customHeight="1" x14ac:dyDescent="0.25">
      <c r="A541" s="282" t="s">
        <v>581</v>
      </c>
      <c r="B541" s="282" t="s">
        <v>585</v>
      </c>
      <c r="C541" s="282" t="s">
        <v>586</v>
      </c>
      <c r="D541" s="283" t="s">
        <v>990</v>
      </c>
      <c r="E541" s="404">
        <v>45016</v>
      </c>
      <c r="F541" s="404">
        <v>46843</v>
      </c>
      <c r="G541" s="286" t="s">
        <v>286</v>
      </c>
      <c r="H541" s="282" t="s">
        <v>782</v>
      </c>
      <c r="I541" s="282" t="s">
        <v>590</v>
      </c>
      <c r="J541" s="282" t="s">
        <v>156</v>
      </c>
      <c r="K541" s="286" t="s">
        <v>783</v>
      </c>
      <c r="L541" s="282" t="s">
        <v>574</v>
      </c>
      <c r="M541" s="287">
        <v>2400</v>
      </c>
      <c r="N541" s="287">
        <v>0</v>
      </c>
      <c r="O541" s="287">
        <v>0</v>
      </c>
      <c r="P541" s="287"/>
      <c r="Q541" s="288">
        <v>310</v>
      </c>
      <c r="R541" s="288">
        <v>310</v>
      </c>
      <c r="S541" s="288">
        <v>0.23</v>
      </c>
      <c r="T541" s="288"/>
      <c r="U541" s="288">
        <v>0</v>
      </c>
      <c r="V541" s="289">
        <v>310.23</v>
      </c>
      <c r="W541" s="289">
        <v>0</v>
      </c>
      <c r="X541" s="288">
        <v>0.12916666666666668</v>
      </c>
      <c r="Y541" s="288">
        <v>0.12916666666666668</v>
      </c>
      <c r="Z541" s="288">
        <v>9.5833333333333336E-5</v>
      </c>
      <c r="AA541" s="288">
        <v>0</v>
      </c>
      <c r="AB541" s="288">
        <v>0</v>
      </c>
      <c r="AC541" s="289">
        <v>0.1292625</v>
      </c>
      <c r="AD541" s="289">
        <v>0</v>
      </c>
    </row>
    <row r="542" spans="1:30" ht="15" customHeight="1" x14ac:dyDescent="0.25">
      <c r="A542" s="282" t="s">
        <v>581</v>
      </c>
      <c r="B542" s="282" t="s">
        <v>839</v>
      </c>
      <c r="C542" s="282" t="s">
        <v>840</v>
      </c>
      <c r="D542" s="286" t="s">
        <v>991</v>
      </c>
      <c r="E542" s="404">
        <v>44581</v>
      </c>
      <c r="F542" s="404">
        <v>46407</v>
      </c>
      <c r="G542" s="286" t="s">
        <v>588</v>
      </c>
      <c r="H542" s="282" t="s">
        <v>589</v>
      </c>
      <c r="I542" s="282" t="s">
        <v>590</v>
      </c>
      <c r="J542" s="282" t="s">
        <v>156</v>
      </c>
      <c r="K542" s="286" t="s">
        <v>591</v>
      </c>
      <c r="L542" s="282" t="s">
        <v>574</v>
      </c>
      <c r="M542" s="287">
        <v>2400</v>
      </c>
      <c r="N542" s="287">
        <v>0</v>
      </c>
      <c r="O542" s="287">
        <v>0</v>
      </c>
      <c r="P542" s="287"/>
      <c r="Q542" s="288" t="s">
        <v>992</v>
      </c>
      <c r="R542" s="288" t="s">
        <v>992</v>
      </c>
      <c r="S542" s="288" t="s">
        <v>621</v>
      </c>
      <c r="T542" s="288"/>
      <c r="U542" s="288">
        <v>0</v>
      </c>
      <c r="V542" s="289">
        <v>419.31</v>
      </c>
      <c r="W542" s="289">
        <v>0</v>
      </c>
      <c r="X542" s="288">
        <v>0.17458333333333334</v>
      </c>
      <c r="Y542" s="288">
        <v>0.17458333333333334</v>
      </c>
      <c r="Z542" s="288">
        <v>1.2916666666666667E-4</v>
      </c>
      <c r="AA542" s="288">
        <v>0</v>
      </c>
      <c r="AB542" s="288">
        <v>0</v>
      </c>
      <c r="AC542" s="289">
        <v>0.17471250000000002</v>
      </c>
      <c r="AD542" s="289">
        <v>0</v>
      </c>
    </row>
    <row r="543" spans="1:30" ht="15" customHeight="1" x14ac:dyDescent="0.25">
      <c r="A543" s="282" t="s">
        <v>581</v>
      </c>
      <c r="B543" s="282" t="s">
        <v>611</v>
      </c>
      <c r="C543" s="282" t="s">
        <v>612</v>
      </c>
      <c r="D543" s="286" t="s">
        <v>993</v>
      </c>
      <c r="E543" s="404">
        <v>45038</v>
      </c>
      <c r="F543" s="404">
        <v>46865</v>
      </c>
      <c r="G543" s="290" t="s">
        <v>283</v>
      </c>
      <c r="H543" s="282" t="s">
        <v>881</v>
      </c>
      <c r="I543" s="282" t="s">
        <v>590</v>
      </c>
      <c r="J543" s="282" t="s">
        <v>156</v>
      </c>
      <c r="K543" s="286" t="s">
        <v>882</v>
      </c>
      <c r="L543" s="282" t="s">
        <v>574</v>
      </c>
      <c r="M543" s="287">
        <v>2400</v>
      </c>
      <c r="N543" s="287">
        <v>0</v>
      </c>
      <c r="O543" s="287">
        <v>0</v>
      </c>
      <c r="P543" s="287"/>
      <c r="Q543" s="288" t="s">
        <v>921</v>
      </c>
      <c r="R543" s="288" t="s">
        <v>921</v>
      </c>
      <c r="S543" s="288" t="s">
        <v>786</v>
      </c>
      <c r="T543" s="288"/>
      <c r="U543" s="288">
        <v>0</v>
      </c>
      <c r="V543" s="289">
        <v>230.17</v>
      </c>
      <c r="W543" s="289">
        <v>0</v>
      </c>
      <c r="X543" s="288">
        <v>9.583333333333334E-2</v>
      </c>
      <c r="Y543" s="288">
        <v>9.583333333333334E-2</v>
      </c>
      <c r="Z543" s="288">
        <v>7.0833333333333338E-5</v>
      </c>
      <c r="AA543" s="288">
        <v>0</v>
      </c>
      <c r="AB543" s="288">
        <v>0</v>
      </c>
      <c r="AC543" s="289">
        <v>9.5904166666666679E-2</v>
      </c>
      <c r="AD543" s="289">
        <v>0</v>
      </c>
    </row>
    <row r="544" spans="1:30" ht="15" customHeight="1" x14ac:dyDescent="0.25">
      <c r="A544" s="282" t="s">
        <v>581</v>
      </c>
      <c r="B544" s="282" t="s">
        <v>611</v>
      </c>
      <c r="C544" s="282" t="s">
        <v>612</v>
      </c>
      <c r="D544" s="286" t="s">
        <v>994</v>
      </c>
      <c r="E544" s="404">
        <v>45038</v>
      </c>
      <c r="F544" s="404">
        <v>46865</v>
      </c>
      <c r="G544" s="290" t="s">
        <v>283</v>
      </c>
      <c r="H544" s="282" t="s">
        <v>881</v>
      </c>
      <c r="I544" s="282" t="s">
        <v>590</v>
      </c>
      <c r="J544" s="282" t="s">
        <v>156</v>
      </c>
      <c r="K544" s="286" t="s">
        <v>882</v>
      </c>
      <c r="L544" s="282" t="s">
        <v>574</v>
      </c>
      <c r="M544" s="287">
        <v>2400</v>
      </c>
      <c r="N544" s="287">
        <v>0</v>
      </c>
      <c r="O544" s="287">
        <v>0</v>
      </c>
      <c r="P544" s="287"/>
      <c r="Q544" s="288" t="s">
        <v>723</v>
      </c>
      <c r="R544" s="288" t="s">
        <v>723</v>
      </c>
      <c r="S544" s="288" t="s">
        <v>795</v>
      </c>
      <c r="T544" s="288"/>
      <c r="U544" s="288">
        <v>0</v>
      </c>
      <c r="V544" s="289">
        <v>203.15</v>
      </c>
      <c r="W544" s="289">
        <v>0</v>
      </c>
      <c r="X544" s="288">
        <v>8.458333333333333E-2</v>
      </c>
      <c r="Y544" s="288">
        <v>8.458333333333333E-2</v>
      </c>
      <c r="Z544" s="288">
        <v>6.2500000000000001E-5</v>
      </c>
      <c r="AA544" s="288">
        <v>0</v>
      </c>
      <c r="AB544" s="288">
        <v>0</v>
      </c>
      <c r="AC544" s="289">
        <v>8.4645833333333323E-2</v>
      </c>
      <c r="AD544" s="289">
        <v>0</v>
      </c>
    </row>
    <row r="545" spans="1:30" ht="15" customHeight="1" x14ac:dyDescent="0.25">
      <c r="A545" s="282" t="s">
        <v>581</v>
      </c>
      <c r="B545" s="282" t="s">
        <v>611</v>
      </c>
      <c r="C545" s="282" t="s">
        <v>612</v>
      </c>
      <c r="D545" s="286" t="s">
        <v>995</v>
      </c>
      <c r="E545" s="404">
        <v>45038</v>
      </c>
      <c r="F545" s="404">
        <v>46865</v>
      </c>
      <c r="G545" s="290" t="s">
        <v>283</v>
      </c>
      <c r="H545" s="282" t="s">
        <v>881</v>
      </c>
      <c r="I545" s="282" t="s">
        <v>590</v>
      </c>
      <c r="J545" s="282" t="s">
        <v>156</v>
      </c>
      <c r="K545" s="286" t="s">
        <v>882</v>
      </c>
      <c r="L545" s="282" t="s">
        <v>574</v>
      </c>
      <c r="M545" s="287">
        <v>2400</v>
      </c>
      <c r="N545" s="287">
        <v>0</v>
      </c>
      <c r="O545" s="287">
        <v>0</v>
      </c>
      <c r="P545" s="287"/>
      <c r="Q545" s="288" t="s">
        <v>996</v>
      </c>
      <c r="R545" s="288" t="s">
        <v>996</v>
      </c>
      <c r="S545" s="288" t="s">
        <v>864</v>
      </c>
      <c r="T545" s="288"/>
      <c r="U545" s="288">
        <v>0</v>
      </c>
      <c r="V545" s="289">
        <v>190.14</v>
      </c>
      <c r="W545" s="289">
        <v>0</v>
      </c>
      <c r="X545" s="288">
        <v>7.9166666666666663E-2</v>
      </c>
      <c r="Y545" s="288">
        <v>7.9166666666666663E-2</v>
      </c>
      <c r="Z545" s="288">
        <v>5.833333333333334E-5</v>
      </c>
      <c r="AA545" s="288">
        <v>0</v>
      </c>
      <c r="AB545" s="288">
        <v>0</v>
      </c>
      <c r="AC545" s="289">
        <v>7.922499999999999E-2</v>
      </c>
      <c r="AD545" s="289">
        <v>0</v>
      </c>
    </row>
    <row r="546" spans="1:30" ht="15" customHeight="1" x14ac:dyDescent="0.25">
      <c r="A546" s="282" t="s">
        <v>581</v>
      </c>
      <c r="B546" s="282" t="s">
        <v>594</v>
      </c>
      <c r="C546" s="282" t="s">
        <v>595</v>
      </c>
      <c r="D546" s="286" t="s">
        <v>997</v>
      </c>
      <c r="E546" s="404">
        <v>44581</v>
      </c>
      <c r="F546" s="404">
        <v>46407</v>
      </c>
      <c r="G546" s="286" t="s">
        <v>588</v>
      </c>
      <c r="H546" s="282" t="s">
        <v>589</v>
      </c>
      <c r="I546" s="282" t="s">
        <v>590</v>
      </c>
      <c r="J546" s="282" t="s">
        <v>156</v>
      </c>
      <c r="K546" s="286" t="s">
        <v>591</v>
      </c>
      <c r="L546" s="282" t="s">
        <v>574</v>
      </c>
      <c r="M546" s="287">
        <v>2400</v>
      </c>
      <c r="N546" s="287">
        <v>0</v>
      </c>
      <c r="O546" s="287">
        <v>0</v>
      </c>
      <c r="P546" s="287"/>
      <c r="Q546" s="288" t="s">
        <v>996</v>
      </c>
      <c r="R546" s="288" t="s">
        <v>996</v>
      </c>
      <c r="S546" s="288" t="s">
        <v>864</v>
      </c>
      <c r="T546" s="288"/>
      <c r="U546" s="288">
        <v>0</v>
      </c>
      <c r="V546" s="289">
        <v>190.14</v>
      </c>
      <c r="W546" s="289">
        <v>0</v>
      </c>
      <c r="X546" s="288">
        <v>7.9166666666666663E-2</v>
      </c>
      <c r="Y546" s="288">
        <v>7.9166666666666663E-2</v>
      </c>
      <c r="Z546" s="288">
        <v>5.833333333333334E-5</v>
      </c>
      <c r="AA546" s="288">
        <v>0</v>
      </c>
      <c r="AB546" s="288">
        <v>0</v>
      </c>
      <c r="AC546" s="289">
        <v>7.922499999999999E-2</v>
      </c>
      <c r="AD546" s="289">
        <v>0</v>
      </c>
    </row>
    <row r="547" spans="1:30" ht="15" customHeight="1" x14ac:dyDescent="0.25">
      <c r="A547" s="282" t="s">
        <v>581</v>
      </c>
      <c r="B547" s="282" t="s">
        <v>695</v>
      </c>
      <c r="C547" s="282" t="s">
        <v>696</v>
      </c>
      <c r="D547" s="286" t="s">
        <v>998</v>
      </c>
      <c r="E547" s="404">
        <v>44581</v>
      </c>
      <c r="F547" s="404">
        <v>46407</v>
      </c>
      <c r="G547" s="286" t="s">
        <v>588</v>
      </c>
      <c r="H547" s="282" t="s">
        <v>589</v>
      </c>
      <c r="I547" s="282" t="s">
        <v>590</v>
      </c>
      <c r="J547" s="282" t="s">
        <v>156</v>
      </c>
      <c r="K547" s="286" t="s">
        <v>591</v>
      </c>
      <c r="L547" s="282" t="s">
        <v>574</v>
      </c>
      <c r="M547" s="287">
        <v>2400</v>
      </c>
      <c r="N547" s="287">
        <v>0</v>
      </c>
      <c r="O547" s="287">
        <v>0</v>
      </c>
      <c r="P547" s="287"/>
      <c r="Q547" s="288" t="s">
        <v>802</v>
      </c>
      <c r="R547" s="288" t="s">
        <v>802</v>
      </c>
      <c r="S547" s="288" t="s">
        <v>659</v>
      </c>
      <c r="T547" s="288"/>
      <c r="U547" s="288">
        <v>0</v>
      </c>
      <c r="V547" s="289">
        <v>353.26</v>
      </c>
      <c r="W547" s="289">
        <v>0</v>
      </c>
      <c r="X547" s="288">
        <v>0.14708333333333334</v>
      </c>
      <c r="Y547" s="288">
        <v>0.14708333333333334</v>
      </c>
      <c r="Z547" s="288">
        <v>1.0833333333333334E-4</v>
      </c>
      <c r="AA547" s="288">
        <v>0</v>
      </c>
      <c r="AB547" s="288">
        <v>0</v>
      </c>
      <c r="AC547" s="289">
        <v>0.14719166666666667</v>
      </c>
      <c r="AD547" s="289">
        <v>0</v>
      </c>
    </row>
    <row r="548" spans="1:30" ht="15" customHeight="1" x14ac:dyDescent="0.25">
      <c r="A548" s="282" t="s">
        <v>581</v>
      </c>
      <c r="B548" s="282" t="s">
        <v>585</v>
      </c>
      <c r="C548" s="282" t="s">
        <v>586</v>
      </c>
      <c r="D548" s="286" t="s">
        <v>999</v>
      </c>
      <c r="E548" s="404">
        <v>44581</v>
      </c>
      <c r="F548" s="404">
        <v>46407</v>
      </c>
      <c r="G548" s="286" t="s">
        <v>588</v>
      </c>
      <c r="H548" s="282" t="s">
        <v>589</v>
      </c>
      <c r="I548" s="282" t="s">
        <v>590</v>
      </c>
      <c r="J548" s="282" t="s">
        <v>156</v>
      </c>
      <c r="K548" s="286" t="s">
        <v>591</v>
      </c>
      <c r="L548" s="282" t="s">
        <v>574</v>
      </c>
      <c r="M548" s="287">
        <v>2400</v>
      </c>
      <c r="N548" s="287">
        <v>0</v>
      </c>
      <c r="O548" s="287">
        <v>0</v>
      </c>
      <c r="P548" s="287"/>
      <c r="Q548" s="288" t="s">
        <v>931</v>
      </c>
      <c r="R548" s="288" t="s">
        <v>931</v>
      </c>
      <c r="S548" s="288" t="s">
        <v>766</v>
      </c>
      <c r="T548" s="288"/>
      <c r="U548" s="288">
        <v>0</v>
      </c>
      <c r="V548" s="289">
        <v>258.19</v>
      </c>
      <c r="W548" s="289">
        <v>0</v>
      </c>
      <c r="X548" s="288">
        <v>0.1075</v>
      </c>
      <c r="Y548" s="288">
        <v>0.1075</v>
      </c>
      <c r="Z548" s="288">
        <v>7.9166666666666662E-5</v>
      </c>
      <c r="AA548" s="288">
        <v>0</v>
      </c>
      <c r="AB548" s="288">
        <v>0</v>
      </c>
      <c r="AC548" s="289">
        <v>0.10757916666666667</v>
      </c>
      <c r="AD548" s="289">
        <v>0</v>
      </c>
    </row>
    <row r="549" spans="1:30" ht="15" customHeight="1" x14ac:dyDescent="0.25">
      <c r="A549" s="282" t="s">
        <v>581</v>
      </c>
      <c r="B549" s="282" t="s">
        <v>839</v>
      </c>
      <c r="C549" s="282" t="s">
        <v>840</v>
      </c>
      <c r="D549" s="286" t="s">
        <v>1000</v>
      </c>
      <c r="E549" s="404">
        <v>44581</v>
      </c>
      <c r="F549" s="404">
        <v>46407</v>
      </c>
      <c r="G549" s="286" t="s">
        <v>588</v>
      </c>
      <c r="H549" s="282" t="s">
        <v>589</v>
      </c>
      <c r="I549" s="282" t="s">
        <v>590</v>
      </c>
      <c r="J549" s="282" t="s">
        <v>156</v>
      </c>
      <c r="K549" s="286" t="s">
        <v>591</v>
      </c>
      <c r="L549" s="282" t="s">
        <v>574</v>
      </c>
      <c r="M549" s="287">
        <v>2400</v>
      </c>
      <c r="N549" s="287">
        <v>0</v>
      </c>
      <c r="O549" s="287">
        <v>0</v>
      </c>
      <c r="P549" s="287"/>
      <c r="Q549" s="288" t="s">
        <v>1001</v>
      </c>
      <c r="R549" s="288" t="s">
        <v>1001</v>
      </c>
      <c r="S549" s="288" t="s">
        <v>621</v>
      </c>
      <c r="T549" s="288"/>
      <c r="U549" s="288">
        <v>0</v>
      </c>
      <c r="V549" s="289">
        <v>421.31</v>
      </c>
      <c r="W549" s="289">
        <v>0</v>
      </c>
      <c r="X549" s="288">
        <v>0.17541666666666667</v>
      </c>
      <c r="Y549" s="288">
        <v>0.17541666666666667</v>
      </c>
      <c r="Z549" s="288">
        <v>1.2916666666666667E-4</v>
      </c>
      <c r="AA549" s="288">
        <v>0</v>
      </c>
      <c r="AB549" s="288">
        <v>0</v>
      </c>
      <c r="AC549" s="289">
        <v>0.17554583333333335</v>
      </c>
      <c r="AD549" s="289">
        <v>0</v>
      </c>
    </row>
    <row r="550" spans="1:30" ht="15" customHeight="1" x14ac:dyDescent="0.25">
      <c r="A550" s="282" t="s">
        <v>581</v>
      </c>
      <c r="B550" s="282" t="s">
        <v>585</v>
      </c>
      <c r="C550" s="282" t="s">
        <v>586</v>
      </c>
      <c r="D550" s="286" t="s">
        <v>1002</v>
      </c>
      <c r="E550" s="404">
        <v>44581</v>
      </c>
      <c r="F550" s="404">
        <v>46407</v>
      </c>
      <c r="G550" s="286" t="s">
        <v>588</v>
      </c>
      <c r="H550" s="282" t="s">
        <v>589</v>
      </c>
      <c r="I550" s="282" t="s">
        <v>590</v>
      </c>
      <c r="J550" s="282" t="s">
        <v>156</v>
      </c>
      <c r="K550" s="286" t="s">
        <v>591</v>
      </c>
      <c r="L550" s="282" t="s">
        <v>574</v>
      </c>
      <c r="M550" s="287">
        <v>2400</v>
      </c>
      <c r="N550" s="287">
        <v>0</v>
      </c>
      <c r="O550" s="287">
        <v>0</v>
      </c>
      <c r="P550" s="287"/>
      <c r="Q550" s="288" t="s">
        <v>1003</v>
      </c>
      <c r="R550" s="288" t="s">
        <v>1003</v>
      </c>
      <c r="S550" s="288" t="s">
        <v>786</v>
      </c>
      <c r="T550" s="288"/>
      <c r="U550" s="288">
        <v>0</v>
      </c>
      <c r="V550" s="289">
        <v>231.17</v>
      </c>
      <c r="W550" s="289">
        <v>0</v>
      </c>
      <c r="X550" s="288">
        <v>9.6250000000000002E-2</v>
      </c>
      <c r="Y550" s="288">
        <v>9.6250000000000002E-2</v>
      </c>
      <c r="Z550" s="288">
        <v>7.0833333333333338E-5</v>
      </c>
      <c r="AA550" s="288">
        <v>0</v>
      </c>
      <c r="AB550" s="288">
        <v>0</v>
      </c>
      <c r="AC550" s="289">
        <v>9.6320833333333342E-2</v>
      </c>
      <c r="AD550" s="289">
        <v>0</v>
      </c>
    </row>
    <row r="551" spans="1:30" ht="15" customHeight="1" x14ac:dyDescent="0.25">
      <c r="A551" s="282" t="s">
        <v>581</v>
      </c>
      <c r="B551" s="282" t="s">
        <v>594</v>
      </c>
      <c r="C551" s="282" t="s">
        <v>595</v>
      </c>
      <c r="D551" s="283" t="s">
        <v>1004</v>
      </c>
      <c r="E551" s="404">
        <v>45016</v>
      </c>
      <c r="F551" s="404">
        <v>46843</v>
      </c>
      <c r="G551" s="286" t="s">
        <v>283</v>
      </c>
      <c r="H551" s="282" t="s">
        <v>736</v>
      </c>
      <c r="I551" s="282" t="s">
        <v>590</v>
      </c>
      <c r="J551" s="282" t="s">
        <v>156</v>
      </c>
      <c r="K551" s="286" t="s">
        <v>737</v>
      </c>
      <c r="L551" s="282" t="s">
        <v>574</v>
      </c>
      <c r="M551" s="287">
        <v>2400</v>
      </c>
      <c r="N551" s="287">
        <v>0</v>
      </c>
      <c r="O551" s="287">
        <v>0</v>
      </c>
      <c r="P551" s="287"/>
      <c r="Q551" s="288">
        <v>219</v>
      </c>
      <c r="R551" s="288">
        <v>219</v>
      </c>
      <c r="S551" s="288">
        <v>0.161</v>
      </c>
      <c r="T551" s="288"/>
      <c r="U551" s="288">
        <v>0</v>
      </c>
      <c r="V551" s="289">
        <v>219.161</v>
      </c>
      <c r="W551" s="289">
        <v>0</v>
      </c>
      <c r="X551" s="288">
        <v>9.1249999999999998E-2</v>
      </c>
      <c r="Y551" s="288">
        <v>9.1249999999999998E-2</v>
      </c>
      <c r="Z551" s="288">
        <v>6.7083333333333329E-5</v>
      </c>
      <c r="AA551" s="288">
        <v>0</v>
      </c>
      <c r="AB551" s="288">
        <v>0</v>
      </c>
      <c r="AC551" s="289">
        <v>9.1317083333333327E-2</v>
      </c>
      <c r="AD551" s="289">
        <v>0</v>
      </c>
    </row>
    <row r="552" spans="1:30" ht="15" customHeight="1" x14ac:dyDescent="0.25">
      <c r="A552" s="282" t="s">
        <v>581</v>
      </c>
      <c r="B552" s="282" t="s">
        <v>616</v>
      </c>
      <c r="C552" s="282" t="s">
        <v>617</v>
      </c>
      <c r="D552" s="283" t="s">
        <v>1005</v>
      </c>
      <c r="E552" s="404">
        <v>45016</v>
      </c>
      <c r="F552" s="404">
        <v>46843</v>
      </c>
      <c r="G552" s="286" t="s">
        <v>283</v>
      </c>
      <c r="H552" s="282" t="s">
        <v>736</v>
      </c>
      <c r="I552" s="282" t="s">
        <v>590</v>
      </c>
      <c r="J552" s="282" t="s">
        <v>156</v>
      </c>
      <c r="K552" s="286" t="s">
        <v>737</v>
      </c>
      <c r="L552" s="282" t="s">
        <v>574</v>
      </c>
      <c r="M552" s="287">
        <v>2400</v>
      </c>
      <c r="N552" s="287">
        <v>0</v>
      </c>
      <c r="O552" s="287">
        <v>0</v>
      </c>
      <c r="P552" s="287"/>
      <c r="Q552" s="288">
        <v>397</v>
      </c>
      <c r="R552" s="288">
        <v>397</v>
      </c>
      <c r="S552" s="288">
        <v>0.29099999999999998</v>
      </c>
      <c r="T552" s="288"/>
      <c r="U552" s="288">
        <v>0</v>
      </c>
      <c r="V552" s="289">
        <v>397.291</v>
      </c>
      <c r="W552" s="289">
        <v>0</v>
      </c>
      <c r="X552" s="288">
        <v>0.16541666666666666</v>
      </c>
      <c r="Y552" s="288">
        <v>0.16541666666666666</v>
      </c>
      <c r="Z552" s="288">
        <v>1.2124999999999999E-4</v>
      </c>
      <c r="AA552" s="288">
        <v>0</v>
      </c>
      <c r="AB552" s="288">
        <v>0</v>
      </c>
      <c r="AC552" s="289">
        <v>0.16553791666666665</v>
      </c>
      <c r="AD552" s="289">
        <v>0</v>
      </c>
    </row>
    <row r="553" spans="1:30" ht="15" customHeight="1" x14ac:dyDescent="0.25">
      <c r="A553" s="282" t="s">
        <v>581</v>
      </c>
      <c r="B553" s="282" t="s">
        <v>611</v>
      </c>
      <c r="C553" s="282" t="s">
        <v>612</v>
      </c>
      <c r="D553" s="286" t="s">
        <v>1006</v>
      </c>
      <c r="E553" s="404">
        <v>45038</v>
      </c>
      <c r="F553" s="404">
        <v>46865</v>
      </c>
      <c r="G553" s="290" t="s">
        <v>283</v>
      </c>
      <c r="H553" s="282" t="s">
        <v>881</v>
      </c>
      <c r="I553" s="282" t="s">
        <v>590</v>
      </c>
      <c r="J553" s="282" t="s">
        <v>156</v>
      </c>
      <c r="K553" s="286" t="s">
        <v>882</v>
      </c>
      <c r="L553" s="282" t="s">
        <v>574</v>
      </c>
      <c r="M553" s="287">
        <v>2400</v>
      </c>
      <c r="N553" s="287">
        <v>0</v>
      </c>
      <c r="O553" s="287">
        <v>0</v>
      </c>
      <c r="P553" s="287"/>
      <c r="Q553" s="288" t="s">
        <v>1007</v>
      </c>
      <c r="R553" s="288" t="s">
        <v>1007</v>
      </c>
      <c r="S553" s="288" t="s">
        <v>864</v>
      </c>
      <c r="T553" s="288"/>
      <c r="U553" s="288">
        <v>0</v>
      </c>
      <c r="V553" s="289">
        <v>191.14</v>
      </c>
      <c r="W553" s="289">
        <v>0</v>
      </c>
      <c r="X553" s="288">
        <v>7.9583333333333339E-2</v>
      </c>
      <c r="Y553" s="288">
        <v>7.9583333333333339E-2</v>
      </c>
      <c r="Z553" s="288">
        <v>5.833333333333334E-5</v>
      </c>
      <c r="AA553" s="288">
        <v>0</v>
      </c>
      <c r="AB553" s="288">
        <v>0</v>
      </c>
      <c r="AC553" s="289">
        <v>7.9641666666666666E-2</v>
      </c>
      <c r="AD553" s="289">
        <v>0</v>
      </c>
    </row>
    <row r="554" spans="1:30" ht="15" customHeight="1" x14ac:dyDescent="0.25">
      <c r="A554" s="282" t="s">
        <v>581</v>
      </c>
      <c r="B554" s="282" t="s">
        <v>611</v>
      </c>
      <c r="C554" s="282" t="s">
        <v>612</v>
      </c>
      <c r="D554" s="286" t="s">
        <v>1008</v>
      </c>
      <c r="E554" s="404">
        <v>44581</v>
      </c>
      <c r="F554" s="404">
        <v>46407</v>
      </c>
      <c r="G554" s="286" t="s">
        <v>588</v>
      </c>
      <c r="H554" s="282" t="s">
        <v>589</v>
      </c>
      <c r="I554" s="282" t="s">
        <v>590</v>
      </c>
      <c r="J554" s="282" t="s">
        <v>156</v>
      </c>
      <c r="K554" s="286" t="s">
        <v>591</v>
      </c>
      <c r="L554" s="282" t="s">
        <v>574</v>
      </c>
      <c r="M554" s="287">
        <v>2400</v>
      </c>
      <c r="N554" s="287">
        <v>0</v>
      </c>
      <c r="O554" s="287">
        <v>0</v>
      </c>
      <c r="P554" s="287"/>
      <c r="Q554" s="288" t="s">
        <v>1007</v>
      </c>
      <c r="R554" s="288" t="s">
        <v>1007</v>
      </c>
      <c r="S554" s="288" t="s">
        <v>864</v>
      </c>
      <c r="T554" s="288"/>
      <c r="U554" s="288">
        <v>0</v>
      </c>
      <c r="V554" s="289">
        <v>191.14</v>
      </c>
      <c r="W554" s="289">
        <v>0</v>
      </c>
      <c r="X554" s="288">
        <v>7.9583333333333339E-2</v>
      </c>
      <c r="Y554" s="288">
        <v>7.9583333333333339E-2</v>
      </c>
      <c r="Z554" s="288">
        <v>5.833333333333334E-5</v>
      </c>
      <c r="AA554" s="288">
        <v>0</v>
      </c>
      <c r="AB554" s="288">
        <v>0</v>
      </c>
      <c r="AC554" s="289">
        <v>7.9641666666666666E-2</v>
      </c>
      <c r="AD554" s="289">
        <v>0</v>
      </c>
    </row>
    <row r="555" spans="1:30" ht="15" customHeight="1" x14ac:dyDescent="0.25">
      <c r="A555" s="282" t="s">
        <v>581</v>
      </c>
      <c r="B555" s="282" t="s">
        <v>695</v>
      </c>
      <c r="C555" s="282" t="s">
        <v>696</v>
      </c>
      <c r="D555" s="286" t="s">
        <v>1009</v>
      </c>
      <c r="E555" s="404">
        <v>44581</v>
      </c>
      <c r="F555" s="404">
        <v>46407</v>
      </c>
      <c r="G555" s="286" t="s">
        <v>588</v>
      </c>
      <c r="H555" s="282" t="s">
        <v>589</v>
      </c>
      <c r="I555" s="282" t="s">
        <v>590</v>
      </c>
      <c r="J555" s="282" t="s">
        <v>156</v>
      </c>
      <c r="K555" s="286" t="s">
        <v>591</v>
      </c>
      <c r="L555" s="282" t="s">
        <v>574</v>
      </c>
      <c r="M555" s="287">
        <v>2400</v>
      </c>
      <c r="N555" s="287">
        <v>0</v>
      </c>
      <c r="O555" s="287">
        <v>0</v>
      </c>
      <c r="P555" s="287"/>
      <c r="Q555" s="288" t="s">
        <v>698</v>
      </c>
      <c r="R555" s="288" t="s">
        <v>698</v>
      </c>
      <c r="S555" s="288" t="s">
        <v>659</v>
      </c>
      <c r="T555" s="288"/>
      <c r="U555" s="288">
        <v>0</v>
      </c>
      <c r="V555" s="289">
        <v>355.26</v>
      </c>
      <c r="W555" s="289">
        <v>0</v>
      </c>
      <c r="X555" s="288">
        <v>0.14791666666666667</v>
      </c>
      <c r="Y555" s="288">
        <v>0.14791666666666667</v>
      </c>
      <c r="Z555" s="288">
        <v>1.0833333333333334E-4</v>
      </c>
      <c r="AA555" s="288">
        <v>0</v>
      </c>
      <c r="AB555" s="288">
        <v>0</v>
      </c>
      <c r="AC555" s="289">
        <v>0.14802499999999999</v>
      </c>
      <c r="AD555" s="289">
        <v>0</v>
      </c>
    </row>
    <row r="556" spans="1:30" ht="15" customHeight="1" x14ac:dyDescent="0.25">
      <c r="A556" s="282" t="s">
        <v>581</v>
      </c>
      <c r="B556" s="282" t="s">
        <v>594</v>
      </c>
      <c r="C556" s="282" t="s">
        <v>595</v>
      </c>
      <c r="D556" s="286" t="s">
        <v>1010</v>
      </c>
      <c r="E556" s="404">
        <v>45038</v>
      </c>
      <c r="F556" s="404">
        <v>46865</v>
      </c>
      <c r="G556" s="290" t="s">
        <v>283</v>
      </c>
      <c r="H556" s="282" t="s">
        <v>881</v>
      </c>
      <c r="I556" s="282" t="s">
        <v>590</v>
      </c>
      <c r="J556" s="282" t="s">
        <v>156</v>
      </c>
      <c r="K556" s="286" t="s">
        <v>882</v>
      </c>
      <c r="L556" s="282" t="s">
        <v>574</v>
      </c>
      <c r="M556" s="287">
        <v>2400</v>
      </c>
      <c r="N556" s="287">
        <v>0</v>
      </c>
      <c r="O556" s="287">
        <v>0</v>
      </c>
      <c r="P556" s="287"/>
      <c r="Q556" s="288" t="s">
        <v>1011</v>
      </c>
      <c r="R556" s="288" t="s">
        <v>1011</v>
      </c>
      <c r="S556" s="288" t="s">
        <v>894</v>
      </c>
      <c r="T556" s="288"/>
      <c r="U556" s="288">
        <v>0</v>
      </c>
      <c r="V556" s="289">
        <v>164.12</v>
      </c>
      <c r="W556" s="289">
        <v>0</v>
      </c>
      <c r="X556" s="288">
        <v>6.8333333333333329E-2</v>
      </c>
      <c r="Y556" s="288">
        <v>6.8333333333333329E-2</v>
      </c>
      <c r="Z556" s="288">
        <v>4.9999999999999996E-5</v>
      </c>
      <c r="AA556" s="288">
        <v>0</v>
      </c>
      <c r="AB556" s="288">
        <v>0</v>
      </c>
      <c r="AC556" s="289">
        <v>6.8383333333333324E-2</v>
      </c>
      <c r="AD556" s="289">
        <v>0</v>
      </c>
    </row>
    <row r="557" spans="1:30" ht="15" customHeight="1" x14ac:dyDescent="0.25">
      <c r="A557" s="282" t="s">
        <v>581</v>
      </c>
      <c r="B557" s="282" t="s">
        <v>594</v>
      </c>
      <c r="C557" s="282" t="s">
        <v>595</v>
      </c>
      <c r="D557" s="286" t="s">
        <v>1012</v>
      </c>
      <c r="E557" s="404">
        <v>45038</v>
      </c>
      <c r="F557" s="404">
        <v>46865</v>
      </c>
      <c r="G557" s="290" t="s">
        <v>283</v>
      </c>
      <c r="H557" s="282" t="s">
        <v>881</v>
      </c>
      <c r="I557" s="282" t="s">
        <v>590</v>
      </c>
      <c r="J557" s="282" t="s">
        <v>156</v>
      </c>
      <c r="K557" s="286" t="s">
        <v>882</v>
      </c>
      <c r="L557" s="282" t="s">
        <v>574</v>
      </c>
      <c r="M557" s="287">
        <v>2400</v>
      </c>
      <c r="N557" s="287">
        <v>0</v>
      </c>
      <c r="O557" s="287">
        <v>0</v>
      </c>
      <c r="P557" s="287"/>
      <c r="Q557" s="288" t="s">
        <v>1011</v>
      </c>
      <c r="R557" s="288" t="s">
        <v>1011</v>
      </c>
      <c r="S557" s="288" t="s">
        <v>894</v>
      </c>
      <c r="T557" s="288"/>
      <c r="U557" s="288">
        <v>0</v>
      </c>
      <c r="V557" s="289">
        <v>164.12</v>
      </c>
      <c r="W557" s="289">
        <v>0</v>
      </c>
      <c r="X557" s="288">
        <v>6.8333333333333329E-2</v>
      </c>
      <c r="Y557" s="288">
        <v>6.8333333333333329E-2</v>
      </c>
      <c r="Z557" s="288">
        <v>4.9999999999999996E-5</v>
      </c>
      <c r="AA557" s="288">
        <v>0</v>
      </c>
      <c r="AB557" s="288">
        <v>0</v>
      </c>
      <c r="AC557" s="289">
        <v>6.8383333333333324E-2</v>
      </c>
      <c r="AD557" s="289">
        <v>0</v>
      </c>
    </row>
    <row r="558" spans="1:30" ht="15" customHeight="1" x14ac:dyDescent="0.25">
      <c r="A558" s="282" t="s">
        <v>581</v>
      </c>
      <c r="B558" s="282" t="s">
        <v>628</v>
      </c>
      <c r="C558" s="282" t="s">
        <v>629</v>
      </c>
      <c r="D558" s="286" t="s">
        <v>1013</v>
      </c>
      <c r="E558" s="404">
        <v>44581</v>
      </c>
      <c r="F558" s="404">
        <v>46407</v>
      </c>
      <c r="G558" s="286" t="s">
        <v>588</v>
      </c>
      <c r="H558" s="282" t="s">
        <v>589</v>
      </c>
      <c r="I558" s="282" t="s">
        <v>590</v>
      </c>
      <c r="J558" s="282" t="s">
        <v>156</v>
      </c>
      <c r="K558" s="286" t="s">
        <v>591</v>
      </c>
      <c r="L558" s="282" t="s">
        <v>574</v>
      </c>
      <c r="M558" s="287">
        <v>2400</v>
      </c>
      <c r="N558" s="287">
        <v>0</v>
      </c>
      <c r="O558" s="287">
        <v>0</v>
      </c>
      <c r="P558" s="287"/>
      <c r="Q558" s="288" t="s">
        <v>1011</v>
      </c>
      <c r="R558" s="288" t="s">
        <v>1011</v>
      </c>
      <c r="S558" s="288" t="s">
        <v>894</v>
      </c>
      <c r="T558" s="288"/>
      <c r="U558" s="288">
        <v>0</v>
      </c>
      <c r="V558" s="289">
        <v>164.12</v>
      </c>
      <c r="W558" s="289">
        <v>0</v>
      </c>
      <c r="X558" s="288">
        <v>6.8333333333333329E-2</v>
      </c>
      <c r="Y558" s="288">
        <v>6.8333333333333329E-2</v>
      </c>
      <c r="Z558" s="288">
        <v>4.9999999999999996E-5</v>
      </c>
      <c r="AA558" s="288">
        <v>0</v>
      </c>
      <c r="AB558" s="288">
        <v>0</v>
      </c>
      <c r="AC558" s="289">
        <v>6.8383333333333324E-2</v>
      </c>
      <c r="AD558" s="289">
        <v>0</v>
      </c>
    </row>
    <row r="559" spans="1:30" ht="15" customHeight="1" x14ac:dyDescent="0.25">
      <c r="A559" s="282" t="s">
        <v>581</v>
      </c>
      <c r="B559" s="282" t="s">
        <v>585</v>
      </c>
      <c r="C559" s="282" t="s">
        <v>586</v>
      </c>
      <c r="D559" s="286" t="s">
        <v>1014</v>
      </c>
      <c r="E559" s="404">
        <v>44581</v>
      </c>
      <c r="F559" s="404">
        <v>46407</v>
      </c>
      <c r="G559" s="286" t="s">
        <v>588</v>
      </c>
      <c r="H559" s="282" t="s">
        <v>589</v>
      </c>
      <c r="I559" s="282" t="s">
        <v>590</v>
      </c>
      <c r="J559" s="282" t="s">
        <v>156</v>
      </c>
      <c r="K559" s="286" t="s">
        <v>591</v>
      </c>
      <c r="L559" s="282" t="s">
        <v>574</v>
      </c>
      <c r="M559" s="287">
        <v>2400</v>
      </c>
      <c r="N559" s="287">
        <v>0</v>
      </c>
      <c r="O559" s="287">
        <v>0</v>
      </c>
      <c r="P559" s="287"/>
      <c r="Q559" s="288" t="s">
        <v>1015</v>
      </c>
      <c r="R559" s="288" t="s">
        <v>1015</v>
      </c>
      <c r="S559" s="288" t="s">
        <v>742</v>
      </c>
      <c r="T559" s="288"/>
      <c r="U559" s="288">
        <v>0</v>
      </c>
      <c r="V559" s="289">
        <v>219.16</v>
      </c>
      <c r="W559" s="289">
        <v>0</v>
      </c>
      <c r="X559" s="288">
        <v>9.1249999999999998E-2</v>
      </c>
      <c r="Y559" s="288">
        <v>9.1249999999999998E-2</v>
      </c>
      <c r="Z559" s="288">
        <v>6.666666666666667E-5</v>
      </c>
      <c r="AA559" s="288">
        <v>0</v>
      </c>
      <c r="AB559" s="288">
        <v>0</v>
      </c>
      <c r="AC559" s="289">
        <v>9.1316666666666671E-2</v>
      </c>
      <c r="AD559" s="289">
        <v>0</v>
      </c>
    </row>
    <row r="560" spans="1:30" ht="15" customHeight="1" x14ac:dyDescent="0.25">
      <c r="A560" s="282" t="s">
        <v>581</v>
      </c>
      <c r="B560" s="282" t="s">
        <v>585</v>
      </c>
      <c r="C560" s="282" t="s">
        <v>586</v>
      </c>
      <c r="D560" s="283" t="s">
        <v>1016</v>
      </c>
      <c r="E560" s="404">
        <v>44910</v>
      </c>
      <c r="F560" s="404">
        <v>46736</v>
      </c>
      <c r="G560" s="286" t="s">
        <v>608</v>
      </c>
      <c r="H560" s="282" t="s">
        <v>609</v>
      </c>
      <c r="I560" s="282" t="s">
        <v>590</v>
      </c>
      <c r="J560" s="282" t="s">
        <v>156</v>
      </c>
      <c r="K560" s="286" t="s">
        <v>610</v>
      </c>
      <c r="L560" s="282" t="s">
        <v>574</v>
      </c>
      <c r="M560" s="287">
        <v>2400</v>
      </c>
      <c r="N560" s="287">
        <v>0</v>
      </c>
      <c r="O560" s="287">
        <v>0</v>
      </c>
      <c r="P560" s="287"/>
      <c r="Q560" s="288">
        <v>219</v>
      </c>
      <c r="R560" s="288">
        <v>217</v>
      </c>
      <c r="S560" s="288">
        <v>2.16</v>
      </c>
      <c r="T560" s="288"/>
      <c r="U560" s="288">
        <v>0</v>
      </c>
      <c r="V560" s="289">
        <v>219.16</v>
      </c>
      <c r="W560" s="289">
        <v>0</v>
      </c>
      <c r="X560" s="288">
        <v>9.1249999999999998E-2</v>
      </c>
      <c r="Y560" s="288">
        <v>9.0416666666666673E-2</v>
      </c>
      <c r="Z560" s="288">
        <v>9.0000000000000008E-4</v>
      </c>
      <c r="AA560" s="288">
        <v>0</v>
      </c>
      <c r="AB560" s="288">
        <v>0</v>
      </c>
      <c r="AC560" s="289">
        <v>9.1316666666666671E-2</v>
      </c>
      <c r="AD560" s="289">
        <v>0</v>
      </c>
    </row>
    <row r="561" spans="1:30" ht="15" customHeight="1" x14ac:dyDescent="0.25">
      <c r="A561" s="282" t="s">
        <v>581</v>
      </c>
      <c r="B561" s="282" t="s">
        <v>628</v>
      </c>
      <c r="C561" s="282" t="s">
        <v>629</v>
      </c>
      <c r="D561" s="286" t="s">
        <v>1017</v>
      </c>
      <c r="E561" s="404">
        <v>44581</v>
      </c>
      <c r="F561" s="404">
        <v>46407</v>
      </c>
      <c r="G561" s="286" t="s">
        <v>588</v>
      </c>
      <c r="H561" s="282" t="s">
        <v>589</v>
      </c>
      <c r="I561" s="282" t="s">
        <v>590</v>
      </c>
      <c r="J561" s="282" t="s">
        <v>156</v>
      </c>
      <c r="K561" s="286" t="s">
        <v>591</v>
      </c>
      <c r="L561" s="282" t="s">
        <v>574</v>
      </c>
      <c r="M561" s="287">
        <v>2400</v>
      </c>
      <c r="N561" s="287">
        <v>0</v>
      </c>
      <c r="O561" s="287">
        <v>0</v>
      </c>
      <c r="P561" s="287"/>
      <c r="Q561" s="288" t="s">
        <v>1018</v>
      </c>
      <c r="R561" s="288" t="s">
        <v>1018</v>
      </c>
      <c r="S561" s="288" t="s">
        <v>795</v>
      </c>
      <c r="T561" s="288"/>
      <c r="U561" s="288">
        <v>0</v>
      </c>
      <c r="V561" s="289">
        <v>206.15</v>
      </c>
      <c r="W561" s="289">
        <v>0</v>
      </c>
      <c r="X561" s="288">
        <v>8.5833333333333331E-2</v>
      </c>
      <c r="Y561" s="288">
        <v>8.5833333333333331E-2</v>
      </c>
      <c r="Z561" s="288">
        <v>6.2500000000000001E-5</v>
      </c>
      <c r="AA561" s="288">
        <v>0</v>
      </c>
      <c r="AB561" s="288">
        <v>0</v>
      </c>
      <c r="AC561" s="289">
        <v>8.5895833333333324E-2</v>
      </c>
      <c r="AD561" s="289">
        <v>0</v>
      </c>
    </row>
    <row r="562" spans="1:30" ht="15" customHeight="1" x14ac:dyDescent="0.25">
      <c r="A562" s="282" t="s">
        <v>581</v>
      </c>
      <c r="B562" s="282" t="s">
        <v>628</v>
      </c>
      <c r="C562" s="282" t="s">
        <v>629</v>
      </c>
      <c r="D562" s="286" t="s">
        <v>1019</v>
      </c>
      <c r="E562" s="404">
        <v>44581</v>
      </c>
      <c r="F562" s="404">
        <v>46407</v>
      </c>
      <c r="G562" s="286" t="s">
        <v>588</v>
      </c>
      <c r="H562" s="282" t="s">
        <v>589</v>
      </c>
      <c r="I562" s="282" t="s">
        <v>590</v>
      </c>
      <c r="J562" s="282" t="s">
        <v>156</v>
      </c>
      <c r="K562" s="286" t="s">
        <v>591</v>
      </c>
      <c r="L562" s="282" t="s">
        <v>574</v>
      </c>
      <c r="M562" s="287">
        <v>2400</v>
      </c>
      <c r="N562" s="287">
        <v>0</v>
      </c>
      <c r="O562" s="287">
        <v>0</v>
      </c>
      <c r="P562" s="287"/>
      <c r="Q562" s="288" t="s">
        <v>713</v>
      </c>
      <c r="R562" s="288" t="s">
        <v>713</v>
      </c>
      <c r="S562" s="288" t="s">
        <v>894</v>
      </c>
      <c r="T562" s="288"/>
      <c r="U562" s="288">
        <v>0</v>
      </c>
      <c r="V562" s="289">
        <v>165.12</v>
      </c>
      <c r="W562" s="289">
        <v>0</v>
      </c>
      <c r="X562" s="288">
        <v>6.8750000000000006E-2</v>
      </c>
      <c r="Y562" s="288">
        <v>6.8750000000000006E-2</v>
      </c>
      <c r="Z562" s="288">
        <v>4.9999999999999996E-5</v>
      </c>
      <c r="AA562" s="288">
        <v>0</v>
      </c>
      <c r="AB562" s="288">
        <v>0</v>
      </c>
      <c r="AC562" s="289">
        <v>6.88E-2</v>
      </c>
      <c r="AD562" s="289">
        <v>0</v>
      </c>
    </row>
    <row r="563" spans="1:30" ht="15" customHeight="1" x14ac:dyDescent="0.25">
      <c r="A563" s="282" t="s">
        <v>581</v>
      </c>
      <c r="B563" s="282" t="s">
        <v>628</v>
      </c>
      <c r="C563" s="282" t="s">
        <v>629</v>
      </c>
      <c r="D563" s="286" t="s">
        <v>1020</v>
      </c>
      <c r="E563" s="404">
        <v>45038</v>
      </c>
      <c r="F563" s="404">
        <v>46865</v>
      </c>
      <c r="G563" s="290" t="s">
        <v>283</v>
      </c>
      <c r="H563" s="282" t="s">
        <v>881</v>
      </c>
      <c r="I563" s="282" t="s">
        <v>590</v>
      </c>
      <c r="J563" s="282" t="s">
        <v>156</v>
      </c>
      <c r="K563" s="286" t="s">
        <v>882</v>
      </c>
      <c r="L563" s="282" t="s">
        <v>574</v>
      </c>
      <c r="M563" s="287">
        <v>2400</v>
      </c>
      <c r="N563" s="287">
        <v>0</v>
      </c>
      <c r="O563" s="287">
        <v>0</v>
      </c>
      <c r="P563" s="287"/>
      <c r="Q563" s="288" t="s">
        <v>1021</v>
      </c>
      <c r="R563" s="288" t="s">
        <v>1021</v>
      </c>
      <c r="S563" s="288" t="s">
        <v>927</v>
      </c>
      <c r="T563" s="288"/>
      <c r="U563" s="288">
        <v>0</v>
      </c>
      <c r="V563" s="289">
        <v>179.13</v>
      </c>
      <c r="W563" s="289">
        <v>0</v>
      </c>
      <c r="X563" s="288">
        <v>7.4583333333333335E-2</v>
      </c>
      <c r="Y563" s="288">
        <v>7.4583333333333335E-2</v>
      </c>
      <c r="Z563" s="288">
        <v>5.4166666666666671E-5</v>
      </c>
      <c r="AA563" s="288">
        <v>0</v>
      </c>
      <c r="AB563" s="288">
        <v>0</v>
      </c>
      <c r="AC563" s="289">
        <v>7.4637499999999996E-2</v>
      </c>
      <c r="AD563" s="289">
        <v>0</v>
      </c>
    </row>
    <row r="564" spans="1:30" ht="15" customHeight="1" x14ac:dyDescent="0.25">
      <c r="A564" s="282" t="s">
        <v>581</v>
      </c>
      <c r="B564" s="282" t="s">
        <v>611</v>
      </c>
      <c r="C564" s="282" t="s">
        <v>612</v>
      </c>
      <c r="D564" s="286" t="s">
        <v>1022</v>
      </c>
      <c r="E564" s="404">
        <v>44581</v>
      </c>
      <c r="F564" s="404">
        <v>46407</v>
      </c>
      <c r="G564" s="286" t="s">
        <v>588</v>
      </c>
      <c r="H564" s="282" t="s">
        <v>589</v>
      </c>
      <c r="I564" s="282" t="s">
        <v>590</v>
      </c>
      <c r="J564" s="282" t="s">
        <v>156</v>
      </c>
      <c r="K564" s="286" t="s">
        <v>591</v>
      </c>
      <c r="L564" s="282" t="s">
        <v>574</v>
      </c>
      <c r="M564" s="287">
        <v>2400</v>
      </c>
      <c r="N564" s="287">
        <v>0</v>
      </c>
      <c r="O564" s="287">
        <v>0</v>
      </c>
      <c r="P564" s="287"/>
      <c r="Q564" s="288" t="s">
        <v>1023</v>
      </c>
      <c r="R564" s="288" t="s">
        <v>1023</v>
      </c>
      <c r="S564" s="288" t="s">
        <v>864</v>
      </c>
      <c r="T564" s="288"/>
      <c r="U564" s="288">
        <v>0</v>
      </c>
      <c r="V564" s="289">
        <v>193.14</v>
      </c>
      <c r="W564" s="289">
        <v>0</v>
      </c>
      <c r="X564" s="288">
        <v>8.0416666666666664E-2</v>
      </c>
      <c r="Y564" s="288">
        <v>8.0416666666666664E-2</v>
      </c>
      <c r="Z564" s="288">
        <v>5.833333333333334E-5</v>
      </c>
      <c r="AA564" s="288">
        <v>0</v>
      </c>
      <c r="AB564" s="288">
        <v>0</v>
      </c>
      <c r="AC564" s="289">
        <v>8.0474999999999991E-2</v>
      </c>
      <c r="AD564" s="289">
        <v>0</v>
      </c>
    </row>
    <row r="565" spans="1:30" ht="15" customHeight="1" x14ac:dyDescent="0.25">
      <c r="A565" s="282" t="s">
        <v>581</v>
      </c>
      <c r="B565" s="282" t="s">
        <v>611</v>
      </c>
      <c r="C565" s="282" t="s">
        <v>612</v>
      </c>
      <c r="D565" s="283" t="s">
        <v>1024</v>
      </c>
      <c r="E565" s="404">
        <v>45016</v>
      </c>
      <c r="F565" s="404">
        <v>46843</v>
      </c>
      <c r="G565" s="286" t="s">
        <v>283</v>
      </c>
      <c r="H565" s="282" t="s">
        <v>736</v>
      </c>
      <c r="I565" s="282" t="s">
        <v>590</v>
      </c>
      <c r="J565" s="282" t="s">
        <v>156</v>
      </c>
      <c r="K565" s="286" t="s">
        <v>737</v>
      </c>
      <c r="L565" s="282" t="s">
        <v>574</v>
      </c>
      <c r="M565" s="287">
        <v>2400</v>
      </c>
      <c r="N565" s="287">
        <v>0</v>
      </c>
      <c r="O565" s="287">
        <v>0</v>
      </c>
      <c r="P565" s="287"/>
      <c r="Q565" s="288">
        <v>280</v>
      </c>
      <c r="R565" s="288">
        <v>280</v>
      </c>
      <c r="S565" s="288">
        <v>0.20300000000000001</v>
      </c>
      <c r="T565" s="288"/>
      <c r="U565" s="288">
        <v>0</v>
      </c>
      <c r="V565" s="289">
        <v>280.20299999999997</v>
      </c>
      <c r="W565" s="289">
        <v>0</v>
      </c>
      <c r="X565" s="288">
        <v>0.11666666666666667</v>
      </c>
      <c r="Y565" s="288">
        <v>0.11666666666666667</v>
      </c>
      <c r="Z565" s="288">
        <v>8.4583333333333334E-5</v>
      </c>
      <c r="AA565" s="288">
        <v>0</v>
      </c>
      <c r="AB565" s="288">
        <v>0</v>
      </c>
      <c r="AC565" s="289">
        <v>0.11675125</v>
      </c>
      <c r="AD565" s="289">
        <v>0</v>
      </c>
    </row>
    <row r="566" spans="1:30" ht="15" customHeight="1" x14ac:dyDescent="0.25">
      <c r="A566" s="282" t="s">
        <v>581</v>
      </c>
      <c r="B566" s="282" t="s">
        <v>594</v>
      </c>
      <c r="C566" s="282" t="s">
        <v>595</v>
      </c>
      <c r="D566" s="283" t="s">
        <v>1025</v>
      </c>
      <c r="E566" s="404">
        <v>45016</v>
      </c>
      <c r="F566" s="404">
        <v>46843</v>
      </c>
      <c r="G566" s="286" t="s">
        <v>283</v>
      </c>
      <c r="H566" s="282" t="s">
        <v>736</v>
      </c>
      <c r="I566" s="282" t="s">
        <v>590</v>
      </c>
      <c r="J566" s="282" t="s">
        <v>156</v>
      </c>
      <c r="K566" s="286" t="s">
        <v>737</v>
      </c>
      <c r="L566" s="282" t="s">
        <v>574</v>
      </c>
      <c r="M566" s="287">
        <v>2400</v>
      </c>
      <c r="N566" s="287">
        <v>0</v>
      </c>
      <c r="O566" s="287">
        <v>0</v>
      </c>
      <c r="P566" s="287"/>
      <c r="Q566" s="288">
        <v>225</v>
      </c>
      <c r="R566" s="288">
        <v>225</v>
      </c>
      <c r="S566" s="288">
        <v>0.16200000000000001</v>
      </c>
      <c r="T566" s="288"/>
      <c r="U566" s="288">
        <v>0</v>
      </c>
      <c r="V566" s="289">
        <v>225.16200000000001</v>
      </c>
      <c r="W566" s="289">
        <v>0</v>
      </c>
      <c r="X566" s="288">
        <v>9.375E-2</v>
      </c>
      <c r="Y566" s="288">
        <v>9.375E-2</v>
      </c>
      <c r="Z566" s="288">
        <v>6.7500000000000001E-5</v>
      </c>
      <c r="AA566" s="288">
        <v>0</v>
      </c>
      <c r="AB566" s="288">
        <v>0</v>
      </c>
      <c r="AC566" s="289">
        <v>9.3817499999999998E-2</v>
      </c>
      <c r="AD566" s="289">
        <v>0</v>
      </c>
    </row>
    <row r="567" spans="1:30" ht="15" customHeight="1" x14ac:dyDescent="0.25">
      <c r="A567" s="282" t="s">
        <v>581</v>
      </c>
      <c r="B567" s="282" t="s">
        <v>594</v>
      </c>
      <c r="C567" s="282" t="s">
        <v>595</v>
      </c>
      <c r="D567" s="286" t="s">
        <v>1026</v>
      </c>
      <c r="E567" s="404">
        <v>44581</v>
      </c>
      <c r="F567" s="404">
        <v>46407</v>
      </c>
      <c r="G567" s="286" t="s">
        <v>588</v>
      </c>
      <c r="H567" s="282" t="s">
        <v>589</v>
      </c>
      <c r="I567" s="282" t="s">
        <v>590</v>
      </c>
      <c r="J567" s="282" t="s">
        <v>156</v>
      </c>
      <c r="K567" s="286" t="s">
        <v>591</v>
      </c>
      <c r="L567" s="282" t="s">
        <v>574</v>
      </c>
      <c r="M567" s="287">
        <v>2400</v>
      </c>
      <c r="N567" s="287">
        <v>0</v>
      </c>
      <c r="O567" s="287">
        <v>0</v>
      </c>
      <c r="P567" s="287"/>
      <c r="Q567" s="288" t="s">
        <v>757</v>
      </c>
      <c r="R567" s="288" t="s">
        <v>757</v>
      </c>
      <c r="S567" s="288" t="s">
        <v>889</v>
      </c>
      <c r="T567" s="288"/>
      <c r="U567" s="288">
        <v>0</v>
      </c>
      <c r="V567" s="289">
        <v>153.11000000000001</v>
      </c>
      <c r="W567" s="289">
        <v>0</v>
      </c>
      <c r="X567" s="288">
        <v>6.3750000000000001E-2</v>
      </c>
      <c r="Y567" s="288">
        <v>6.3750000000000001E-2</v>
      </c>
      <c r="Z567" s="288">
        <v>4.5833333333333334E-5</v>
      </c>
      <c r="AA567" s="288">
        <v>0</v>
      </c>
      <c r="AB567" s="288">
        <v>0</v>
      </c>
      <c r="AC567" s="289">
        <v>6.3795833333333329E-2</v>
      </c>
      <c r="AD567" s="289">
        <v>0</v>
      </c>
    </row>
    <row r="568" spans="1:30" ht="15" customHeight="1" x14ac:dyDescent="0.25">
      <c r="A568" s="282" t="s">
        <v>581</v>
      </c>
      <c r="B568" s="282" t="s">
        <v>628</v>
      </c>
      <c r="C568" s="282" t="s">
        <v>629</v>
      </c>
      <c r="D568" s="286" t="s">
        <v>1027</v>
      </c>
      <c r="E568" s="404">
        <v>45038</v>
      </c>
      <c r="F568" s="404">
        <v>46865</v>
      </c>
      <c r="G568" s="290" t="s">
        <v>283</v>
      </c>
      <c r="H568" s="282" t="s">
        <v>881</v>
      </c>
      <c r="I568" s="282" t="s">
        <v>590</v>
      </c>
      <c r="J568" s="282" t="s">
        <v>156</v>
      </c>
      <c r="K568" s="286" t="s">
        <v>882</v>
      </c>
      <c r="L568" s="282" t="s">
        <v>574</v>
      </c>
      <c r="M568" s="287">
        <v>2400</v>
      </c>
      <c r="N568" s="287">
        <v>0</v>
      </c>
      <c r="O568" s="287">
        <v>0</v>
      </c>
      <c r="P568" s="287"/>
      <c r="Q568" s="288" t="s">
        <v>863</v>
      </c>
      <c r="R568" s="288" t="s">
        <v>863</v>
      </c>
      <c r="S568" s="288" t="s">
        <v>894</v>
      </c>
      <c r="T568" s="288"/>
      <c r="U568" s="288">
        <v>0</v>
      </c>
      <c r="V568" s="289">
        <v>167.12</v>
      </c>
      <c r="W568" s="289">
        <v>0</v>
      </c>
      <c r="X568" s="288">
        <v>6.958333333333333E-2</v>
      </c>
      <c r="Y568" s="288">
        <v>6.958333333333333E-2</v>
      </c>
      <c r="Z568" s="288">
        <v>4.9999999999999996E-5</v>
      </c>
      <c r="AA568" s="288">
        <v>0</v>
      </c>
      <c r="AB568" s="288">
        <v>0</v>
      </c>
      <c r="AC568" s="289">
        <v>6.9633333333333325E-2</v>
      </c>
      <c r="AD568" s="289">
        <v>0</v>
      </c>
    </row>
    <row r="569" spans="1:30" ht="15" customHeight="1" x14ac:dyDescent="0.25">
      <c r="A569" s="282" t="s">
        <v>581</v>
      </c>
      <c r="B569" s="282" t="s">
        <v>695</v>
      </c>
      <c r="C569" s="282" t="s">
        <v>696</v>
      </c>
      <c r="D569" s="286" t="s">
        <v>1028</v>
      </c>
      <c r="E569" s="404">
        <v>45038</v>
      </c>
      <c r="F569" s="404">
        <v>46865</v>
      </c>
      <c r="G569" s="290" t="s">
        <v>283</v>
      </c>
      <c r="H569" s="282" t="s">
        <v>881</v>
      </c>
      <c r="I569" s="282" t="s">
        <v>590</v>
      </c>
      <c r="J569" s="282" t="s">
        <v>156</v>
      </c>
      <c r="K569" s="286" t="s">
        <v>882</v>
      </c>
      <c r="L569" s="282" t="s">
        <v>574</v>
      </c>
      <c r="M569" s="287">
        <v>2400</v>
      </c>
      <c r="N569" s="287">
        <v>0</v>
      </c>
      <c r="O569" s="287">
        <v>0</v>
      </c>
      <c r="P569" s="287"/>
      <c r="Q569" s="288" t="s">
        <v>1029</v>
      </c>
      <c r="R569" s="288" t="s">
        <v>1029</v>
      </c>
      <c r="S569" s="288" t="s">
        <v>691</v>
      </c>
      <c r="T569" s="288"/>
      <c r="U569" s="288">
        <v>0</v>
      </c>
      <c r="V569" s="289">
        <v>348.25</v>
      </c>
      <c r="W569" s="289">
        <v>0</v>
      </c>
      <c r="X569" s="288">
        <v>0.14499999999999999</v>
      </c>
      <c r="Y569" s="288">
        <v>0.14499999999999999</v>
      </c>
      <c r="Z569" s="288">
        <v>1.0416666666666667E-4</v>
      </c>
      <c r="AA569" s="288">
        <v>0</v>
      </c>
      <c r="AB569" s="288">
        <v>0</v>
      </c>
      <c r="AC569" s="289">
        <v>0.14510416666666665</v>
      </c>
      <c r="AD569" s="289">
        <v>0</v>
      </c>
    </row>
    <row r="570" spans="1:30" ht="15" customHeight="1" x14ac:dyDescent="0.25">
      <c r="A570" s="282" t="s">
        <v>581</v>
      </c>
      <c r="B570" s="282" t="s">
        <v>611</v>
      </c>
      <c r="C570" s="282" t="s">
        <v>612</v>
      </c>
      <c r="D570" s="286" t="s">
        <v>1030</v>
      </c>
      <c r="E570" s="404">
        <v>44581</v>
      </c>
      <c r="F570" s="404">
        <v>46407</v>
      </c>
      <c r="G570" s="286" t="s">
        <v>588</v>
      </c>
      <c r="H570" s="282" t="s">
        <v>589</v>
      </c>
      <c r="I570" s="282" t="s">
        <v>590</v>
      </c>
      <c r="J570" s="282" t="s">
        <v>156</v>
      </c>
      <c r="K570" s="286" t="s">
        <v>591</v>
      </c>
      <c r="L570" s="282" t="s">
        <v>574</v>
      </c>
      <c r="M570" s="287">
        <v>2400</v>
      </c>
      <c r="N570" s="287">
        <v>0</v>
      </c>
      <c r="O570" s="287">
        <v>0</v>
      </c>
      <c r="P570" s="287"/>
      <c r="Q570" s="288" t="s">
        <v>1031</v>
      </c>
      <c r="R570" s="288" t="s">
        <v>1031</v>
      </c>
      <c r="S570" s="288" t="s">
        <v>927</v>
      </c>
      <c r="T570" s="288"/>
      <c r="U570" s="288">
        <v>0</v>
      </c>
      <c r="V570" s="289">
        <v>181.13</v>
      </c>
      <c r="W570" s="289">
        <v>0</v>
      </c>
      <c r="X570" s="288">
        <v>7.5416666666666674E-2</v>
      </c>
      <c r="Y570" s="288">
        <v>7.5416666666666674E-2</v>
      </c>
      <c r="Z570" s="288">
        <v>5.4166666666666671E-5</v>
      </c>
      <c r="AA570" s="288">
        <v>0</v>
      </c>
      <c r="AB570" s="288">
        <v>0</v>
      </c>
      <c r="AC570" s="289">
        <v>7.5470833333333334E-2</v>
      </c>
      <c r="AD570" s="289">
        <v>0</v>
      </c>
    </row>
    <row r="571" spans="1:30" ht="15" customHeight="1" x14ac:dyDescent="0.25">
      <c r="A571" s="282" t="s">
        <v>581</v>
      </c>
      <c r="B571" s="282" t="s">
        <v>628</v>
      </c>
      <c r="C571" s="282" t="s">
        <v>629</v>
      </c>
      <c r="D571" s="283" t="s">
        <v>1032</v>
      </c>
      <c r="E571" s="404">
        <v>44910</v>
      </c>
      <c r="F571" s="404">
        <v>46736</v>
      </c>
      <c r="G571" s="286" t="s">
        <v>608</v>
      </c>
      <c r="H571" s="282" t="s">
        <v>609</v>
      </c>
      <c r="I571" s="282" t="s">
        <v>590</v>
      </c>
      <c r="J571" s="282" t="s">
        <v>156</v>
      </c>
      <c r="K571" s="286" t="s">
        <v>610</v>
      </c>
      <c r="L571" s="282" t="s">
        <v>574</v>
      </c>
      <c r="M571" s="287">
        <v>2400</v>
      </c>
      <c r="N571" s="287">
        <v>0</v>
      </c>
      <c r="O571" s="287">
        <v>0</v>
      </c>
      <c r="P571" s="287"/>
      <c r="Q571" s="288">
        <v>279</v>
      </c>
      <c r="R571" s="288">
        <v>276</v>
      </c>
      <c r="S571" s="288">
        <v>3.2</v>
      </c>
      <c r="T571" s="288"/>
      <c r="U571" s="288">
        <v>0</v>
      </c>
      <c r="V571" s="289">
        <v>279.2</v>
      </c>
      <c r="W571" s="289">
        <v>0</v>
      </c>
      <c r="X571" s="288">
        <v>0.11625000000000001</v>
      </c>
      <c r="Y571" s="288">
        <v>0.115</v>
      </c>
      <c r="Z571" s="288">
        <v>1.3333333333333335E-3</v>
      </c>
      <c r="AA571" s="288">
        <v>0</v>
      </c>
      <c r="AB571" s="288">
        <v>0</v>
      </c>
      <c r="AC571" s="289">
        <v>0.11633333333333334</v>
      </c>
      <c r="AD571" s="289">
        <v>0</v>
      </c>
    </row>
    <row r="572" spans="1:30" ht="15" customHeight="1" x14ac:dyDescent="0.25">
      <c r="A572" s="282" t="s">
        <v>581</v>
      </c>
      <c r="B572" s="282" t="s">
        <v>594</v>
      </c>
      <c r="C572" s="282" t="s">
        <v>595</v>
      </c>
      <c r="D572" s="286" t="s">
        <v>1033</v>
      </c>
      <c r="E572" s="404">
        <v>45038</v>
      </c>
      <c r="F572" s="404">
        <v>46865</v>
      </c>
      <c r="G572" s="290" t="s">
        <v>283</v>
      </c>
      <c r="H572" s="282" t="s">
        <v>881</v>
      </c>
      <c r="I572" s="282" t="s">
        <v>590</v>
      </c>
      <c r="J572" s="282" t="s">
        <v>156</v>
      </c>
      <c r="K572" s="286" t="s">
        <v>882</v>
      </c>
      <c r="L572" s="282" t="s">
        <v>574</v>
      </c>
      <c r="M572" s="287">
        <v>2400</v>
      </c>
      <c r="N572" s="287">
        <v>0</v>
      </c>
      <c r="O572" s="287">
        <v>0</v>
      </c>
      <c r="P572" s="287"/>
      <c r="Q572" s="288" t="s">
        <v>734</v>
      </c>
      <c r="R572" s="288" t="s">
        <v>734</v>
      </c>
      <c r="S572" s="288" t="s">
        <v>894</v>
      </c>
      <c r="T572" s="288"/>
      <c r="U572" s="288">
        <v>0</v>
      </c>
      <c r="V572" s="289">
        <v>168.12</v>
      </c>
      <c r="W572" s="289">
        <v>0</v>
      </c>
      <c r="X572" s="288">
        <v>7.0000000000000007E-2</v>
      </c>
      <c r="Y572" s="288">
        <v>7.0000000000000007E-2</v>
      </c>
      <c r="Z572" s="288">
        <v>4.9999999999999996E-5</v>
      </c>
      <c r="AA572" s="288">
        <v>0</v>
      </c>
      <c r="AB572" s="288">
        <v>0</v>
      </c>
      <c r="AC572" s="289">
        <v>7.0050000000000001E-2</v>
      </c>
      <c r="AD572" s="289">
        <v>0</v>
      </c>
    </row>
    <row r="573" spans="1:30" ht="15" customHeight="1" x14ac:dyDescent="0.25">
      <c r="A573" s="282" t="s">
        <v>581</v>
      </c>
      <c r="B573" s="282" t="s">
        <v>616</v>
      </c>
      <c r="C573" s="282" t="s">
        <v>617</v>
      </c>
      <c r="D573" s="286" t="s">
        <v>1034</v>
      </c>
      <c r="E573" s="404">
        <v>44581</v>
      </c>
      <c r="F573" s="404">
        <v>46407</v>
      </c>
      <c r="G573" s="286" t="s">
        <v>588</v>
      </c>
      <c r="H573" s="282" t="s">
        <v>589</v>
      </c>
      <c r="I573" s="282" t="s">
        <v>590</v>
      </c>
      <c r="J573" s="282" t="s">
        <v>156</v>
      </c>
      <c r="K573" s="286" t="s">
        <v>591</v>
      </c>
      <c r="L573" s="282" t="s">
        <v>574</v>
      </c>
      <c r="M573" s="287">
        <v>2400</v>
      </c>
      <c r="N573" s="287">
        <v>0</v>
      </c>
      <c r="O573" s="287">
        <v>0</v>
      </c>
      <c r="P573" s="287"/>
      <c r="Q573" s="288" t="s">
        <v>1035</v>
      </c>
      <c r="R573" s="288" t="s">
        <v>1035</v>
      </c>
      <c r="S573" s="288" t="s">
        <v>709</v>
      </c>
      <c r="T573" s="288"/>
      <c r="U573" s="288">
        <v>0</v>
      </c>
      <c r="V573" s="289">
        <v>336.24</v>
      </c>
      <c r="W573" s="289">
        <v>0</v>
      </c>
      <c r="X573" s="288">
        <v>0.14000000000000001</v>
      </c>
      <c r="Y573" s="288">
        <v>0.14000000000000001</v>
      </c>
      <c r="Z573" s="288">
        <v>9.9999999999999991E-5</v>
      </c>
      <c r="AA573" s="288">
        <v>0</v>
      </c>
      <c r="AB573" s="288">
        <v>0</v>
      </c>
      <c r="AC573" s="289">
        <v>0.1401</v>
      </c>
      <c r="AD573" s="289">
        <v>0</v>
      </c>
    </row>
    <row r="574" spans="1:30" ht="15" customHeight="1" x14ac:dyDescent="0.25">
      <c r="A574" s="282" t="s">
        <v>581</v>
      </c>
      <c r="B574" s="282" t="s">
        <v>585</v>
      </c>
      <c r="C574" s="282" t="s">
        <v>586</v>
      </c>
      <c r="D574" s="283" t="s">
        <v>1036</v>
      </c>
      <c r="E574" s="404">
        <v>45016</v>
      </c>
      <c r="F574" s="404">
        <v>46843</v>
      </c>
      <c r="G574" s="286" t="s">
        <v>286</v>
      </c>
      <c r="H574" s="282" t="s">
        <v>782</v>
      </c>
      <c r="I574" s="282" t="s">
        <v>590</v>
      </c>
      <c r="J574" s="282" t="s">
        <v>156</v>
      </c>
      <c r="K574" s="286" t="s">
        <v>783</v>
      </c>
      <c r="L574" s="282" t="s">
        <v>574</v>
      </c>
      <c r="M574" s="287">
        <v>2400</v>
      </c>
      <c r="N574" s="287">
        <v>0</v>
      </c>
      <c r="O574" s="287">
        <v>0</v>
      </c>
      <c r="P574" s="287"/>
      <c r="Q574" s="288">
        <v>351</v>
      </c>
      <c r="R574" s="288">
        <v>351</v>
      </c>
      <c r="S574" s="288">
        <v>0.25</v>
      </c>
      <c r="T574" s="288"/>
      <c r="U574" s="288">
        <v>0</v>
      </c>
      <c r="V574" s="289">
        <v>351.25</v>
      </c>
      <c r="W574" s="289">
        <v>0</v>
      </c>
      <c r="X574" s="288">
        <v>0.14624999999999999</v>
      </c>
      <c r="Y574" s="288">
        <v>0.14624999999999999</v>
      </c>
      <c r="Z574" s="288">
        <v>1.0416666666666667E-4</v>
      </c>
      <c r="AA574" s="288">
        <v>0</v>
      </c>
      <c r="AB574" s="288">
        <v>0</v>
      </c>
      <c r="AC574" s="289">
        <v>0.14635416666666665</v>
      </c>
      <c r="AD574" s="289">
        <v>0</v>
      </c>
    </row>
    <row r="575" spans="1:30" ht="15" customHeight="1" x14ac:dyDescent="0.25">
      <c r="A575" s="282" t="s">
        <v>581</v>
      </c>
      <c r="B575" s="282" t="s">
        <v>611</v>
      </c>
      <c r="C575" s="282" t="s">
        <v>612</v>
      </c>
      <c r="D575" s="286" t="s">
        <v>1037</v>
      </c>
      <c r="E575" s="404">
        <v>45038</v>
      </c>
      <c r="F575" s="404">
        <v>46865</v>
      </c>
      <c r="G575" s="290" t="s">
        <v>283</v>
      </c>
      <c r="H575" s="282" t="s">
        <v>881</v>
      </c>
      <c r="I575" s="282" t="s">
        <v>590</v>
      </c>
      <c r="J575" s="282" t="s">
        <v>156</v>
      </c>
      <c r="K575" s="286" t="s">
        <v>882</v>
      </c>
      <c r="L575" s="282" t="s">
        <v>574</v>
      </c>
      <c r="M575" s="287">
        <v>2400</v>
      </c>
      <c r="N575" s="287">
        <v>0</v>
      </c>
      <c r="O575" s="287">
        <v>0</v>
      </c>
      <c r="P575" s="287"/>
      <c r="Q575" s="288" t="s">
        <v>1038</v>
      </c>
      <c r="R575" s="288" t="s">
        <v>1038</v>
      </c>
      <c r="S575" s="288" t="s">
        <v>864</v>
      </c>
      <c r="T575" s="288"/>
      <c r="U575" s="288">
        <v>0</v>
      </c>
      <c r="V575" s="289">
        <v>197.14</v>
      </c>
      <c r="W575" s="289">
        <v>0</v>
      </c>
      <c r="X575" s="288">
        <v>8.2083333333333328E-2</v>
      </c>
      <c r="Y575" s="288">
        <v>8.2083333333333328E-2</v>
      </c>
      <c r="Z575" s="288">
        <v>5.833333333333334E-5</v>
      </c>
      <c r="AA575" s="288">
        <v>0</v>
      </c>
      <c r="AB575" s="288">
        <v>0</v>
      </c>
      <c r="AC575" s="289">
        <v>8.2141666666666655E-2</v>
      </c>
      <c r="AD575" s="289">
        <v>0</v>
      </c>
    </row>
    <row r="576" spans="1:30" ht="15" customHeight="1" x14ac:dyDescent="0.25">
      <c r="A576" s="282" t="s">
        <v>581</v>
      </c>
      <c r="B576" s="282" t="s">
        <v>628</v>
      </c>
      <c r="C576" s="282" t="s">
        <v>629</v>
      </c>
      <c r="D576" s="286" t="s">
        <v>1039</v>
      </c>
      <c r="E576" s="404">
        <v>45038</v>
      </c>
      <c r="F576" s="404">
        <v>46865</v>
      </c>
      <c r="G576" s="290" t="s">
        <v>283</v>
      </c>
      <c r="H576" s="282" t="s">
        <v>881</v>
      </c>
      <c r="I576" s="282" t="s">
        <v>590</v>
      </c>
      <c r="J576" s="282" t="s">
        <v>156</v>
      </c>
      <c r="K576" s="286" t="s">
        <v>882</v>
      </c>
      <c r="L576" s="282" t="s">
        <v>574</v>
      </c>
      <c r="M576" s="287">
        <v>2400</v>
      </c>
      <c r="N576" s="287">
        <v>0</v>
      </c>
      <c r="O576" s="287">
        <v>0</v>
      </c>
      <c r="P576" s="287"/>
      <c r="Q576" s="288" t="s">
        <v>1040</v>
      </c>
      <c r="R576" s="288" t="s">
        <v>1040</v>
      </c>
      <c r="S576" s="288" t="s">
        <v>927</v>
      </c>
      <c r="T576" s="288"/>
      <c r="U576" s="288">
        <v>0</v>
      </c>
      <c r="V576" s="289">
        <v>184.13</v>
      </c>
      <c r="W576" s="289">
        <v>0</v>
      </c>
      <c r="X576" s="288">
        <v>7.6666666666666661E-2</v>
      </c>
      <c r="Y576" s="288">
        <v>7.6666666666666661E-2</v>
      </c>
      <c r="Z576" s="288">
        <v>5.4166666666666671E-5</v>
      </c>
      <c r="AA576" s="288">
        <v>0</v>
      </c>
      <c r="AB576" s="288">
        <v>0</v>
      </c>
      <c r="AC576" s="289">
        <v>7.6720833333333321E-2</v>
      </c>
      <c r="AD576" s="289">
        <v>0</v>
      </c>
    </row>
    <row r="577" spans="1:30" ht="15" customHeight="1" x14ac:dyDescent="0.25">
      <c r="A577" s="282" t="s">
        <v>581</v>
      </c>
      <c r="B577" s="282" t="s">
        <v>594</v>
      </c>
      <c r="C577" s="282" t="s">
        <v>595</v>
      </c>
      <c r="D577" s="286" t="s">
        <v>1041</v>
      </c>
      <c r="E577" s="404">
        <v>45038</v>
      </c>
      <c r="F577" s="404">
        <v>46865</v>
      </c>
      <c r="G577" s="290" t="s">
        <v>283</v>
      </c>
      <c r="H577" s="282" t="s">
        <v>881</v>
      </c>
      <c r="I577" s="282" t="s">
        <v>590</v>
      </c>
      <c r="J577" s="282" t="s">
        <v>156</v>
      </c>
      <c r="K577" s="286" t="s">
        <v>882</v>
      </c>
      <c r="L577" s="282" t="s">
        <v>574</v>
      </c>
      <c r="M577" s="287">
        <v>2400</v>
      </c>
      <c r="N577" s="287">
        <v>0</v>
      </c>
      <c r="O577" s="287">
        <v>0</v>
      </c>
      <c r="P577" s="287"/>
      <c r="Q577" s="288" t="s">
        <v>1042</v>
      </c>
      <c r="R577" s="288" t="s">
        <v>1042</v>
      </c>
      <c r="S577" s="288" t="s">
        <v>894</v>
      </c>
      <c r="T577" s="288"/>
      <c r="U577" s="288">
        <v>0</v>
      </c>
      <c r="V577" s="289">
        <v>170.12</v>
      </c>
      <c r="W577" s="289">
        <v>0</v>
      </c>
      <c r="X577" s="288">
        <v>7.0833333333333331E-2</v>
      </c>
      <c r="Y577" s="288">
        <v>7.0833333333333331E-2</v>
      </c>
      <c r="Z577" s="288">
        <v>4.9999999999999996E-5</v>
      </c>
      <c r="AA577" s="288">
        <v>0</v>
      </c>
      <c r="AB577" s="288">
        <v>0</v>
      </c>
      <c r="AC577" s="289">
        <v>7.0883333333333326E-2</v>
      </c>
      <c r="AD577" s="289">
        <v>0</v>
      </c>
    </row>
    <row r="578" spans="1:30" ht="15" customHeight="1" x14ac:dyDescent="0.25">
      <c r="A578" s="282" t="s">
        <v>581</v>
      </c>
      <c r="B578" s="282" t="s">
        <v>585</v>
      </c>
      <c r="C578" s="282" t="s">
        <v>586</v>
      </c>
      <c r="D578" s="286" t="s">
        <v>1043</v>
      </c>
      <c r="E578" s="404">
        <v>45038</v>
      </c>
      <c r="F578" s="404">
        <v>46865</v>
      </c>
      <c r="G578" s="290" t="s">
        <v>283</v>
      </c>
      <c r="H578" s="282" t="s">
        <v>881</v>
      </c>
      <c r="I578" s="282" t="s">
        <v>590</v>
      </c>
      <c r="J578" s="282" t="s">
        <v>156</v>
      </c>
      <c r="K578" s="286" t="s">
        <v>882</v>
      </c>
      <c r="L578" s="282" t="s">
        <v>574</v>
      </c>
      <c r="M578" s="287">
        <v>2400</v>
      </c>
      <c r="N578" s="287">
        <v>0</v>
      </c>
      <c r="O578" s="287">
        <v>0</v>
      </c>
      <c r="P578" s="287"/>
      <c r="Q578" s="288" t="s">
        <v>716</v>
      </c>
      <c r="R578" s="288" t="s">
        <v>716</v>
      </c>
      <c r="S578" s="288" t="s">
        <v>724</v>
      </c>
      <c r="T578" s="288"/>
      <c r="U578" s="288">
        <v>0</v>
      </c>
      <c r="V578" s="289">
        <v>312.22000000000003</v>
      </c>
      <c r="W578" s="289">
        <v>0</v>
      </c>
      <c r="X578" s="288">
        <v>0.13</v>
      </c>
      <c r="Y578" s="288">
        <v>0.13</v>
      </c>
      <c r="Z578" s="288">
        <v>9.1666666666666668E-5</v>
      </c>
      <c r="AA578" s="288">
        <v>0</v>
      </c>
      <c r="AB578" s="288">
        <v>0</v>
      </c>
      <c r="AC578" s="289">
        <v>0.13009166666666666</v>
      </c>
      <c r="AD578" s="289">
        <v>0</v>
      </c>
    </row>
    <row r="579" spans="1:30" ht="15" customHeight="1" x14ac:dyDescent="0.25">
      <c r="A579" s="282" t="s">
        <v>581</v>
      </c>
      <c r="B579" s="282" t="s">
        <v>594</v>
      </c>
      <c r="C579" s="282" t="s">
        <v>595</v>
      </c>
      <c r="D579" s="286" t="s">
        <v>1044</v>
      </c>
      <c r="E579" s="404">
        <v>44581</v>
      </c>
      <c r="F579" s="404">
        <v>46407</v>
      </c>
      <c r="G579" s="286" t="s">
        <v>588</v>
      </c>
      <c r="H579" s="282" t="s">
        <v>589</v>
      </c>
      <c r="I579" s="282" t="s">
        <v>590</v>
      </c>
      <c r="J579" s="282" t="s">
        <v>156</v>
      </c>
      <c r="K579" s="286" t="s">
        <v>591</v>
      </c>
      <c r="L579" s="282" t="s">
        <v>574</v>
      </c>
      <c r="M579" s="287">
        <v>2400</v>
      </c>
      <c r="N579" s="287">
        <v>0</v>
      </c>
      <c r="O579" s="287">
        <v>0</v>
      </c>
      <c r="P579" s="287"/>
      <c r="Q579" s="288" t="s">
        <v>1045</v>
      </c>
      <c r="R579" s="288" t="s">
        <v>1045</v>
      </c>
      <c r="S579" s="288" t="s">
        <v>889</v>
      </c>
      <c r="T579" s="288"/>
      <c r="U579" s="288">
        <v>0</v>
      </c>
      <c r="V579" s="289">
        <v>156.11000000000001</v>
      </c>
      <c r="W579" s="289">
        <v>0</v>
      </c>
      <c r="X579" s="288">
        <v>6.5000000000000002E-2</v>
      </c>
      <c r="Y579" s="288">
        <v>6.5000000000000002E-2</v>
      </c>
      <c r="Z579" s="288">
        <v>4.5833333333333334E-5</v>
      </c>
      <c r="AA579" s="288">
        <v>0</v>
      </c>
      <c r="AB579" s="288">
        <v>0</v>
      </c>
      <c r="AC579" s="289">
        <v>6.5045833333333331E-2</v>
      </c>
      <c r="AD579" s="289">
        <v>0</v>
      </c>
    </row>
    <row r="580" spans="1:30" ht="15" customHeight="1" x14ac:dyDescent="0.25">
      <c r="A580" s="282" t="s">
        <v>581</v>
      </c>
      <c r="B580" s="282" t="s">
        <v>616</v>
      </c>
      <c r="C580" s="282" t="s">
        <v>617</v>
      </c>
      <c r="D580" s="286" t="s">
        <v>1046</v>
      </c>
      <c r="E580" s="404">
        <v>45038</v>
      </c>
      <c r="F580" s="404">
        <v>46865</v>
      </c>
      <c r="G580" s="290" t="s">
        <v>283</v>
      </c>
      <c r="H580" s="282" t="s">
        <v>881</v>
      </c>
      <c r="I580" s="282" t="s">
        <v>590</v>
      </c>
      <c r="J580" s="282" t="s">
        <v>156</v>
      </c>
      <c r="K580" s="286" t="s">
        <v>882</v>
      </c>
      <c r="L580" s="282" t="s">
        <v>574</v>
      </c>
      <c r="M580" s="287">
        <v>2400</v>
      </c>
      <c r="N580" s="287">
        <v>0</v>
      </c>
      <c r="O580" s="287">
        <v>0</v>
      </c>
      <c r="P580" s="287"/>
      <c r="Q580" s="288" t="s">
        <v>1047</v>
      </c>
      <c r="R580" s="288" t="s">
        <v>1047</v>
      </c>
      <c r="S580" s="288" t="s">
        <v>694</v>
      </c>
      <c r="T580" s="288"/>
      <c r="U580" s="288">
        <v>0</v>
      </c>
      <c r="V580" s="289">
        <v>327.23</v>
      </c>
      <c r="W580" s="289">
        <v>0</v>
      </c>
      <c r="X580" s="288">
        <v>0.13625000000000001</v>
      </c>
      <c r="Y580" s="288">
        <v>0.13625000000000001</v>
      </c>
      <c r="Z580" s="288">
        <v>9.5833333333333336E-5</v>
      </c>
      <c r="AA580" s="288">
        <v>0</v>
      </c>
      <c r="AB580" s="288">
        <v>0</v>
      </c>
      <c r="AC580" s="289">
        <v>0.13634583333333333</v>
      </c>
      <c r="AD580" s="289">
        <v>0</v>
      </c>
    </row>
    <row r="581" spans="1:30" ht="15" customHeight="1" x14ac:dyDescent="0.25">
      <c r="A581" s="282" t="s">
        <v>581</v>
      </c>
      <c r="B581" s="282" t="s">
        <v>611</v>
      </c>
      <c r="C581" s="282" t="s">
        <v>612</v>
      </c>
      <c r="D581" s="286" t="s">
        <v>1048</v>
      </c>
      <c r="E581" s="404">
        <v>44581</v>
      </c>
      <c r="F581" s="404">
        <v>46407</v>
      </c>
      <c r="G581" s="286" t="s">
        <v>588</v>
      </c>
      <c r="H581" s="282" t="s">
        <v>589</v>
      </c>
      <c r="I581" s="282" t="s">
        <v>590</v>
      </c>
      <c r="J581" s="282" t="s">
        <v>156</v>
      </c>
      <c r="K581" s="286" t="s">
        <v>591</v>
      </c>
      <c r="L581" s="282" t="s">
        <v>574</v>
      </c>
      <c r="M581" s="287">
        <v>2400</v>
      </c>
      <c r="N581" s="287">
        <v>0</v>
      </c>
      <c r="O581" s="287">
        <v>0</v>
      </c>
      <c r="P581" s="287"/>
      <c r="Q581" s="288" t="s">
        <v>908</v>
      </c>
      <c r="R581" s="288" t="s">
        <v>908</v>
      </c>
      <c r="S581" s="288" t="s">
        <v>927</v>
      </c>
      <c r="T581" s="288"/>
      <c r="U581" s="288">
        <v>0</v>
      </c>
      <c r="V581" s="289">
        <v>185.13</v>
      </c>
      <c r="W581" s="289">
        <v>0</v>
      </c>
      <c r="X581" s="288">
        <v>7.7083333333333337E-2</v>
      </c>
      <c r="Y581" s="288">
        <v>7.7083333333333337E-2</v>
      </c>
      <c r="Z581" s="288">
        <v>5.4166666666666671E-5</v>
      </c>
      <c r="AA581" s="288">
        <v>0</v>
      </c>
      <c r="AB581" s="288">
        <v>0</v>
      </c>
      <c r="AC581" s="289">
        <v>7.7137499999999998E-2</v>
      </c>
      <c r="AD581" s="289">
        <v>0</v>
      </c>
    </row>
    <row r="582" spans="1:30" ht="15" customHeight="1" x14ac:dyDescent="0.25">
      <c r="A582" s="282" t="s">
        <v>581</v>
      </c>
      <c r="B582" s="282" t="s">
        <v>628</v>
      </c>
      <c r="C582" s="282" t="s">
        <v>629</v>
      </c>
      <c r="D582" s="286" t="s">
        <v>1049</v>
      </c>
      <c r="E582" s="404">
        <v>44581</v>
      </c>
      <c r="F582" s="404">
        <v>46407</v>
      </c>
      <c r="G582" s="286" t="s">
        <v>588</v>
      </c>
      <c r="H582" s="282" t="s">
        <v>589</v>
      </c>
      <c r="I582" s="282" t="s">
        <v>590</v>
      </c>
      <c r="J582" s="282" t="s">
        <v>156</v>
      </c>
      <c r="K582" s="286" t="s">
        <v>591</v>
      </c>
      <c r="L582" s="282" t="s">
        <v>574</v>
      </c>
      <c r="M582" s="287">
        <v>2400</v>
      </c>
      <c r="N582" s="287">
        <v>0</v>
      </c>
      <c r="O582" s="287">
        <v>0</v>
      </c>
      <c r="P582" s="287"/>
      <c r="Q582" s="288" t="s">
        <v>1050</v>
      </c>
      <c r="R582" s="288" t="s">
        <v>1050</v>
      </c>
      <c r="S582" s="288" t="s">
        <v>894</v>
      </c>
      <c r="T582" s="288"/>
      <c r="U582" s="288">
        <v>0</v>
      </c>
      <c r="V582" s="289">
        <v>171.12</v>
      </c>
      <c r="W582" s="289">
        <v>0</v>
      </c>
      <c r="X582" s="288">
        <v>7.1249999999999994E-2</v>
      </c>
      <c r="Y582" s="288">
        <v>7.1249999999999994E-2</v>
      </c>
      <c r="Z582" s="288">
        <v>4.9999999999999996E-5</v>
      </c>
      <c r="AA582" s="288">
        <v>0</v>
      </c>
      <c r="AB582" s="288">
        <v>0</v>
      </c>
      <c r="AC582" s="289">
        <v>7.1299999999999988E-2</v>
      </c>
      <c r="AD582" s="289">
        <v>0</v>
      </c>
    </row>
    <row r="583" spans="1:30" ht="15" customHeight="1" x14ac:dyDescent="0.25">
      <c r="A583" s="282" t="s">
        <v>581</v>
      </c>
      <c r="B583" s="282" t="s">
        <v>594</v>
      </c>
      <c r="C583" s="282" t="s">
        <v>595</v>
      </c>
      <c r="D583" s="286" t="s">
        <v>1051</v>
      </c>
      <c r="E583" s="404">
        <v>44581</v>
      </c>
      <c r="F583" s="404">
        <v>46407</v>
      </c>
      <c r="G583" s="286" t="s">
        <v>588</v>
      </c>
      <c r="H583" s="282" t="s">
        <v>589</v>
      </c>
      <c r="I583" s="282" t="s">
        <v>590</v>
      </c>
      <c r="J583" s="282" t="s">
        <v>156</v>
      </c>
      <c r="K583" s="286" t="s">
        <v>591</v>
      </c>
      <c r="L583" s="282" t="s">
        <v>574</v>
      </c>
      <c r="M583" s="287">
        <v>2400</v>
      </c>
      <c r="N583" s="287">
        <v>0</v>
      </c>
      <c r="O583" s="287">
        <v>0</v>
      </c>
      <c r="P583" s="287"/>
      <c r="Q583" s="288" t="s">
        <v>1052</v>
      </c>
      <c r="R583" s="288" t="s">
        <v>1052</v>
      </c>
      <c r="S583" s="288" t="s">
        <v>889</v>
      </c>
      <c r="T583" s="288"/>
      <c r="U583" s="288">
        <v>0</v>
      </c>
      <c r="V583" s="289">
        <v>158.11000000000001</v>
      </c>
      <c r="W583" s="289">
        <v>0</v>
      </c>
      <c r="X583" s="288">
        <v>6.5833333333333327E-2</v>
      </c>
      <c r="Y583" s="288">
        <v>6.5833333333333327E-2</v>
      </c>
      <c r="Z583" s="288">
        <v>4.5833333333333334E-5</v>
      </c>
      <c r="AA583" s="288">
        <v>0</v>
      </c>
      <c r="AB583" s="288">
        <v>0</v>
      </c>
      <c r="AC583" s="289">
        <v>6.5879166666666655E-2</v>
      </c>
      <c r="AD583" s="289">
        <v>0</v>
      </c>
    </row>
    <row r="584" spans="1:30" ht="15" customHeight="1" x14ac:dyDescent="0.25">
      <c r="A584" s="282" t="s">
        <v>581</v>
      </c>
      <c r="B584" s="282" t="s">
        <v>628</v>
      </c>
      <c r="C584" s="282" t="s">
        <v>629</v>
      </c>
      <c r="D584" s="286" t="s">
        <v>1053</v>
      </c>
      <c r="E584" s="404">
        <v>45038</v>
      </c>
      <c r="F584" s="404">
        <v>46865</v>
      </c>
      <c r="G584" s="290" t="s">
        <v>283</v>
      </c>
      <c r="H584" s="282" t="s">
        <v>881</v>
      </c>
      <c r="I584" s="282" t="s">
        <v>590</v>
      </c>
      <c r="J584" s="282" t="s">
        <v>156</v>
      </c>
      <c r="K584" s="286" t="s">
        <v>882</v>
      </c>
      <c r="L584" s="282" t="s">
        <v>574</v>
      </c>
      <c r="M584" s="287">
        <v>2400</v>
      </c>
      <c r="N584" s="287">
        <v>0</v>
      </c>
      <c r="O584" s="287">
        <v>0</v>
      </c>
      <c r="P584" s="287"/>
      <c r="Q584" s="288" t="s">
        <v>1054</v>
      </c>
      <c r="R584" s="288" t="s">
        <v>1054</v>
      </c>
      <c r="S584" s="288" t="s">
        <v>894</v>
      </c>
      <c r="T584" s="288"/>
      <c r="U584" s="288">
        <v>0</v>
      </c>
      <c r="V584" s="289">
        <v>173.12</v>
      </c>
      <c r="W584" s="289">
        <v>0</v>
      </c>
      <c r="X584" s="288">
        <v>7.2083333333333333E-2</v>
      </c>
      <c r="Y584" s="288">
        <v>7.2083333333333333E-2</v>
      </c>
      <c r="Z584" s="288">
        <v>4.9999999999999996E-5</v>
      </c>
      <c r="AA584" s="288">
        <v>0</v>
      </c>
      <c r="AB584" s="288">
        <v>0</v>
      </c>
      <c r="AC584" s="289">
        <v>7.2133333333333327E-2</v>
      </c>
      <c r="AD584" s="289">
        <v>0</v>
      </c>
    </row>
    <row r="585" spans="1:30" ht="15" customHeight="1" x14ac:dyDescent="0.25">
      <c r="A585" s="282" t="s">
        <v>581</v>
      </c>
      <c r="B585" s="282" t="s">
        <v>594</v>
      </c>
      <c r="C585" s="282" t="s">
        <v>595</v>
      </c>
      <c r="D585" s="286" t="s">
        <v>1055</v>
      </c>
      <c r="E585" s="404">
        <v>45038</v>
      </c>
      <c r="F585" s="404">
        <v>46865</v>
      </c>
      <c r="G585" s="290" t="s">
        <v>283</v>
      </c>
      <c r="H585" s="282" t="s">
        <v>881</v>
      </c>
      <c r="I585" s="282" t="s">
        <v>590</v>
      </c>
      <c r="J585" s="282" t="s">
        <v>156</v>
      </c>
      <c r="K585" s="286" t="s">
        <v>882</v>
      </c>
      <c r="L585" s="282" t="s">
        <v>574</v>
      </c>
      <c r="M585" s="287">
        <v>2400</v>
      </c>
      <c r="N585" s="287">
        <v>0</v>
      </c>
      <c r="O585" s="287">
        <v>0</v>
      </c>
      <c r="P585" s="287"/>
      <c r="Q585" s="288" t="s">
        <v>1056</v>
      </c>
      <c r="R585" s="288" t="s">
        <v>1056</v>
      </c>
      <c r="S585" s="288" t="s">
        <v>889</v>
      </c>
      <c r="T585" s="288"/>
      <c r="U585" s="288">
        <v>0</v>
      </c>
      <c r="V585" s="289">
        <v>159.11000000000001</v>
      </c>
      <c r="W585" s="289">
        <v>0</v>
      </c>
      <c r="X585" s="288">
        <v>6.6250000000000003E-2</v>
      </c>
      <c r="Y585" s="288">
        <v>6.6250000000000003E-2</v>
      </c>
      <c r="Z585" s="288">
        <v>4.5833333333333334E-5</v>
      </c>
      <c r="AA585" s="288">
        <v>0</v>
      </c>
      <c r="AB585" s="288">
        <v>0</v>
      </c>
      <c r="AC585" s="289">
        <v>6.6295833333333332E-2</v>
      </c>
      <c r="AD585" s="289">
        <v>0</v>
      </c>
    </row>
    <row r="586" spans="1:30" ht="15" customHeight="1" x14ac:dyDescent="0.25">
      <c r="A586" s="282" t="s">
        <v>581</v>
      </c>
      <c r="B586" s="282" t="s">
        <v>628</v>
      </c>
      <c r="C586" s="282" t="s">
        <v>629</v>
      </c>
      <c r="D586" s="283" t="s">
        <v>1057</v>
      </c>
      <c r="E586" s="404">
        <v>45016</v>
      </c>
      <c r="F586" s="404">
        <v>46843</v>
      </c>
      <c r="G586" s="286" t="s">
        <v>283</v>
      </c>
      <c r="H586" s="282" t="s">
        <v>736</v>
      </c>
      <c r="I586" s="282" t="s">
        <v>590</v>
      </c>
      <c r="J586" s="282" t="s">
        <v>156</v>
      </c>
      <c r="K586" s="286" t="s">
        <v>737</v>
      </c>
      <c r="L586" s="282" t="s">
        <v>574</v>
      </c>
      <c r="M586" s="287">
        <v>2400</v>
      </c>
      <c r="N586" s="287">
        <v>0</v>
      </c>
      <c r="O586" s="287">
        <v>0</v>
      </c>
      <c r="P586" s="287"/>
      <c r="Q586" s="288">
        <v>239</v>
      </c>
      <c r="R586" s="288">
        <v>239</v>
      </c>
      <c r="S586" s="288">
        <v>0.16500000000000001</v>
      </c>
      <c r="T586" s="288"/>
      <c r="U586" s="288">
        <v>0</v>
      </c>
      <c r="V586" s="289">
        <v>239.16499999999999</v>
      </c>
      <c r="W586" s="289">
        <v>0</v>
      </c>
      <c r="X586" s="288">
        <v>9.9583333333333329E-2</v>
      </c>
      <c r="Y586" s="288">
        <v>9.9583333333333329E-2</v>
      </c>
      <c r="Z586" s="288">
        <v>6.8750000000000004E-5</v>
      </c>
      <c r="AA586" s="288">
        <v>0</v>
      </c>
      <c r="AB586" s="288">
        <v>0</v>
      </c>
      <c r="AC586" s="289">
        <v>9.9652083333333336E-2</v>
      </c>
      <c r="AD586" s="289">
        <v>0</v>
      </c>
    </row>
    <row r="587" spans="1:30" ht="15" customHeight="1" x14ac:dyDescent="0.25">
      <c r="A587" s="282" t="s">
        <v>581</v>
      </c>
      <c r="B587" s="282" t="s">
        <v>628</v>
      </c>
      <c r="C587" s="282" t="s">
        <v>629</v>
      </c>
      <c r="D587" s="286" t="s">
        <v>1058</v>
      </c>
      <c r="E587" s="404">
        <v>45038</v>
      </c>
      <c r="F587" s="404">
        <v>46865</v>
      </c>
      <c r="G587" s="290" t="s">
        <v>283</v>
      </c>
      <c r="H587" s="282" t="s">
        <v>881</v>
      </c>
      <c r="I587" s="282" t="s">
        <v>590</v>
      </c>
      <c r="J587" s="282" t="s">
        <v>156</v>
      </c>
      <c r="K587" s="286" t="s">
        <v>882</v>
      </c>
      <c r="L587" s="282" t="s">
        <v>574</v>
      </c>
      <c r="M587" s="287">
        <v>2400</v>
      </c>
      <c r="N587" s="287">
        <v>0</v>
      </c>
      <c r="O587" s="287">
        <v>0</v>
      </c>
      <c r="P587" s="287"/>
      <c r="Q587" s="288" t="s">
        <v>779</v>
      </c>
      <c r="R587" s="288" t="s">
        <v>779</v>
      </c>
      <c r="S587" s="288" t="s">
        <v>889</v>
      </c>
      <c r="T587" s="288"/>
      <c r="U587" s="288">
        <v>0</v>
      </c>
      <c r="V587" s="289">
        <v>160.11000000000001</v>
      </c>
      <c r="W587" s="289">
        <v>0</v>
      </c>
      <c r="X587" s="288">
        <v>6.6666666666666666E-2</v>
      </c>
      <c r="Y587" s="288">
        <v>6.6666666666666666E-2</v>
      </c>
      <c r="Z587" s="288">
        <v>4.5833333333333334E-5</v>
      </c>
      <c r="AA587" s="288">
        <v>0</v>
      </c>
      <c r="AB587" s="288">
        <v>0</v>
      </c>
      <c r="AC587" s="289">
        <v>6.6712499999999994E-2</v>
      </c>
      <c r="AD587" s="289">
        <v>0</v>
      </c>
    </row>
    <row r="588" spans="1:30" ht="15" customHeight="1" x14ac:dyDescent="0.25">
      <c r="A588" s="282" t="s">
        <v>581</v>
      </c>
      <c r="B588" s="282" t="s">
        <v>594</v>
      </c>
      <c r="C588" s="282" t="s">
        <v>595</v>
      </c>
      <c r="D588" s="286" t="s">
        <v>1059</v>
      </c>
      <c r="E588" s="404">
        <v>44581</v>
      </c>
      <c r="F588" s="404">
        <v>46407</v>
      </c>
      <c r="G588" s="286" t="s">
        <v>588</v>
      </c>
      <c r="H588" s="282" t="s">
        <v>589</v>
      </c>
      <c r="I588" s="282" t="s">
        <v>590</v>
      </c>
      <c r="J588" s="282" t="s">
        <v>156</v>
      </c>
      <c r="K588" s="286" t="s">
        <v>591</v>
      </c>
      <c r="L588" s="282" t="s">
        <v>574</v>
      </c>
      <c r="M588" s="287">
        <v>2400</v>
      </c>
      <c r="N588" s="287">
        <v>0</v>
      </c>
      <c r="O588" s="287">
        <v>0</v>
      </c>
      <c r="P588" s="287"/>
      <c r="Q588" s="288" t="s">
        <v>779</v>
      </c>
      <c r="R588" s="288" t="s">
        <v>779</v>
      </c>
      <c r="S588" s="288" t="s">
        <v>889</v>
      </c>
      <c r="T588" s="288"/>
      <c r="U588" s="288">
        <v>0</v>
      </c>
      <c r="V588" s="289">
        <v>160.11000000000001</v>
      </c>
      <c r="W588" s="289">
        <v>0</v>
      </c>
      <c r="X588" s="288">
        <v>6.6666666666666666E-2</v>
      </c>
      <c r="Y588" s="288">
        <v>6.6666666666666666E-2</v>
      </c>
      <c r="Z588" s="288">
        <v>4.5833333333333334E-5</v>
      </c>
      <c r="AA588" s="288">
        <v>0</v>
      </c>
      <c r="AB588" s="288">
        <v>0</v>
      </c>
      <c r="AC588" s="289">
        <v>6.6712499999999994E-2</v>
      </c>
      <c r="AD588" s="289">
        <v>0</v>
      </c>
    </row>
    <row r="589" spans="1:30" ht="15" customHeight="1" x14ac:dyDescent="0.25">
      <c r="A589" s="282" t="s">
        <v>581</v>
      </c>
      <c r="B589" s="282" t="s">
        <v>594</v>
      </c>
      <c r="C589" s="282" t="s">
        <v>595</v>
      </c>
      <c r="D589" s="286" t="s">
        <v>1060</v>
      </c>
      <c r="E589" s="404">
        <v>44581</v>
      </c>
      <c r="F589" s="404">
        <v>46407</v>
      </c>
      <c r="G589" s="286" t="s">
        <v>588</v>
      </c>
      <c r="H589" s="282" t="s">
        <v>589</v>
      </c>
      <c r="I589" s="282" t="s">
        <v>590</v>
      </c>
      <c r="J589" s="282" t="s">
        <v>156</v>
      </c>
      <c r="K589" s="286" t="s">
        <v>591</v>
      </c>
      <c r="L589" s="282" t="s">
        <v>574</v>
      </c>
      <c r="M589" s="287">
        <v>2400</v>
      </c>
      <c r="N589" s="287">
        <v>0</v>
      </c>
      <c r="O589" s="287">
        <v>0</v>
      </c>
      <c r="P589" s="287"/>
      <c r="Q589" s="288" t="s">
        <v>1061</v>
      </c>
      <c r="R589" s="288" t="s">
        <v>1061</v>
      </c>
      <c r="S589" s="288" t="s">
        <v>889</v>
      </c>
      <c r="T589" s="288"/>
      <c r="U589" s="288">
        <v>0</v>
      </c>
      <c r="V589" s="289">
        <v>161.11000000000001</v>
      </c>
      <c r="W589" s="289">
        <v>0</v>
      </c>
      <c r="X589" s="288">
        <v>6.7083333333333328E-2</v>
      </c>
      <c r="Y589" s="288">
        <v>6.7083333333333328E-2</v>
      </c>
      <c r="Z589" s="288">
        <v>4.5833333333333334E-5</v>
      </c>
      <c r="AA589" s="288">
        <v>0</v>
      </c>
      <c r="AB589" s="288">
        <v>0</v>
      </c>
      <c r="AC589" s="289">
        <v>6.7129166666666656E-2</v>
      </c>
      <c r="AD589" s="289">
        <v>0</v>
      </c>
    </row>
    <row r="590" spans="1:30" ht="15" customHeight="1" x14ac:dyDescent="0.25">
      <c r="A590" s="282" t="s">
        <v>581</v>
      </c>
      <c r="B590" s="282" t="s">
        <v>611</v>
      </c>
      <c r="C590" s="282" t="s">
        <v>612</v>
      </c>
      <c r="D590" s="286" t="s">
        <v>1062</v>
      </c>
      <c r="E590" s="404">
        <v>44525</v>
      </c>
      <c r="F590" s="404">
        <v>46351</v>
      </c>
      <c r="G590" s="286" t="s">
        <v>1063</v>
      </c>
      <c r="H590" s="282" t="s">
        <v>1064</v>
      </c>
      <c r="I590" s="282" t="s">
        <v>590</v>
      </c>
      <c r="J590" s="282" t="s">
        <v>156</v>
      </c>
      <c r="K590" s="286" t="s">
        <v>1065</v>
      </c>
      <c r="L590" s="282" t="s">
        <v>574</v>
      </c>
      <c r="M590" s="287">
        <v>2400</v>
      </c>
      <c r="N590" s="287">
        <v>0</v>
      </c>
      <c r="O590" s="287">
        <v>0</v>
      </c>
      <c r="P590" s="287"/>
      <c r="Q590" s="288" t="s">
        <v>1066</v>
      </c>
      <c r="R590" s="288" t="s">
        <v>1066</v>
      </c>
      <c r="S590" s="288" t="s">
        <v>742</v>
      </c>
      <c r="T590" s="288"/>
      <c r="U590" s="288">
        <v>0</v>
      </c>
      <c r="V590" s="289">
        <v>236.16</v>
      </c>
      <c r="W590" s="289">
        <v>0</v>
      </c>
      <c r="X590" s="288">
        <v>9.8333333333333328E-2</v>
      </c>
      <c r="Y590" s="288">
        <v>9.8333333333333328E-2</v>
      </c>
      <c r="Z590" s="288">
        <v>6.666666666666667E-5</v>
      </c>
      <c r="AA590" s="288">
        <v>0</v>
      </c>
      <c r="AB590" s="288">
        <v>0</v>
      </c>
      <c r="AC590" s="289">
        <v>9.8400000000000001E-2</v>
      </c>
      <c r="AD590" s="289">
        <v>0</v>
      </c>
    </row>
    <row r="591" spans="1:30" ht="15" customHeight="1" x14ac:dyDescent="0.25">
      <c r="A591" s="282" t="s">
        <v>581</v>
      </c>
      <c r="B591" s="282" t="s">
        <v>585</v>
      </c>
      <c r="C591" s="282" t="s">
        <v>586</v>
      </c>
      <c r="D591" s="283" t="s">
        <v>1067</v>
      </c>
      <c r="E591" s="404">
        <v>45016</v>
      </c>
      <c r="F591" s="404">
        <v>46843</v>
      </c>
      <c r="G591" s="286" t="s">
        <v>286</v>
      </c>
      <c r="H591" s="282" t="s">
        <v>782</v>
      </c>
      <c r="I591" s="282" t="s">
        <v>590</v>
      </c>
      <c r="J591" s="282" t="s">
        <v>156</v>
      </c>
      <c r="K591" s="286" t="s">
        <v>783</v>
      </c>
      <c r="L591" s="282" t="s">
        <v>574</v>
      </c>
      <c r="M591" s="287">
        <v>2400</v>
      </c>
      <c r="N591" s="287">
        <v>0</v>
      </c>
      <c r="O591" s="287">
        <v>0</v>
      </c>
      <c r="P591" s="287"/>
      <c r="Q591" s="288">
        <v>281</v>
      </c>
      <c r="R591" s="288">
        <v>281</v>
      </c>
      <c r="S591" s="288">
        <v>0.19</v>
      </c>
      <c r="T591" s="288"/>
      <c r="U591" s="288">
        <v>0</v>
      </c>
      <c r="V591" s="289">
        <v>281.19</v>
      </c>
      <c r="W591" s="289">
        <v>0</v>
      </c>
      <c r="X591" s="288">
        <v>0.11708333333333333</v>
      </c>
      <c r="Y591" s="288">
        <v>0.11708333333333333</v>
      </c>
      <c r="Z591" s="288">
        <v>7.9166666666666662E-5</v>
      </c>
      <c r="AA591" s="288">
        <v>0</v>
      </c>
      <c r="AB591" s="288">
        <v>0</v>
      </c>
      <c r="AC591" s="289">
        <v>0.1171625</v>
      </c>
      <c r="AD591" s="289">
        <v>0</v>
      </c>
    </row>
    <row r="592" spans="1:30" ht="15" customHeight="1" x14ac:dyDescent="0.25">
      <c r="A592" s="282" t="s">
        <v>581</v>
      </c>
      <c r="B592" s="282" t="s">
        <v>611</v>
      </c>
      <c r="C592" s="282" t="s">
        <v>612</v>
      </c>
      <c r="D592" s="286" t="s">
        <v>1068</v>
      </c>
      <c r="E592" s="404">
        <v>44525</v>
      </c>
      <c r="F592" s="404">
        <v>46351</v>
      </c>
      <c r="G592" s="286" t="s">
        <v>1063</v>
      </c>
      <c r="H592" s="282" t="s">
        <v>1064</v>
      </c>
      <c r="I592" s="282" t="s">
        <v>590</v>
      </c>
      <c r="J592" s="282" t="s">
        <v>156</v>
      </c>
      <c r="K592" s="286" t="s">
        <v>1065</v>
      </c>
      <c r="L592" s="282" t="s">
        <v>574</v>
      </c>
      <c r="M592" s="287">
        <v>2400</v>
      </c>
      <c r="N592" s="287">
        <v>0</v>
      </c>
      <c r="O592" s="287">
        <v>0</v>
      </c>
      <c r="P592" s="287"/>
      <c r="Q592" s="288" t="s">
        <v>624</v>
      </c>
      <c r="R592" s="288" t="s">
        <v>624</v>
      </c>
      <c r="S592" s="288" t="s">
        <v>742</v>
      </c>
      <c r="T592" s="288"/>
      <c r="U592" s="288">
        <v>0</v>
      </c>
      <c r="V592" s="289">
        <v>237.16</v>
      </c>
      <c r="W592" s="289">
        <v>0</v>
      </c>
      <c r="X592" s="288">
        <v>9.8750000000000004E-2</v>
      </c>
      <c r="Y592" s="288">
        <v>9.8750000000000004E-2</v>
      </c>
      <c r="Z592" s="288">
        <v>6.666666666666667E-5</v>
      </c>
      <c r="AA592" s="288">
        <v>0</v>
      </c>
      <c r="AB592" s="288">
        <v>0</v>
      </c>
      <c r="AC592" s="289">
        <v>9.8816666666666678E-2</v>
      </c>
      <c r="AD592" s="289">
        <v>0</v>
      </c>
    </row>
    <row r="593" spans="1:30" ht="15" customHeight="1" x14ac:dyDescent="0.25">
      <c r="A593" s="282" t="s">
        <v>581</v>
      </c>
      <c r="B593" s="282" t="s">
        <v>611</v>
      </c>
      <c r="C593" s="282" t="s">
        <v>612</v>
      </c>
      <c r="D593" s="286" t="s">
        <v>1069</v>
      </c>
      <c r="E593" s="404">
        <v>44525</v>
      </c>
      <c r="F593" s="404">
        <v>46351</v>
      </c>
      <c r="G593" s="286" t="s">
        <v>1063</v>
      </c>
      <c r="H593" s="282" t="s">
        <v>1064</v>
      </c>
      <c r="I593" s="282" t="s">
        <v>590</v>
      </c>
      <c r="J593" s="282" t="s">
        <v>156</v>
      </c>
      <c r="K593" s="286" t="s">
        <v>1065</v>
      </c>
      <c r="L593" s="282" t="s">
        <v>574</v>
      </c>
      <c r="M593" s="287">
        <v>2400</v>
      </c>
      <c r="N593" s="287">
        <v>0</v>
      </c>
      <c r="O593" s="287">
        <v>0</v>
      </c>
      <c r="P593" s="287"/>
      <c r="Q593" s="288" t="s">
        <v>624</v>
      </c>
      <c r="R593" s="288" t="s">
        <v>624</v>
      </c>
      <c r="S593" s="288" t="s">
        <v>742</v>
      </c>
      <c r="T593" s="288"/>
      <c r="U593" s="288">
        <v>0</v>
      </c>
      <c r="V593" s="289">
        <v>237.16</v>
      </c>
      <c r="W593" s="289">
        <v>0</v>
      </c>
      <c r="X593" s="288">
        <v>9.8750000000000004E-2</v>
      </c>
      <c r="Y593" s="288">
        <v>9.8750000000000004E-2</v>
      </c>
      <c r="Z593" s="288">
        <v>6.666666666666667E-5</v>
      </c>
      <c r="AA593" s="288">
        <v>0</v>
      </c>
      <c r="AB593" s="288">
        <v>0</v>
      </c>
      <c r="AC593" s="289">
        <v>9.8816666666666678E-2</v>
      </c>
      <c r="AD593" s="289">
        <v>0</v>
      </c>
    </row>
    <row r="594" spans="1:30" ht="15" customHeight="1" x14ac:dyDescent="0.25">
      <c r="A594" s="282" t="s">
        <v>581</v>
      </c>
      <c r="B594" s="282" t="s">
        <v>628</v>
      </c>
      <c r="C594" s="282" t="s">
        <v>629</v>
      </c>
      <c r="D594" s="286" t="s">
        <v>1070</v>
      </c>
      <c r="E594" s="404">
        <v>44581</v>
      </c>
      <c r="F594" s="404">
        <v>46407</v>
      </c>
      <c r="G594" s="286" t="s">
        <v>588</v>
      </c>
      <c r="H594" s="282" t="s">
        <v>589</v>
      </c>
      <c r="I594" s="282" t="s">
        <v>590</v>
      </c>
      <c r="J594" s="282" t="s">
        <v>156</v>
      </c>
      <c r="K594" s="286" t="s">
        <v>591</v>
      </c>
      <c r="L594" s="282" t="s">
        <v>574</v>
      </c>
      <c r="M594" s="287">
        <v>2400</v>
      </c>
      <c r="N594" s="287">
        <v>0</v>
      </c>
      <c r="O594" s="287">
        <v>0</v>
      </c>
      <c r="P594" s="287"/>
      <c r="Q594" s="288" t="s">
        <v>1071</v>
      </c>
      <c r="R594" s="288" t="s">
        <v>1071</v>
      </c>
      <c r="S594" s="288" t="s">
        <v>889</v>
      </c>
      <c r="T594" s="288"/>
      <c r="U594" s="288">
        <v>0</v>
      </c>
      <c r="V594" s="289">
        <v>163.11000000000001</v>
      </c>
      <c r="W594" s="289">
        <v>0</v>
      </c>
      <c r="X594" s="288">
        <v>6.7916666666666667E-2</v>
      </c>
      <c r="Y594" s="288">
        <v>6.7916666666666667E-2</v>
      </c>
      <c r="Z594" s="288">
        <v>4.5833333333333334E-5</v>
      </c>
      <c r="AA594" s="288">
        <v>0</v>
      </c>
      <c r="AB594" s="288">
        <v>0</v>
      </c>
      <c r="AC594" s="289">
        <v>6.7962499999999995E-2</v>
      </c>
      <c r="AD594" s="289">
        <v>0</v>
      </c>
    </row>
    <row r="595" spans="1:30" ht="15" customHeight="1" x14ac:dyDescent="0.25">
      <c r="A595" s="282" t="s">
        <v>581</v>
      </c>
      <c r="B595" s="282" t="s">
        <v>616</v>
      </c>
      <c r="C595" s="282" t="s">
        <v>617</v>
      </c>
      <c r="D595" s="286" t="s">
        <v>1072</v>
      </c>
      <c r="E595" s="404">
        <v>44525</v>
      </c>
      <c r="F595" s="404">
        <v>46351</v>
      </c>
      <c r="G595" s="286" t="s">
        <v>1063</v>
      </c>
      <c r="H595" s="282" t="s">
        <v>1064</v>
      </c>
      <c r="I595" s="282" t="s">
        <v>590</v>
      </c>
      <c r="J595" s="282" t="s">
        <v>156</v>
      </c>
      <c r="K595" s="286" t="s">
        <v>1065</v>
      </c>
      <c r="L595" s="282" t="s">
        <v>574</v>
      </c>
      <c r="M595" s="287">
        <v>2400</v>
      </c>
      <c r="N595" s="287">
        <v>0</v>
      </c>
      <c r="O595" s="287">
        <v>0</v>
      </c>
      <c r="P595" s="287"/>
      <c r="Q595" s="288" t="s">
        <v>718</v>
      </c>
      <c r="R595" s="288" t="s">
        <v>718</v>
      </c>
      <c r="S595" s="288" t="s">
        <v>711</v>
      </c>
      <c r="T595" s="288"/>
      <c r="U595" s="288">
        <v>0</v>
      </c>
      <c r="V595" s="289">
        <v>313.20999999999998</v>
      </c>
      <c r="W595" s="289">
        <v>0</v>
      </c>
      <c r="X595" s="288">
        <v>0.13041666666666665</v>
      </c>
      <c r="Y595" s="288">
        <v>0.13041666666666665</v>
      </c>
      <c r="Z595" s="288">
        <v>8.7499999999999999E-5</v>
      </c>
      <c r="AA595" s="288">
        <v>0</v>
      </c>
      <c r="AB595" s="288">
        <v>0</v>
      </c>
      <c r="AC595" s="289">
        <v>0.13050416666666664</v>
      </c>
      <c r="AD595" s="289">
        <v>0</v>
      </c>
    </row>
    <row r="596" spans="1:30" ht="15" customHeight="1" x14ac:dyDescent="0.25">
      <c r="A596" s="282" t="s">
        <v>581</v>
      </c>
      <c r="B596" s="282" t="s">
        <v>616</v>
      </c>
      <c r="C596" s="282" t="s">
        <v>617</v>
      </c>
      <c r="D596" s="286" t="s">
        <v>1073</v>
      </c>
      <c r="E596" s="404">
        <v>44525</v>
      </c>
      <c r="F596" s="404">
        <v>46351</v>
      </c>
      <c r="G596" s="286" t="s">
        <v>1063</v>
      </c>
      <c r="H596" s="282" t="s">
        <v>1064</v>
      </c>
      <c r="I596" s="282" t="s">
        <v>590</v>
      </c>
      <c r="J596" s="282" t="s">
        <v>156</v>
      </c>
      <c r="K596" s="286" t="s">
        <v>1065</v>
      </c>
      <c r="L596" s="282" t="s">
        <v>574</v>
      </c>
      <c r="M596" s="287">
        <v>2400</v>
      </c>
      <c r="N596" s="287">
        <v>0</v>
      </c>
      <c r="O596" s="287">
        <v>0</v>
      </c>
      <c r="P596" s="287"/>
      <c r="Q596" s="288" t="s">
        <v>718</v>
      </c>
      <c r="R596" s="288" t="s">
        <v>718</v>
      </c>
      <c r="S596" s="288" t="s">
        <v>711</v>
      </c>
      <c r="T596" s="288"/>
      <c r="U596" s="288">
        <v>0</v>
      </c>
      <c r="V596" s="289">
        <v>313.20999999999998</v>
      </c>
      <c r="W596" s="289">
        <v>0</v>
      </c>
      <c r="X596" s="288">
        <v>0.13041666666666665</v>
      </c>
      <c r="Y596" s="288">
        <v>0.13041666666666665</v>
      </c>
      <c r="Z596" s="288">
        <v>8.7499999999999999E-5</v>
      </c>
      <c r="AA596" s="288">
        <v>0</v>
      </c>
      <c r="AB596" s="288">
        <v>0</v>
      </c>
      <c r="AC596" s="289">
        <v>0.13050416666666664</v>
      </c>
      <c r="AD596" s="289">
        <v>0</v>
      </c>
    </row>
    <row r="597" spans="1:30" ht="15" customHeight="1" x14ac:dyDescent="0.25">
      <c r="A597" s="282" t="s">
        <v>581</v>
      </c>
      <c r="B597" s="282" t="s">
        <v>585</v>
      </c>
      <c r="C597" s="282" t="s">
        <v>586</v>
      </c>
      <c r="D597" s="286" t="s">
        <v>1074</v>
      </c>
      <c r="E597" s="404">
        <v>44525</v>
      </c>
      <c r="F597" s="404">
        <v>46351</v>
      </c>
      <c r="G597" s="286" t="s">
        <v>1063</v>
      </c>
      <c r="H597" s="282" t="s">
        <v>1064</v>
      </c>
      <c r="I597" s="282" t="s">
        <v>590</v>
      </c>
      <c r="J597" s="282" t="s">
        <v>156</v>
      </c>
      <c r="K597" s="286" t="s">
        <v>1065</v>
      </c>
      <c r="L597" s="282" t="s">
        <v>574</v>
      </c>
      <c r="M597" s="287">
        <v>2400</v>
      </c>
      <c r="N597" s="287">
        <v>0</v>
      </c>
      <c r="O597" s="287">
        <v>0</v>
      </c>
      <c r="P597" s="287"/>
      <c r="Q597" s="288" t="s">
        <v>1075</v>
      </c>
      <c r="R597" s="288" t="s">
        <v>1075</v>
      </c>
      <c r="S597" s="288" t="s">
        <v>714</v>
      </c>
      <c r="T597" s="288"/>
      <c r="U597" s="288">
        <v>0</v>
      </c>
      <c r="V597" s="289">
        <v>270.18</v>
      </c>
      <c r="W597" s="289">
        <v>0</v>
      </c>
      <c r="X597" s="288">
        <v>0.1125</v>
      </c>
      <c r="Y597" s="288">
        <v>0.1125</v>
      </c>
      <c r="Z597" s="288">
        <v>7.4999999999999993E-5</v>
      </c>
      <c r="AA597" s="288">
        <v>0</v>
      </c>
      <c r="AB597" s="288">
        <v>0</v>
      </c>
      <c r="AC597" s="289">
        <v>0.11257500000000001</v>
      </c>
      <c r="AD597" s="289">
        <v>0</v>
      </c>
    </row>
    <row r="598" spans="1:30" ht="15" customHeight="1" x14ac:dyDescent="0.25">
      <c r="A598" s="282" t="s">
        <v>581</v>
      </c>
      <c r="B598" s="282" t="s">
        <v>585</v>
      </c>
      <c r="C598" s="282" t="s">
        <v>586</v>
      </c>
      <c r="D598" s="286" t="s">
        <v>1076</v>
      </c>
      <c r="E598" s="404">
        <v>44525</v>
      </c>
      <c r="F598" s="404">
        <v>46351</v>
      </c>
      <c r="G598" s="286" t="s">
        <v>1063</v>
      </c>
      <c r="H598" s="282" t="s">
        <v>1064</v>
      </c>
      <c r="I598" s="282" t="s">
        <v>590</v>
      </c>
      <c r="J598" s="282" t="s">
        <v>156</v>
      </c>
      <c r="K598" s="286" t="s">
        <v>1065</v>
      </c>
      <c r="L598" s="282" t="s">
        <v>574</v>
      </c>
      <c r="M598" s="287">
        <v>2400</v>
      </c>
      <c r="N598" s="287">
        <v>0</v>
      </c>
      <c r="O598" s="287">
        <v>0</v>
      </c>
      <c r="P598" s="287"/>
      <c r="Q598" s="288" t="s">
        <v>1075</v>
      </c>
      <c r="R598" s="288" t="s">
        <v>1075</v>
      </c>
      <c r="S598" s="288" t="s">
        <v>714</v>
      </c>
      <c r="T598" s="288"/>
      <c r="U598" s="288">
        <v>0</v>
      </c>
      <c r="V598" s="289">
        <v>270.18</v>
      </c>
      <c r="W598" s="289">
        <v>0</v>
      </c>
      <c r="X598" s="288">
        <v>0.1125</v>
      </c>
      <c r="Y598" s="288">
        <v>0.1125</v>
      </c>
      <c r="Z598" s="288">
        <v>7.4999999999999993E-5</v>
      </c>
      <c r="AA598" s="288">
        <v>0</v>
      </c>
      <c r="AB598" s="288">
        <v>0</v>
      </c>
      <c r="AC598" s="289">
        <v>0.11257500000000001</v>
      </c>
      <c r="AD598" s="289">
        <v>0</v>
      </c>
    </row>
    <row r="599" spans="1:30" ht="15" customHeight="1" x14ac:dyDescent="0.25">
      <c r="A599" s="282" t="s">
        <v>581</v>
      </c>
      <c r="B599" s="282" t="s">
        <v>611</v>
      </c>
      <c r="C599" s="282" t="s">
        <v>612</v>
      </c>
      <c r="D599" s="286" t="s">
        <v>1077</v>
      </c>
      <c r="E599" s="404">
        <v>44581</v>
      </c>
      <c r="F599" s="404">
        <v>46407</v>
      </c>
      <c r="G599" s="286" t="s">
        <v>588</v>
      </c>
      <c r="H599" s="282" t="s">
        <v>589</v>
      </c>
      <c r="I599" s="282" t="s">
        <v>590</v>
      </c>
      <c r="J599" s="282" t="s">
        <v>156</v>
      </c>
      <c r="K599" s="286" t="s">
        <v>591</v>
      </c>
      <c r="L599" s="282" t="s">
        <v>574</v>
      </c>
      <c r="M599" s="287">
        <v>2400</v>
      </c>
      <c r="N599" s="287">
        <v>0</v>
      </c>
      <c r="O599" s="287">
        <v>0</v>
      </c>
      <c r="P599" s="287"/>
      <c r="Q599" s="288" t="s">
        <v>614</v>
      </c>
      <c r="R599" s="288" t="s">
        <v>614</v>
      </c>
      <c r="S599" s="288" t="s">
        <v>786</v>
      </c>
      <c r="T599" s="288"/>
      <c r="U599" s="288">
        <v>0</v>
      </c>
      <c r="V599" s="289">
        <v>255.17</v>
      </c>
      <c r="W599" s="289">
        <v>0</v>
      </c>
      <c r="X599" s="288">
        <v>0.10625</v>
      </c>
      <c r="Y599" s="288">
        <v>0.10625</v>
      </c>
      <c r="Z599" s="288">
        <v>7.0833333333333338E-5</v>
      </c>
      <c r="AA599" s="288">
        <v>0</v>
      </c>
      <c r="AB599" s="288">
        <v>0</v>
      </c>
      <c r="AC599" s="289">
        <v>0.10632083333333334</v>
      </c>
      <c r="AD599" s="289">
        <v>0</v>
      </c>
    </row>
    <row r="600" spans="1:30" ht="15" customHeight="1" x14ac:dyDescent="0.25">
      <c r="A600" s="282" t="s">
        <v>581</v>
      </c>
      <c r="B600" s="282" t="s">
        <v>585</v>
      </c>
      <c r="C600" s="282" t="s">
        <v>586</v>
      </c>
      <c r="D600" s="286" t="s">
        <v>1078</v>
      </c>
      <c r="E600" s="404">
        <v>44525</v>
      </c>
      <c r="F600" s="404">
        <v>46351</v>
      </c>
      <c r="G600" s="286" t="s">
        <v>1063</v>
      </c>
      <c r="H600" s="282" t="s">
        <v>1064</v>
      </c>
      <c r="I600" s="282" t="s">
        <v>590</v>
      </c>
      <c r="J600" s="282" t="s">
        <v>156</v>
      </c>
      <c r="K600" s="286" t="s">
        <v>1065</v>
      </c>
      <c r="L600" s="282" t="s">
        <v>574</v>
      </c>
      <c r="M600" s="287">
        <v>2400</v>
      </c>
      <c r="N600" s="287">
        <v>0</v>
      </c>
      <c r="O600" s="287">
        <v>0</v>
      </c>
      <c r="P600" s="287"/>
      <c r="Q600" s="288" t="s">
        <v>1079</v>
      </c>
      <c r="R600" s="288" t="s">
        <v>1079</v>
      </c>
      <c r="S600" s="288" t="s">
        <v>714</v>
      </c>
      <c r="T600" s="288"/>
      <c r="U600" s="288">
        <v>0</v>
      </c>
      <c r="V600" s="289">
        <v>271.18</v>
      </c>
      <c r="W600" s="289">
        <v>0</v>
      </c>
      <c r="X600" s="288">
        <v>0.11291666666666667</v>
      </c>
      <c r="Y600" s="288">
        <v>0.11291666666666667</v>
      </c>
      <c r="Z600" s="288">
        <v>7.4999999999999993E-5</v>
      </c>
      <c r="AA600" s="288">
        <v>0</v>
      </c>
      <c r="AB600" s="288">
        <v>0</v>
      </c>
      <c r="AC600" s="289">
        <v>0.11299166666666667</v>
      </c>
      <c r="AD600" s="289">
        <v>0</v>
      </c>
    </row>
    <row r="601" spans="1:30" ht="15" customHeight="1" x14ac:dyDescent="0.25">
      <c r="A601" s="282" t="s">
        <v>581</v>
      </c>
      <c r="B601" s="282" t="s">
        <v>585</v>
      </c>
      <c r="C601" s="282" t="s">
        <v>586</v>
      </c>
      <c r="D601" s="286" t="s">
        <v>1080</v>
      </c>
      <c r="E601" s="404">
        <v>44525</v>
      </c>
      <c r="F601" s="404">
        <v>46351</v>
      </c>
      <c r="G601" s="286" t="s">
        <v>1063</v>
      </c>
      <c r="H601" s="282" t="s">
        <v>1064</v>
      </c>
      <c r="I601" s="282" t="s">
        <v>590</v>
      </c>
      <c r="J601" s="282" t="s">
        <v>156</v>
      </c>
      <c r="K601" s="286" t="s">
        <v>1065</v>
      </c>
      <c r="L601" s="282" t="s">
        <v>574</v>
      </c>
      <c r="M601" s="287">
        <v>2400</v>
      </c>
      <c r="N601" s="287">
        <v>0</v>
      </c>
      <c r="O601" s="287">
        <v>0</v>
      </c>
      <c r="P601" s="287"/>
      <c r="Q601" s="288" t="s">
        <v>1079</v>
      </c>
      <c r="R601" s="288" t="s">
        <v>1079</v>
      </c>
      <c r="S601" s="288" t="s">
        <v>714</v>
      </c>
      <c r="T601" s="288"/>
      <c r="U601" s="288">
        <v>0</v>
      </c>
      <c r="V601" s="289">
        <v>271.18</v>
      </c>
      <c r="W601" s="289">
        <v>0</v>
      </c>
      <c r="X601" s="288">
        <v>0.11291666666666667</v>
      </c>
      <c r="Y601" s="288">
        <v>0.11291666666666667</v>
      </c>
      <c r="Z601" s="288">
        <v>7.4999999999999993E-5</v>
      </c>
      <c r="AA601" s="288">
        <v>0</v>
      </c>
      <c r="AB601" s="288">
        <v>0</v>
      </c>
      <c r="AC601" s="289">
        <v>0.11299166666666667</v>
      </c>
      <c r="AD601" s="289">
        <v>0</v>
      </c>
    </row>
    <row r="602" spans="1:30" ht="15" customHeight="1" x14ac:dyDescent="0.25">
      <c r="A602" s="282" t="s">
        <v>581</v>
      </c>
      <c r="B602" s="282" t="s">
        <v>585</v>
      </c>
      <c r="C602" s="282" t="s">
        <v>586</v>
      </c>
      <c r="D602" s="286" t="s">
        <v>1081</v>
      </c>
      <c r="E602" s="404">
        <v>44525</v>
      </c>
      <c r="F602" s="404">
        <v>46351</v>
      </c>
      <c r="G602" s="286" t="s">
        <v>1063</v>
      </c>
      <c r="H602" s="282" t="s">
        <v>1064</v>
      </c>
      <c r="I602" s="282" t="s">
        <v>590</v>
      </c>
      <c r="J602" s="282" t="s">
        <v>156</v>
      </c>
      <c r="K602" s="286" t="s">
        <v>1065</v>
      </c>
      <c r="L602" s="282" t="s">
        <v>574</v>
      </c>
      <c r="M602" s="287">
        <v>2400</v>
      </c>
      <c r="N602" s="287">
        <v>0</v>
      </c>
      <c r="O602" s="287">
        <v>0</v>
      </c>
      <c r="P602" s="287"/>
      <c r="Q602" s="288" t="s">
        <v>1079</v>
      </c>
      <c r="R602" s="288" t="s">
        <v>1079</v>
      </c>
      <c r="S602" s="288" t="s">
        <v>714</v>
      </c>
      <c r="T602" s="288"/>
      <c r="U602" s="288">
        <v>0</v>
      </c>
      <c r="V602" s="289">
        <v>271.18</v>
      </c>
      <c r="W602" s="289">
        <v>0</v>
      </c>
      <c r="X602" s="288">
        <v>0.11291666666666667</v>
      </c>
      <c r="Y602" s="288">
        <v>0.11291666666666667</v>
      </c>
      <c r="Z602" s="288">
        <v>7.4999999999999993E-5</v>
      </c>
      <c r="AA602" s="288">
        <v>0</v>
      </c>
      <c r="AB602" s="288">
        <v>0</v>
      </c>
      <c r="AC602" s="289">
        <v>0.11299166666666667</v>
      </c>
      <c r="AD602" s="289">
        <v>0</v>
      </c>
    </row>
    <row r="603" spans="1:30" ht="15" customHeight="1" x14ac:dyDescent="0.25">
      <c r="A603" s="282" t="s">
        <v>581</v>
      </c>
      <c r="B603" s="282" t="s">
        <v>585</v>
      </c>
      <c r="C603" s="282" t="s">
        <v>586</v>
      </c>
      <c r="D603" s="286" t="s">
        <v>1082</v>
      </c>
      <c r="E603" s="404">
        <v>44525</v>
      </c>
      <c r="F603" s="404">
        <v>46351</v>
      </c>
      <c r="G603" s="286" t="s">
        <v>1063</v>
      </c>
      <c r="H603" s="282" t="s">
        <v>1064</v>
      </c>
      <c r="I603" s="282" t="s">
        <v>590</v>
      </c>
      <c r="J603" s="282" t="s">
        <v>156</v>
      </c>
      <c r="K603" s="286" t="s">
        <v>1065</v>
      </c>
      <c r="L603" s="282" t="s">
        <v>574</v>
      </c>
      <c r="M603" s="287">
        <v>2400</v>
      </c>
      <c r="N603" s="287">
        <v>0</v>
      </c>
      <c r="O603" s="287">
        <v>0</v>
      </c>
      <c r="P603" s="287"/>
      <c r="Q603" s="288" t="s">
        <v>1079</v>
      </c>
      <c r="R603" s="288" t="s">
        <v>1079</v>
      </c>
      <c r="S603" s="288" t="s">
        <v>714</v>
      </c>
      <c r="T603" s="288"/>
      <c r="U603" s="288">
        <v>0</v>
      </c>
      <c r="V603" s="289">
        <v>271.18</v>
      </c>
      <c r="W603" s="289">
        <v>0</v>
      </c>
      <c r="X603" s="288">
        <v>0.11291666666666667</v>
      </c>
      <c r="Y603" s="288">
        <v>0.11291666666666667</v>
      </c>
      <c r="Z603" s="288">
        <v>7.4999999999999993E-5</v>
      </c>
      <c r="AA603" s="288">
        <v>0</v>
      </c>
      <c r="AB603" s="288">
        <v>0</v>
      </c>
      <c r="AC603" s="289">
        <v>0.11299166666666667</v>
      </c>
      <c r="AD603" s="289">
        <v>0</v>
      </c>
    </row>
    <row r="604" spans="1:30" ht="15" customHeight="1" x14ac:dyDescent="0.25">
      <c r="A604" s="282" t="s">
        <v>581</v>
      </c>
      <c r="B604" s="282" t="s">
        <v>594</v>
      </c>
      <c r="C604" s="282" t="s">
        <v>595</v>
      </c>
      <c r="D604" s="286" t="s">
        <v>1083</v>
      </c>
      <c r="E604" s="404">
        <v>44525</v>
      </c>
      <c r="F604" s="404">
        <v>46351</v>
      </c>
      <c r="G604" s="286" t="s">
        <v>1063</v>
      </c>
      <c r="H604" s="282" t="s">
        <v>1064</v>
      </c>
      <c r="I604" s="282" t="s">
        <v>590</v>
      </c>
      <c r="J604" s="282" t="s">
        <v>156</v>
      </c>
      <c r="K604" s="286" t="s">
        <v>1065</v>
      </c>
      <c r="L604" s="282" t="s">
        <v>574</v>
      </c>
      <c r="M604" s="287">
        <v>2400</v>
      </c>
      <c r="N604" s="287">
        <v>0</v>
      </c>
      <c r="O604" s="287">
        <v>0</v>
      </c>
      <c r="P604" s="287"/>
      <c r="Q604" s="288" t="s">
        <v>1084</v>
      </c>
      <c r="R604" s="288" t="s">
        <v>1084</v>
      </c>
      <c r="S604" s="288" t="s">
        <v>927</v>
      </c>
      <c r="T604" s="288"/>
      <c r="U604" s="288">
        <v>0</v>
      </c>
      <c r="V604" s="289">
        <v>196.13</v>
      </c>
      <c r="W604" s="289">
        <v>0</v>
      </c>
      <c r="X604" s="288">
        <v>8.1666666666666665E-2</v>
      </c>
      <c r="Y604" s="288">
        <v>8.1666666666666665E-2</v>
      </c>
      <c r="Z604" s="288">
        <v>5.4166666666666671E-5</v>
      </c>
      <c r="AA604" s="288">
        <v>0</v>
      </c>
      <c r="AB604" s="288">
        <v>0</v>
      </c>
      <c r="AC604" s="289">
        <v>8.1720833333333326E-2</v>
      </c>
      <c r="AD604" s="289">
        <v>0</v>
      </c>
    </row>
    <row r="605" spans="1:30" ht="15" customHeight="1" x14ac:dyDescent="0.25">
      <c r="A605" s="282" t="s">
        <v>581</v>
      </c>
      <c r="B605" s="282" t="s">
        <v>594</v>
      </c>
      <c r="C605" s="282" t="s">
        <v>595</v>
      </c>
      <c r="D605" s="286" t="s">
        <v>1085</v>
      </c>
      <c r="E605" s="404">
        <v>44581</v>
      </c>
      <c r="F605" s="404">
        <v>46407</v>
      </c>
      <c r="G605" s="286" t="s">
        <v>588</v>
      </c>
      <c r="H605" s="282" t="s">
        <v>589</v>
      </c>
      <c r="I605" s="282" t="s">
        <v>590</v>
      </c>
      <c r="J605" s="282" t="s">
        <v>156</v>
      </c>
      <c r="K605" s="286" t="s">
        <v>591</v>
      </c>
      <c r="L605" s="282" t="s">
        <v>574</v>
      </c>
      <c r="M605" s="287">
        <v>2400</v>
      </c>
      <c r="N605" s="287">
        <v>0</v>
      </c>
      <c r="O605" s="287">
        <v>0</v>
      </c>
      <c r="P605" s="287"/>
      <c r="Q605" s="288" t="s">
        <v>741</v>
      </c>
      <c r="R605" s="288" t="s">
        <v>741</v>
      </c>
      <c r="S605" s="288" t="s">
        <v>1086</v>
      </c>
      <c r="T605" s="288"/>
      <c r="U605" s="288">
        <v>0</v>
      </c>
      <c r="V605" s="289">
        <v>151.1</v>
      </c>
      <c r="W605" s="289">
        <v>0</v>
      </c>
      <c r="X605" s="288">
        <v>6.2916666666666662E-2</v>
      </c>
      <c r="Y605" s="288">
        <v>6.2916666666666662E-2</v>
      </c>
      <c r="Z605" s="288">
        <v>4.1666666666666672E-5</v>
      </c>
      <c r="AA605" s="288">
        <v>0</v>
      </c>
      <c r="AB605" s="288">
        <v>0</v>
      </c>
      <c r="AC605" s="289">
        <v>6.2958333333333324E-2</v>
      </c>
      <c r="AD605" s="289">
        <v>0</v>
      </c>
    </row>
    <row r="606" spans="1:30" ht="15" customHeight="1" x14ac:dyDescent="0.25">
      <c r="A606" s="282" t="s">
        <v>581</v>
      </c>
      <c r="B606" s="282" t="s">
        <v>611</v>
      </c>
      <c r="C606" s="282" t="s">
        <v>612</v>
      </c>
      <c r="D606" s="286" t="s">
        <v>1087</v>
      </c>
      <c r="E606" s="404">
        <v>44525</v>
      </c>
      <c r="F606" s="404">
        <v>46351</v>
      </c>
      <c r="G606" s="286" t="s">
        <v>1063</v>
      </c>
      <c r="H606" s="282" t="s">
        <v>1064</v>
      </c>
      <c r="I606" s="282" t="s">
        <v>590</v>
      </c>
      <c r="J606" s="282" t="s">
        <v>156</v>
      </c>
      <c r="K606" s="286" t="s">
        <v>1065</v>
      </c>
      <c r="L606" s="282" t="s">
        <v>574</v>
      </c>
      <c r="M606" s="287">
        <v>2400</v>
      </c>
      <c r="N606" s="287">
        <v>0</v>
      </c>
      <c r="O606" s="287">
        <v>0</v>
      </c>
      <c r="P606" s="287"/>
      <c r="Q606" s="288" t="s">
        <v>973</v>
      </c>
      <c r="R606" s="288" t="s">
        <v>973</v>
      </c>
      <c r="S606" s="288" t="s">
        <v>795</v>
      </c>
      <c r="T606" s="288"/>
      <c r="U606" s="288">
        <v>0</v>
      </c>
      <c r="V606" s="289">
        <v>227.15</v>
      </c>
      <c r="W606" s="289">
        <v>0</v>
      </c>
      <c r="X606" s="288">
        <v>9.4583333333333339E-2</v>
      </c>
      <c r="Y606" s="288">
        <v>9.4583333333333339E-2</v>
      </c>
      <c r="Z606" s="288">
        <v>6.2500000000000001E-5</v>
      </c>
      <c r="AA606" s="288">
        <v>0</v>
      </c>
      <c r="AB606" s="288">
        <v>0</v>
      </c>
      <c r="AC606" s="289">
        <v>9.4645833333333332E-2</v>
      </c>
      <c r="AD606" s="289">
        <v>0</v>
      </c>
    </row>
    <row r="607" spans="1:30" ht="15" customHeight="1" x14ac:dyDescent="0.25">
      <c r="A607" s="282" t="s">
        <v>581</v>
      </c>
      <c r="B607" s="282" t="s">
        <v>628</v>
      </c>
      <c r="C607" s="282" t="s">
        <v>629</v>
      </c>
      <c r="D607" s="286" t="s">
        <v>1088</v>
      </c>
      <c r="E607" s="404">
        <v>44525</v>
      </c>
      <c r="F607" s="404">
        <v>46351</v>
      </c>
      <c r="G607" s="286" t="s">
        <v>1063</v>
      </c>
      <c r="H607" s="282" t="s">
        <v>1064</v>
      </c>
      <c r="I607" s="282" t="s">
        <v>590</v>
      </c>
      <c r="J607" s="282" t="s">
        <v>156</v>
      </c>
      <c r="K607" s="286" t="s">
        <v>1065</v>
      </c>
      <c r="L607" s="282" t="s">
        <v>574</v>
      </c>
      <c r="M607" s="287">
        <v>2400</v>
      </c>
      <c r="N607" s="287">
        <v>0</v>
      </c>
      <c r="O607" s="287">
        <v>0</v>
      </c>
      <c r="P607" s="287"/>
      <c r="Q607" s="288" t="s">
        <v>1089</v>
      </c>
      <c r="R607" s="288" t="s">
        <v>1089</v>
      </c>
      <c r="S607" s="288" t="s">
        <v>864</v>
      </c>
      <c r="T607" s="288"/>
      <c r="U607" s="288">
        <v>0</v>
      </c>
      <c r="V607" s="289">
        <v>212.14</v>
      </c>
      <c r="W607" s="289">
        <v>0</v>
      </c>
      <c r="X607" s="288">
        <v>8.8333333333333333E-2</v>
      </c>
      <c r="Y607" s="288">
        <v>8.8333333333333333E-2</v>
      </c>
      <c r="Z607" s="288">
        <v>5.833333333333334E-5</v>
      </c>
      <c r="AA607" s="288">
        <v>0</v>
      </c>
      <c r="AB607" s="288">
        <v>0</v>
      </c>
      <c r="AC607" s="289">
        <v>8.839166666666666E-2</v>
      </c>
      <c r="AD607" s="289">
        <v>0</v>
      </c>
    </row>
    <row r="608" spans="1:30" ht="15" customHeight="1" x14ac:dyDescent="0.25">
      <c r="A608" s="282" t="s">
        <v>581</v>
      </c>
      <c r="B608" s="282" t="s">
        <v>594</v>
      </c>
      <c r="C608" s="282" t="s">
        <v>595</v>
      </c>
      <c r="D608" s="286" t="s">
        <v>1090</v>
      </c>
      <c r="E608" s="404">
        <v>44525</v>
      </c>
      <c r="F608" s="404">
        <v>46351</v>
      </c>
      <c r="G608" s="286" t="s">
        <v>1063</v>
      </c>
      <c r="H608" s="282" t="s">
        <v>1064</v>
      </c>
      <c r="I608" s="282" t="s">
        <v>590</v>
      </c>
      <c r="J608" s="282" t="s">
        <v>156</v>
      </c>
      <c r="K608" s="286" t="s">
        <v>1065</v>
      </c>
      <c r="L608" s="282" t="s">
        <v>574</v>
      </c>
      <c r="M608" s="287">
        <v>2400</v>
      </c>
      <c r="N608" s="287">
        <v>0</v>
      </c>
      <c r="O608" s="287">
        <v>0</v>
      </c>
      <c r="P608" s="287"/>
      <c r="Q608" s="288" t="s">
        <v>1038</v>
      </c>
      <c r="R608" s="288" t="s">
        <v>1038</v>
      </c>
      <c r="S608" s="288" t="s">
        <v>927</v>
      </c>
      <c r="T608" s="288"/>
      <c r="U608" s="288">
        <v>0</v>
      </c>
      <c r="V608" s="289">
        <v>197.13</v>
      </c>
      <c r="W608" s="289">
        <v>0</v>
      </c>
      <c r="X608" s="288">
        <v>8.2083333333333328E-2</v>
      </c>
      <c r="Y608" s="288">
        <v>8.2083333333333328E-2</v>
      </c>
      <c r="Z608" s="288">
        <v>5.4166666666666671E-5</v>
      </c>
      <c r="AA608" s="288">
        <v>0</v>
      </c>
      <c r="AB608" s="288">
        <v>0</v>
      </c>
      <c r="AC608" s="289">
        <v>8.2137499999999988E-2</v>
      </c>
      <c r="AD608" s="289">
        <v>0</v>
      </c>
    </row>
    <row r="609" spans="1:30" ht="15" customHeight="1" x14ac:dyDescent="0.25">
      <c r="A609" s="282" t="s">
        <v>581</v>
      </c>
      <c r="B609" s="282" t="s">
        <v>628</v>
      </c>
      <c r="C609" s="282" t="s">
        <v>629</v>
      </c>
      <c r="D609" s="286" t="s">
        <v>1091</v>
      </c>
      <c r="E609" s="404">
        <v>44525</v>
      </c>
      <c r="F609" s="404">
        <v>46351</v>
      </c>
      <c r="G609" s="286" t="s">
        <v>1063</v>
      </c>
      <c r="H609" s="282" t="s">
        <v>1064</v>
      </c>
      <c r="I609" s="282" t="s">
        <v>590</v>
      </c>
      <c r="J609" s="282" t="s">
        <v>156</v>
      </c>
      <c r="K609" s="286" t="s">
        <v>1065</v>
      </c>
      <c r="L609" s="282" t="s">
        <v>574</v>
      </c>
      <c r="M609" s="287">
        <v>2400</v>
      </c>
      <c r="N609" s="287">
        <v>0</v>
      </c>
      <c r="O609" s="287">
        <v>0</v>
      </c>
      <c r="P609" s="287"/>
      <c r="Q609" s="288" t="s">
        <v>631</v>
      </c>
      <c r="R609" s="288" t="s">
        <v>631</v>
      </c>
      <c r="S609" s="288" t="s">
        <v>864</v>
      </c>
      <c r="T609" s="288"/>
      <c r="U609" s="288">
        <v>0</v>
      </c>
      <c r="V609" s="289">
        <v>213.14</v>
      </c>
      <c r="W609" s="289">
        <v>0</v>
      </c>
      <c r="X609" s="288">
        <v>8.8749999999999996E-2</v>
      </c>
      <c r="Y609" s="288">
        <v>8.8749999999999996E-2</v>
      </c>
      <c r="Z609" s="288">
        <v>5.833333333333334E-5</v>
      </c>
      <c r="AA609" s="288">
        <v>0</v>
      </c>
      <c r="AB609" s="288">
        <v>0</v>
      </c>
      <c r="AC609" s="289">
        <v>8.8808333333333322E-2</v>
      </c>
      <c r="AD609" s="289">
        <v>0</v>
      </c>
    </row>
    <row r="610" spans="1:30" ht="15" customHeight="1" x14ac:dyDescent="0.25">
      <c r="A610" s="282" t="s">
        <v>581</v>
      </c>
      <c r="B610" s="282" t="s">
        <v>616</v>
      </c>
      <c r="C610" s="282" t="s">
        <v>617</v>
      </c>
      <c r="D610" s="286" t="s">
        <v>1092</v>
      </c>
      <c r="E610" s="404">
        <v>44525</v>
      </c>
      <c r="F610" s="404">
        <v>46351</v>
      </c>
      <c r="G610" s="286" t="s">
        <v>1063</v>
      </c>
      <c r="H610" s="282" t="s">
        <v>1064</v>
      </c>
      <c r="I610" s="282" t="s">
        <v>590</v>
      </c>
      <c r="J610" s="282" t="s">
        <v>156</v>
      </c>
      <c r="K610" s="286" t="s">
        <v>1065</v>
      </c>
      <c r="L610" s="282" t="s">
        <v>574</v>
      </c>
      <c r="M610" s="287">
        <v>2400</v>
      </c>
      <c r="N610" s="287">
        <v>0</v>
      </c>
      <c r="O610" s="287">
        <v>0</v>
      </c>
      <c r="P610" s="287"/>
      <c r="Q610" s="288" t="s">
        <v>1093</v>
      </c>
      <c r="R610" s="288" t="s">
        <v>1093</v>
      </c>
      <c r="S610" s="288" t="s">
        <v>711</v>
      </c>
      <c r="T610" s="288"/>
      <c r="U610" s="288">
        <v>0</v>
      </c>
      <c r="V610" s="289">
        <v>320.20999999999998</v>
      </c>
      <c r="W610" s="289">
        <v>0</v>
      </c>
      <c r="X610" s="288">
        <v>0.13333333333333333</v>
      </c>
      <c r="Y610" s="288">
        <v>0.13333333333333333</v>
      </c>
      <c r="Z610" s="288">
        <v>8.7499999999999999E-5</v>
      </c>
      <c r="AA610" s="288">
        <v>0</v>
      </c>
      <c r="AB610" s="288">
        <v>0</v>
      </c>
      <c r="AC610" s="289">
        <v>0.13342083333333332</v>
      </c>
      <c r="AD610" s="289">
        <v>0</v>
      </c>
    </row>
    <row r="611" spans="1:30" ht="15" customHeight="1" x14ac:dyDescent="0.25">
      <c r="A611" s="282" t="s">
        <v>581</v>
      </c>
      <c r="B611" s="282" t="s">
        <v>616</v>
      </c>
      <c r="C611" s="282" t="s">
        <v>617</v>
      </c>
      <c r="D611" s="286" t="s">
        <v>1094</v>
      </c>
      <c r="E611" s="404">
        <v>44525</v>
      </c>
      <c r="F611" s="404">
        <v>46351</v>
      </c>
      <c r="G611" s="286" t="s">
        <v>1063</v>
      </c>
      <c r="H611" s="282" t="s">
        <v>1064</v>
      </c>
      <c r="I611" s="282" t="s">
        <v>590</v>
      </c>
      <c r="J611" s="282" t="s">
        <v>156</v>
      </c>
      <c r="K611" s="286" t="s">
        <v>1065</v>
      </c>
      <c r="L611" s="282" t="s">
        <v>574</v>
      </c>
      <c r="M611" s="287">
        <v>2400</v>
      </c>
      <c r="N611" s="287">
        <v>0</v>
      </c>
      <c r="O611" s="287">
        <v>0</v>
      </c>
      <c r="P611" s="287"/>
      <c r="Q611" s="288" t="s">
        <v>1093</v>
      </c>
      <c r="R611" s="288" t="s">
        <v>1093</v>
      </c>
      <c r="S611" s="288" t="s">
        <v>711</v>
      </c>
      <c r="T611" s="288"/>
      <c r="U611" s="288">
        <v>0</v>
      </c>
      <c r="V611" s="289">
        <v>320.20999999999998</v>
      </c>
      <c r="W611" s="289">
        <v>0</v>
      </c>
      <c r="X611" s="288">
        <v>0.13333333333333333</v>
      </c>
      <c r="Y611" s="288">
        <v>0.13333333333333333</v>
      </c>
      <c r="Z611" s="288">
        <v>8.7499999999999999E-5</v>
      </c>
      <c r="AA611" s="288">
        <v>0</v>
      </c>
      <c r="AB611" s="288">
        <v>0</v>
      </c>
      <c r="AC611" s="289">
        <v>0.13342083333333332</v>
      </c>
      <c r="AD611" s="289">
        <v>0</v>
      </c>
    </row>
    <row r="612" spans="1:30" ht="15" customHeight="1" x14ac:dyDescent="0.25">
      <c r="A612" s="282" t="s">
        <v>581</v>
      </c>
      <c r="B612" s="282" t="s">
        <v>616</v>
      </c>
      <c r="C612" s="282" t="s">
        <v>617</v>
      </c>
      <c r="D612" s="286" t="s">
        <v>1095</v>
      </c>
      <c r="E612" s="404">
        <v>44581</v>
      </c>
      <c r="F612" s="404">
        <v>46407</v>
      </c>
      <c r="G612" s="286" t="s">
        <v>588</v>
      </c>
      <c r="H612" s="282" t="s">
        <v>589</v>
      </c>
      <c r="I612" s="282" t="s">
        <v>590</v>
      </c>
      <c r="J612" s="282" t="s">
        <v>156</v>
      </c>
      <c r="K612" s="286" t="s">
        <v>591</v>
      </c>
      <c r="L612" s="282" t="s">
        <v>574</v>
      </c>
      <c r="M612" s="287">
        <v>2400</v>
      </c>
      <c r="N612" s="287">
        <v>0</v>
      </c>
      <c r="O612" s="287">
        <v>0</v>
      </c>
      <c r="P612" s="287"/>
      <c r="Q612" s="288" t="s">
        <v>1096</v>
      </c>
      <c r="R612" s="288" t="s">
        <v>1096</v>
      </c>
      <c r="S612" s="288" t="s">
        <v>659</v>
      </c>
      <c r="T612" s="288"/>
      <c r="U612" s="288">
        <v>0</v>
      </c>
      <c r="V612" s="289">
        <v>398.26</v>
      </c>
      <c r="W612" s="289">
        <v>0</v>
      </c>
      <c r="X612" s="288">
        <v>0.16583333333333333</v>
      </c>
      <c r="Y612" s="288">
        <v>0.16583333333333333</v>
      </c>
      <c r="Z612" s="288">
        <v>1.0833333333333334E-4</v>
      </c>
      <c r="AA612" s="288">
        <v>0</v>
      </c>
      <c r="AB612" s="288">
        <v>0</v>
      </c>
      <c r="AC612" s="289">
        <v>0.16594166666666665</v>
      </c>
      <c r="AD612" s="289">
        <v>0</v>
      </c>
    </row>
    <row r="613" spans="1:30" ht="15" customHeight="1" x14ac:dyDescent="0.25">
      <c r="A613" s="282" t="s">
        <v>581</v>
      </c>
      <c r="B613" s="282" t="s">
        <v>585</v>
      </c>
      <c r="C613" s="282" t="s">
        <v>586</v>
      </c>
      <c r="D613" s="286" t="s">
        <v>1097</v>
      </c>
      <c r="E613" s="404">
        <v>44581</v>
      </c>
      <c r="F613" s="404">
        <v>46407</v>
      </c>
      <c r="G613" s="286" t="s">
        <v>588</v>
      </c>
      <c r="H613" s="282" t="s">
        <v>589</v>
      </c>
      <c r="I613" s="282" t="s">
        <v>590</v>
      </c>
      <c r="J613" s="282" t="s">
        <v>156</v>
      </c>
      <c r="K613" s="286" t="s">
        <v>591</v>
      </c>
      <c r="L613" s="282" t="s">
        <v>574</v>
      </c>
      <c r="M613" s="287">
        <v>2400</v>
      </c>
      <c r="N613" s="287">
        <v>0</v>
      </c>
      <c r="O613" s="287">
        <v>0</v>
      </c>
      <c r="P613" s="287"/>
      <c r="Q613" s="288" t="s">
        <v>879</v>
      </c>
      <c r="R613" s="288" t="s">
        <v>879</v>
      </c>
      <c r="S613" s="288" t="s">
        <v>766</v>
      </c>
      <c r="T613" s="288"/>
      <c r="U613" s="288">
        <v>0</v>
      </c>
      <c r="V613" s="289">
        <v>293.19</v>
      </c>
      <c r="W613" s="289">
        <v>0</v>
      </c>
      <c r="X613" s="288">
        <v>0.12208333333333334</v>
      </c>
      <c r="Y613" s="288">
        <v>0.12208333333333334</v>
      </c>
      <c r="Z613" s="288">
        <v>7.9166666666666662E-5</v>
      </c>
      <c r="AA613" s="288">
        <v>0</v>
      </c>
      <c r="AB613" s="288">
        <v>0</v>
      </c>
      <c r="AC613" s="289">
        <v>0.12216250000000001</v>
      </c>
      <c r="AD613" s="289">
        <v>0</v>
      </c>
    </row>
    <row r="614" spans="1:30" ht="15" customHeight="1" x14ac:dyDescent="0.25">
      <c r="A614" s="282" t="s">
        <v>581</v>
      </c>
      <c r="B614" s="282" t="s">
        <v>585</v>
      </c>
      <c r="C614" s="282" t="s">
        <v>586</v>
      </c>
      <c r="D614" s="286" t="s">
        <v>1098</v>
      </c>
      <c r="E614" s="404">
        <v>44581</v>
      </c>
      <c r="F614" s="404">
        <v>46407</v>
      </c>
      <c r="G614" s="286" t="s">
        <v>588</v>
      </c>
      <c r="H614" s="282" t="s">
        <v>589</v>
      </c>
      <c r="I614" s="282" t="s">
        <v>590</v>
      </c>
      <c r="J614" s="282" t="s">
        <v>156</v>
      </c>
      <c r="K614" s="286" t="s">
        <v>591</v>
      </c>
      <c r="L614" s="282" t="s">
        <v>574</v>
      </c>
      <c r="M614" s="287">
        <v>2400</v>
      </c>
      <c r="N614" s="287">
        <v>0</v>
      </c>
      <c r="O614" s="287">
        <v>0</v>
      </c>
      <c r="P614" s="287"/>
      <c r="Q614" s="288" t="s">
        <v>879</v>
      </c>
      <c r="R614" s="288" t="s">
        <v>879</v>
      </c>
      <c r="S614" s="288" t="s">
        <v>766</v>
      </c>
      <c r="T614" s="288"/>
      <c r="U614" s="288">
        <v>0</v>
      </c>
      <c r="V614" s="289">
        <v>293.19</v>
      </c>
      <c r="W614" s="289">
        <v>0</v>
      </c>
      <c r="X614" s="288">
        <v>0.12208333333333334</v>
      </c>
      <c r="Y614" s="288">
        <v>0.12208333333333334</v>
      </c>
      <c r="Z614" s="288">
        <v>7.9166666666666662E-5</v>
      </c>
      <c r="AA614" s="288">
        <v>0</v>
      </c>
      <c r="AB614" s="288">
        <v>0</v>
      </c>
      <c r="AC614" s="289">
        <v>0.12216250000000001</v>
      </c>
      <c r="AD614" s="289">
        <v>0</v>
      </c>
    </row>
    <row r="615" spans="1:30" ht="15" customHeight="1" x14ac:dyDescent="0.25">
      <c r="A615" s="282" t="s">
        <v>581</v>
      </c>
      <c r="B615" s="282" t="s">
        <v>585</v>
      </c>
      <c r="C615" s="282" t="s">
        <v>586</v>
      </c>
      <c r="D615" s="286" t="s">
        <v>1099</v>
      </c>
      <c r="E615" s="404">
        <v>44525</v>
      </c>
      <c r="F615" s="404">
        <v>46351</v>
      </c>
      <c r="G615" s="286" t="s">
        <v>1063</v>
      </c>
      <c r="H615" s="282" t="s">
        <v>1064</v>
      </c>
      <c r="I615" s="282" t="s">
        <v>590</v>
      </c>
      <c r="J615" s="282" t="s">
        <v>156</v>
      </c>
      <c r="K615" s="286" t="s">
        <v>1065</v>
      </c>
      <c r="L615" s="282" t="s">
        <v>574</v>
      </c>
      <c r="M615" s="287">
        <v>2400</v>
      </c>
      <c r="N615" s="287">
        <v>0</v>
      </c>
      <c r="O615" s="287">
        <v>0</v>
      </c>
      <c r="P615" s="287"/>
      <c r="Q615" s="288" t="s">
        <v>679</v>
      </c>
      <c r="R615" s="288" t="s">
        <v>679</v>
      </c>
      <c r="S615" s="288" t="s">
        <v>786</v>
      </c>
      <c r="T615" s="288"/>
      <c r="U615" s="288">
        <v>0</v>
      </c>
      <c r="V615" s="289">
        <v>263.17</v>
      </c>
      <c r="W615" s="289">
        <v>0</v>
      </c>
      <c r="X615" s="288">
        <v>0.10958333333333334</v>
      </c>
      <c r="Y615" s="288">
        <v>0.10958333333333334</v>
      </c>
      <c r="Z615" s="288">
        <v>7.0833333333333338E-5</v>
      </c>
      <c r="AA615" s="288">
        <v>0</v>
      </c>
      <c r="AB615" s="288">
        <v>0</v>
      </c>
      <c r="AC615" s="289">
        <v>0.10965416666666668</v>
      </c>
      <c r="AD615" s="289">
        <v>0</v>
      </c>
    </row>
    <row r="616" spans="1:30" ht="15" customHeight="1" x14ac:dyDescent="0.25">
      <c r="A616" s="282" t="s">
        <v>581</v>
      </c>
      <c r="B616" s="282" t="s">
        <v>585</v>
      </c>
      <c r="C616" s="282" t="s">
        <v>586</v>
      </c>
      <c r="D616" s="286" t="s">
        <v>1100</v>
      </c>
      <c r="E616" s="404">
        <v>44581</v>
      </c>
      <c r="F616" s="404">
        <v>46407</v>
      </c>
      <c r="G616" s="286" t="s">
        <v>588</v>
      </c>
      <c r="H616" s="282" t="s">
        <v>589</v>
      </c>
      <c r="I616" s="282" t="s">
        <v>590</v>
      </c>
      <c r="J616" s="282" t="s">
        <v>156</v>
      </c>
      <c r="K616" s="286" t="s">
        <v>591</v>
      </c>
      <c r="L616" s="282" t="s">
        <v>574</v>
      </c>
      <c r="M616" s="287">
        <v>2400</v>
      </c>
      <c r="N616" s="287">
        <v>0</v>
      </c>
      <c r="O616" s="287">
        <v>0</v>
      </c>
      <c r="P616" s="287"/>
      <c r="Q616" s="288" t="s">
        <v>752</v>
      </c>
      <c r="R616" s="288" t="s">
        <v>752</v>
      </c>
      <c r="S616" s="288" t="s">
        <v>766</v>
      </c>
      <c r="T616" s="288"/>
      <c r="U616" s="288">
        <v>0</v>
      </c>
      <c r="V616" s="289">
        <v>294.19</v>
      </c>
      <c r="W616" s="289">
        <v>0</v>
      </c>
      <c r="X616" s="288">
        <v>0.1225</v>
      </c>
      <c r="Y616" s="288">
        <v>0.1225</v>
      </c>
      <c r="Z616" s="288">
        <v>7.9166666666666662E-5</v>
      </c>
      <c r="AA616" s="288">
        <v>0</v>
      </c>
      <c r="AB616" s="288">
        <v>0</v>
      </c>
      <c r="AC616" s="289">
        <v>0.12257916666666667</v>
      </c>
      <c r="AD616" s="289">
        <v>0</v>
      </c>
    </row>
    <row r="617" spans="1:30" ht="15" customHeight="1" x14ac:dyDescent="0.25">
      <c r="A617" s="282" t="s">
        <v>581</v>
      </c>
      <c r="B617" s="282" t="s">
        <v>585</v>
      </c>
      <c r="C617" s="282" t="s">
        <v>586</v>
      </c>
      <c r="D617" s="286" t="s">
        <v>1101</v>
      </c>
      <c r="E617" s="404">
        <v>44581</v>
      </c>
      <c r="F617" s="404">
        <v>46407</v>
      </c>
      <c r="G617" s="286" t="s">
        <v>588</v>
      </c>
      <c r="H617" s="282" t="s">
        <v>589</v>
      </c>
      <c r="I617" s="282" t="s">
        <v>590</v>
      </c>
      <c r="J617" s="282" t="s">
        <v>156</v>
      </c>
      <c r="K617" s="286" t="s">
        <v>591</v>
      </c>
      <c r="L617" s="282" t="s">
        <v>574</v>
      </c>
      <c r="M617" s="287">
        <v>2400</v>
      </c>
      <c r="N617" s="287">
        <v>0</v>
      </c>
      <c r="O617" s="287">
        <v>0</v>
      </c>
      <c r="P617" s="287"/>
      <c r="Q617" s="288" t="s">
        <v>777</v>
      </c>
      <c r="R617" s="288" t="s">
        <v>777</v>
      </c>
      <c r="S617" s="288" t="s">
        <v>832</v>
      </c>
      <c r="T617" s="288"/>
      <c r="U617" s="288">
        <v>0</v>
      </c>
      <c r="V617" s="289">
        <v>310.2</v>
      </c>
      <c r="W617" s="289">
        <v>0</v>
      </c>
      <c r="X617" s="288">
        <v>0.12916666666666668</v>
      </c>
      <c r="Y617" s="288">
        <v>0.12916666666666668</v>
      </c>
      <c r="Z617" s="288">
        <v>8.3333333333333344E-5</v>
      </c>
      <c r="AA617" s="288">
        <v>0</v>
      </c>
      <c r="AB617" s="288">
        <v>0</v>
      </c>
      <c r="AC617" s="289">
        <v>0.12925</v>
      </c>
      <c r="AD617" s="289">
        <v>0</v>
      </c>
    </row>
    <row r="618" spans="1:30" ht="15" customHeight="1" x14ac:dyDescent="0.25">
      <c r="A618" s="282" t="s">
        <v>581</v>
      </c>
      <c r="B618" s="282" t="s">
        <v>585</v>
      </c>
      <c r="C618" s="282" t="s">
        <v>586</v>
      </c>
      <c r="D618" s="286" t="s">
        <v>1102</v>
      </c>
      <c r="E618" s="404">
        <v>44525</v>
      </c>
      <c r="F618" s="404">
        <v>46351</v>
      </c>
      <c r="G618" s="286" t="s">
        <v>1063</v>
      </c>
      <c r="H618" s="282" t="s">
        <v>1064</v>
      </c>
      <c r="I618" s="282" t="s">
        <v>590</v>
      </c>
      <c r="J618" s="282" t="s">
        <v>156</v>
      </c>
      <c r="K618" s="286" t="s">
        <v>1065</v>
      </c>
      <c r="L618" s="282" t="s">
        <v>574</v>
      </c>
      <c r="M618" s="287">
        <v>2400</v>
      </c>
      <c r="N618" s="287">
        <v>0</v>
      </c>
      <c r="O618" s="287">
        <v>0</v>
      </c>
      <c r="P618" s="287"/>
      <c r="Q618" s="288" t="s">
        <v>681</v>
      </c>
      <c r="R618" s="288" t="s">
        <v>681</v>
      </c>
      <c r="S618" s="288" t="s">
        <v>786</v>
      </c>
      <c r="T618" s="288"/>
      <c r="U618" s="288">
        <v>0</v>
      </c>
      <c r="V618" s="289">
        <v>264.17</v>
      </c>
      <c r="W618" s="289">
        <v>0</v>
      </c>
      <c r="X618" s="288">
        <v>0.11</v>
      </c>
      <c r="Y618" s="288">
        <v>0.11</v>
      </c>
      <c r="Z618" s="288">
        <v>7.0833333333333338E-5</v>
      </c>
      <c r="AA618" s="288">
        <v>0</v>
      </c>
      <c r="AB618" s="288">
        <v>0</v>
      </c>
      <c r="AC618" s="289">
        <v>0.11007083333333334</v>
      </c>
      <c r="AD618" s="289">
        <v>0</v>
      </c>
    </row>
    <row r="619" spans="1:30" ht="15" customHeight="1" x14ac:dyDescent="0.25">
      <c r="A619" s="282" t="s">
        <v>581</v>
      </c>
      <c r="B619" s="282" t="s">
        <v>585</v>
      </c>
      <c r="C619" s="282" t="s">
        <v>586</v>
      </c>
      <c r="D619" s="286" t="s">
        <v>1103</v>
      </c>
      <c r="E619" s="404">
        <v>44525</v>
      </c>
      <c r="F619" s="404">
        <v>46351</v>
      </c>
      <c r="G619" s="286" t="s">
        <v>1063</v>
      </c>
      <c r="H619" s="282" t="s">
        <v>1064</v>
      </c>
      <c r="I619" s="282" t="s">
        <v>590</v>
      </c>
      <c r="J619" s="282" t="s">
        <v>156</v>
      </c>
      <c r="K619" s="286" t="s">
        <v>1065</v>
      </c>
      <c r="L619" s="282" t="s">
        <v>574</v>
      </c>
      <c r="M619" s="287">
        <v>2400</v>
      </c>
      <c r="N619" s="287">
        <v>0</v>
      </c>
      <c r="O619" s="287">
        <v>0</v>
      </c>
      <c r="P619" s="287"/>
      <c r="Q619" s="288" t="s">
        <v>681</v>
      </c>
      <c r="R619" s="288" t="s">
        <v>681</v>
      </c>
      <c r="S619" s="288" t="s">
        <v>786</v>
      </c>
      <c r="T619" s="288"/>
      <c r="U619" s="288">
        <v>0</v>
      </c>
      <c r="V619" s="289">
        <v>264.17</v>
      </c>
      <c r="W619" s="289">
        <v>0</v>
      </c>
      <c r="X619" s="288">
        <v>0.11</v>
      </c>
      <c r="Y619" s="288">
        <v>0.11</v>
      </c>
      <c r="Z619" s="288">
        <v>7.0833333333333338E-5</v>
      </c>
      <c r="AA619" s="288">
        <v>0</v>
      </c>
      <c r="AB619" s="288">
        <v>0</v>
      </c>
      <c r="AC619" s="289">
        <v>0.11007083333333334</v>
      </c>
      <c r="AD619" s="289">
        <v>0</v>
      </c>
    </row>
    <row r="620" spans="1:30" ht="15" customHeight="1" x14ac:dyDescent="0.25">
      <c r="A620" s="282" t="s">
        <v>581</v>
      </c>
      <c r="B620" s="282" t="s">
        <v>585</v>
      </c>
      <c r="C620" s="282" t="s">
        <v>586</v>
      </c>
      <c r="D620" s="286" t="s">
        <v>1104</v>
      </c>
      <c r="E620" s="404">
        <v>45038</v>
      </c>
      <c r="F620" s="404">
        <v>46865</v>
      </c>
      <c r="G620" s="290" t="s">
        <v>283</v>
      </c>
      <c r="H620" s="282" t="s">
        <v>881</v>
      </c>
      <c r="I620" s="282" t="s">
        <v>590</v>
      </c>
      <c r="J620" s="282" t="s">
        <v>156</v>
      </c>
      <c r="K620" s="286" t="s">
        <v>882</v>
      </c>
      <c r="L620" s="282" t="s">
        <v>574</v>
      </c>
      <c r="M620" s="287">
        <v>2400</v>
      </c>
      <c r="N620" s="287">
        <v>0</v>
      </c>
      <c r="O620" s="287">
        <v>0</v>
      </c>
      <c r="P620" s="287"/>
      <c r="Q620" s="288" t="s">
        <v>1105</v>
      </c>
      <c r="R620" s="288" t="s">
        <v>1105</v>
      </c>
      <c r="S620" s="288" t="s">
        <v>832</v>
      </c>
      <c r="T620" s="288"/>
      <c r="U620" s="288">
        <v>0</v>
      </c>
      <c r="V620" s="289">
        <v>311.2</v>
      </c>
      <c r="W620" s="289">
        <v>0</v>
      </c>
      <c r="X620" s="288">
        <v>0.12958333333333333</v>
      </c>
      <c r="Y620" s="288">
        <v>0.12958333333333333</v>
      </c>
      <c r="Z620" s="288">
        <v>8.3333333333333344E-5</v>
      </c>
      <c r="AA620" s="288">
        <v>0</v>
      </c>
      <c r="AB620" s="288">
        <v>0</v>
      </c>
      <c r="AC620" s="289">
        <v>0.12966666666666665</v>
      </c>
      <c r="AD620" s="289">
        <v>0</v>
      </c>
    </row>
    <row r="621" spans="1:30" ht="15" customHeight="1" x14ac:dyDescent="0.25">
      <c r="A621" s="282" t="s">
        <v>581</v>
      </c>
      <c r="B621" s="282" t="s">
        <v>585</v>
      </c>
      <c r="C621" s="282" t="s">
        <v>586</v>
      </c>
      <c r="D621" s="286" t="s">
        <v>1106</v>
      </c>
      <c r="E621" s="404">
        <v>45038</v>
      </c>
      <c r="F621" s="404">
        <v>46865</v>
      </c>
      <c r="G621" s="290" t="s">
        <v>283</v>
      </c>
      <c r="H621" s="282" t="s">
        <v>881</v>
      </c>
      <c r="I621" s="282" t="s">
        <v>590</v>
      </c>
      <c r="J621" s="282" t="s">
        <v>156</v>
      </c>
      <c r="K621" s="286" t="s">
        <v>882</v>
      </c>
      <c r="L621" s="282" t="s">
        <v>574</v>
      </c>
      <c r="M621" s="287">
        <v>2400</v>
      </c>
      <c r="N621" s="287">
        <v>0</v>
      </c>
      <c r="O621" s="287">
        <v>0</v>
      </c>
      <c r="P621" s="287"/>
      <c r="Q621" s="288" t="s">
        <v>1105</v>
      </c>
      <c r="R621" s="288" t="s">
        <v>1105</v>
      </c>
      <c r="S621" s="288" t="s">
        <v>832</v>
      </c>
      <c r="T621" s="288"/>
      <c r="U621" s="288">
        <v>0</v>
      </c>
      <c r="V621" s="289">
        <v>311.2</v>
      </c>
      <c r="W621" s="289">
        <v>0</v>
      </c>
      <c r="X621" s="288">
        <v>0.12958333333333333</v>
      </c>
      <c r="Y621" s="288">
        <v>0.12958333333333333</v>
      </c>
      <c r="Z621" s="288">
        <v>8.3333333333333344E-5</v>
      </c>
      <c r="AA621" s="288">
        <v>0</v>
      </c>
      <c r="AB621" s="288">
        <v>0</v>
      </c>
      <c r="AC621" s="289">
        <v>0.12966666666666665</v>
      </c>
      <c r="AD621" s="289">
        <v>0</v>
      </c>
    </row>
    <row r="622" spans="1:30" ht="15" customHeight="1" x14ac:dyDescent="0.25">
      <c r="A622" s="282" t="s">
        <v>581</v>
      </c>
      <c r="B622" s="282" t="s">
        <v>585</v>
      </c>
      <c r="C622" s="282" t="s">
        <v>586</v>
      </c>
      <c r="D622" s="286" t="s">
        <v>1107</v>
      </c>
      <c r="E622" s="404">
        <v>45038</v>
      </c>
      <c r="F622" s="404">
        <v>46865</v>
      </c>
      <c r="G622" s="290" t="s">
        <v>283</v>
      </c>
      <c r="H622" s="282" t="s">
        <v>881</v>
      </c>
      <c r="I622" s="282" t="s">
        <v>590</v>
      </c>
      <c r="J622" s="282" t="s">
        <v>156</v>
      </c>
      <c r="K622" s="286" t="s">
        <v>882</v>
      </c>
      <c r="L622" s="282" t="s">
        <v>574</v>
      </c>
      <c r="M622" s="287">
        <v>2400</v>
      </c>
      <c r="N622" s="287">
        <v>0</v>
      </c>
      <c r="O622" s="287">
        <v>0</v>
      </c>
      <c r="P622" s="287"/>
      <c r="Q622" s="288" t="s">
        <v>1105</v>
      </c>
      <c r="R622" s="288" t="s">
        <v>1105</v>
      </c>
      <c r="S622" s="288" t="s">
        <v>832</v>
      </c>
      <c r="T622" s="288"/>
      <c r="U622" s="288">
        <v>0</v>
      </c>
      <c r="V622" s="289">
        <v>311.2</v>
      </c>
      <c r="W622" s="289">
        <v>0</v>
      </c>
      <c r="X622" s="288">
        <v>0.12958333333333333</v>
      </c>
      <c r="Y622" s="288">
        <v>0.12958333333333333</v>
      </c>
      <c r="Z622" s="288">
        <v>8.3333333333333344E-5</v>
      </c>
      <c r="AA622" s="288">
        <v>0</v>
      </c>
      <c r="AB622" s="288">
        <v>0</v>
      </c>
      <c r="AC622" s="289">
        <v>0.12966666666666665</v>
      </c>
      <c r="AD622" s="289">
        <v>0</v>
      </c>
    </row>
    <row r="623" spans="1:30" ht="15" customHeight="1" x14ac:dyDescent="0.25">
      <c r="A623" s="282" t="s">
        <v>581</v>
      </c>
      <c r="B623" s="282" t="s">
        <v>585</v>
      </c>
      <c r="C623" s="282" t="s">
        <v>586</v>
      </c>
      <c r="D623" s="286" t="s">
        <v>1108</v>
      </c>
      <c r="E623" s="404">
        <v>45038</v>
      </c>
      <c r="F623" s="404">
        <v>46865</v>
      </c>
      <c r="G623" s="290" t="s">
        <v>283</v>
      </c>
      <c r="H623" s="282" t="s">
        <v>881</v>
      </c>
      <c r="I623" s="282" t="s">
        <v>590</v>
      </c>
      <c r="J623" s="282" t="s">
        <v>156</v>
      </c>
      <c r="K623" s="286" t="s">
        <v>882</v>
      </c>
      <c r="L623" s="282" t="s">
        <v>574</v>
      </c>
      <c r="M623" s="287">
        <v>2400</v>
      </c>
      <c r="N623" s="287">
        <v>0</v>
      </c>
      <c r="O623" s="287">
        <v>0</v>
      </c>
      <c r="P623" s="287"/>
      <c r="Q623" s="288" t="s">
        <v>1105</v>
      </c>
      <c r="R623" s="288" t="s">
        <v>1105</v>
      </c>
      <c r="S623" s="288" t="s">
        <v>832</v>
      </c>
      <c r="T623" s="288"/>
      <c r="U623" s="288">
        <v>0</v>
      </c>
      <c r="V623" s="289">
        <v>311.2</v>
      </c>
      <c r="W623" s="289">
        <v>0</v>
      </c>
      <c r="X623" s="288">
        <v>0.12958333333333333</v>
      </c>
      <c r="Y623" s="288">
        <v>0.12958333333333333</v>
      </c>
      <c r="Z623" s="288">
        <v>8.3333333333333344E-5</v>
      </c>
      <c r="AA623" s="288">
        <v>0</v>
      </c>
      <c r="AB623" s="288">
        <v>0</v>
      </c>
      <c r="AC623" s="289">
        <v>0.12966666666666665</v>
      </c>
      <c r="AD623" s="289">
        <v>0</v>
      </c>
    </row>
    <row r="624" spans="1:30" ht="15" customHeight="1" x14ac:dyDescent="0.25">
      <c r="A624" s="282" t="s">
        <v>581</v>
      </c>
      <c r="B624" s="282" t="s">
        <v>594</v>
      </c>
      <c r="C624" s="282" t="s">
        <v>595</v>
      </c>
      <c r="D624" s="283" t="s">
        <v>1109</v>
      </c>
      <c r="E624" s="404">
        <v>45016</v>
      </c>
      <c r="F624" s="404">
        <v>46843</v>
      </c>
      <c r="G624" s="286" t="s">
        <v>286</v>
      </c>
      <c r="H624" s="282" t="s">
        <v>782</v>
      </c>
      <c r="I624" s="282" t="s">
        <v>590</v>
      </c>
      <c r="J624" s="282" t="s">
        <v>156</v>
      </c>
      <c r="K624" s="286" t="s">
        <v>783</v>
      </c>
      <c r="L624" s="282" t="s">
        <v>574</v>
      </c>
      <c r="M624" s="287">
        <v>2400</v>
      </c>
      <c r="N624" s="287">
        <v>0</v>
      </c>
      <c r="O624" s="287">
        <v>0</v>
      </c>
      <c r="P624" s="287"/>
      <c r="Q624" s="288">
        <v>218</v>
      </c>
      <c r="R624" s="288">
        <v>218</v>
      </c>
      <c r="S624" s="288">
        <v>0.14000000000000001</v>
      </c>
      <c r="T624" s="288"/>
      <c r="U624" s="288">
        <v>0</v>
      </c>
      <c r="V624" s="289">
        <v>218.14</v>
      </c>
      <c r="W624" s="289">
        <v>0</v>
      </c>
      <c r="X624" s="288">
        <v>9.0833333333333335E-2</v>
      </c>
      <c r="Y624" s="288">
        <v>9.0833333333333335E-2</v>
      </c>
      <c r="Z624" s="288">
        <v>5.833333333333334E-5</v>
      </c>
      <c r="AA624" s="288">
        <v>0</v>
      </c>
      <c r="AB624" s="288">
        <v>0</v>
      </c>
      <c r="AC624" s="289">
        <v>9.0891666666666662E-2</v>
      </c>
      <c r="AD624" s="289">
        <v>0</v>
      </c>
    </row>
    <row r="625" spans="1:30" ht="15" customHeight="1" x14ac:dyDescent="0.25">
      <c r="A625" s="282" t="s">
        <v>581</v>
      </c>
      <c r="B625" s="282" t="s">
        <v>611</v>
      </c>
      <c r="C625" s="282" t="s">
        <v>612</v>
      </c>
      <c r="D625" s="286" t="s">
        <v>1110</v>
      </c>
      <c r="E625" s="404">
        <v>44525</v>
      </c>
      <c r="F625" s="404">
        <v>46351</v>
      </c>
      <c r="G625" s="286" t="s">
        <v>1063</v>
      </c>
      <c r="H625" s="282" t="s">
        <v>1064</v>
      </c>
      <c r="I625" s="282" t="s">
        <v>590</v>
      </c>
      <c r="J625" s="282" t="s">
        <v>156</v>
      </c>
      <c r="K625" s="286" t="s">
        <v>1065</v>
      </c>
      <c r="L625" s="282" t="s">
        <v>574</v>
      </c>
      <c r="M625" s="287">
        <v>2400</v>
      </c>
      <c r="N625" s="287">
        <v>0</v>
      </c>
      <c r="O625" s="287">
        <v>0</v>
      </c>
      <c r="P625" s="287"/>
      <c r="Q625" s="288" t="s">
        <v>942</v>
      </c>
      <c r="R625" s="288" t="s">
        <v>942</v>
      </c>
      <c r="S625" s="288" t="s">
        <v>795</v>
      </c>
      <c r="T625" s="288"/>
      <c r="U625" s="288">
        <v>0</v>
      </c>
      <c r="V625" s="289">
        <v>234.15</v>
      </c>
      <c r="W625" s="289">
        <v>0</v>
      </c>
      <c r="X625" s="288">
        <v>9.7500000000000003E-2</v>
      </c>
      <c r="Y625" s="288">
        <v>9.7500000000000003E-2</v>
      </c>
      <c r="Z625" s="288">
        <v>6.2500000000000001E-5</v>
      </c>
      <c r="AA625" s="288">
        <v>0</v>
      </c>
      <c r="AB625" s="288">
        <v>0</v>
      </c>
      <c r="AC625" s="289">
        <v>9.7562499999999996E-2</v>
      </c>
      <c r="AD625" s="289">
        <v>0</v>
      </c>
    </row>
    <row r="626" spans="1:30" ht="15" customHeight="1" x14ac:dyDescent="0.25">
      <c r="A626" s="282" t="s">
        <v>581</v>
      </c>
      <c r="B626" s="282" t="s">
        <v>585</v>
      </c>
      <c r="C626" s="282" t="s">
        <v>586</v>
      </c>
      <c r="D626" s="286" t="s">
        <v>1111</v>
      </c>
      <c r="E626" s="404">
        <v>45038</v>
      </c>
      <c r="F626" s="404">
        <v>46865</v>
      </c>
      <c r="G626" s="290" t="s">
        <v>283</v>
      </c>
      <c r="H626" s="282" t="s">
        <v>881</v>
      </c>
      <c r="I626" s="282" t="s">
        <v>590</v>
      </c>
      <c r="J626" s="282" t="s">
        <v>156</v>
      </c>
      <c r="K626" s="286" t="s">
        <v>882</v>
      </c>
      <c r="L626" s="282" t="s">
        <v>574</v>
      </c>
      <c r="M626" s="287">
        <v>2400</v>
      </c>
      <c r="N626" s="287">
        <v>0</v>
      </c>
      <c r="O626" s="287">
        <v>0</v>
      </c>
      <c r="P626" s="287"/>
      <c r="Q626" s="288" t="s">
        <v>716</v>
      </c>
      <c r="R626" s="288" t="s">
        <v>716</v>
      </c>
      <c r="S626" s="288" t="s">
        <v>832</v>
      </c>
      <c r="T626" s="288"/>
      <c r="U626" s="288">
        <v>0</v>
      </c>
      <c r="V626" s="289">
        <v>312.2</v>
      </c>
      <c r="W626" s="289">
        <v>0</v>
      </c>
      <c r="X626" s="288">
        <v>0.13</v>
      </c>
      <c r="Y626" s="288">
        <v>0.13</v>
      </c>
      <c r="Z626" s="288">
        <v>8.3333333333333344E-5</v>
      </c>
      <c r="AA626" s="288">
        <v>0</v>
      </c>
      <c r="AB626" s="288">
        <v>0</v>
      </c>
      <c r="AC626" s="289">
        <v>0.13008333333333333</v>
      </c>
      <c r="AD626" s="289">
        <v>0</v>
      </c>
    </row>
    <row r="627" spans="1:30" ht="15" customHeight="1" x14ac:dyDescent="0.25">
      <c r="A627" s="282" t="s">
        <v>581</v>
      </c>
      <c r="B627" s="282" t="s">
        <v>585</v>
      </c>
      <c r="C627" s="282" t="s">
        <v>586</v>
      </c>
      <c r="D627" s="286" t="s">
        <v>1112</v>
      </c>
      <c r="E627" s="404">
        <v>45038</v>
      </c>
      <c r="F627" s="404">
        <v>46865</v>
      </c>
      <c r="G627" s="290" t="s">
        <v>283</v>
      </c>
      <c r="H627" s="282" t="s">
        <v>881</v>
      </c>
      <c r="I627" s="282" t="s">
        <v>590</v>
      </c>
      <c r="J627" s="282" t="s">
        <v>156</v>
      </c>
      <c r="K627" s="286" t="s">
        <v>882</v>
      </c>
      <c r="L627" s="282" t="s">
        <v>574</v>
      </c>
      <c r="M627" s="287">
        <v>2400</v>
      </c>
      <c r="N627" s="287">
        <v>0</v>
      </c>
      <c r="O627" s="287">
        <v>0</v>
      </c>
      <c r="P627" s="287"/>
      <c r="Q627" s="288" t="s">
        <v>716</v>
      </c>
      <c r="R627" s="288" t="s">
        <v>716</v>
      </c>
      <c r="S627" s="288" t="s">
        <v>832</v>
      </c>
      <c r="T627" s="288"/>
      <c r="U627" s="288">
        <v>0</v>
      </c>
      <c r="V627" s="289">
        <v>312.2</v>
      </c>
      <c r="W627" s="289">
        <v>0</v>
      </c>
      <c r="X627" s="288">
        <v>0.13</v>
      </c>
      <c r="Y627" s="288">
        <v>0.13</v>
      </c>
      <c r="Z627" s="288">
        <v>8.3333333333333344E-5</v>
      </c>
      <c r="AA627" s="288">
        <v>0</v>
      </c>
      <c r="AB627" s="288">
        <v>0</v>
      </c>
      <c r="AC627" s="289">
        <v>0.13008333333333333</v>
      </c>
      <c r="AD627" s="289">
        <v>0</v>
      </c>
    </row>
    <row r="628" spans="1:30" ht="15" customHeight="1" x14ac:dyDescent="0.25">
      <c r="A628" s="282" t="s">
        <v>581</v>
      </c>
      <c r="B628" s="282" t="s">
        <v>585</v>
      </c>
      <c r="C628" s="282" t="s">
        <v>586</v>
      </c>
      <c r="D628" s="286" t="s">
        <v>1113</v>
      </c>
      <c r="E628" s="404">
        <v>45038</v>
      </c>
      <c r="F628" s="404">
        <v>46865</v>
      </c>
      <c r="G628" s="290" t="s">
        <v>283</v>
      </c>
      <c r="H628" s="282" t="s">
        <v>881</v>
      </c>
      <c r="I628" s="282" t="s">
        <v>590</v>
      </c>
      <c r="J628" s="282" t="s">
        <v>156</v>
      </c>
      <c r="K628" s="286" t="s">
        <v>882</v>
      </c>
      <c r="L628" s="282" t="s">
        <v>574</v>
      </c>
      <c r="M628" s="287">
        <v>2400</v>
      </c>
      <c r="N628" s="287">
        <v>0</v>
      </c>
      <c r="O628" s="287">
        <v>0</v>
      </c>
      <c r="P628" s="287"/>
      <c r="Q628" s="288" t="s">
        <v>716</v>
      </c>
      <c r="R628" s="288" t="s">
        <v>716</v>
      </c>
      <c r="S628" s="288" t="s">
        <v>832</v>
      </c>
      <c r="T628" s="288"/>
      <c r="U628" s="288">
        <v>0</v>
      </c>
      <c r="V628" s="289">
        <v>312.2</v>
      </c>
      <c r="W628" s="289">
        <v>0</v>
      </c>
      <c r="X628" s="288">
        <v>0.13</v>
      </c>
      <c r="Y628" s="288">
        <v>0.13</v>
      </c>
      <c r="Z628" s="288">
        <v>8.3333333333333344E-5</v>
      </c>
      <c r="AA628" s="288">
        <v>0</v>
      </c>
      <c r="AB628" s="288">
        <v>0</v>
      </c>
      <c r="AC628" s="289">
        <v>0.13008333333333333</v>
      </c>
      <c r="AD628" s="289">
        <v>0</v>
      </c>
    </row>
    <row r="629" spans="1:30" ht="15" customHeight="1" x14ac:dyDescent="0.25">
      <c r="A629" s="282" t="s">
        <v>581</v>
      </c>
      <c r="B629" s="282" t="s">
        <v>585</v>
      </c>
      <c r="C629" s="282" t="s">
        <v>586</v>
      </c>
      <c r="D629" s="286" t="s">
        <v>1114</v>
      </c>
      <c r="E629" s="404">
        <v>45038</v>
      </c>
      <c r="F629" s="404">
        <v>46865</v>
      </c>
      <c r="G629" s="290" t="s">
        <v>283</v>
      </c>
      <c r="H629" s="282" t="s">
        <v>881</v>
      </c>
      <c r="I629" s="282" t="s">
        <v>590</v>
      </c>
      <c r="J629" s="282" t="s">
        <v>156</v>
      </c>
      <c r="K629" s="286" t="s">
        <v>882</v>
      </c>
      <c r="L629" s="282" t="s">
        <v>574</v>
      </c>
      <c r="M629" s="287">
        <v>2400</v>
      </c>
      <c r="N629" s="287">
        <v>0</v>
      </c>
      <c r="O629" s="287">
        <v>0</v>
      </c>
      <c r="P629" s="287"/>
      <c r="Q629" s="288" t="s">
        <v>716</v>
      </c>
      <c r="R629" s="288" t="s">
        <v>716</v>
      </c>
      <c r="S629" s="288" t="s">
        <v>832</v>
      </c>
      <c r="T629" s="288"/>
      <c r="U629" s="288">
        <v>0</v>
      </c>
      <c r="V629" s="289">
        <v>312.2</v>
      </c>
      <c r="W629" s="289">
        <v>0</v>
      </c>
      <c r="X629" s="288">
        <v>0.13</v>
      </c>
      <c r="Y629" s="288">
        <v>0.13</v>
      </c>
      <c r="Z629" s="288">
        <v>8.3333333333333344E-5</v>
      </c>
      <c r="AA629" s="288">
        <v>0</v>
      </c>
      <c r="AB629" s="288">
        <v>0</v>
      </c>
      <c r="AC629" s="289">
        <v>0.13008333333333333</v>
      </c>
      <c r="AD629" s="289">
        <v>0</v>
      </c>
    </row>
    <row r="630" spans="1:30" ht="15" customHeight="1" x14ac:dyDescent="0.25">
      <c r="A630" s="282" t="s">
        <v>581</v>
      </c>
      <c r="B630" s="282" t="s">
        <v>585</v>
      </c>
      <c r="C630" s="282" t="s">
        <v>586</v>
      </c>
      <c r="D630" s="286" t="s">
        <v>1115</v>
      </c>
      <c r="E630" s="404">
        <v>45038</v>
      </c>
      <c r="F630" s="404">
        <v>46865</v>
      </c>
      <c r="G630" s="290" t="s">
        <v>283</v>
      </c>
      <c r="H630" s="282" t="s">
        <v>881</v>
      </c>
      <c r="I630" s="282" t="s">
        <v>590</v>
      </c>
      <c r="J630" s="282" t="s">
        <v>156</v>
      </c>
      <c r="K630" s="286" t="s">
        <v>882</v>
      </c>
      <c r="L630" s="282" t="s">
        <v>574</v>
      </c>
      <c r="M630" s="287">
        <v>2400</v>
      </c>
      <c r="N630" s="287">
        <v>0</v>
      </c>
      <c r="O630" s="287">
        <v>0</v>
      </c>
      <c r="P630" s="287"/>
      <c r="Q630" s="288" t="s">
        <v>716</v>
      </c>
      <c r="R630" s="288" t="s">
        <v>716</v>
      </c>
      <c r="S630" s="288" t="s">
        <v>832</v>
      </c>
      <c r="T630" s="288"/>
      <c r="U630" s="288">
        <v>0</v>
      </c>
      <c r="V630" s="289">
        <v>312.2</v>
      </c>
      <c r="W630" s="289">
        <v>0</v>
      </c>
      <c r="X630" s="288">
        <v>0.13</v>
      </c>
      <c r="Y630" s="288">
        <v>0.13</v>
      </c>
      <c r="Z630" s="288">
        <v>8.3333333333333344E-5</v>
      </c>
      <c r="AA630" s="288">
        <v>0</v>
      </c>
      <c r="AB630" s="288">
        <v>0</v>
      </c>
      <c r="AC630" s="289">
        <v>0.13008333333333333</v>
      </c>
      <c r="AD630" s="289">
        <v>0</v>
      </c>
    </row>
    <row r="631" spans="1:30" ht="15" customHeight="1" x14ac:dyDescent="0.25">
      <c r="A631" s="282" t="s">
        <v>581</v>
      </c>
      <c r="B631" s="282" t="s">
        <v>585</v>
      </c>
      <c r="C631" s="282" t="s">
        <v>586</v>
      </c>
      <c r="D631" s="286" t="s">
        <v>1116</v>
      </c>
      <c r="E631" s="404">
        <v>45038</v>
      </c>
      <c r="F631" s="404">
        <v>46865</v>
      </c>
      <c r="G631" s="290" t="s">
        <v>283</v>
      </c>
      <c r="H631" s="282" t="s">
        <v>881</v>
      </c>
      <c r="I631" s="282" t="s">
        <v>590</v>
      </c>
      <c r="J631" s="282" t="s">
        <v>156</v>
      </c>
      <c r="K631" s="286" t="s">
        <v>882</v>
      </c>
      <c r="L631" s="282" t="s">
        <v>574</v>
      </c>
      <c r="M631" s="287">
        <v>2400</v>
      </c>
      <c r="N631" s="287">
        <v>0</v>
      </c>
      <c r="O631" s="287">
        <v>0</v>
      </c>
      <c r="P631" s="287"/>
      <c r="Q631" s="288" t="s">
        <v>716</v>
      </c>
      <c r="R631" s="288" t="s">
        <v>716</v>
      </c>
      <c r="S631" s="288" t="s">
        <v>832</v>
      </c>
      <c r="T631" s="288"/>
      <c r="U631" s="288">
        <v>0</v>
      </c>
      <c r="V631" s="289">
        <v>312.2</v>
      </c>
      <c r="W631" s="289">
        <v>0</v>
      </c>
      <c r="X631" s="288">
        <v>0.13</v>
      </c>
      <c r="Y631" s="288">
        <v>0.13</v>
      </c>
      <c r="Z631" s="288">
        <v>8.3333333333333344E-5</v>
      </c>
      <c r="AA631" s="288">
        <v>0</v>
      </c>
      <c r="AB631" s="288">
        <v>0</v>
      </c>
      <c r="AC631" s="289">
        <v>0.13008333333333333</v>
      </c>
      <c r="AD631" s="289">
        <v>0</v>
      </c>
    </row>
    <row r="632" spans="1:30" ht="15" customHeight="1" x14ac:dyDescent="0.25">
      <c r="A632" s="282" t="s">
        <v>581</v>
      </c>
      <c r="B632" s="282" t="s">
        <v>594</v>
      </c>
      <c r="C632" s="282" t="s">
        <v>595</v>
      </c>
      <c r="D632" s="286" t="s">
        <v>1117</v>
      </c>
      <c r="E632" s="404">
        <v>44525</v>
      </c>
      <c r="F632" s="404">
        <v>46351</v>
      </c>
      <c r="G632" s="286" t="s">
        <v>1063</v>
      </c>
      <c r="H632" s="282" t="s">
        <v>1064</v>
      </c>
      <c r="I632" s="282" t="s">
        <v>590</v>
      </c>
      <c r="J632" s="282" t="s">
        <v>156</v>
      </c>
      <c r="K632" s="286" t="s">
        <v>1065</v>
      </c>
      <c r="L632" s="282" t="s">
        <v>574</v>
      </c>
      <c r="M632" s="287">
        <v>2400</v>
      </c>
      <c r="N632" s="287">
        <v>0</v>
      </c>
      <c r="O632" s="287">
        <v>0</v>
      </c>
      <c r="P632" s="287"/>
      <c r="Q632" s="288" t="s">
        <v>983</v>
      </c>
      <c r="R632" s="288" t="s">
        <v>983</v>
      </c>
      <c r="S632" s="288" t="s">
        <v>894</v>
      </c>
      <c r="T632" s="288"/>
      <c r="U632" s="288">
        <v>0</v>
      </c>
      <c r="V632" s="289">
        <v>188.12</v>
      </c>
      <c r="W632" s="289">
        <v>0</v>
      </c>
      <c r="X632" s="288">
        <v>7.8333333333333338E-2</v>
      </c>
      <c r="Y632" s="288">
        <v>7.8333333333333338E-2</v>
      </c>
      <c r="Z632" s="288">
        <v>4.9999999999999996E-5</v>
      </c>
      <c r="AA632" s="288">
        <v>0</v>
      </c>
      <c r="AB632" s="288">
        <v>0</v>
      </c>
      <c r="AC632" s="289">
        <v>7.8383333333333333E-2</v>
      </c>
      <c r="AD632" s="289">
        <v>0</v>
      </c>
    </row>
    <row r="633" spans="1:30" ht="15" customHeight="1" x14ac:dyDescent="0.25">
      <c r="A633" s="282" t="s">
        <v>581</v>
      </c>
      <c r="B633" s="282" t="s">
        <v>611</v>
      </c>
      <c r="C633" s="282" t="s">
        <v>612</v>
      </c>
      <c r="D633" s="286" t="s">
        <v>1118</v>
      </c>
      <c r="E633" s="404">
        <v>44525</v>
      </c>
      <c r="F633" s="404">
        <v>46351</v>
      </c>
      <c r="G633" s="286" t="s">
        <v>1063</v>
      </c>
      <c r="H633" s="282" t="s">
        <v>1064</v>
      </c>
      <c r="I633" s="282" t="s">
        <v>590</v>
      </c>
      <c r="J633" s="282" t="s">
        <v>156</v>
      </c>
      <c r="K633" s="286" t="s">
        <v>1065</v>
      </c>
      <c r="L633" s="282" t="s">
        <v>574</v>
      </c>
      <c r="M633" s="287">
        <v>2400</v>
      </c>
      <c r="N633" s="287">
        <v>0</v>
      </c>
      <c r="O633" s="287">
        <v>0</v>
      </c>
      <c r="P633" s="287"/>
      <c r="Q633" s="288" t="s">
        <v>948</v>
      </c>
      <c r="R633" s="288" t="s">
        <v>948</v>
      </c>
      <c r="S633" s="288" t="s">
        <v>795</v>
      </c>
      <c r="T633" s="288"/>
      <c r="U633" s="288">
        <v>0</v>
      </c>
      <c r="V633" s="289">
        <v>235.15</v>
      </c>
      <c r="W633" s="289">
        <v>0</v>
      </c>
      <c r="X633" s="288">
        <v>9.7916666666666666E-2</v>
      </c>
      <c r="Y633" s="288">
        <v>9.7916666666666666E-2</v>
      </c>
      <c r="Z633" s="288">
        <v>6.2500000000000001E-5</v>
      </c>
      <c r="AA633" s="288">
        <v>0</v>
      </c>
      <c r="AB633" s="288">
        <v>0</v>
      </c>
      <c r="AC633" s="289">
        <v>9.7979166666666659E-2</v>
      </c>
      <c r="AD633" s="289">
        <v>0</v>
      </c>
    </row>
    <row r="634" spans="1:30" ht="15" customHeight="1" x14ac:dyDescent="0.25">
      <c r="A634" s="282" t="s">
        <v>581</v>
      </c>
      <c r="B634" s="282" t="s">
        <v>611</v>
      </c>
      <c r="C634" s="282" t="s">
        <v>612</v>
      </c>
      <c r="D634" s="286" t="s">
        <v>1119</v>
      </c>
      <c r="E634" s="404">
        <v>44525</v>
      </c>
      <c r="F634" s="404">
        <v>46351</v>
      </c>
      <c r="G634" s="286" t="s">
        <v>1063</v>
      </c>
      <c r="H634" s="282" t="s">
        <v>1064</v>
      </c>
      <c r="I634" s="282" t="s">
        <v>590</v>
      </c>
      <c r="J634" s="282" t="s">
        <v>156</v>
      </c>
      <c r="K634" s="286" t="s">
        <v>1065</v>
      </c>
      <c r="L634" s="282" t="s">
        <v>574</v>
      </c>
      <c r="M634" s="287">
        <v>2400</v>
      </c>
      <c r="N634" s="287">
        <v>0</v>
      </c>
      <c r="O634" s="287">
        <v>0</v>
      </c>
      <c r="P634" s="287"/>
      <c r="Q634" s="288" t="s">
        <v>948</v>
      </c>
      <c r="R634" s="288" t="s">
        <v>948</v>
      </c>
      <c r="S634" s="288" t="s">
        <v>795</v>
      </c>
      <c r="T634" s="288"/>
      <c r="U634" s="288">
        <v>0</v>
      </c>
      <c r="V634" s="289">
        <v>235.15</v>
      </c>
      <c r="W634" s="289">
        <v>0</v>
      </c>
      <c r="X634" s="288">
        <v>9.7916666666666666E-2</v>
      </c>
      <c r="Y634" s="288">
        <v>9.7916666666666666E-2</v>
      </c>
      <c r="Z634" s="288">
        <v>6.2500000000000001E-5</v>
      </c>
      <c r="AA634" s="288">
        <v>0</v>
      </c>
      <c r="AB634" s="288">
        <v>0</v>
      </c>
      <c r="AC634" s="289">
        <v>9.7979166666666659E-2</v>
      </c>
      <c r="AD634" s="289">
        <v>0</v>
      </c>
    </row>
    <row r="635" spans="1:30" ht="15" customHeight="1" x14ac:dyDescent="0.25">
      <c r="A635" s="282" t="s">
        <v>581</v>
      </c>
      <c r="B635" s="282" t="s">
        <v>594</v>
      </c>
      <c r="C635" s="282" t="s">
        <v>595</v>
      </c>
      <c r="D635" s="283" t="s">
        <v>1120</v>
      </c>
      <c r="E635" s="404">
        <v>45016</v>
      </c>
      <c r="F635" s="404">
        <v>46843</v>
      </c>
      <c r="G635" s="286" t="s">
        <v>854</v>
      </c>
      <c r="H635" s="282" t="s">
        <v>855</v>
      </c>
      <c r="I635" s="282" t="s">
        <v>590</v>
      </c>
      <c r="J635" s="282" t="s">
        <v>156</v>
      </c>
      <c r="K635" s="286" t="s">
        <v>856</v>
      </c>
      <c r="L635" s="282" t="s">
        <v>574</v>
      </c>
      <c r="M635" s="287">
        <v>2400</v>
      </c>
      <c r="N635" s="287">
        <v>0</v>
      </c>
      <c r="O635" s="287">
        <v>0</v>
      </c>
      <c r="P635" s="287"/>
      <c r="Q635" s="288">
        <v>296</v>
      </c>
      <c r="R635" s="288">
        <v>296</v>
      </c>
      <c r="S635" s="288">
        <v>0.188</v>
      </c>
      <c r="T635" s="288"/>
      <c r="U635" s="288">
        <v>0</v>
      </c>
      <c r="V635" s="289">
        <v>296.18799999999999</v>
      </c>
      <c r="W635" s="289">
        <v>0</v>
      </c>
      <c r="X635" s="288">
        <v>0.12333333333333334</v>
      </c>
      <c r="Y635" s="288">
        <v>0.12333333333333334</v>
      </c>
      <c r="Z635" s="288">
        <v>7.8333333333333331E-5</v>
      </c>
      <c r="AA635" s="288">
        <v>0</v>
      </c>
      <c r="AB635" s="288">
        <v>0</v>
      </c>
      <c r="AC635" s="289">
        <v>0.12341166666666667</v>
      </c>
      <c r="AD635" s="289">
        <v>0</v>
      </c>
    </row>
    <row r="636" spans="1:30" ht="15" customHeight="1" x14ac:dyDescent="0.25">
      <c r="A636" s="282" t="s">
        <v>581</v>
      </c>
      <c r="B636" s="282" t="s">
        <v>616</v>
      </c>
      <c r="C636" s="282" t="s">
        <v>617</v>
      </c>
      <c r="D636" s="286" t="s">
        <v>1121</v>
      </c>
      <c r="E636" s="404">
        <v>45038</v>
      </c>
      <c r="F636" s="404">
        <v>46865</v>
      </c>
      <c r="G636" s="290" t="s">
        <v>283</v>
      </c>
      <c r="H636" s="282" t="s">
        <v>881</v>
      </c>
      <c r="I636" s="282" t="s">
        <v>590</v>
      </c>
      <c r="J636" s="282" t="s">
        <v>156</v>
      </c>
      <c r="K636" s="286" t="s">
        <v>882</v>
      </c>
      <c r="L636" s="282" t="s">
        <v>574</v>
      </c>
      <c r="M636" s="287">
        <v>2400</v>
      </c>
      <c r="N636" s="287">
        <v>0</v>
      </c>
      <c r="O636" s="287">
        <v>0</v>
      </c>
      <c r="P636" s="287"/>
      <c r="Q636" s="288" t="s">
        <v>1122</v>
      </c>
      <c r="R636" s="288" t="s">
        <v>1122</v>
      </c>
      <c r="S636" s="288" t="s">
        <v>694</v>
      </c>
      <c r="T636" s="288"/>
      <c r="U636" s="288">
        <v>0</v>
      </c>
      <c r="V636" s="289">
        <v>363.23</v>
      </c>
      <c r="W636" s="289">
        <v>0</v>
      </c>
      <c r="X636" s="288">
        <v>0.15125</v>
      </c>
      <c r="Y636" s="288">
        <v>0.15125</v>
      </c>
      <c r="Z636" s="288">
        <v>9.5833333333333336E-5</v>
      </c>
      <c r="AA636" s="288">
        <v>0</v>
      </c>
      <c r="AB636" s="288">
        <v>0</v>
      </c>
      <c r="AC636" s="289">
        <v>0.15134583333333332</v>
      </c>
      <c r="AD636" s="289">
        <v>0</v>
      </c>
    </row>
    <row r="637" spans="1:30" ht="15" customHeight="1" x14ac:dyDescent="0.25">
      <c r="A637" s="282" t="s">
        <v>581</v>
      </c>
      <c r="B637" s="282" t="s">
        <v>611</v>
      </c>
      <c r="C637" s="282" t="s">
        <v>612</v>
      </c>
      <c r="D637" s="283" t="s">
        <v>1123</v>
      </c>
      <c r="E637" s="404">
        <v>45016</v>
      </c>
      <c r="F637" s="404">
        <v>46843</v>
      </c>
      <c r="G637" s="286" t="s">
        <v>854</v>
      </c>
      <c r="H637" s="282" t="s">
        <v>855</v>
      </c>
      <c r="I637" s="282" t="s">
        <v>590</v>
      </c>
      <c r="J637" s="282" t="s">
        <v>156</v>
      </c>
      <c r="K637" s="286" t="s">
        <v>856</v>
      </c>
      <c r="L637" s="282" t="s">
        <v>574</v>
      </c>
      <c r="M637" s="287">
        <v>2400</v>
      </c>
      <c r="N637" s="287">
        <v>0</v>
      </c>
      <c r="O637" s="287">
        <v>0</v>
      </c>
      <c r="P637" s="287"/>
      <c r="Q637" s="288">
        <v>337</v>
      </c>
      <c r="R637" s="288">
        <v>337</v>
      </c>
      <c r="S637" s="288">
        <v>0.21299999999999999</v>
      </c>
      <c r="T637" s="288"/>
      <c r="U637" s="288">
        <v>0</v>
      </c>
      <c r="V637" s="289">
        <v>337.21300000000002</v>
      </c>
      <c r="W637" s="289">
        <v>0</v>
      </c>
      <c r="X637" s="288">
        <v>0.14041666666666666</v>
      </c>
      <c r="Y637" s="288">
        <v>0.14041666666666666</v>
      </c>
      <c r="Z637" s="288">
        <v>8.8750000000000002E-5</v>
      </c>
      <c r="AA637" s="288">
        <v>0</v>
      </c>
      <c r="AB637" s="288">
        <v>0</v>
      </c>
      <c r="AC637" s="289">
        <v>0.14050541666666666</v>
      </c>
      <c r="AD637" s="289">
        <v>0</v>
      </c>
    </row>
    <row r="638" spans="1:30" ht="15" customHeight="1" x14ac:dyDescent="0.25">
      <c r="A638" s="282" t="s">
        <v>581</v>
      </c>
      <c r="B638" s="282" t="s">
        <v>585</v>
      </c>
      <c r="C638" s="282" t="s">
        <v>586</v>
      </c>
      <c r="D638" s="286" t="s">
        <v>1124</v>
      </c>
      <c r="E638" s="404">
        <v>44581</v>
      </c>
      <c r="F638" s="404">
        <v>46407</v>
      </c>
      <c r="G638" s="286" t="s">
        <v>588</v>
      </c>
      <c r="H638" s="282" t="s">
        <v>589</v>
      </c>
      <c r="I638" s="282" t="s">
        <v>590</v>
      </c>
      <c r="J638" s="282" t="s">
        <v>156</v>
      </c>
      <c r="K638" s="286" t="s">
        <v>591</v>
      </c>
      <c r="L638" s="282" t="s">
        <v>574</v>
      </c>
      <c r="M638" s="287">
        <v>2400</v>
      </c>
      <c r="N638" s="287">
        <v>0</v>
      </c>
      <c r="O638" s="287">
        <v>0</v>
      </c>
      <c r="P638" s="287"/>
      <c r="Q638" s="288" t="s">
        <v>901</v>
      </c>
      <c r="R638" s="288" t="s">
        <v>901</v>
      </c>
      <c r="S638" s="288" t="s">
        <v>766</v>
      </c>
      <c r="T638" s="288"/>
      <c r="U638" s="288">
        <v>0</v>
      </c>
      <c r="V638" s="289">
        <v>301.19</v>
      </c>
      <c r="W638" s="289">
        <v>0</v>
      </c>
      <c r="X638" s="288">
        <v>0.12541666666666668</v>
      </c>
      <c r="Y638" s="288">
        <v>0.12541666666666668</v>
      </c>
      <c r="Z638" s="288">
        <v>7.9166666666666662E-5</v>
      </c>
      <c r="AA638" s="288">
        <v>0</v>
      </c>
      <c r="AB638" s="288">
        <v>0</v>
      </c>
      <c r="AC638" s="289">
        <v>0.12549583333333333</v>
      </c>
      <c r="AD638" s="289">
        <v>0</v>
      </c>
    </row>
    <row r="639" spans="1:30" ht="15" customHeight="1" x14ac:dyDescent="0.25">
      <c r="A639" s="282" t="s">
        <v>581</v>
      </c>
      <c r="B639" s="282" t="s">
        <v>585</v>
      </c>
      <c r="C639" s="282" t="s">
        <v>586</v>
      </c>
      <c r="D639" s="286" t="s">
        <v>1125</v>
      </c>
      <c r="E639" s="404">
        <v>44294</v>
      </c>
      <c r="F639" s="404">
        <v>46120</v>
      </c>
      <c r="G639" s="286" t="s">
        <v>799</v>
      </c>
      <c r="H639" s="282" t="s">
        <v>800</v>
      </c>
      <c r="I639" s="282" t="s">
        <v>590</v>
      </c>
      <c r="J639" s="282" t="s">
        <v>156</v>
      </c>
      <c r="K639" s="286" t="s">
        <v>801</v>
      </c>
      <c r="L639" s="282" t="s">
        <v>574</v>
      </c>
      <c r="M639" s="287">
        <v>2400</v>
      </c>
      <c r="N639" s="287">
        <v>0</v>
      </c>
      <c r="O639" s="287">
        <v>0</v>
      </c>
      <c r="P639" s="287"/>
      <c r="Q639" s="288" t="s">
        <v>1018</v>
      </c>
      <c r="R639" s="287" t="s">
        <v>1018</v>
      </c>
      <c r="S639" s="288" t="s">
        <v>927</v>
      </c>
      <c r="T639" s="288"/>
      <c r="U639" s="288">
        <v>0</v>
      </c>
      <c r="V639" s="289">
        <v>206.13</v>
      </c>
      <c r="W639" s="289">
        <v>0</v>
      </c>
      <c r="X639" s="288">
        <v>8.5833333333333331E-2</v>
      </c>
      <c r="Y639" s="288">
        <v>8.5833333333333331E-2</v>
      </c>
      <c r="Z639" s="288">
        <v>5.4166666666666671E-5</v>
      </c>
      <c r="AA639" s="288">
        <v>0</v>
      </c>
      <c r="AB639" s="288">
        <v>0</v>
      </c>
      <c r="AC639" s="289">
        <v>8.5887499999999992E-2</v>
      </c>
      <c r="AD639" s="289">
        <v>0</v>
      </c>
    </row>
    <row r="640" spans="1:30" ht="15" customHeight="1" x14ac:dyDescent="0.25">
      <c r="A640" s="282" t="s">
        <v>581</v>
      </c>
      <c r="B640" s="282" t="s">
        <v>628</v>
      </c>
      <c r="C640" s="282" t="s">
        <v>629</v>
      </c>
      <c r="D640" s="283" t="s">
        <v>1126</v>
      </c>
      <c r="E640" s="404">
        <v>45016</v>
      </c>
      <c r="F640" s="404">
        <v>46843</v>
      </c>
      <c r="G640" s="286" t="s">
        <v>286</v>
      </c>
      <c r="H640" s="282" t="s">
        <v>782</v>
      </c>
      <c r="I640" s="282" t="s">
        <v>590</v>
      </c>
      <c r="J640" s="282" t="s">
        <v>156</v>
      </c>
      <c r="K640" s="286" t="s">
        <v>783</v>
      </c>
      <c r="L640" s="282" t="s">
        <v>574</v>
      </c>
      <c r="M640" s="287">
        <v>2400</v>
      </c>
      <c r="N640" s="287">
        <v>0</v>
      </c>
      <c r="O640" s="287">
        <v>0</v>
      </c>
      <c r="P640" s="287"/>
      <c r="Q640" s="288">
        <v>238</v>
      </c>
      <c r="R640" s="288">
        <v>238</v>
      </c>
      <c r="S640" s="288">
        <v>0.15</v>
      </c>
      <c r="T640" s="288"/>
      <c r="U640" s="288">
        <v>0</v>
      </c>
      <c r="V640" s="289">
        <v>238.15</v>
      </c>
      <c r="W640" s="289">
        <v>0</v>
      </c>
      <c r="X640" s="288">
        <v>9.9166666666666667E-2</v>
      </c>
      <c r="Y640" s="288">
        <v>9.9166666666666667E-2</v>
      </c>
      <c r="Z640" s="288">
        <v>6.2500000000000001E-5</v>
      </c>
      <c r="AA640" s="288">
        <v>0</v>
      </c>
      <c r="AB640" s="288">
        <v>0</v>
      </c>
      <c r="AC640" s="289">
        <v>9.922916666666666E-2</v>
      </c>
      <c r="AD640" s="289">
        <v>0</v>
      </c>
    </row>
    <row r="641" spans="1:30" ht="15" customHeight="1" x14ac:dyDescent="0.25">
      <c r="A641" s="282" t="s">
        <v>581</v>
      </c>
      <c r="B641" s="282" t="s">
        <v>628</v>
      </c>
      <c r="C641" s="282" t="s">
        <v>629</v>
      </c>
      <c r="D641" s="286" t="s">
        <v>1127</v>
      </c>
      <c r="E641" s="404">
        <v>45038</v>
      </c>
      <c r="F641" s="404">
        <v>46865</v>
      </c>
      <c r="G641" s="290" t="s">
        <v>283</v>
      </c>
      <c r="H641" s="282" t="s">
        <v>881</v>
      </c>
      <c r="I641" s="282" t="s">
        <v>590</v>
      </c>
      <c r="J641" s="282" t="s">
        <v>156</v>
      </c>
      <c r="K641" s="286" t="s">
        <v>882</v>
      </c>
      <c r="L641" s="282" t="s">
        <v>574</v>
      </c>
      <c r="M641" s="287">
        <v>2400</v>
      </c>
      <c r="N641" s="287">
        <v>0</v>
      </c>
      <c r="O641" s="287">
        <v>0</v>
      </c>
      <c r="P641" s="287"/>
      <c r="Q641" s="288" t="s">
        <v>831</v>
      </c>
      <c r="R641" s="288" t="s">
        <v>831</v>
      </c>
      <c r="S641" s="288" t="s">
        <v>864</v>
      </c>
      <c r="T641" s="288"/>
      <c r="U641" s="288">
        <v>0</v>
      </c>
      <c r="V641" s="289">
        <v>223.14</v>
      </c>
      <c r="W641" s="289">
        <v>0</v>
      </c>
      <c r="X641" s="288">
        <v>9.2916666666666661E-2</v>
      </c>
      <c r="Y641" s="288">
        <v>9.2916666666666661E-2</v>
      </c>
      <c r="Z641" s="288">
        <v>5.833333333333334E-5</v>
      </c>
      <c r="AA641" s="288">
        <v>0</v>
      </c>
      <c r="AB641" s="288">
        <v>0</v>
      </c>
      <c r="AC641" s="289">
        <v>9.2974999999999988E-2</v>
      </c>
      <c r="AD641" s="289">
        <v>0</v>
      </c>
    </row>
    <row r="642" spans="1:30" ht="15" customHeight="1" x14ac:dyDescent="0.25">
      <c r="A642" s="282" t="s">
        <v>581</v>
      </c>
      <c r="B642" s="282" t="s">
        <v>628</v>
      </c>
      <c r="C642" s="282" t="s">
        <v>629</v>
      </c>
      <c r="D642" s="283" t="s">
        <v>1128</v>
      </c>
      <c r="E642" s="404">
        <v>45016</v>
      </c>
      <c r="F642" s="404">
        <v>46843</v>
      </c>
      <c r="G642" s="286" t="s">
        <v>854</v>
      </c>
      <c r="H642" s="282" t="s">
        <v>855</v>
      </c>
      <c r="I642" s="282" t="s">
        <v>590</v>
      </c>
      <c r="J642" s="282" t="s">
        <v>156</v>
      </c>
      <c r="K642" s="286" t="s">
        <v>856</v>
      </c>
      <c r="L642" s="282" t="s">
        <v>574</v>
      </c>
      <c r="M642" s="287">
        <v>2400</v>
      </c>
      <c r="N642" s="287">
        <v>0</v>
      </c>
      <c r="O642" s="287">
        <v>0</v>
      </c>
      <c r="P642" s="287"/>
      <c r="Q642" s="288">
        <v>306</v>
      </c>
      <c r="R642" s="288">
        <v>306</v>
      </c>
      <c r="S642" s="288">
        <v>0.192</v>
      </c>
      <c r="T642" s="288"/>
      <c r="U642" s="288">
        <v>0</v>
      </c>
      <c r="V642" s="289">
        <v>306.19200000000001</v>
      </c>
      <c r="W642" s="289">
        <v>0</v>
      </c>
      <c r="X642" s="288">
        <v>0.1275</v>
      </c>
      <c r="Y642" s="288">
        <v>0.1275</v>
      </c>
      <c r="Z642" s="288">
        <v>8.0000000000000007E-5</v>
      </c>
      <c r="AA642" s="288">
        <v>0</v>
      </c>
      <c r="AB642" s="288">
        <v>0</v>
      </c>
      <c r="AC642" s="289">
        <v>0.12758</v>
      </c>
      <c r="AD642" s="289">
        <v>0</v>
      </c>
    </row>
    <row r="643" spans="1:30" ht="15" customHeight="1" x14ac:dyDescent="0.25">
      <c r="A643" s="282" t="s">
        <v>581</v>
      </c>
      <c r="B643" s="282" t="s">
        <v>585</v>
      </c>
      <c r="C643" s="282" t="s">
        <v>586</v>
      </c>
      <c r="D643" s="286" t="s">
        <v>1129</v>
      </c>
      <c r="E643" s="404">
        <v>44581</v>
      </c>
      <c r="F643" s="404">
        <v>46407</v>
      </c>
      <c r="G643" s="286" t="s">
        <v>588</v>
      </c>
      <c r="H643" s="282" t="s">
        <v>589</v>
      </c>
      <c r="I643" s="282" t="s">
        <v>590</v>
      </c>
      <c r="J643" s="282" t="s">
        <v>156</v>
      </c>
      <c r="K643" s="286" t="s">
        <v>591</v>
      </c>
      <c r="L643" s="282" t="s">
        <v>574</v>
      </c>
      <c r="M643" s="287">
        <v>2400</v>
      </c>
      <c r="N643" s="287">
        <v>0</v>
      </c>
      <c r="O643" s="287">
        <v>0</v>
      </c>
      <c r="P643" s="287"/>
      <c r="Q643" s="288" t="s">
        <v>825</v>
      </c>
      <c r="R643" s="288" t="s">
        <v>825</v>
      </c>
      <c r="S643" s="288" t="s">
        <v>714</v>
      </c>
      <c r="T643" s="288"/>
      <c r="U643" s="288">
        <v>0</v>
      </c>
      <c r="V643" s="289">
        <v>287.18</v>
      </c>
      <c r="W643" s="289">
        <v>0</v>
      </c>
      <c r="X643" s="288">
        <v>0.11958333333333333</v>
      </c>
      <c r="Y643" s="288">
        <v>0.11958333333333333</v>
      </c>
      <c r="Z643" s="288">
        <v>7.4999999999999993E-5</v>
      </c>
      <c r="AA643" s="288">
        <v>0</v>
      </c>
      <c r="AB643" s="288">
        <v>0</v>
      </c>
      <c r="AC643" s="289">
        <v>0.11965833333333334</v>
      </c>
      <c r="AD643" s="289">
        <v>0</v>
      </c>
    </row>
    <row r="644" spans="1:30" ht="15" customHeight="1" x14ac:dyDescent="0.25">
      <c r="A644" s="282" t="s">
        <v>581</v>
      </c>
      <c r="B644" s="282" t="s">
        <v>611</v>
      </c>
      <c r="C644" s="282" t="s">
        <v>612</v>
      </c>
      <c r="D644" s="286" t="s">
        <v>1130</v>
      </c>
      <c r="E644" s="404">
        <v>44581</v>
      </c>
      <c r="F644" s="404">
        <v>46407</v>
      </c>
      <c r="G644" s="286" t="s">
        <v>588</v>
      </c>
      <c r="H644" s="282" t="s">
        <v>589</v>
      </c>
      <c r="I644" s="282" t="s">
        <v>590</v>
      </c>
      <c r="J644" s="282" t="s">
        <v>156</v>
      </c>
      <c r="K644" s="286" t="s">
        <v>591</v>
      </c>
      <c r="L644" s="282" t="s">
        <v>574</v>
      </c>
      <c r="M644" s="287">
        <v>2400</v>
      </c>
      <c r="N644" s="287">
        <v>0</v>
      </c>
      <c r="O644" s="287">
        <v>0</v>
      </c>
      <c r="P644" s="287"/>
      <c r="Q644" s="288" t="s">
        <v>810</v>
      </c>
      <c r="R644" s="288" t="s">
        <v>810</v>
      </c>
      <c r="S644" s="288" t="s">
        <v>795</v>
      </c>
      <c r="T644" s="288"/>
      <c r="U644" s="288">
        <v>0</v>
      </c>
      <c r="V644" s="289">
        <v>240.15</v>
      </c>
      <c r="W644" s="289">
        <v>0</v>
      </c>
      <c r="X644" s="288">
        <v>0.1</v>
      </c>
      <c r="Y644" s="288">
        <v>0.1</v>
      </c>
      <c r="Z644" s="288">
        <v>6.2500000000000001E-5</v>
      </c>
      <c r="AA644" s="288">
        <v>0</v>
      </c>
      <c r="AB644" s="288">
        <v>0</v>
      </c>
      <c r="AC644" s="289">
        <v>0.1000625</v>
      </c>
      <c r="AD644" s="289">
        <v>0</v>
      </c>
    </row>
    <row r="645" spans="1:30" ht="15" customHeight="1" x14ac:dyDescent="0.25">
      <c r="A645" s="282" t="s">
        <v>581</v>
      </c>
      <c r="B645" s="282" t="s">
        <v>585</v>
      </c>
      <c r="C645" s="282" t="s">
        <v>586</v>
      </c>
      <c r="D645" s="283" t="s">
        <v>1131</v>
      </c>
      <c r="E645" s="404">
        <v>45016</v>
      </c>
      <c r="F645" s="404">
        <v>46843</v>
      </c>
      <c r="G645" s="286" t="s">
        <v>283</v>
      </c>
      <c r="H645" s="282" t="s">
        <v>736</v>
      </c>
      <c r="I645" s="282" t="s">
        <v>590</v>
      </c>
      <c r="J645" s="282" t="s">
        <v>156</v>
      </c>
      <c r="K645" s="286" t="s">
        <v>737</v>
      </c>
      <c r="L645" s="282" t="s">
        <v>574</v>
      </c>
      <c r="M645" s="287">
        <v>2400</v>
      </c>
      <c r="N645" s="287">
        <v>0</v>
      </c>
      <c r="O645" s="287">
        <v>0</v>
      </c>
      <c r="P645" s="287"/>
      <c r="Q645" s="288">
        <v>336</v>
      </c>
      <c r="R645" s="288">
        <v>336</v>
      </c>
      <c r="S645" s="288">
        <v>0.20899999999999999</v>
      </c>
      <c r="T645" s="288"/>
      <c r="U645" s="288">
        <v>0</v>
      </c>
      <c r="V645" s="289">
        <v>336.209</v>
      </c>
      <c r="W645" s="289">
        <v>0</v>
      </c>
      <c r="X645" s="288">
        <v>0.14000000000000001</v>
      </c>
      <c r="Y645" s="288">
        <v>0.14000000000000001</v>
      </c>
      <c r="Z645" s="288">
        <v>8.7083333333333327E-5</v>
      </c>
      <c r="AA645" s="288">
        <v>0</v>
      </c>
      <c r="AB645" s="288">
        <v>0</v>
      </c>
      <c r="AC645" s="289">
        <v>0.14008708333333333</v>
      </c>
      <c r="AD645" s="289">
        <v>0</v>
      </c>
    </row>
    <row r="646" spans="1:30" ht="15" customHeight="1" x14ac:dyDescent="0.25">
      <c r="A646" s="282" t="s">
        <v>581</v>
      </c>
      <c r="B646" s="282" t="s">
        <v>585</v>
      </c>
      <c r="C646" s="282" t="s">
        <v>586</v>
      </c>
      <c r="D646" s="283" t="s">
        <v>1132</v>
      </c>
      <c r="E646" s="404">
        <v>45016</v>
      </c>
      <c r="F646" s="404">
        <v>46843</v>
      </c>
      <c r="G646" s="286" t="s">
        <v>854</v>
      </c>
      <c r="H646" s="282" t="s">
        <v>855</v>
      </c>
      <c r="I646" s="282" t="s">
        <v>590</v>
      </c>
      <c r="J646" s="282" t="s">
        <v>156</v>
      </c>
      <c r="K646" s="286" t="s">
        <v>856</v>
      </c>
      <c r="L646" s="282" t="s">
        <v>574</v>
      </c>
      <c r="M646" s="287">
        <v>2400</v>
      </c>
      <c r="N646" s="287">
        <v>0</v>
      </c>
      <c r="O646" s="287">
        <v>0</v>
      </c>
      <c r="P646" s="287"/>
      <c r="Q646" s="288">
        <v>448</v>
      </c>
      <c r="R646" s="288">
        <v>448</v>
      </c>
      <c r="S646" s="288">
        <v>0.27800000000000002</v>
      </c>
      <c r="T646" s="288"/>
      <c r="U646" s="288">
        <v>0</v>
      </c>
      <c r="V646" s="289">
        <v>448.27800000000002</v>
      </c>
      <c r="W646" s="289">
        <v>0</v>
      </c>
      <c r="X646" s="288">
        <v>0.18666666666666668</v>
      </c>
      <c r="Y646" s="288">
        <v>0.18666666666666668</v>
      </c>
      <c r="Z646" s="288">
        <v>1.1583333333333335E-4</v>
      </c>
      <c r="AA646" s="288">
        <v>0</v>
      </c>
      <c r="AB646" s="288">
        <v>0</v>
      </c>
      <c r="AC646" s="289">
        <v>0.18678250000000002</v>
      </c>
      <c r="AD646" s="289">
        <v>0</v>
      </c>
    </row>
    <row r="647" spans="1:30" ht="15" customHeight="1" x14ac:dyDescent="0.25">
      <c r="A647" s="282" t="s">
        <v>581</v>
      </c>
      <c r="B647" s="282" t="s">
        <v>611</v>
      </c>
      <c r="C647" s="282" t="s">
        <v>612</v>
      </c>
      <c r="D647" s="286" t="s">
        <v>1133</v>
      </c>
      <c r="E647" s="404">
        <v>44294</v>
      </c>
      <c r="F647" s="404">
        <v>46120</v>
      </c>
      <c r="G647" s="286" t="s">
        <v>799</v>
      </c>
      <c r="H647" s="282" t="s">
        <v>800</v>
      </c>
      <c r="I647" s="282" t="s">
        <v>590</v>
      </c>
      <c r="J647" s="282" t="s">
        <v>156</v>
      </c>
      <c r="K647" s="286" t="s">
        <v>801</v>
      </c>
      <c r="L647" s="282" t="s">
        <v>574</v>
      </c>
      <c r="M647" s="287">
        <v>2400</v>
      </c>
      <c r="N647" s="287">
        <v>0</v>
      </c>
      <c r="O647" s="287">
        <v>0</v>
      </c>
      <c r="P647" s="287"/>
      <c r="Q647" s="288" t="s">
        <v>1134</v>
      </c>
      <c r="R647" s="287" t="s">
        <v>1134</v>
      </c>
      <c r="S647" s="288" t="s">
        <v>889</v>
      </c>
      <c r="T647" s="288"/>
      <c r="U647" s="288">
        <v>0</v>
      </c>
      <c r="V647" s="289">
        <v>178.11</v>
      </c>
      <c r="W647" s="289">
        <v>0</v>
      </c>
      <c r="X647" s="288">
        <v>7.4166666666666672E-2</v>
      </c>
      <c r="Y647" s="288">
        <v>7.4166666666666672E-2</v>
      </c>
      <c r="Z647" s="288">
        <v>4.5833333333333334E-5</v>
      </c>
      <c r="AA647" s="288">
        <v>0</v>
      </c>
      <c r="AB647" s="288">
        <v>0</v>
      </c>
      <c r="AC647" s="289">
        <v>7.4212500000000001E-2</v>
      </c>
      <c r="AD647" s="289">
        <v>0</v>
      </c>
    </row>
    <row r="648" spans="1:30" ht="15" customHeight="1" x14ac:dyDescent="0.25">
      <c r="A648" s="282" t="s">
        <v>581</v>
      </c>
      <c r="B648" s="282" t="s">
        <v>611</v>
      </c>
      <c r="C648" s="282" t="s">
        <v>612</v>
      </c>
      <c r="D648" s="286" t="s">
        <v>1135</v>
      </c>
      <c r="E648" s="404">
        <v>45038</v>
      </c>
      <c r="F648" s="404">
        <v>46865</v>
      </c>
      <c r="G648" s="290" t="s">
        <v>283</v>
      </c>
      <c r="H648" s="282" t="s">
        <v>881</v>
      </c>
      <c r="I648" s="282" t="s">
        <v>590</v>
      </c>
      <c r="J648" s="282" t="s">
        <v>156</v>
      </c>
      <c r="K648" s="286" t="s">
        <v>882</v>
      </c>
      <c r="L648" s="282" t="s">
        <v>574</v>
      </c>
      <c r="M648" s="287">
        <v>2400</v>
      </c>
      <c r="N648" s="287">
        <v>0</v>
      </c>
      <c r="O648" s="287">
        <v>0</v>
      </c>
      <c r="P648" s="287"/>
      <c r="Q648" s="288" t="s">
        <v>935</v>
      </c>
      <c r="R648" s="288" t="s">
        <v>935</v>
      </c>
      <c r="S648" s="288" t="s">
        <v>742</v>
      </c>
      <c r="T648" s="288"/>
      <c r="U648" s="288">
        <v>0</v>
      </c>
      <c r="V648" s="289">
        <v>259.16000000000003</v>
      </c>
      <c r="W648" s="289">
        <v>0</v>
      </c>
      <c r="X648" s="288">
        <v>0.10791666666666666</v>
      </c>
      <c r="Y648" s="288">
        <v>0.10791666666666666</v>
      </c>
      <c r="Z648" s="288">
        <v>6.666666666666667E-5</v>
      </c>
      <c r="AA648" s="288">
        <v>0</v>
      </c>
      <c r="AB648" s="288">
        <v>0</v>
      </c>
      <c r="AC648" s="289">
        <v>0.10798333333333333</v>
      </c>
      <c r="AD648" s="289">
        <v>0</v>
      </c>
    </row>
    <row r="649" spans="1:30" ht="15" customHeight="1" x14ac:dyDescent="0.25">
      <c r="A649" s="282" t="s">
        <v>581</v>
      </c>
      <c r="B649" s="282" t="s">
        <v>585</v>
      </c>
      <c r="C649" s="282" t="s">
        <v>586</v>
      </c>
      <c r="D649" s="286" t="s">
        <v>1136</v>
      </c>
      <c r="E649" s="404">
        <v>45038</v>
      </c>
      <c r="F649" s="404">
        <v>46865</v>
      </c>
      <c r="G649" s="290" t="s">
        <v>283</v>
      </c>
      <c r="H649" s="282" t="s">
        <v>881</v>
      </c>
      <c r="I649" s="282" t="s">
        <v>590</v>
      </c>
      <c r="J649" s="282" t="s">
        <v>156</v>
      </c>
      <c r="K649" s="286" t="s">
        <v>882</v>
      </c>
      <c r="L649" s="282" t="s">
        <v>574</v>
      </c>
      <c r="M649" s="287">
        <v>2400</v>
      </c>
      <c r="N649" s="287">
        <v>0</v>
      </c>
      <c r="O649" s="287">
        <v>0</v>
      </c>
      <c r="P649" s="287"/>
      <c r="Q649" s="288" t="s">
        <v>925</v>
      </c>
      <c r="R649" s="288" t="s">
        <v>925</v>
      </c>
      <c r="S649" s="288" t="s">
        <v>766</v>
      </c>
      <c r="T649" s="288"/>
      <c r="U649" s="288">
        <v>0</v>
      </c>
      <c r="V649" s="289">
        <v>308.19</v>
      </c>
      <c r="W649" s="289">
        <v>0</v>
      </c>
      <c r="X649" s="288">
        <v>0.12833333333333333</v>
      </c>
      <c r="Y649" s="288">
        <v>0.12833333333333333</v>
      </c>
      <c r="Z649" s="288">
        <v>7.9166666666666662E-5</v>
      </c>
      <c r="AA649" s="288">
        <v>0</v>
      </c>
      <c r="AB649" s="288">
        <v>0</v>
      </c>
      <c r="AC649" s="289">
        <v>0.12841249999999998</v>
      </c>
      <c r="AD649" s="289">
        <v>0</v>
      </c>
    </row>
    <row r="650" spans="1:30" ht="15" customHeight="1" x14ac:dyDescent="0.25">
      <c r="A650" s="282" t="s">
        <v>581</v>
      </c>
      <c r="B650" s="282" t="s">
        <v>611</v>
      </c>
      <c r="C650" s="282" t="s">
        <v>612</v>
      </c>
      <c r="D650" s="286" t="s">
        <v>1137</v>
      </c>
      <c r="E650" s="404">
        <v>45038</v>
      </c>
      <c r="F650" s="404">
        <v>46865</v>
      </c>
      <c r="G650" s="290" t="s">
        <v>283</v>
      </c>
      <c r="H650" s="282" t="s">
        <v>881</v>
      </c>
      <c r="I650" s="282" t="s">
        <v>590</v>
      </c>
      <c r="J650" s="282" t="s">
        <v>156</v>
      </c>
      <c r="K650" s="286" t="s">
        <v>882</v>
      </c>
      <c r="L650" s="282" t="s">
        <v>574</v>
      </c>
      <c r="M650" s="287">
        <v>2400</v>
      </c>
      <c r="N650" s="287">
        <v>0</v>
      </c>
      <c r="O650" s="287">
        <v>0</v>
      </c>
      <c r="P650" s="287"/>
      <c r="Q650" s="288" t="s">
        <v>1138</v>
      </c>
      <c r="R650" s="288" t="s">
        <v>1138</v>
      </c>
      <c r="S650" s="288" t="s">
        <v>742</v>
      </c>
      <c r="T650" s="288"/>
      <c r="U650" s="288">
        <v>0</v>
      </c>
      <c r="V650" s="289">
        <v>261.16000000000003</v>
      </c>
      <c r="W650" s="289">
        <v>0</v>
      </c>
      <c r="X650" s="288">
        <v>0.10875</v>
      </c>
      <c r="Y650" s="288">
        <v>0.10875</v>
      </c>
      <c r="Z650" s="288">
        <v>6.666666666666667E-5</v>
      </c>
      <c r="AA650" s="288">
        <v>0</v>
      </c>
      <c r="AB650" s="288">
        <v>0</v>
      </c>
      <c r="AC650" s="289">
        <v>0.10881666666666667</v>
      </c>
      <c r="AD650" s="289">
        <v>0</v>
      </c>
    </row>
    <row r="651" spans="1:30" ht="15" customHeight="1" x14ac:dyDescent="0.25">
      <c r="A651" s="282" t="s">
        <v>581</v>
      </c>
      <c r="B651" s="282" t="s">
        <v>611</v>
      </c>
      <c r="C651" s="282" t="s">
        <v>612</v>
      </c>
      <c r="D651" s="286" t="s">
        <v>1139</v>
      </c>
      <c r="E651" s="404">
        <v>44816</v>
      </c>
      <c r="F651" s="404">
        <v>46642</v>
      </c>
      <c r="G651" s="290" t="s">
        <v>652</v>
      </c>
      <c r="H651" s="282" t="s">
        <v>653</v>
      </c>
      <c r="I651" s="282" t="s">
        <v>590</v>
      </c>
      <c r="J651" s="282" t="s">
        <v>156</v>
      </c>
      <c r="K651" s="286" t="s">
        <v>654</v>
      </c>
      <c r="L651" s="282" t="s">
        <v>574</v>
      </c>
      <c r="M651" s="287">
        <v>2400</v>
      </c>
      <c r="N651" s="287">
        <v>0</v>
      </c>
      <c r="O651" s="287">
        <v>0</v>
      </c>
      <c r="P651" s="287"/>
      <c r="Q651" s="288" t="s">
        <v>687</v>
      </c>
      <c r="R651" s="288" t="s">
        <v>687</v>
      </c>
      <c r="S651" s="288" t="s">
        <v>795</v>
      </c>
      <c r="T651" s="288"/>
      <c r="U651" s="288">
        <v>0</v>
      </c>
      <c r="V651" s="289">
        <v>245.15</v>
      </c>
      <c r="W651" s="289">
        <v>0</v>
      </c>
      <c r="X651" s="288">
        <v>0.10208333333333333</v>
      </c>
      <c r="Y651" s="288">
        <v>0.10208333333333333</v>
      </c>
      <c r="Z651" s="288">
        <v>6.2500000000000001E-5</v>
      </c>
      <c r="AA651" s="288">
        <v>0</v>
      </c>
      <c r="AB651" s="288">
        <v>0</v>
      </c>
      <c r="AC651" s="289">
        <v>0.10214583333333332</v>
      </c>
      <c r="AD651" s="289">
        <v>0</v>
      </c>
    </row>
    <row r="652" spans="1:30" ht="15" customHeight="1" x14ac:dyDescent="0.25">
      <c r="A652" s="282" t="s">
        <v>581</v>
      </c>
      <c r="B652" s="282" t="s">
        <v>611</v>
      </c>
      <c r="C652" s="282" t="s">
        <v>612</v>
      </c>
      <c r="D652" s="286" t="s">
        <v>1140</v>
      </c>
      <c r="E652" s="404">
        <v>45038</v>
      </c>
      <c r="F652" s="404">
        <v>46865</v>
      </c>
      <c r="G652" s="290" t="s">
        <v>283</v>
      </c>
      <c r="H652" s="282" t="s">
        <v>881</v>
      </c>
      <c r="I652" s="282" t="s">
        <v>590</v>
      </c>
      <c r="J652" s="282" t="s">
        <v>156</v>
      </c>
      <c r="K652" s="286" t="s">
        <v>882</v>
      </c>
      <c r="L652" s="282" t="s">
        <v>574</v>
      </c>
      <c r="M652" s="287">
        <v>2400</v>
      </c>
      <c r="N652" s="287">
        <v>0</v>
      </c>
      <c r="O652" s="287">
        <v>0</v>
      </c>
      <c r="P652" s="287"/>
      <c r="Q652" s="288" t="s">
        <v>836</v>
      </c>
      <c r="R652" s="288" t="s">
        <v>836</v>
      </c>
      <c r="S652" s="288" t="s">
        <v>795</v>
      </c>
      <c r="T652" s="288"/>
      <c r="U652" s="288">
        <v>0</v>
      </c>
      <c r="V652" s="289">
        <v>248.15</v>
      </c>
      <c r="W652" s="289">
        <v>0</v>
      </c>
      <c r="X652" s="288">
        <v>0.10333333333333333</v>
      </c>
      <c r="Y652" s="288">
        <v>0.10333333333333333</v>
      </c>
      <c r="Z652" s="288">
        <v>6.2500000000000001E-5</v>
      </c>
      <c r="AA652" s="288">
        <v>0</v>
      </c>
      <c r="AB652" s="288">
        <v>0</v>
      </c>
      <c r="AC652" s="289">
        <v>0.10339583333333333</v>
      </c>
      <c r="AD652" s="289">
        <v>0</v>
      </c>
    </row>
    <row r="653" spans="1:30" ht="15" customHeight="1" x14ac:dyDescent="0.25">
      <c r="A653" s="282" t="s">
        <v>581</v>
      </c>
      <c r="B653" s="282" t="s">
        <v>616</v>
      </c>
      <c r="C653" s="282" t="s">
        <v>617</v>
      </c>
      <c r="D653" s="283" t="s">
        <v>1141</v>
      </c>
      <c r="E653" s="404">
        <v>45016</v>
      </c>
      <c r="F653" s="404">
        <v>46843</v>
      </c>
      <c r="G653" s="286" t="s">
        <v>286</v>
      </c>
      <c r="H653" s="282" t="s">
        <v>782</v>
      </c>
      <c r="I653" s="282" t="s">
        <v>590</v>
      </c>
      <c r="J653" s="282" t="s">
        <v>156</v>
      </c>
      <c r="K653" s="286" t="s">
        <v>783</v>
      </c>
      <c r="L653" s="282" t="s">
        <v>574</v>
      </c>
      <c r="M653" s="287">
        <v>2400</v>
      </c>
      <c r="N653" s="287">
        <v>0</v>
      </c>
      <c r="O653" s="287">
        <v>0</v>
      </c>
      <c r="P653" s="287"/>
      <c r="Q653" s="288">
        <v>382</v>
      </c>
      <c r="R653" s="288">
        <v>382</v>
      </c>
      <c r="S653" s="288">
        <v>0.23</v>
      </c>
      <c r="T653" s="288"/>
      <c r="U653" s="288">
        <v>0</v>
      </c>
      <c r="V653" s="289">
        <v>382.23</v>
      </c>
      <c r="W653" s="289">
        <v>0</v>
      </c>
      <c r="X653" s="288">
        <v>0.15916666666666668</v>
      </c>
      <c r="Y653" s="288">
        <v>0.15916666666666668</v>
      </c>
      <c r="Z653" s="288">
        <v>9.5833333333333336E-5</v>
      </c>
      <c r="AA653" s="288">
        <v>0</v>
      </c>
      <c r="AB653" s="288">
        <v>0</v>
      </c>
      <c r="AC653" s="289">
        <v>0.1592625</v>
      </c>
      <c r="AD653" s="289">
        <v>0</v>
      </c>
    </row>
    <row r="654" spans="1:30" ht="15" customHeight="1" x14ac:dyDescent="0.25">
      <c r="A654" s="282" t="s">
        <v>581</v>
      </c>
      <c r="B654" s="282" t="s">
        <v>585</v>
      </c>
      <c r="C654" s="282" t="s">
        <v>586</v>
      </c>
      <c r="D654" s="283" t="s">
        <v>1142</v>
      </c>
      <c r="E654" s="404">
        <v>45016</v>
      </c>
      <c r="F654" s="404">
        <v>46843</v>
      </c>
      <c r="G654" s="286" t="s">
        <v>286</v>
      </c>
      <c r="H654" s="282" t="s">
        <v>782</v>
      </c>
      <c r="I654" s="282" t="s">
        <v>590</v>
      </c>
      <c r="J654" s="282" t="s">
        <v>156</v>
      </c>
      <c r="K654" s="286" t="s">
        <v>783</v>
      </c>
      <c r="L654" s="282" t="s">
        <v>574</v>
      </c>
      <c r="M654" s="287">
        <v>2400</v>
      </c>
      <c r="N654" s="287">
        <v>0</v>
      </c>
      <c r="O654" s="287">
        <v>0</v>
      </c>
      <c r="P654" s="287"/>
      <c r="Q654" s="288">
        <v>318</v>
      </c>
      <c r="R654" s="288">
        <v>318</v>
      </c>
      <c r="S654" s="288">
        <v>0.19</v>
      </c>
      <c r="T654" s="288"/>
      <c r="U654" s="288">
        <v>0</v>
      </c>
      <c r="V654" s="289">
        <v>318.19</v>
      </c>
      <c r="W654" s="289">
        <v>0</v>
      </c>
      <c r="X654" s="288">
        <v>0.13250000000000001</v>
      </c>
      <c r="Y654" s="288">
        <v>0.13250000000000001</v>
      </c>
      <c r="Z654" s="288">
        <v>7.9166666666666662E-5</v>
      </c>
      <c r="AA654" s="288">
        <v>0</v>
      </c>
      <c r="AB654" s="288">
        <v>0</v>
      </c>
      <c r="AC654" s="289">
        <v>0.13257916666666666</v>
      </c>
      <c r="AD654" s="289">
        <v>0</v>
      </c>
    </row>
    <row r="655" spans="1:30" ht="15" customHeight="1" x14ac:dyDescent="0.25">
      <c r="A655" s="282" t="s">
        <v>581</v>
      </c>
      <c r="B655" s="282" t="s">
        <v>695</v>
      </c>
      <c r="C655" s="282" t="s">
        <v>696</v>
      </c>
      <c r="D655" s="286" t="s">
        <v>1143</v>
      </c>
      <c r="E655" s="404">
        <v>44581</v>
      </c>
      <c r="F655" s="404">
        <v>46407</v>
      </c>
      <c r="G655" s="286" t="s">
        <v>588</v>
      </c>
      <c r="H655" s="282" t="s">
        <v>589</v>
      </c>
      <c r="I655" s="282" t="s">
        <v>590</v>
      </c>
      <c r="J655" s="282" t="s">
        <v>156</v>
      </c>
      <c r="K655" s="286" t="s">
        <v>591</v>
      </c>
      <c r="L655" s="282" t="s">
        <v>574</v>
      </c>
      <c r="M655" s="287">
        <v>2400</v>
      </c>
      <c r="N655" s="287">
        <v>0</v>
      </c>
      <c r="O655" s="287">
        <v>0</v>
      </c>
      <c r="P655" s="287"/>
      <c r="Q655" s="288" t="s">
        <v>1144</v>
      </c>
      <c r="R655" s="288" t="s">
        <v>1144</v>
      </c>
      <c r="S655" s="288" t="s">
        <v>724</v>
      </c>
      <c r="T655" s="288"/>
      <c r="U655" s="288">
        <v>0</v>
      </c>
      <c r="V655" s="289">
        <v>370.22</v>
      </c>
      <c r="W655" s="289">
        <v>0</v>
      </c>
      <c r="X655" s="288">
        <v>0.15416666666666667</v>
      </c>
      <c r="Y655" s="288">
        <v>0.15416666666666667</v>
      </c>
      <c r="Z655" s="288">
        <v>9.1666666666666668E-5</v>
      </c>
      <c r="AA655" s="288">
        <v>0</v>
      </c>
      <c r="AB655" s="288">
        <v>0</v>
      </c>
      <c r="AC655" s="289">
        <v>0.15425833333333333</v>
      </c>
      <c r="AD655" s="289">
        <v>0</v>
      </c>
    </row>
    <row r="656" spans="1:30" ht="15" customHeight="1" x14ac:dyDescent="0.25">
      <c r="A656" s="282" t="s">
        <v>581</v>
      </c>
      <c r="B656" s="282" t="s">
        <v>616</v>
      </c>
      <c r="C656" s="282" t="s">
        <v>617</v>
      </c>
      <c r="D656" s="286" t="s">
        <v>1145</v>
      </c>
      <c r="E656" s="404">
        <v>44581</v>
      </c>
      <c r="F656" s="404">
        <v>46407</v>
      </c>
      <c r="G656" s="286" t="s">
        <v>588</v>
      </c>
      <c r="H656" s="282" t="s">
        <v>589</v>
      </c>
      <c r="I656" s="282" t="s">
        <v>590</v>
      </c>
      <c r="J656" s="282" t="s">
        <v>156</v>
      </c>
      <c r="K656" s="286" t="s">
        <v>591</v>
      </c>
      <c r="L656" s="282" t="s">
        <v>574</v>
      </c>
      <c r="M656" s="287">
        <v>2400</v>
      </c>
      <c r="N656" s="287">
        <v>0</v>
      </c>
      <c r="O656" s="287">
        <v>0</v>
      </c>
      <c r="P656" s="287"/>
      <c r="Q656" s="288" t="s">
        <v>1093</v>
      </c>
      <c r="R656" s="288" t="s">
        <v>1093</v>
      </c>
      <c r="S656" s="288" t="s">
        <v>766</v>
      </c>
      <c r="T656" s="288"/>
      <c r="U656" s="288">
        <v>0</v>
      </c>
      <c r="V656" s="289">
        <v>320.19</v>
      </c>
      <c r="W656" s="289">
        <v>0</v>
      </c>
      <c r="X656" s="288">
        <v>0.13333333333333333</v>
      </c>
      <c r="Y656" s="288">
        <v>0.13333333333333333</v>
      </c>
      <c r="Z656" s="288">
        <v>7.9166666666666662E-5</v>
      </c>
      <c r="AA656" s="288">
        <v>0</v>
      </c>
      <c r="AB656" s="288">
        <v>0</v>
      </c>
      <c r="AC656" s="289">
        <v>0.13341249999999999</v>
      </c>
      <c r="AD656" s="289">
        <v>0</v>
      </c>
    </row>
    <row r="657" spans="1:30" ht="15" customHeight="1" x14ac:dyDescent="0.25">
      <c r="A657" s="282" t="s">
        <v>581</v>
      </c>
      <c r="B657" s="282" t="s">
        <v>611</v>
      </c>
      <c r="C657" s="282" t="s">
        <v>612</v>
      </c>
      <c r="D657" s="283" t="s">
        <v>1146</v>
      </c>
      <c r="E657" s="404">
        <v>45016</v>
      </c>
      <c r="F657" s="404">
        <v>46843</v>
      </c>
      <c r="G657" s="286" t="s">
        <v>286</v>
      </c>
      <c r="H657" s="282" t="s">
        <v>782</v>
      </c>
      <c r="I657" s="282" t="s">
        <v>590</v>
      </c>
      <c r="J657" s="282" t="s">
        <v>156</v>
      </c>
      <c r="K657" s="286" t="s">
        <v>783</v>
      </c>
      <c r="L657" s="282" t="s">
        <v>574</v>
      </c>
      <c r="M657" s="287">
        <v>2400</v>
      </c>
      <c r="N657" s="287">
        <v>0</v>
      </c>
      <c r="O657" s="287">
        <v>0</v>
      </c>
      <c r="P657" s="287"/>
      <c r="Q657" s="288">
        <v>270</v>
      </c>
      <c r="R657" s="288">
        <v>270</v>
      </c>
      <c r="S657" s="288">
        <v>0.16</v>
      </c>
      <c r="T657" s="288"/>
      <c r="U657" s="288">
        <v>0</v>
      </c>
      <c r="V657" s="289">
        <v>270.16000000000003</v>
      </c>
      <c r="W657" s="289">
        <v>0</v>
      </c>
      <c r="X657" s="288">
        <v>0.1125</v>
      </c>
      <c r="Y657" s="288">
        <v>0.1125</v>
      </c>
      <c r="Z657" s="288">
        <v>6.666666666666667E-5</v>
      </c>
      <c r="AA657" s="288">
        <v>0</v>
      </c>
      <c r="AB657" s="288">
        <v>0</v>
      </c>
      <c r="AC657" s="289">
        <v>0.11256666666666668</v>
      </c>
      <c r="AD657" s="289">
        <v>0</v>
      </c>
    </row>
    <row r="658" spans="1:30" ht="15" customHeight="1" x14ac:dyDescent="0.25">
      <c r="A658" s="282" t="s">
        <v>581</v>
      </c>
      <c r="B658" s="282" t="s">
        <v>585</v>
      </c>
      <c r="C658" s="282" t="s">
        <v>586</v>
      </c>
      <c r="D658" s="286" t="s">
        <v>1147</v>
      </c>
      <c r="E658" s="404">
        <v>44581</v>
      </c>
      <c r="F658" s="404">
        <v>46407</v>
      </c>
      <c r="G658" s="286" t="s">
        <v>588</v>
      </c>
      <c r="H658" s="282" t="s">
        <v>589</v>
      </c>
      <c r="I658" s="282" t="s">
        <v>590</v>
      </c>
      <c r="J658" s="282" t="s">
        <v>156</v>
      </c>
      <c r="K658" s="286" t="s">
        <v>591</v>
      </c>
      <c r="L658" s="282" t="s">
        <v>574</v>
      </c>
      <c r="M658" s="287">
        <v>2400</v>
      </c>
      <c r="N658" s="287">
        <v>0</v>
      </c>
      <c r="O658" s="287">
        <v>0</v>
      </c>
      <c r="P658" s="287"/>
      <c r="Q658" s="288" t="s">
        <v>1148</v>
      </c>
      <c r="R658" s="288" t="s">
        <v>1148</v>
      </c>
      <c r="S658" s="288" t="s">
        <v>786</v>
      </c>
      <c r="T658" s="288"/>
      <c r="U658" s="288">
        <v>0</v>
      </c>
      <c r="V658" s="289">
        <v>289.17</v>
      </c>
      <c r="W658" s="289">
        <v>0</v>
      </c>
      <c r="X658" s="288">
        <v>0.12041666666666667</v>
      </c>
      <c r="Y658" s="288">
        <v>0.12041666666666667</v>
      </c>
      <c r="Z658" s="288">
        <v>7.0833333333333338E-5</v>
      </c>
      <c r="AA658" s="288">
        <v>0</v>
      </c>
      <c r="AB658" s="288">
        <v>0</v>
      </c>
      <c r="AC658" s="289">
        <v>0.12048750000000001</v>
      </c>
      <c r="AD658" s="289">
        <v>0</v>
      </c>
    </row>
    <row r="659" spans="1:30" ht="15" customHeight="1" x14ac:dyDescent="0.25">
      <c r="A659" s="282" t="s">
        <v>581</v>
      </c>
      <c r="B659" s="282" t="s">
        <v>695</v>
      </c>
      <c r="C659" s="282" t="s">
        <v>696</v>
      </c>
      <c r="D659" s="286" t="s">
        <v>1149</v>
      </c>
      <c r="E659" s="404">
        <v>44581</v>
      </c>
      <c r="F659" s="404">
        <v>46407</v>
      </c>
      <c r="G659" s="286" t="s">
        <v>588</v>
      </c>
      <c r="H659" s="282" t="s">
        <v>589</v>
      </c>
      <c r="I659" s="282" t="s">
        <v>590</v>
      </c>
      <c r="J659" s="282" t="s">
        <v>156</v>
      </c>
      <c r="K659" s="286" t="s">
        <v>591</v>
      </c>
      <c r="L659" s="282" t="s">
        <v>574</v>
      </c>
      <c r="M659" s="287">
        <v>2400</v>
      </c>
      <c r="N659" s="287">
        <v>0</v>
      </c>
      <c r="O659" s="287">
        <v>0</v>
      </c>
      <c r="P659" s="287"/>
      <c r="Q659" s="288" t="s">
        <v>1150</v>
      </c>
      <c r="R659" s="288" t="s">
        <v>1150</v>
      </c>
      <c r="S659" s="288" t="s">
        <v>711</v>
      </c>
      <c r="T659" s="288"/>
      <c r="U659" s="288">
        <v>0</v>
      </c>
      <c r="V659" s="289">
        <v>369.21</v>
      </c>
      <c r="W659" s="289">
        <v>0</v>
      </c>
      <c r="X659" s="288">
        <v>0.15375</v>
      </c>
      <c r="Y659" s="288">
        <v>0.15375</v>
      </c>
      <c r="Z659" s="288">
        <v>8.7499999999999999E-5</v>
      </c>
      <c r="AA659" s="288">
        <v>0</v>
      </c>
      <c r="AB659" s="288">
        <v>0</v>
      </c>
      <c r="AC659" s="289">
        <v>0.15383749999999999</v>
      </c>
      <c r="AD659" s="289">
        <v>0</v>
      </c>
    </row>
    <row r="660" spans="1:30" ht="15" customHeight="1" x14ac:dyDescent="0.25">
      <c r="A660" s="282" t="s">
        <v>581</v>
      </c>
      <c r="B660" s="282" t="s">
        <v>616</v>
      </c>
      <c r="C660" s="282" t="s">
        <v>617</v>
      </c>
      <c r="D660" s="283" t="s">
        <v>1151</v>
      </c>
      <c r="E660" s="404">
        <v>45016</v>
      </c>
      <c r="F660" s="404">
        <v>46843</v>
      </c>
      <c r="G660" s="286" t="s">
        <v>286</v>
      </c>
      <c r="H660" s="282" t="s">
        <v>782</v>
      </c>
      <c r="I660" s="282" t="s">
        <v>590</v>
      </c>
      <c r="J660" s="282" t="s">
        <v>156</v>
      </c>
      <c r="K660" s="286" t="s">
        <v>783</v>
      </c>
      <c r="L660" s="282" t="s">
        <v>574</v>
      </c>
      <c r="M660" s="287">
        <v>2400</v>
      </c>
      <c r="N660" s="287">
        <v>0</v>
      </c>
      <c r="O660" s="287">
        <v>0</v>
      </c>
      <c r="P660" s="287"/>
      <c r="Q660" s="288">
        <v>370</v>
      </c>
      <c r="R660" s="288">
        <v>370</v>
      </c>
      <c r="S660" s="288">
        <v>0.21</v>
      </c>
      <c r="T660" s="288"/>
      <c r="U660" s="288">
        <v>0</v>
      </c>
      <c r="V660" s="289">
        <v>370.21</v>
      </c>
      <c r="W660" s="289">
        <v>0</v>
      </c>
      <c r="X660" s="288">
        <v>0.15416666666666667</v>
      </c>
      <c r="Y660" s="288">
        <v>0.15416666666666667</v>
      </c>
      <c r="Z660" s="288">
        <v>8.7499999999999999E-5</v>
      </c>
      <c r="AA660" s="288">
        <v>0</v>
      </c>
      <c r="AB660" s="288">
        <v>0</v>
      </c>
      <c r="AC660" s="289">
        <v>0.15425416666666666</v>
      </c>
      <c r="AD660" s="289">
        <v>0</v>
      </c>
    </row>
    <row r="661" spans="1:30" ht="15" customHeight="1" x14ac:dyDescent="0.25">
      <c r="A661" s="282" t="s">
        <v>581</v>
      </c>
      <c r="B661" s="282" t="s">
        <v>616</v>
      </c>
      <c r="C661" s="282" t="s">
        <v>617</v>
      </c>
      <c r="D661" s="286" t="s">
        <v>1152</v>
      </c>
      <c r="E661" s="404">
        <v>44581</v>
      </c>
      <c r="F661" s="404">
        <v>46407</v>
      </c>
      <c r="G661" s="286" t="s">
        <v>588</v>
      </c>
      <c r="H661" s="282" t="s">
        <v>589</v>
      </c>
      <c r="I661" s="282" t="s">
        <v>590</v>
      </c>
      <c r="J661" s="282" t="s">
        <v>156</v>
      </c>
      <c r="K661" s="286" t="s">
        <v>591</v>
      </c>
      <c r="L661" s="282" t="s">
        <v>574</v>
      </c>
      <c r="M661" s="287">
        <v>2400</v>
      </c>
      <c r="N661" s="287">
        <v>0</v>
      </c>
      <c r="O661" s="287">
        <v>0</v>
      </c>
      <c r="P661" s="287"/>
      <c r="Q661" s="288" t="s">
        <v>1093</v>
      </c>
      <c r="R661" s="288" t="s">
        <v>1093</v>
      </c>
      <c r="S661" s="288" t="s">
        <v>714</v>
      </c>
      <c r="T661" s="288"/>
      <c r="U661" s="288">
        <v>0</v>
      </c>
      <c r="V661" s="289">
        <v>320.18</v>
      </c>
      <c r="W661" s="289">
        <v>0</v>
      </c>
      <c r="X661" s="288">
        <v>0.13333333333333333</v>
      </c>
      <c r="Y661" s="288">
        <v>0.13333333333333333</v>
      </c>
      <c r="Z661" s="288">
        <v>7.4999999999999993E-5</v>
      </c>
      <c r="AA661" s="288">
        <v>0</v>
      </c>
      <c r="AB661" s="288">
        <v>0</v>
      </c>
      <c r="AC661" s="289">
        <v>0.13340833333333332</v>
      </c>
      <c r="AD661" s="289">
        <v>0</v>
      </c>
    </row>
    <row r="662" spans="1:30" ht="15" customHeight="1" x14ac:dyDescent="0.25">
      <c r="A662" s="282" t="s">
        <v>581</v>
      </c>
      <c r="B662" s="282" t="s">
        <v>616</v>
      </c>
      <c r="C662" s="282" t="s">
        <v>617</v>
      </c>
      <c r="D662" s="286" t="s">
        <v>1153</v>
      </c>
      <c r="E662" s="404">
        <v>44573</v>
      </c>
      <c r="F662" s="404">
        <v>46656</v>
      </c>
      <c r="G662" s="286" t="s">
        <v>286</v>
      </c>
      <c r="H662" s="282" t="s">
        <v>602</v>
      </c>
      <c r="I662" s="282" t="s">
        <v>590</v>
      </c>
      <c r="J662" s="282" t="s">
        <v>156</v>
      </c>
      <c r="K662" s="286" t="s">
        <v>603</v>
      </c>
      <c r="L662" s="282" t="s">
        <v>574</v>
      </c>
      <c r="M662" s="287">
        <v>2400</v>
      </c>
      <c r="N662" s="287">
        <v>0</v>
      </c>
      <c r="O662" s="287">
        <v>0</v>
      </c>
      <c r="P662" s="287"/>
      <c r="Q662" s="288" t="s">
        <v>732</v>
      </c>
      <c r="R662" s="288" t="s">
        <v>732</v>
      </c>
      <c r="S662" s="288" t="s">
        <v>795</v>
      </c>
      <c r="T662" s="288"/>
      <c r="U662" s="288">
        <v>0</v>
      </c>
      <c r="V662" s="289">
        <v>269.14999999999998</v>
      </c>
      <c r="W662" s="289">
        <v>0</v>
      </c>
      <c r="X662" s="288">
        <v>0.11208333333333333</v>
      </c>
      <c r="Y662" s="288">
        <v>0.11208333333333333</v>
      </c>
      <c r="Z662" s="288">
        <v>6.2500000000000001E-5</v>
      </c>
      <c r="AA662" s="288">
        <v>0</v>
      </c>
      <c r="AB662" s="288">
        <v>0</v>
      </c>
      <c r="AC662" s="289">
        <v>0.11214583333333332</v>
      </c>
      <c r="AD662" s="289">
        <v>0</v>
      </c>
    </row>
    <row r="663" spans="1:30" ht="15" customHeight="1" x14ac:dyDescent="0.25">
      <c r="A663" s="282" t="s">
        <v>581</v>
      </c>
      <c r="B663" s="282" t="s">
        <v>585</v>
      </c>
      <c r="C663" s="282" t="s">
        <v>586</v>
      </c>
      <c r="D663" s="286" t="s">
        <v>1154</v>
      </c>
      <c r="E663" s="404">
        <v>44581</v>
      </c>
      <c r="F663" s="404">
        <v>46407</v>
      </c>
      <c r="G663" s="286" t="s">
        <v>588</v>
      </c>
      <c r="H663" s="282" t="s">
        <v>589</v>
      </c>
      <c r="I663" s="282" t="s">
        <v>590</v>
      </c>
      <c r="J663" s="282" t="s">
        <v>156</v>
      </c>
      <c r="K663" s="286" t="s">
        <v>591</v>
      </c>
      <c r="L663" s="282" t="s">
        <v>574</v>
      </c>
      <c r="M663" s="287">
        <v>2400</v>
      </c>
      <c r="N663" s="287">
        <v>0</v>
      </c>
      <c r="O663" s="287">
        <v>0</v>
      </c>
      <c r="P663" s="287"/>
      <c r="Q663" s="288" t="s">
        <v>1148</v>
      </c>
      <c r="R663" s="288" t="s">
        <v>1148</v>
      </c>
      <c r="S663" s="288" t="s">
        <v>742</v>
      </c>
      <c r="T663" s="288"/>
      <c r="U663" s="288">
        <v>0</v>
      </c>
      <c r="V663" s="289">
        <v>289.16000000000003</v>
      </c>
      <c r="W663" s="289">
        <v>0</v>
      </c>
      <c r="X663" s="288">
        <v>0.12041666666666667</v>
      </c>
      <c r="Y663" s="288">
        <v>0.12041666666666667</v>
      </c>
      <c r="Z663" s="288">
        <v>6.666666666666667E-5</v>
      </c>
      <c r="AA663" s="288">
        <v>0</v>
      </c>
      <c r="AB663" s="288">
        <v>0</v>
      </c>
      <c r="AC663" s="289">
        <v>0.12048333333333335</v>
      </c>
      <c r="AD663" s="289">
        <v>0</v>
      </c>
    </row>
    <row r="664" spans="1:30" ht="15" customHeight="1" x14ac:dyDescent="0.25">
      <c r="A664" s="282" t="s">
        <v>581</v>
      </c>
      <c r="B664" s="282" t="s">
        <v>1155</v>
      </c>
      <c r="C664" s="282" t="s">
        <v>696</v>
      </c>
      <c r="D664" s="286" t="s">
        <v>1156</v>
      </c>
      <c r="E664" s="404">
        <v>44573</v>
      </c>
      <c r="F664" s="404">
        <v>46656</v>
      </c>
      <c r="G664" s="286" t="s">
        <v>286</v>
      </c>
      <c r="H664" s="282" t="s">
        <v>602</v>
      </c>
      <c r="I664" s="282" t="s">
        <v>590</v>
      </c>
      <c r="J664" s="282" t="s">
        <v>156</v>
      </c>
      <c r="K664" s="286" t="s">
        <v>603</v>
      </c>
      <c r="L664" s="282" t="s">
        <v>574</v>
      </c>
      <c r="M664" s="287">
        <v>2400</v>
      </c>
      <c r="N664" s="287">
        <v>0</v>
      </c>
      <c r="O664" s="287">
        <v>0</v>
      </c>
      <c r="P664" s="287"/>
      <c r="Q664" s="288" t="s">
        <v>1148</v>
      </c>
      <c r="R664" s="288" t="s">
        <v>1148</v>
      </c>
      <c r="S664" s="288" t="s">
        <v>742</v>
      </c>
      <c r="T664" s="288"/>
      <c r="U664" s="288">
        <v>0</v>
      </c>
      <c r="V664" s="289">
        <v>289.16000000000003</v>
      </c>
      <c r="W664" s="289">
        <v>0</v>
      </c>
      <c r="X664" s="288">
        <v>0.12041666666666667</v>
      </c>
      <c r="Y664" s="288">
        <v>0.12041666666666667</v>
      </c>
      <c r="Z664" s="288">
        <v>6.666666666666667E-5</v>
      </c>
      <c r="AA664" s="288">
        <v>0</v>
      </c>
      <c r="AB664" s="288">
        <v>0</v>
      </c>
      <c r="AC664" s="289">
        <v>0.12048333333333335</v>
      </c>
      <c r="AD664" s="289">
        <v>0</v>
      </c>
    </row>
    <row r="665" spans="1:30" ht="15" customHeight="1" x14ac:dyDescent="0.25">
      <c r="A665" s="282" t="s">
        <v>581</v>
      </c>
      <c r="B665" s="282" t="s">
        <v>1155</v>
      </c>
      <c r="C665" s="282" t="s">
        <v>696</v>
      </c>
      <c r="D665" s="286" t="s">
        <v>1156</v>
      </c>
      <c r="E665" s="404">
        <v>44573</v>
      </c>
      <c r="F665" s="404">
        <v>46656</v>
      </c>
      <c r="G665" s="286" t="s">
        <v>286</v>
      </c>
      <c r="H665" s="282" t="s">
        <v>602</v>
      </c>
      <c r="I665" s="282" t="s">
        <v>590</v>
      </c>
      <c r="J665" s="282" t="s">
        <v>156</v>
      </c>
      <c r="K665" s="286" t="s">
        <v>603</v>
      </c>
      <c r="L665" s="282" t="s">
        <v>574</v>
      </c>
      <c r="M665" s="287">
        <v>2400</v>
      </c>
      <c r="N665" s="287">
        <v>0</v>
      </c>
      <c r="O665" s="287">
        <v>0</v>
      </c>
      <c r="P665" s="287"/>
      <c r="Q665" s="288" t="s">
        <v>1148</v>
      </c>
      <c r="R665" s="288" t="s">
        <v>1148</v>
      </c>
      <c r="S665" s="288" t="s">
        <v>742</v>
      </c>
      <c r="T665" s="288"/>
      <c r="U665" s="288">
        <v>0</v>
      </c>
      <c r="V665" s="289">
        <v>289.16000000000003</v>
      </c>
      <c r="W665" s="289">
        <v>0</v>
      </c>
      <c r="X665" s="288">
        <v>0.12041666666666667</v>
      </c>
      <c r="Y665" s="288">
        <v>0.12041666666666667</v>
      </c>
      <c r="Z665" s="288">
        <v>6.666666666666667E-5</v>
      </c>
      <c r="AA665" s="288">
        <v>0</v>
      </c>
      <c r="AB665" s="288">
        <v>0</v>
      </c>
      <c r="AC665" s="289">
        <v>0.12048333333333335</v>
      </c>
      <c r="AD665" s="289">
        <v>0</v>
      </c>
    </row>
    <row r="666" spans="1:30" ht="15" customHeight="1" x14ac:dyDescent="0.25">
      <c r="A666" s="282" t="s">
        <v>581</v>
      </c>
      <c r="B666" s="282" t="s">
        <v>628</v>
      </c>
      <c r="C666" s="282" t="s">
        <v>629</v>
      </c>
      <c r="D666" s="286" t="s">
        <v>1157</v>
      </c>
      <c r="E666" s="404">
        <v>44525</v>
      </c>
      <c r="F666" s="404">
        <v>46351</v>
      </c>
      <c r="G666" s="286" t="s">
        <v>1063</v>
      </c>
      <c r="H666" s="282" t="s">
        <v>1064</v>
      </c>
      <c r="I666" s="282" t="s">
        <v>590</v>
      </c>
      <c r="J666" s="282" t="s">
        <v>156</v>
      </c>
      <c r="K666" s="286" t="s">
        <v>1065</v>
      </c>
      <c r="L666" s="282" t="s">
        <v>574</v>
      </c>
      <c r="M666" s="287">
        <v>2400</v>
      </c>
      <c r="N666" s="287">
        <v>0</v>
      </c>
      <c r="O666" s="287">
        <v>0</v>
      </c>
      <c r="P666" s="287"/>
      <c r="Q666" s="288" t="s">
        <v>701</v>
      </c>
      <c r="R666" s="288" t="s">
        <v>701</v>
      </c>
      <c r="S666" s="288" t="s">
        <v>894</v>
      </c>
      <c r="T666" s="288"/>
      <c r="U666" s="288">
        <v>0</v>
      </c>
      <c r="V666" s="289">
        <v>222.12</v>
      </c>
      <c r="W666" s="289">
        <v>0</v>
      </c>
      <c r="X666" s="288">
        <v>9.2499999999999999E-2</v>
      </c>
      <c r="Y666" s="288">
        <v>9.2499999999999999E-2</v>
      </c>
      <c r="Z666" s="288">
        <v>4.9999999999999996E-5</v>
      </c>
      <c r="AA666" s="288">
        <v>0</v>
      </c>
      <c r="AB666" s="288">
        <v>0</v>
      </c>
      <c r="AC666" s="289">
        <v>9.2549999999999993E-2</v>
      </c>
      <c r="AD666" s="289">
        <v>0</v>
      </c>
    </row>
    <row r="667" spans="1:30" ht="15" customHeight="1" x14ac:dyDescent="0.25">
      <c r="A667" s="282" t="s">
        <v>581</v>
      </c>
      <c r="B667" s="282" t="s">
        <v>585</v>
      </c>
      <c r="C667" s="282" t="s">
        <v>586</v>
      </c>
      <c r="D667" s="286" t="s">
        <v>1158</v>
      </c>
      <c r="E667" s="404">
        <v>44573</v>
      </c>
      <c r="F667" s="404">
        <v>46656</v>
      </c>
      <c r="G667" s="286" t="s">
        <v>286</v>
      </c>
      <c r="H667" s="282" t="s">
        <v>602</v>
      </c>
      <c r="I667" s="282" t="s">
        <v>590</v>
      </c>
      <c r="J667" s="282" t="s">
        <v>156</v>
      </c>
      <c r="K667" s="286" t="s">
        <v>603</v>
      </c>
      <c r="L667" s="282" t="s">
        <v>574</v>
      </c>
      <c r="M667" s="287">
        <v>2400</v>
      </c>
      <c r="N667" s="287">
        <v>0</v>
      </c>
      <c r="O667" s="287">
        <v>0</v>
      </c>
      <c r="P667" s="287"/>
      <c r="Q667" s="288" t="s">
        <v>911</v>
      </c>
      <c r="R667" s="288" t="s">
        <v>911</v>
      </c>
      <c r="S667" s="288" t="s">
        <v>927</v>
      </c>
      <c r="T667" s="288"/>
      <c r="U667" s="288">
        <v>0</v>
      </c>
      <c r="V667" s="289">
        <v>241.13</v>
      </c>
      <c r="W667" s="289">
        <v>0</v>
      </c>
      <c r="X667" s="288">
        <v>0.10041666666666667</v>
      </c>
      <c r="Y667" s="288">
        <v>0.10041666666666667</v>
      </c>
      <c r="Z667" s="288">
        <v>5.4166666666666671E-5</v>
      </c>
      <c r="AA667" s="288">
        <v>0</v>
      </c>
      <c r="AB667" s="288">
        <v>0</v>
      </c>
      <c r="AC667" s="289">
        <v>0.10047083333333333</v>
      </c>
      <c r="AD667" s="289">
        <v>0</v>
      </c>
    </row>
    <row r="668" spans="1:30" ht="15" customHeight="1" x14ac:dyDescent="0.25">
      <c r="A668" s="282" t="s">
        <v>581</v>
      </c>
      <c r="B668" s="282" t="s">
        <v>585</v>
      </c>
      <c r="C668" s="282" t="s">
        <v>586</v>
      </c>
      <c r="D668" s="286" t="s">
        <v>1159</v>
      </c>
      <c r="E668" s="404">
        <v>44573</v>
      </c>
      <c r="F668" s="404">
        <v>46656</v>
      </c>
      <c r="G668" s="286" t="s">
        <v>286</v>
      </c>
      <c r="H668" s="282" t="s">
        <v>602</v>
      </c>
      <c r="I668" s="282" t="s">
        <v>590</v>
      </c>
      <c r="J668" s="282" t="s">
        <v>156</v>
      </c>
      <c r="K668" s="286" t="s">
        <v>603</v>
      </c>
      <c r="L668" s="282" t="s">
        <v>574</v>
      </c>
      <c r="M668" s="287">
        <v>2400</v>
      </c>
      <c r="N668" s="287">
        <v>0</v>
      </c>
      <c r="O668" s="287">
        <v>0</v>
      </c>
      <c r="P668" s="287"/>
      <c r="Q668" s="288" t="s">
        <v>911</v>
      </c>
      <c r="R668" s="288" t="s">
        <v>911</v>
      </c>
      <c r="S668" s="288" t="s">
        <v>927</v>
      </c>
      <c r="T668" s="288"/>
      <c r="U668" s="288">
        <v>0</v>
      </c>
      <c r="V668" s="289">
        <v>241.13</v>
      </c>
      <c r="W668" s="289">
        <v>0</v>
      </c>
      <c r="X668" s="288">
        <v>0.10041666666666667</v>
      </c>
      <c r="Y668" s="288">
        <v>0.10041666666666667</v>
      </c>
      <c r="Z668" s="288">
        <v>5.4166666666666671E-5</v>
      </c>
      <c r="AA668" s="288">
        <v>0</v>
      </c>
      <c r="AB668" s="288">
        <v>0</v>
      </c>
      <c r="AC668" s="289">
        <v>0.10047083333333333</v>
      </c>
      <c r="AD668" s="289">
        <v>0</v>
      </c>
    </row>
    <row r="669" spans="1:30" ht="15" customHeight="1" x14ac:dyDescent="0.25">
      <c r="A669" s="282" t="s">
        <v>581</v>
      </c>
      <c r="B669" s="282" t="s">
        <v>611</v>
      </c>
      <c r="C669" s="282" t="s">
        <v>612</v>
      </c>
      <c r="D669" s="286" t="s">
        <v>1160</v>
      </c>
      <c r="E669" s="404">
        <v>44525</v>
      </c>
      <c r="F669" s="404">
        <v>46351</v>
      </c>
      <c r="G669" s="286" t="s">
        <v>1063</v>
      </c>
      <c r="H669" s="282" t="s">
        <v>1064</v>
      </c>
      <c r="I669" s="282" t="s">
        <v>590</v>
      </c>
      <c r="J669" s="282" t="s">
        <v>156</v>
      </c>
      <c r="K669" s="286" t="s">
        <v>1065</v>
      </c>
      <c r="L669" s="282" t="s">
        <v>574</v>
      </c>
      <c r="M669" s="287">
        <v>2400</v>
      </c>
      <c r="N669" s="287">
        <v>0</v>
      </c>
      <c r="O669" s="287">
        <v>0</v>
      </c>
      <c r="P669" s="287"/>
      <c r="Q669" s="288" t="s">
        <v>1161</v>
      </c>
      <c r="R669" s="288" t="s">
        <v>1161</v>
      </c>
      <c r="S669" s="288" t="s">
        <v>864</v>
      </c>
      <c r="T669" s="288"/>
      <c r="U669" s="288">
        <v>0</v>
      </c>
      <c r="V669" s="289">
        <v>266.14</v>
      </c>
      <c r="W669" s="289">
        <v>0</v>
      </c>
      <c r="X669" s="288">
        <v>0.11083333333333334</v>
      </c>
      <c r="Y669" s="288">
        <v>0.11083333333333334</v>
      </c>
      <c r="Z669" s="288">
        <v>5.833333333333334E-5</v>
      </c>
      <c r="AA669" s="288">
        <v>0</v>
      </c>
      <c r="AB669" s="288">
        <v>0</v>
      </c>
      <c r="AC669" s="289">
        <v>0.11089166666666667</v>
      </c>
      <c r="AD669" s="289">
        <v>0</v>
      </c>
    </row>
    <row r="670" spans="1:30" ht="15" customHeight="1" x14ac:dyDescent="0.25">
      <c r="A670" s="282" t="s">
        <v>581</v>
      </c>
      <c r="B670" s="282" t="s">
        <v>585</v>
      </c>
      <c r="C670" s="282" t="s">
        <v>586</v>
      </c>
      <c r="D670" s="283" t="s">
        <v>1162</v>
      </c>
      <c r="E670" s="404">
        <v>45056</v>
      </c>
      <c r="F670" s="404">
        <v>46883</v>
      </c>
      <c r="G670" s="286" t="s">
        <v>286</v>
      </c>
      <c r="H670" s="282" t="s">
        <v>759</v>
      </c>
      <c r="I670" s="282" t="s">
        <v>590</v>
      </c>
      <c r="J670" s="282" t="s">
        <v>156</v>
      </c>
      <c r="K670" s="286" t="s">
        <v>760</v>
      </c>
      <c r="L670" s="282" t="s">
        <v>574</v>
      </c>
      <c r="M670" s="287">
        <v>2400</v>
      </c>
      <c r="N670" s="287">
        <v>0</v>
      </c>
      <c r="O670" s="287">
        <v>0</v>
      </c>
      <c r="P670" s="287"/>
      <c r="Q670" s="288">
        <v>265</v>
      </c>
      <c r="R670" s="288" t="s">
        <v>1163</v>
      </c>
      <c r="S670" s="288">
        <v>0.13800000000000001</v>
      </c>
      <c r="T670" s="288"/>
      <c r="U670" s="288">
        <v>0</v>
      </c>
      <c r="V670" s="289">
        <v>265.13799999999998</v>
      </c>
      <c r="W670" s="289">
        <v>0</v>
      </c>
      <c r="X670" s="288">
        <v>0.11041666666666666</v>
      </c>
      <c r="Y670" s="288">
        <v>0.11041666666666666</v>
      </c>
      <c r="Z670" s="288">
        <v>5.7500000000000002E-5</v>
      </c>
      <c r="AA670" s="288">
        <v>0</v>
      </c>
      <c r="AB670" s="288">
        <v>0</v>
      </c>
      <c r="AC670" s="289">
        <v>0.11047416666666666</v>
      </c>
      <c r="AD670" s="289">
        <v>0</v>
      </c>
    </row>
    <row r="671" spans="1:30" ht="15" customHeight="1" x14ac:dyDescent="0.25">
      <c r="A671" s="282" t="s">
        <v>581</v>
      </c>
      <c r="B671" s="282" t="s">
        <v>695</v>
      </c>
      <c r="C671" s="282" t="s">
        <v>696</v>
      </c>
      <c r="D671" s="283" t="s">
        <v>1164</v>
      </c>
      <c r="E671" s="404">
        <v>45016</v>
      </c>
      <c r="F671" s="404">
        <v>46843</v>
      </c>
      <c r="G671" s="286" t="s">
        <v>286</v>
      </c>
      <c r="H671" s="282" t="s">
        <v>782</v>
      </c>
      <c r="I671" s="282" t="s">
        <v>590</v>
      </c>
      <c r="J671" s="282" t="s">
        <v>156</v>
      </c>
      <c r="K671" s="286" t="s">
        <v>783</v>
      </c>
      <c r="L671" s="282" t="s">
        <v>574</v>
      </c>
      <c r="M671" s="287">
        <v>2400</v>
      </c>
      <c r="N671" s="287">
        <v>0</v>
      </c>
      <c r="O671" s="287">
        <v>0</v>
      </c>
      <c r="P671" s="287"/>
      <c r="Q671" s="288">
        <v>369</v>
      </c>
      <c r="R671" s="288">
        <v>369</v>
      </c>
      <c r="S671" s="288">
        <v>0.19</v>
      </c>
      <c r="T671" s="288"/>
      <c r="U671" s="288">
        <v>0</v>
      </c>
      <c r="V671" s="289">
        <v>369.19</v>
      </c>
      <c r="W671" s="289">
        <v>0</v>
      </c>
      <c r="X671" s="288">
        <v>0.15375</v>
      </c>
      <c r="Y671" s="288">
        <v>0.15375</v>
      </c>
      <c r="Z671" s="288">
        <v>7.9166666666666662E-5</v>
      </c>
      <c r="AA671" s="288">
        <v>0</v>
      </c>
      <c r="AB671" s="288">
        <v>0</v>
      </c>
      <c r="AC671" s="289">
        <v>0.15382916666666666</v>
      </c>
      <c r="AD671" s="289">
        <v>0</v>
      </c>
    </row>
    <row r="672" spans="1:30" ht="15" customHeight="1" x14ac:dyDescent="0.25">
      <c r="A672" s="282" t="s">
        <v>581</v>
      </c>
      <c r="B672" s="282" t="s">
        <v>611</v>
      </c>
      <c r="C672" s="282" t="s">
        <v>612</v>
      </c>
      <c r="D672" s="286" t="s">
        <v>1165</v>
      </c>
      <c r="E672" s="404">
        <v>44573</v>
      </c>
      <c r="F672" s="404">
        <v>46656</v>
      </c>
      <c r="G672" s="286" t="s">
        <v>286</v>
      </c>
      <c r="H672" s="282" t="s">
        <v>602</v>
      </c>
      <c r="I672" s="282" t="s">
        <v>590</v>
      </c>
      <c r="J672" s="282" t="s">
        <v>156</v>
      </c>
      <c r="K672" s="286" t="s">
        <v>603</v>
      </c>
      <c r="L672" s="282" t="s">
        <v>574</v>
      </c>
      <c r="M672" s="287">
        <v>2400</v>
      </c>
      <c r="N672" s="287">
        <v>0</v>
      </c>
      <c r="O672" s="287">
        <v>0</v>
      </c>
      <c r="P672" s="287"/>
      <c r="Q672" s="288" t="s">
        <v>1166</v>
      </c>
      <c r="R672" s="288" t="s">
        <v>1166</v>
      </c>
      <c r="S672" s="288" t="s">
        <v>927</v>
      </c>
      <c r="T672" s="288"/>
      <c r="U672" s="288">
        <v>0</v>
      </c>
      <c r="V672" s="289">
        <v>257.13</v>
      </c>
      <c r="W672" s="289">
        <v>0</v>
      </c>
      <c r="X672" s="288">
        <v>0.10708333333333334</v>
      </c>
      <c r="Y672" s="288">
        <v>0.10708333333333334</v>
      </c>
      <c r="Z672" s="288">
        <v>5.4166666666666671E-5</v>
      </c>
      <c r="AA672" s="288">
        <v>0</v>
      </c>
      <c r="AB672" s="288">
        <v>0</v>
      </c>
      <c r="AC672" s="289">
        <v>0.1071375</v>
      </c>
      <c r="AD672" s="289">
        <v>0</v>
      </c>
    </row>
    <row r="673" spans="1:30" ht="15" customHeight="1" x14ac:dyDescent="0.25">
      <c r="A673" s="282" t="s">
        <v>581</v>
      </c>
      <c r="B673" s="282" t="s">
        <v>611</v>
      </c>
      <c r="C673" s="282" t="s">
        <v>612</v>
      </c>
      <c r="D673" s="286" t="s">
        <v>1167</v>
      </c>
      <c r="E673" s="404">
        <v>44573</v>
      </c>
      <c r="F673" s="404">
        <v>46656</v>
      </c>
      <c r="G673" s="286" t="s">
        <v>286</v>
      </c>
      <c r="H673" s="282" t="s">
        <v>602</v>
      </c>
      <c r="I673" s="282" t="s">
        <v>590</v>
      </c>
      <c r="J673" s="282" t="s">
        <v>156</v>
      </c>
      <c r="K673" s="286" t="s">
        <v>603</v>
      </c>
      <c r="L673" s="282" t="s">
        <v>574</v>
      </c>
      <c r="M673" s="287">
        <v>2400</v>
      </c>
      <c r="N673" s="287">
        <v>0</v>
      </c>
      <c r="O673" s="287">
        <v>0</v>
      </c>
      <c r="P673" s="287"/>
      <c r="Q673" s="288" t="s">
        <v>931</v>
      </c>
      <c r="R673" s="288" t="s">
        <v>931</v>
      </c>
      <c r="S673" s="288" t="s">
        <v>927</v>
      </c>
      <c r="T673" s="288"/>
      <c r="U673" s="288">
        <v>0</v>
      </c>
      <c r="V673" s="289">
        <v>258.13</v>
      </c>
      <c r="W673" s="289">
        <v>0</v>
      </c>
      <c r="X673" s="288">
        <v>0.1075</v>
      </c>
      <c r="Y673" s="288">
        <v>0.1075</v>
      </c>
      <c r="Z673" s="288">
        <v>5.4166666666666671E-5</v>
      </c>
      <c r="AA673" s="288">
        <v>0</v>
      </c>
      <c r="AB673" s="288">
        <v>0</v>
      </c>
      <c r="AC673" s="289">
        <v>0.10755416666666666</v>
      </c>
      <c r="AD673" s="289">
        <v>0</v>
      </c>
    </row>
    <row r="674" spans="1:30" ht="15" customHeight="1" x14ac:dyDescent="0.25">
      <c r="A674" s="282" t="s">
        <v>581</v>
      </c>
      <c r="B674" s="282" t="s">
        <v>628</v>
      </c>
      <c r="C674" s="282" t="s">
        <v>629</v>
      </c>
      <c r="D674" s="286" t="s">
        <v>1168</v>
      </c>
      <c r="E674" s="404">
        <v>44573</v>
      </c>
      <c r="F674" s="404">
        <v>46656</v>
      </c>
      <c r="G674" s="286" t="s">
        <v>286</v>
      </c>
      <c r="H674" s="282" t="s">
        <v>602</v>
      </c>
      <c r="I674" s="282" t="s">
        <v>590</v>
      </c>
      <c r="J674" s="282" t="s">
        <v>156</v>
      </c>
      <c r="K674" s="286" t="s">
        <v>603</v>
      </c>
      <c r="L674" s="282" t="s">
        <v>574</v>
      </c>
      <c r="M674" s="287">
        <v>2400</v>
      </c>
      <c r="N674" s="287">
        <v>0</v>
      </c>
      <c r="O674" s="287">
        <v>0</v>
      </c>
      <c r="P674" s="287"/>
      <c r="Q674" s="288" t="s">
        <v>883</v>
      </c>
      <c r="R674" s="288" t="s">
        <v>883</v>
      </c>
      <c r="S674" s="288" t="s">
        <v>889</v>
      </c>
      <c r="T674" s="288"/>
      <c r="U674" s="288">
        <v>0</v>
      </c>
      <c r="V674" s="289">
        <v>220.11</v>
      </c>
      <c r="W674" s="289">
        <v>0</v>
      </c>
      <c r="X674" s="288">
        <v>9.166666666666666E-2</v>
      </c>
      <c r="Y674" s="288">
        <v>9.166666666666666E-2</v>
      </c>
      <c r="Z674" s="288">
        <v>4.5833333333333334E-5</v>
      </c>
      <c r="AA674" s="288">
        <v>0</v>
      </c>
      <c r="AB674" s="288">
        <v>0</v>
      </c>
      <c r="AC674" s="289">
        <v>9.1712499999999988E-2</v>
      </c>
      <c r="AD674" s="289">
        <v>0</v>
      </c>
    </row>
    <row r="675" spans="1:30" ht="15" customHeight="1" x14ac:dyDescent="0.25">
      <c r="A675" s="282" t="s">
        <v>581</v>
      </c>
      <c r="B675" s="282" t="s">
        <v>628</v>
      </c>
      <c r="C675" s="282" t="s">
        <v>629</v>
      </c>
      <c r="D675" s="286" t="s">
        <v>1169</v>
      </c>
      <c r="E675" s="404">
        <v>44525</v>
      </c>
      <c r="F675" s="404">
        <v>46351</v>
      </c>
      <c r="G675" s="286" t="s">
        <v>1063</v>
      </c>
      <c r="H675" s="282" t="s">
        <v>1064</v>
      </c>
      <c r="I675" s="282" t="s">
        <v>590</v>
      </c>
      <c r="J675" s="282" t="s">
        <v>156</v>
      </c>
      <c r="K675" s="286" t="s">
        <v>1065</v>
      </c>
      <c r="L675" s="282" t="s">
        <v>574</v>
      </c>
      <c r="M675" s="287">
        <v>2400</v>
      </c>
      <c r="N675" s="287">
        <v>0</v>
      </c>
      <c r="O675" s="287">
        <v>0</v>
      </c>
      <c r="P675" s="287"/>
      <c r="Q675" s="288" t="s">
        <v>672</v>
      </c>
      <c r="R675" s="288" t="s">
        <v>672</v>
      </c>
      <c r="S675" s="288" t="s">
        <v>1086</v>
      </c>
      <c r="T675" s="288"/>
      <c r="U675" s="288">
        <v>0</v>
      </c>
      <c r="V675" s="289">
        <v>208.1</v>
      </c>
      <c r="W675" s="289">
        <v>0</v>
      </c>
      <c r="X675" s="288">
        <v>8.666666666666667E-2</v>
      </c>
      <c r="Y675" s="288">
        <v>8.666666666666667E-2</v>
      </c>
      <c r="Z675" s="288">
        <v>4.1666666666666672E-5</v>
      </c>
      <c r="AA675" s="288">
        <v>0</v>
      </c>
      <c r="AB675" s="288">
        <v>0</v>
      </c>
      <c r="AC675" s="289">
        <v>8.6708333333333332E-2</v>
      </c>
      <c r="AD675" s="289">
        <v>0</v>
      </c>
    </row>
    <row r="676" spans="1:30" ht="15" customHeight="1" x14ac:dyDescent="0.25">
      <c r="A676" s="282" t="s">
        <v>581</v>
      </c>
      <c r="B676" s="282" t="s">
        <v>611</v>
      </c>
      <c r="C676" s="282" t="s">
        <v>612</v>
      </c>
      <c r="D676" s="286" t="s">
        <v>1170</v>
      </c>
      <c r="E676" s="404">
        <v>44525</v>
      </c>
      <c r="F676" s="404">
        <v>46351</v>
      </c>
      <c r="G676" s="286" t="s">
        <v>1063</v>
      </c>
      <c r="H676" s="282" t="s">
        <v>1064</v>
      </c>
      <c r="I676" s="282" t="s">
        <v>590</v>
      </c>
      <c r="J676" s="282" t="s">
        <v>156</v>
      </c>
      <c r="K676" s="286" t="s">
        <v>1065</v>
      </c>
      <c r="L676" s="282" t="s">
        <v>574</v>
      </c>
      <c r="M676" s="287">
        <v>2400</v>
      </c>
      <c r="N676" s="287">
        <v>0</v>
      </c>
      <c r="O676" s="287">
        <v>0</v>
      </c>
      <c r="P676" s="287"/>
      <c r="Q676" s="288" t="s">
        <v>1003</v>
      </c>
      <c r="R676" s="288" t="s">
        <v>1003</v>
      </c>
      <c r="S676" s="288" t="s">
        <v>889</v>
      </c>
      <c r="T676" s="288"/>
      <c r="U676" s="288">
        <v>0</v>
      </c>
      <c r="V676" s="289">
        <v>231.11</v>
      </c>
      <c r="W676" s="289">
        <v>0</v>
      </c>
      <c r="X676" s="288">
        <v>9.6250000000000002E-2</v>
      </c>
      <c r="Y676" s="288">
        <v>9.6250000000000002E-2</v>
      </c>
      <c r="Z676" s="288">
        <v>4.5833333333333334E-5</v>
      </c>
      <c r="AA676" s="288">
        <v>0</v>
      </c>
      <c r="AB676" s="288">
        <v>0</v>
      </c>
      <c r="AC676" s="289">
        <v>9.6295833333333331E-2</v>
      </c>
      <c r="AD676" s="289">
        <v>0</v>
      </c>
    </row>
    <row r="677" spans="1:30" ht="15" customHeight="1" x14ac:dyDescent="0.25">
      <c r="A677" s="282" t="s">
        <v>581</v>
      </c>
      <c r="B677" s="282" t="s">
        <v>628</v>
      </c>
      <c r="C677" s="282" t="s">
        <v>629</v>
      </c>
      <c r="D677" s="286" t="s">
        <v>1171</v>
      </c>
      <c r="E677" s="404">
        <v>44525</v>
      </c>
      <c r="F677" s="404">
        <v>46351</v>
      </c>
      <c r="G677" s="286" t="s">
        <v>1063</v>
      </c>
      <c r="H677" s="282" t="s">
        <v>1064</v>
      </c>
      <c r="I677" s="282" t="s">
        <v>590</v>
      </c>
      <c r="J677" s="282" t="s">
        <v>156</v>
      </c>
      <c r="K677" s="286" t="s">
        <v>1065</v>
      </c>
      <c r="L677" s="282" t="s">
        <v>574</v>
      </c>
      <c r="M677" s="287">
        <v>2400</v>
      </c>
      <c r="N677" s="287">
        <v>0</v>
      </c>
      <c r="O677" s="287">
        <v>0</v>
      </c>
      <c r="P677" s="287"/>
      <c r="Q677" s="288" t="s">
        <v>1089</v>
      </c>
      <c r="R677" s="288" t="s">
        <v>1089</v>
      </c>
      <c r="S677" s="288" t="s">
        <v>1086</v>
      </c>
      <c r="T677" s="288"/>
      <c r="U677" s="288">
        <v>0</v>
      </c>
      <c r="V677" s="289">
        <v>212.1</v>
      </c>
      <c r="W677" s="289">
        <v>0</v>
      </c>
      <c r="X677" s="288">
        <v>8.8333333333333333E-2</v>
      </c>
      <c r="Y677" s="288">
        <v>8.8333333333333333E-2</v>
      </c>
      <c r="Z677" s="288">
        <v>4.1666666666666672E-5</v>
      </c>
      <c r="AA677" s="288">
        <v>0</v>
      </c>
      <c r="AB677" s="288">
        <v>0</v>
      </c>
      <c r="AC677" s="289">
        <v>8.8374999999999995E-2</v>
      </c>
      <c r="AD677" s="289">
        <v>0</v>
      </c>
    </row>
    <row r="678" spans="1:30" ht="15" customHeight="1" x14ac:dyDescent="0.25">
      <c r="A678" s="282" t="s">
        <v>581</v>
      </c>
      <c r="B678" s="282" t="s">
        <v>594</v>
      </c>
      <c r="C678" s="282" t="s">
        <v>595</v>
      </c>
      <c r="D678" s="286" t="s">
        <v>1172</v>
      </c>
      <c r="E678" s="404">
        <v>44525</v>
      </c>
      <c r="F678" s="404">
        <v>46351</v>
      </c>
      <c r="G678" s="286" t="s">
        <v>1063</v>
      </c>
      <c r="H678" s="282" t="s">
        <v>1064</v>
      </c>
      <c r="I678" s="282" t="s">
        <v>590</v>
      </c>
      <c r="J678" s="282" t="s">
        <v>156</v>
      </c>
      <c r="K678" s="286" t="s">
        <v>1065</v>
      </c>
      <c r="L678" s="282" t="s">
        <v>574</v>
      </c>
      <c r="M678" s="287">
        <v>2400</v>
      </c>
      <c r="N678" s="287">
        <v>0</v>
      </c>
      <c r="O678" s="287">
        <v>0</v>
      </c>
      <c r="P678" s="287"/>
      <c r="Q678" s="288" t="s">
        <v>658</v>
      </c>
      <c r="R678" s="288" t="s">
        <v>658</v>
      </c>
      <c r="S678" s="288" t="s">
        <v>1173</v>
      </c>
      <c r="T678" s="288"/>
      <c r="U678" s="288">
        <v>0</v>
      </c>
      <c r="V678" s="289">
        <v>192.09</v>
      </c>
      <c r="W678" s="289">
        <v>0</v>
      </c>
      <c r="X678" s="288">
        <v>0.08</v>
      </c>
      <c r="Y678" s="288">
        <v>0.08</v>
      </c>
      <c r="Z678" s="288">
        <v>3.7499999999999997E-5</v>
      </c>
      <c r="AA678" s="288">
        <v>0</v>
      </c>
      <c r="AB678" s="288">
        <v>0</v>
      </c>
      <c r="AC678" s="289">
        <v>8.0037499999999998E-2</v>
      </c>
      <c r="AD678" s="289">
        <v>0</v>
      </c>
    </row>
    <row r="679" spans="1:30" ht="15" customHeight="1" x14ac:dyDescent="0.25">
      <c r="A679" s="282" t="s">
        <v>581</v>
      </c>
      <c r="B679" s="282" t="s">
        <v>628</v>
      </c>
      <c r="C679" s="282" t="s">
        <v>629</v>
      </c>
      <c r="D679" s="286" t="s">
        <v>1174</v>
      </c>
      <c r="E679" s="404">
        <v>44525</v>
      </c>
      <c r="F679" s="404">
        <v>46351</v>
      </c>
      <c r="G679" s="286" t="s">
        <v>1063</v>
      </c>
      <c r="H679" s="282" t="s">
        <v>1064</v>
      </c>
      <c r="I679" s="282" t="s">
        <v>590</v>
      </c>
      <c r="J679" s="282" t="s">
        <v>156</v>
      </c>
      <c r="K679" s="286" t="s">
        <v>1065</v>
      </c>
      <c r="L679" s="282" t="s">
        <v>574</v>
      </c>
      <c r="M679" s="287">
        <v>2400</v>
      </c>
      <c r="N679" s="287">
        <v>0</v>
      </c>
      <c r="O679" s="287">
        <v>0</v>
      </c>
      <c r="P679" s="287"/>
      <c r="Q679" s="288" t="s">
        <v>708</v>
      </c>
      <c r="R679" s="288" t="s">
        <v>708</v>
      </c>
      <c r="S679" s="288" t="s">
        <v>1086</v>
      </c>
      <c r="T679" s="288"/>
      <c r="U679" s="288">
        <v>0</v>
      </c>
      <c r="V679" s="289">
        <v>217.1</v>
      </c>
      <c r="W679" s="289">
        <v>0</v>
      </c>
      <c r="X679" s="288">
        <v>9.0416666666666673E-2</v>
      </c>
      <c r="Y679" s="288">
        <v>9.0416666666666673E-2</v>
      </c>
      <c r="Z679" s="288">
        <v>4.1666666666666672E-5</v>
      </c>
      <c r="AA679" s="288">
        <v>0</v>
      </c>
      <c r="AB679" s="288">
        <v>0</v>
      </c>
      <c r="AC679" s="289">
        <v>9.0458333333333335E-2</v>
      </c>
      <c r="AD679" s="289">
        <v>0</v>
      </c>
    </row>
    <row r="680" spans="1:30" ht="15" customHeight="1" x14ac:dyDescent="0.25">
      <c r="A680" s="282" t="s">
        <v>581</v>
      </c>
      <c r="B680" s="282" t="s">
        <v>594</v>
      </c>
      <c r="C680" s="282" t="s">
        <v>595</v>
      </c>
      <c r="D680" s="286" t="s">
        <v>1175</v>
      </c>
      <c r="E680" s="404">
        <v>44525</v>
      </c>
      <c r="F680" s="404">
        <v>46351</v>
      </c>
      <c r="G680" s="286" t="s">
        <v>1063</v>
      </c>
      <c r="H680" s="282" t="s">
        <v>1064</v>
      </c>
      <c r="I680" s="282" t="s">
        <v>590</v>
      </c>
      <c r="J680" s="282" t="s">
        <v>156</v>
      </c>
      <c r="K680" s="286" t="s">
        <v>1065</v>
      </c>
      <c r="L680" s="282" t="s">
        <v>574</v>
      </c>
      <c r="M680" s="287">
        <v>2400</v>
      </c>
      <c r="N680" s="287">
        <v>0</v>
      </c>
      <c r="O680" s="287">
        <v>0</v>
      </c>
      <c r="P680" s="287"/>
      <c r="Q680" s="288" t="s">
        <v>848</v>
      </c>
      <c r="R680" s="288" t="s">
        <v>848</v>
      </c>
      <c r="S680" s="288" t="s">
        <v>1173</v>
      </c>
      <c r="T680" s="288"/>
      <c r="U680" s="288">
        <v>0</v>
      </c>
      <c r="V680" s="289">
        <v>198.09</v>
      </c>
      <c r="W680" s="289">
        <v>0</v>
      </c>
      <c r="X680" s="288">
        <v>8.2500000000000004E-2</v>
      </c>
      <c r="Y680" s="288">
        <v>8.2500000000000004E-2</v>
      </c>
      <c r="Z680" s="288">
        <v>3.7499999999999997E-5</v>
      </c>
      <c r="AA680" s="288">
        <v>0</v>
      </c>
      <c r="AB680" s="288">
        <v>0</v>
      </c>
      <c r="AC680" s="289">
        <v>8.25375E-2</v>
      </c>
      <c r="AD680" s="289">
        <v>0</v>
      </c>
    </row>
    <row r="681" spans="1:30" ht="15" customHeight="1" x14ac:dyDescent="0.25">
      <c r="A681" s="282" t="s">
        <v>581</v>
      </c>
      <c r="B681" s="282" t="s">
        <v>611</v>
      </c>
      <c r="C681" s="282" t="s">
        <v>612</v>
      </c>
      <c r="D681" s="286" t="s">
        <v>1176</v>
      </c>
      <c r="E681" s="404">
        <v>44525</v>
      </c>
      <c r="F681" s="404">
        <v>46351</v>
      </c>
      <c r="G681" s="286" t="s">
        <v>1063</v>
      </c>
      <c r="H681" s="282" t="s">
        <v>1064</v>
      </c>
      <c r="I681" s="282" t="s">
        <v>590</v>
      </c>
      <c r="J681" s="282" t="s">
        <v>156</v>
      </c>
      <c r="K681" s="286" t="s">
        <v>1065</v>
      </c>
      <c r="L681" s="282" t="s">
        <v>574</v>
      </c>
      <c r="M681" s="287">
        <v>2400</v>
      </c>
      <c r="N681" s="287">
        <v>0</v>
      </c>
      <c r="O681" s="287">
        <v>0</v>
      </c>
      <c r="P681" s="287"/>
      <c r="Q681" s="288" t="s">
        <v>701</v>
      </c>
      <c r="R681" s="288" t="s">
        <v>701</v>
      </c>
      <c r="S681" s="288" t="s">
        <v>1086</v>
      </c>
      <c r="T681" s="288"/>
      <c r="U681" s="288">
        <v>0</v>
      </c>
      <c r="V681" s="289">
        <v>222.1</v>
      </c>
      <c r="W681" s="289">
        <v>0</v>
      </c>
      <c r="X681" s="288">
        <v>9.2499999999999999E-2</v>
      </c>
      <c r="Y681" s="288">
        <v>9.2499999999999999E-2</v>
      </c>
      <c r="Z681" s="288">
        <v>4.1666666666666672E-5</v>
      </c>
      <c r="AA681" s="288">
        <v>0</v>
      </c>
      <c r="AB681" s="288">
        <v>0</v>
      </c>
      <c r="AC681" s="289">
        <v>9.2541666666666661E-2</v>
      </c>
      <c r="AD681" s="289">
        <v>0</v>
      </c>
    </row>
    <row r="682" spans="1:30" ht="15" customHeight="1" x14ac:dyDescent="0.25">
      <c r="A682" s="282" t="s">
        <v>581</v>
      </c>
      <c r="B682" s="282" t="s">
        <v>616</v>
      </c>
      <c r="C682" s="282" t="s">
        <v>617</v>
      </c>
      <c r="D682" s="283" t="s">
        <v>1177</v>
      </c>
      <c r="E682" s="404">
        <v>45016</v>
      </c>
      <c r="F682" s="404">
        <v>46843</v>
      </c>
      <c r="G682" s="286" t="s">
        <v>854</v>
      </c>
      <c r="H682" s="282" t="s">
        <v>855</v>
      </c>
      <c r="I682" s="282" t="s">
        <v>590</v>
      </c>
      <c r="J682" s="282" t="s">
        <v>156</v>
      </c>
      <c r="K682" s="286" t="s">
        <v>856</v>
      </c>
      <c r="L682" s="282" t="s">
        <v>574</v>
      </c>
      <c r="M682" s="287">
        <v>2400</v>
      </c>
      <c r="N682" s="287">
        <v>0</v>
      </c>
      <c r="O682" s="287">
        <v>0</v>
      </c>
      <c r="P682" s="287"/>
      <c r="Q682" s="288">
        <v>513</v>
      </c>
      <c r="R682" s="288">
        <v>513</v>
      </c>
      <c r="S682" s="288">
        <v>0.214</v>
      </c>
      <c r="T682" s="288"/>
      <c r="U682" s="288">
        <v>0</v>
      </c>
      <c r="V682" s="289">
        <v>513.21400000000006</v>
      </c>
      <c r="W682" s="289">
        <v>0</v>
      </c>
      <c r="X682" s="288">
        <v>0.21375</v>
      </c>
      <c r="Y682" s="288">
        <v>0.21375</v>
      </c>
      <c r="Z682" s="288">
        <v>8.9166666666666661E-5</v>
      </c>
      <c r="AA682" s="288">
        <v>0</v>
      </c>
      <c r="AB682" s="288">
        <v>0</v>
      </c>
      <c r="AC682" s="289">
        <v>0.21383916666666666</v>
      </c>
      <c r="AD682" s="289">
        <v>0</v>
      </c>
    </row>
    <row r="683" spans="1:30" ht="15" customHeight="1" x14ac:dyDescent="0.25">
      <c r="A683" s="282" t="s">
        <v>581</v>
      </c>
      <c r="B683" s="282" t="s">
        <v>585</v>
      </c>
      <c r="C683" s="282" t="s">
        <v>586</v>
      </c>
      <c r="D683" s="283" t="s">
        <v>1178</v>
      </c>
      <c r="E683" s="404">
        <v>45056</v>
      </c>
      <c r="F683" s="404">
        <v>46883</v>
      </c>
      <c r="G683" s="286" t="s">
        <v>286</v>
      </c>
      <c r="H683" s="282" t="s">
        <v>759</v>
      </c>
      <c r="I683" s="282" t="s">
        <v>590</v>
      </c>
      <c r="J683" s="282" t="s">
        <v>156</v>
      </c>
      <c r="K683" s="286" t="s">
        <v>760</v>
      </c>
      <c r="L683" s="282" t="s">
        <v>574</v>
      </c>
      <c r="M683" s="287">
        <v>2400</v>
      </c>
      <c r="N683" s="287">
        <v>0</v>
      </c>
      <c r="O683" s="287">
        <v>0</v>
      </c>
      <c r="P683" s="287"/>
      <c r="Q683" s="288">
        <v>211</v>
      </c>
      <c r="R683" s="288" t="s">
        <v>1179</v>
      </c>
      <c r="S683" s="288">
        <v>8.3500000000000005E-2</v>
      </c>
      <c r="T683" s="288"/>
      <c r="U683" s="288">
        <v>0</v>
      </c>
      <c r="V683" s="289">
        <v>211.08349999999999</v>
      </c>
      <c r="W683" s="289">
        <v>0</v>
      </c>
      <c r="X683" s="288">
        <v>8.7916666666666671E-2</v>
      </c>
      <c r="Y683" s="288">
        <v>8.7916666666666671E-2</v>
      </c>
      <c r="Z683" s="288">
        <v>3.4791666666666668E-5</v>
      </c>
      <c r="AA683" s="288">
        <v>0</v>
      </c>
      <c r="AB683" s="288">
        <v>0</v>
      </c>
      <c r="AC683" s="289">
        <v>8.7951458333333343E-2</v>
      </c>
      <c r="AD683" s="289">
        <v>0</v>
      </c>
    </row>
    <row r="684" spans="1:30" ht="15" customHeight="1" x14ac:dyDescent="0.25">
      <c r="A684" s="282" t="s">
        <v>581</v>
      </c>
      <c r="B684" s="282" t="s">
        <v>585</v>
      </c>
      <c r="C684" s="282" t="s">
        <v>586</v>
      </c>
      <c r="D684" s="283" t="s">
        <v>1180</v>
      </c>
      <c r="E684" s="404">
        <v>45016</v>
      </c>
      <c r="F684" s="404">
        <v>46843</v>
      </c>
      <c r="G684" s="286" t="s">
        <v>854</v>
      </c>
      <c r="H684" s="282" t="s">
        <v>855</v>
      </c>
      <c r="I684" s="282" t="s">
        <v>590</v>
      </c>
      <c r="J684" s="282" t="s">
        <v>156</v>
      </c>
      <c r="K684" s="286" t="s">
        <v>856</v>
      </c>
      <c r="L684" s="282" t="s">
        <v>574</v>
      </c>
      <c r="M684" s="287">
        <v>2400</v>
      </c>
      <c r="N684" s="287">
        <v>0</v>
      </c>
      <c r="O684" s="287">
        <v>0</v>
      </c>
      <c r="P684" s="287"/>
      <c r="Q684" s="288">
        <v>406</v>
      </c>
      <c r="R684" s="288">
        <v>406</v>
      </c>
      <c r="S684" s="288">
        <v>0.159</v>
      </c>
      <c r="T684" s="288"/>
      <c r="U684" s="288">
        <v>0</v>
      </c>
      <c r="V684" s="289">
        <v>406.15899999999999</v>
      </c>
      <c r="W684" s="289">
        <v>0</v>
      </c>
      <c r="X684" s="288">
        <v>0.16916666666666666</v>
      </c>
      <c r="Y684" s="288">
        <v>0.16916666666666666</v>
      </c>
      <c r="Z684" s="288">
        <v>6.6249999999999998E-5</v>
      </c>
      <c r="AA684" s="288">
        <v>0</v>
      </c>
      <c r="AB684" s="288">
        <v>0</v>
      </c>
      <c r="AC684" s="289">
        <v>0.16923291666666665</v>
      </c>
      <c r="AD684" s="289">
        <v>0</v>
      </c>
    </row>
    <row r="685" spans="1:30" ht="15" customHeight="1" x14ac:dyDescent="0.25">
      <c r="A685" s="282" t="s">
        <v>581</v>
      </c>
      <c r="B685" s="282" t="s">
        <v>616</v>
      </c>
      <c r="C685" s="282" t="s">
        <v>617</v>
      </c>
      <c r="D685" s="283" t="s">
        <v>1181</v>
      </c>
      <c r="E685" s="404">
        <v>45016</v>
      </c>
      <c r="F685" s="404">
        <v>46843</v>
      </c>
      <c r="G685" s="286" t="s">
        <v>854</v>
      </c>
      <c r="H685" s="282" t="s">
        <v>855</v>
      </c>
      <c r="I685" s="282" t="s">
        <v>590</v>
      </c>
      <c r="J685" s="282" t="s">
        <v>156</v>
      </c>
      <c r="K685" s="286" t="s">
        <v>856</v>
      </c>
      <c r="L685" s="282" t="s">
        <v>574</v>
      </c>
      <c r="M685" s="287">
        <v>2400</v>
      </c>
      <c r="N685" s="287">
        <v>0</v>
      </c>
      <c r="O685" s="287">
        <v>0</v>
      </c>
      <c r="P685" s="287"/>
      <c r="Q685" s="288">
        <v>609</v>
      </c>
      <c r="R685" s="288">
        <v>609</v>
      </c>
      <c r="S685" s="288">
        <v>0.23300000000000001</v>
      </c>
      <c r="T685" s="288"/>
      <c r="U685" s="288">
        <v>0</v>
      </c>
      <c r="V685" s="289">
        <v>609.23299999999995</v>
      </c>
      <c r="W685" s="289">
        <v>0</v>
      </c>
      <c r="X685" s="288">
        <v>0.25374999999999998</v>
      </c>
      <c r="Y685" s="288">
        <v>0.25374999999999998</v>
      </c>
      <c r="Z685" s="288">
        <v>9.708333333333334E-5</v>
      </c>
      <c r="AA685" s="288">
        <v>0</v>
      </c>
      <c r="AB685" s="288">
        <v>0</v>
      </c>
      <c r="AC685" s="289">
        <v>0.25384708333333333</v>
      </c>
      <c r="AD685" s="289">
        <v>0</v>
      </c>
    </row>
    <row r="686" spans="1:30" ht="15" customHeight="1" x14ac:dyDescent="0.25">
      <c r="A686" s="282" t="s">
        <v>581</v>
      </c>
      <c r="B686" s="282" t="s">
        <v>585</v>
      </c>
      <c r="C686" s="282" t="s">
        <v>586</v>
      </c>
      <c r="D686" s="283" t="s">
        <v>1182</v>
      </c>
      <c r="E686" s="404">
        <v>45016</v>
      </c>
      <c r="F686" s="404">
        <v>46843</v>
      </c>
      <c r="G686" s="286" t="s">
        <v>854</v>
      </c>
      <c r="H686" s="282" t="s">
        <v>855</v>
      </c>
      <c r="I686" s="282" t="s">
        <v>590</v>
      </c>
      <c r="J686" s="282" t="s">
        <v>156</v>
      </c>
      <c r="K686" s="286" t="s">
        <v>856</v>
      </c>
      <c r="L686" s="282" t="s">
        <v>574</v>
      </c>
      <c r="M686" s="287">
        <v>2400</v>
      </c>
      <c r="N686" s="287">
        <v>0</v>
      </c>
      <c r="O686" s="287">
        <v>0</v>
      </c>
      <c r="P686" s="287"/>
      <c r="Q686" s="288">
        <v>545</v>
      </c>
      <c r="R686" s="288">
        <v>545</v>
      </c>
      <c r="S686" s="288">
        <v>0.20300000000000001</v>
      </c>
      <c r="T686" s="288"/>
      <c r="U686" s="288">
        <v>0</v>
      </c>
      <c r="V686" s="289">
        <v>545.20299999999997</v>
      </c>
      <c r="W686" s="289">
        <v>0</v>
      </c>
      <c r="X686" s="288">
        <v>0.22708333333333333</v>
      </c>
      <c r="Y686" s="288">
        <v>0.22708333333333333</v>
      </c>
      <c r="Z686" s="288">
        <v>8.4583333333333334E-5</v>
      </c>
      <c r="AA686" s="288">
        <v>0</v>
      </c>
      <c r="AB686" s="288">
        <v>0</v>
      </c>
      <c r="AC686" s="289">
        <v>0.22716791666666666</v>
      </c>
      <c r="AD686" s="289">
        <v>0</v>
      </c>
    </row>
    <row r="687" spans="1:30" ht="15" customHeight="1" x14ac:dyDescent="0.25">
      <c r="A687" s="282" t="s">
        <v>581</v>
      </c>
      <c r="B687" s="282" t="s">
        <v>611</v>
      </c>
      <c r="C687" s="282" t="s">
        <v>612</v>
      </c>
      <c r="D687" s="283" t="s">
        <v>1183</v>
      </c>
      <c r="E687" s="404">
        <v>45016</v>
      </c>
      <c r="F687" s="404">
        <v>46843</v>
      </c>
      <c r="G687" s="286" t="s">
        <v>854</v>
      </c>
      <c r="H687" s="282" t="s">
        <v>855</v>
      </c>
      <c r="I687" s="282" t="s">
        <v>590</v>
      </c>
      <c r="J687" s="282" t="s">
        <v>156</v>
      </c>
      <c r="K687" s="286" t="s">
        <v>856</v>
      </c>
      <c r="L687" s="282" t="s">
        <v>574</v>
      </c>
      <c r="M687" s="287">
        <v>2400</v>
      </c>
      <c r="N687" s="287">
        <v>0</v>
      </c>
      <c r="O687" s="287">
        <v>0</v>
      </c>
      <c r="P687" s="287"/>
      <c r="Q687" s="288">
        <v>342</v>
      </c>
      <c r="R687" s="288">
        <v>342</v>
      </c>
      <c r="S687" s="288">
        <v>0.127</v>
      </c>
      <c r="T687" s="288"/>
      <c r="U687" s="288">
        <v>0</v>
      </c>
      <c r="V687" s="289">
        <v>342.12700000000001</v>
      </c>
      <c r="W687" s="289">
        <v>0</v>
      </c>
      <c r="X687" s="288">
        <v>0.14249999999999999</v>
      </c>
      <c r="Y687" s="288">
        <v>0.14249999999999999</v>
      </c>
      <c r="Z687" s="288">
        <v>5.2916666666666668E-5</v>
      </c>
      <c r="AA687" s="288">
        <v>0</v>
      </c>
      <c r="AB687" s="288">
        <v>0</v>
      </c>
      <c r="AC687" s="289">
        <v>0.14255291666666667</v>
      </c>
      <c r="AD687" s="289">
        <v>0</v>
      </c>
    </row>
    <row r="688" spans="1:30" ht="15" customHeight="1" x14ac:dyDescent="0.25">
      <c r="A688" s="282" t="s">
        <v>581</v>
      </c>
      <c r="B688" s="282" t="s">
        <v>611</v>
      </c>
      <c r="C688" s="282" t="s">
        <v>612</v>
      </c>
      <c r="D688" s="283" t="s">
        <v>1184</v>
      </c>
      <c r="E688" s="404">
        <v>45016</v>
      </c>
      <c r="F688" s="404">
        <v>46843</v>
      </c>
      <c r="G688" s="286" t="s">
        <v>854</v>
      </c>
      <c r="H688" s="282" t="s">
        <v>855</v>
      </c>
      <c r="I688" s="282" t="s">
        <v>590</v>
      </c>
      <c r="J688" s="282" t="s">
        <v>156</v>
      </c>
      <c r="K688" s="286" t="s">
        <v>856</v>
      </c>
      <c r="L688" s="282" t="s">
        <v>574</v>
      </c>
      <c r="M688" s="287">
        <v>2400</v>
      </c>
      <c r="N688" s="287">
        <v>0</v>
      </c>
      <c r="O688" s="287">
        <v>0</v>
      </c>
      <c r="P688" s="287"/>
      <c r="Q688" s="288">
        <v>459</v>
      </c>
      <c r="R688" s="288">
        <v>459</v>
      </c>
      <c r="S688" s="288">
        <v>0.16600000000000001</v>
      </c>
      <c r="T688" s="288"/>
      <c r="U688" s="288">
        <v>0</v>
      </c>
      <c r="V688" s="289">
        <v>459.166</v>
      </c>
      <c r="W688" s="289">
        <v>0</v>
      </c>
      <c r="X688" s="288">
        <v>0.19125</v>
      </c>
      <c r="Y688" s="288">
        <v>0.19125</v>
      </c>
      <c r="Z688" s="288">
        <v>6.9166666666666676E-5</v>
      </c>
      <c r="AA688" s="288">
        <v>0</v>
      </c>
      <c r="AB688" s="288">
        <v>0</v>
      </c>
      <c r="AC688" s="289">
        <v>0.19131916666666668</v>
      </c>
      <c r="AD688" s="289">
        <v>0</v>
      </c>
    </row>
    <row r="689" spans="1:30" ht="15" customHeight="1" x14ac:dyDescent="0.25">
      <c r="A689" s="282" t="s">
        <v>581</v>
      </c>
      <c r="B689" s="282" t="s">
        <v>628</v>
      </c>
      <c r="C689" s="282" t="s">
        <v>629</v>
      </c>
      <c r="D689" s="283" t="s">
        <v>1185</v>
      </c>
      <c r="E689" s="404">
        <v>45016</v>
      </c>
      <c r="F689" s="404">
        <v>46843</v>
      </c>
      <c r="G689" s="286" t="s">
        <v>854</v>
      </c>
      <c r="H689" s="282" t="s">
        <v>855</v>
      </c>
      <c r="I689" s="282" t="s">
        <v>590</v>
      </c>
      <c r="J689" s="282" t="s">
        <v>156</v>
      </c>
      <c r="K689" s="286" t="s">
        <v>856</v>
      </c>
      <c r="L689" s="282" t="s">
        <v>574</v>
      </c>
      <c r="M689" s="287">
        <v>2400</v>
      </c>
      <c r="N689" s="287">
        <v>0</v>
      </c>
      <c r="O689" s="287">
        <v>0</v>
      </c>
      <c r="P689" s="287"/>
      <c r="Q689" s="288">
        <v>388</v>
      </c>
      <c r="R689" s="288">
        <v>388</v>
      </c>
      <c r="S689" s="288">
        <v>0.13700000000000001</v>
      </c>
      <c r="T689" s="288"/>
      <c r="U689" s="288">
        <v>0</v>
      </c>
      <c r="V689" s="289">
        <v>388.137</v>
      </c>
      <c r="W689" s="289">
        <v>0</v>
      </c>
      <c r="X689" s="288">
        <v>0.16166666666666665</v>
      </c>
      <c r="Y689" s="288">
        <v>0.16166666666666665</v>
      </c>
      <c r="Z689" s="288">
        <v>5.7083333333333336E-5</v>
      </c>
      <c r="AA689" s="288">
        <v>0</v>
      </c>
      <c r="AB689" s="288">
        <v>0</v>
      </c>
      <c r="AC689" s="289">
        <v>0.16172375</v>
      </c>
      <c r="AD689" s="289">
        <v>0</v>
      </c>
    </row>
    <row r="690" spans="1:30" ht="15" customHeight="1" x14ac:dyDescent="0.25">
      <c r="A690" s="282" t="s">
        <v>581</v>
      </c>
      <c r="B690" s="282" t="s">
        <v>594</v>
      </c>
      <c r="C690" s="282" t="s">
        <v>595</v>
      </c>
      <c r="D690" s="283" t="s">
        <v>1186</v>
      </c>
      <c r="E690" s="404">
        <v>45016</v>
      </c>
      <c r="F690" s="404">
        <v>46843</v>
      </c>
      <c r="G690" s="286" t="s">
        <v>854</v>
      </c>
      <c r="H690" s="282" t="s">
        <v>855</v>
      </c>
      <c r="I690" s="282" t="s">
        <v>590</v>
      </c>
      <c r="J690" s="282" t="s">
        <v>156</v>
      </c>
      <c r="K690" s="286" t="s">
        <v>856</v>
      </c>
      <c r="L690" s="282" t="s">
        <v>574</v>
      </c>
      <c r="M690" s="287">
        <v>2400</v>
      </c>
      <c r="N690" s="287">
        <v>0</v>
      </c>
      <c r="O690" s="287">
        <v>0</v>
      </c>
      <c r="P690" s="287"/>
      <c r="Q690" s="288">
        <v>364</v>
      </c>
      <c r="R690" s="288">
        <v>364</v>
      </c>
      <c r="S690" s="288">
        <v>0.126</v>
      </c>
      <c r="T690" s="288"/>
      <c r="U690" s="288">
        <v>0</v>
      </c>
      <c r="V690" s="289">
        <v>364.12599999999998</v>
      </c>
      <c r="W690" s="289">
        <v>0</v>
      </c>
      <c r="X690" s="288">
        <v>0.15166666666666667</v>
      </c>
      <c r="Y690" s="288">
        <v>0.15166666666666667</v>
      </c>
      <c r="Z690" s="288">
        <v>5.2500000000000002E-5</v>
      </c>
      <c r="AA690" s="288">
        <v>0</v>
      </c>
      <c r="AB690" s="288">
        <v>0</v>
      </c>
      <c r="AC690" s="289">
        <v>0.15171916666666668</v>
      </c>
      <c r="AD690" s="289">
        <v>0</v>
      </c>
    </row>
    <row r="691" spans="1:30" ht="15" customHeight="1" x14ac:dyDescent="0.25">
      <c r="A691" s="282" t="s">
        <v>581</v>
      </c>
      <c r="B691" s="282" t="s">
        <v>628</v>
      </c>
      <c r="C691" s="282" t="s">
        <v>629</v>
      </c>
      <c r="D691" s="283" t="s">
        <v>1187</v>
      </c>
      <c r="E691" s="404">
        <v>45016</v>
      </c>
      <c r="F691" s="404">
        <v>46843</v>
      </c>
      <c r="G691" s="286" t="s">
        <v>854</v>
      </c>
      <c r="H691" s="282" t="s">
        <v>855</v>
      </c>
      <c r="I691" s="282" t="s">
        <v>590</v>
      </c>
      <c r="J691" s="282" t="s">
        <v>156</v>
      </c>
      <c r="K691" s="286" t="s">
        <v>856</v>
      </c>
      <c r="L691" s="282" t="s">
        <v>574</v>
      </c>
      <c r="M691" s="287">
        <v>2400</v>
      </c>
      <c r="N691" s="287">
        <v>0</v>
      </c>
      <c r="O691" s="287">
        <v>0</v>
      </c>
      <c r="P691" s="287"/>
      <c r="Q691" s="288">
        <v>298</v>
      </c>
      <c r="R691" s="288">
        <v>298</v>
      </c>
      <c r="S691" s="288">
        <v>9.4299999999999995E-2</v>
      </c>
      <c r="T691" s="288"/>
      <c r="U691" s="288">
        <v>0</v>
      </c>
      <c r="V691" s="289">
        <v>298.09429999999998</v>
      </c>
      <c r="W691" s="289">
        <v>0</v>
      </c>
      <c r="X691" s="288">
        <v>0.12416666666666666</v>
      </c>
      <c r="Y691" s="288">
        <v>0.12416666666666666</v>
      </c>
      <c r="Z691" s="288">
        <v>3.9291666666666662E-5</v>
      </c>
      <c r="AA691" s="288">
        <v>0</v>
      </c>
      <c r="AB691" s="288">
        <v>0</v>
      </c>
      <c r="AC691" s="289">
        <v>0.12420595833333332</v>
      </c>
      <c r="AD691" s="289">
        <v>0</v>
      </c>
    </row>
    <row r="692" spans="1:30" ht="15" customHeight="1" x14ac:dyDescent="0.25">
      <c r="A692" s="282" t="s">
        <v>581</v>
      </c>
      <c r="B692" s="282" t="s">
        <v>611</v>
      </c>
      <c r="C692" s="282" t="s">
        <v>612</v>
      </c>
      <c r="D692" s="283" t="s">
        <v>1188</v>
      </c>
      <c r="E692" s="404">
        <v>45056</v>
      </c>
      <c r="F692" s="404">
        <v>46883</v>
      </c>
      <c r="G692" s="286" t="s">
        <v>286</v>
      </c>
      <c r="H692" s="282" t="s">
        <v>759</v>
      </c>
      <c r="I692" s="282" t="s">
        <v>590</v>
      </c>
      <c r="J692" s="282" t="s">
        <v>156</v>
      </c>
      <c r="K692" s="286" t="s">
        <v>760</v>
      </c>
      <c r="L692" s="282" t="s">
        <v>574</v>
      </c>
      <c r="M692" s="287">
        <v>2400</v>
      </c>
      <c r="N692" s="287">
        <v>0</v>
      </c>
      <c r="O692" s="287">
        <v>0</v>
      </c>
      <c r="P692" s="287"/>
      <c r="Q692" s="288">
        <v>179</v>
      </c>
      <c r="R692" s="288" t="s">
        <v>1021</v>
      </c>
      <c r="S692" s="288">
        <v>5.4899999999999997E-2</v>
      </c>
      <c r="T692" s="288"/>
      <c r="U692" s="288">
        <v>0</v>
      </c>
      <c r="V692" s="289">
        <v>179.0549</v>
      </c>
      <c r="W692" s="289">
        <v>0</v>
      </c>
      <c r="X692" s="288">
        <v>7.4583333333333335E-2</v>
      </c>
      <c r="Y692" s="288">
        <v>7.4583333333333335E-2</v>
      </c>
      <c r="Z692" s="288">
        <v>2.2875E-5</v>
      </c>
      <c r="AA692" s="288">
        <v>0</v>
      </c>
      <c r="AB692" s="288">
        <v>0</v>
      </c>
      <c r="AC692" s="289">
        <v>7.460620833333334E-2</v>
      </c>
      <c r="AD692" s="289">
        <v>0</v>
      </c>
    </row>
    <row r="693" spans="1:30" ht="15" customHeight="1" x14ac:dyDescent="0.25">
      <c r="A693" s="282" t="s">
        <v>581</v>
      </c>
      <c r="B693" s="282" t="s">
        <v>839</v>
      </c>
      <c r="C693" s="282" t="s">
        <v>840</v>
      </c>
      <c r="D693" s="283" t="s">
        <v>1189</v>
      </c>
      <c r="E693" s="404">
        <v>45056</v>
      </c>
      <c r="F693" s="404">
        <v>46883</v>
      </c>
      <c r="G693" s="286" t="s">
        <v>286</v>
      </c>
      <c r="H693" s="282" t="s">
        <v>759</v>
      </c>
      <c r="I693" s="282" t="s">
        <v>590</v>
      </c>
      <c r="J693" s="282" t="s">
        <v>156</v>
      </c>
      <c r="K693" s="286" t="s">
        <v>760</v>
      </c>
      <c r="L693" s="282" t="s">
        <v>574</v>
      </c>
      <c r="M693" s="287">
        <v>2400</v>
      </c>
      <c r="N693" s="287">
        <v>0</v>
      </c>
      <c r="O693" s="287">
        <v>0</v>
      </c>
      <c r="P693" s="287"/>
      <c r="Q693" s="288">
        <v>457</v>
      </c>
      <c r="R693" s="288" t="s">
        <v>1190</v>
      </c>
      <c r="S693" s="288">
        <v>0.128</v>
      </c>
      <c r="T693" s="288"/>
      <c r="U693" s="288">
        <v>0</v>
      </c>
      <c r="V693" s="289">
        <v>457.12799999999999</v>
      </c>
      <c r="W693" s="289">
        <v>0</v>
      </c>
      <c r="X693" s="288">
        <v>0.19041666666666668</v>
      </c>
      <c r="Y693" s="288">
        <v>0.19041666666666668</v>
      </c>
      <c r="Z693" s="288">
        <v>5.3333333333333333E-5</v>
      </c>
      <c r="AA693" s="288">
        <v>0</v>
      </c>
      <c r="AB693" s="288">
        <v>0</v>
      </c>
      <c r="AC693" s="289">
        <v>0.19047</v>
      </c>
      <c r="AD693" s="289">
        <v>0</v>
      </c>
    </row>
    <row r="694" spans="1:30" ht="15" customHeight="1" x14ac:dyDescent="0.25">
      <c r="A694" s="282" t="s">
        <v>581</v>
      </c>
      <c r="B694" s="282" t="s">
        <v>585</v>
      </c>
      <c r="C694" s="282" t="s">
        <v>586</v>
      </c>
      <c r="D694" s="283" t="s">
        <v>1191</v>
      </c>
      <c r="E694" s="404">
        <v>45056</v>
      </c>
      <c r="F694" s="404">
        <v>46883</v>
      </c>
      <c r="G694" s="286" t="s">
        <v>286</v>
      </c>
      <c r="H694" s="282" t="s">
        <v>759</v>
      </c>
      <c r="I694" s="282" t="s">
        <v>590</v>
      </c>
      <c r="J694" s="282" t="s">
        <v>156</v>
      </c>
      <c r="K694" s="286" t="s">
        <v>760</v>
      </c>
      <c r="L694" s="282" t="s">
        <v>574</v>
      </c>
      <c r="M694" s="287">
        <v>2400</v>
      </c>
      <c r="N694" s="287">
        <v>0</v>
      </c>
      <c r="O694" s="287">
        <v>0</v>
      </c>
      <c r="P694" s="287"/>
      <c r="Q694" s="288">
        <v>257</v>
      </c>
      <c r="R694" s="288" t="s">
        <v>1166</v>
      </c>
      <c r="S694" s="288">
        <v>7.0300000000000001E-2</v>
      </c>
      <c r="T694" s="288"/>
      <c r="U694" s="288">
        <v>0</v>
      </c>
      <c r="V694" s="289">
        <v>257.07029999999997</v>
      </c>
      <c r="W694" s="289">
        <v>0</v>
      </c>
      <c r="X694" s="288">
        <v>0.10708333333333334</v>
      </c>
      <c r="Y694" s="288">
        <v>0.10708333333333334</v>
      </c>
      <c r="Z694" s="288">
        <v>2.9291666666666666E-5</v>
      </c>
      <c r="AA694" s="288">
        <v>0</v>
      </c>
      <c r="AB694" s="288">
        <v>0</v>
      </c>
      <c r="AC694" s="289">
        <v>0.107112625</v>
      </c>
      <c r="AD694" s="289">
        <v>0</v>
      </c>
    </row>
    <row r="695" spans="1:30" ht="15" customHeight="1" x14ac:dyDescent="0.25">
      <c r="A695" s="282" t="s">
        <v>581</v>
      </c>
      <c r="B695" s="282" t="s">
        <v>628</v>
      </c>
      <c r="C695" s="282" t="s">
        <v>629</v>
      </c>
      <c r="D695" s="283" t="s">
        <v>1192</v>
      </c>
      <c r="E695" s="404">
        <v>44910</v>
      </c>
      <c r="F695" s="404">
        <v>46736</v>
      </c>
      <c r="G695" s="286" t="s">
        <v>608</v>
      </c>
      <c r="H695" s="282" t="s">
        <v>609</v>
      </c>
      <c r="I695" s="282" t="s">
        <v>590</v>
      </c>
      <c r="J695" s="282" t="s">
        <v>156</v>
      </c>
      <c r="K695" s="286" t="s">
        <v>610</v>
      </c>
      <c r="L695" s="282" t="s">
        <v>574</v>
      </c>
      <c r="M695" s="287">
        <v>2400</v>
      </c>
      <c r="N695" s="287">
        <v>0</v>
      </c>
      <c r="O695" s="287">
        <v>0</v>
      </c>
      <c r="P695" s="287"/>
      <c r="Q695" s="288">
        <v>330</v>
      </c>
      <c r="R695" s="288">
        <v>326</v>
      </c>
      <c r="S695" s="288">
        <v>4.09</v>
      </c>
      <c r="T695" s="288"/>
      <c r="U695" s="288">
        <v>0</v>
      </c>
      <c r="V695" s="289">
        <v>330.09</v>
      </c>
      <c r="W695" s="289">
        <v>0</v>
      </c>
      <c r="X695" s="288">
        <v>0.13750000000000001</v>
      </c>
      <c r="Y695" s="288">
        <v>0.13583333333333333</v>
      </c>
      <c r="Z695" s="288">
        <v>1.7041666666666665E-3</v>
      </c>
      <c r="AA695" s="288">
        <v>0</v>
      </c>
      <c r="AB695" s="288">
        <v>0</v>
      </c>
      <c r="AC695" s="289">
        <v>0.13753750000000001</v>
      </c>
      <c r="AD695" s="289">
        <v>0</v>
      </c>
    </row>
    <row r="696" spans="1:30" ht="15" customHeight="1" x14ac:dyDescent="0.25">
      <c r="A696" s="282" t="s">
        <v>581</v>
      </c>
      <c r="B696" s="282" t="s">
        <v>585</v>
      </c>
      <c r="C696" s="282" t="s">
        <v>586</v>
      </c>
      <c r="D696" s="283" t="s">
        <v>1193</v>
      </c>
      <c r="E696" s="404">
        <v>45056</v>
      </c>
      <c r="F696" s="404">
        <v>46883</v>
      </c>
      <c r="G696" s="286" t="s">
        <v>286</v>
      </c>
      <c r="H696" s="282" t="s">
        <v>759</v>
      </c>
      <c r="I696" s="282" t="s">
        <v>590</v>
      </c>
      <c r="J696" s="282" t="s">
        <v>156</v>
      </c>
      <c r="K696" s="286" t="s">
        <v>760</v>
      </c>
      <c r="L696" s="282" t="s">
        <v>574</v>
      </c>
      <c r="M696" s="287">
        <v>2400</v>
      </c>
      <c r="N696" s="287">
        <v>0</v>
      </c>
      <c r="O696" s="287">
        <v>0</v>
      </c>
      <c r="P696" s="287"/>
      <c r="Q696" s="288">
        <v>233</v>
      </c>
      <c r="R696" s="288" t="s">
        <v>661</v>
      </c>
      <c r="S696" s="288">
        <v>6.2399999999999997E-2</v>
      </c>
      <c r="T696" s="288"/>
      <c r="U696" s="288">
        <v>0</v>
      </c>
      <c r="V696" s="289">
        <v>233.0624</v>
      </c>
      <c r="W696" s="289">
        <v>0</v>
      </c>
      <c r="X696" s="288">
        <v>9.7083333333333327E-2</v>
      </c>
      <c r="Y696" s="288">
        <v>9.7083333333333327E-2</v>
      </c>
      <c r="Z696" s="288">
        <v>2.5999999999999998E-5</v>
      </c>
      <c r="AA696" s="288">
        <v>0</v>
      </c>
      <c r="AB696" s="288">
        <v>0</v>
      </c>
      <c r="AC696" s="289">
        <v>9.7109333333333325E-2</v>
      </c>
      <c r="AD696" s="289">
        <v>0</v>
      </c>
    </row>
    <row r="697" spans="1:30" ht="15" customHeight="1" x14ac:dyDescent="0.25">
      <c r="A697" s="282" t="s">
        <v>581</v>
      </c>
      <c r="B697" s="282" t="s">
        <v>695</v>
      </c>
      <c r="C697" s="282" t="s">
        <v>696</v>
      </c>
      <c r="D697" s="283" t="s">
        <v>1194</v>
      </c>
      <c r="E697" s="404">
        <v>45056</v>
      </c>
      <c r="F697" s="404">
        <v>46883</v>
      </c>
      <c r="G697" s="286" t="s">
        <v>286</v>
      </c>
      <c r="H697" s="282" t="s">
        <v>759</v>
      </c>
      <c r="I697" s="282" t="s">
        <v>590</v>
      </c>
      <c r="J697" s="282" t="s">
        <v>156</v>
      </c>
      <c r="K697" s="286" t="s">
        <v>760</v>
      </c>
      <c r="L697" s="282" t="s">
        <v>574</v>
      </c>
      <c r="M697" s="287">
        <v>2400</v>
      </c>
      <c r="N697" s="287">
        <v>0</v>
      </c>
      <c r="O697" s="287">
        <v>0</v>
      </c>
      <c r="P697" s="287"/>
      <c r="Q697" s="288">
        <v>356</v>
      </c>
      <c r="R697" s="288" t="s">
        <v>1195</v>
      </c>
      <c r="S697" s="288">
        <v>8.4199999999999997E-2</v>
      </c>
      <c r="T697" s="288"/>
      <c r="U697" s="288">
        <v>0</v>
      </c>
      <c r="V697" s="289">
        <v>356.08420000000001</v>
      </c>
      <c r="W697" s="289">
        <v>0</v>
      </c>
      <c r="X697" s="288">
        <v>0.14833333333333334</v>
      </c>
      <c r="Y697" s="288">
        <v>0.14833333333333334</v>
      </c>
      <c r="Z697" s="288">
        <v>3.508333333333333E-5</v>
      </c>
      <c r="AA697" s="288">
        <v>0</v>
      </c>
      <c r="AB697" s="288">
        <v>0</v>
      </c>
      <c r="AC697" s="289">
        <v>0.14836841666666667</v>
      </c>
      <c r="AD697" s="289">
        <v>0</v>
      </c>
    </row>
    <row r="698" spans="1:30" ht="15" customHeight="1" x14ac:dyDescent="0.25">
      <c r="A698" s="282" t="s">
        <v>581</v>
      </c>
      <c r="B698" s="282" t="s">
        <v>1196</v>
      </c>
      <c r="C698" s="282" t="s">
        <v>1197</v>
      </c>
      <c r="D698" s="283" t="s">
        <v>1198</v>
      </c>
      <c r="E698" s="404">
        <v>45056</v>
      </c>
      <c r="F698" s="404">
        <v>46883</v>
      </c>
      <c r="G698" s="286" t="s">
        <v>286</v>
      </c>
      <c r="H698" s="282" t="s">
        <v>759</v>
      </c>
      <c r="I698" s="282" t="s">
        <v>590</v>
      </c>
      <c r="J698" s="282" t="s">
        <v>156</v>
      </c>
      <c r="K698" s="286" t="s">
        <v>760</v>
      </c>
      <c r="L698" s="282" t="s">
        <v>574</v>
      </c>
      <c r="M698" s="287">
        <v>2400</v>
      </c>
      <c r="N698" s="287">
        <v>0</v>
      </c>
      <c r="O698" s="287">
        <v>0</v>
      </c>
      <c r="P698" s="287"/>
      <c r="Q698" s="288">
        <v>444</v>
      </c>
      <c r="R698" s="288" t="s">
        <v>1199</v>
      </c>
      <c r="S698" s="288">
        <v>0.10299999999999999</v>
      </c>
      <c r="T698" s="288"/>
      <c r="U698" s="288">
        <v>0</v>
      </c>
      <c r="V698" s="289">
        <v>444.10300000000001</v>
      </c>
      <c r="W698" s="289">
        <v>0</v>
      </c>
      <c r="X698" s="288">
        <v>0.185</v>
      </c>
      <c r="Y698" s="288">
        <v>0.185</v>
      </c>
      <c r="Z698" s="288">
        <v>4.2916666666666662E-5</v>
      </c>
      <c r="AA698" s="288">
        <v>0</v>
      </c>
      <c r="AB698" s="288">
        <v>0</v>
      </c>
      <c r="AC698" s="289">
        <v>0.18504291666666667</v>
      </c>
      <c r="AD698" s="289">
        <v>0</v>
      </c>
    </row>
    <row r="699" spans="1:30" ht="15" customHeight="1" x14ac:dyDescent="0.25">
      <c r="A699" s="282" t="s">
        <v>581</v>
      </c>
      <c r="B699" s="282" t="s">
        <v>616</v>
      </c>
      <c r="C699" s="282" t="s">
        <v>617</v>
      </c>
      <c r="D699" s="283" t="s">
        <v>1200</v>
      </c>
      <c r="E699" s="404">
        <v>45056</v>
      </c>
      <c r="F699" s="404">
        <v>46883</v>
      </c>
      <c r="G699" s="286" t="s">
        <v>286</v>
      </c>
      <c r="H699" s="282" t="s">
        <v>759</v>
      </c>
      <c r="I699" s="282" t="s">
        <v>590</v>
      </c>
      <c r="J699" s="282" t="s">
        <v>156</v>
      </c>
      <c r="K699" s="286" t="s">
        <v>760</v>
      </c>
      <c r="L699" s="282" t="s">
        <v>574</v>
      </c>
      <c r="M699" s="287">
        <v>2400</v>
      </c>
      <c r="N699" s="287">
        <v>0</v>
      </c>
      <c r="O699" s="287">
        <v>0</v>
      </c>
      <c r="P699" s="287"/>
      <c r="Q699" s="288">
        <v>300</v>
      </c>
      <c r="R699" s="288" t="s">
        <v>1201</v>
      </c>
      <c r="S699" s="288">
        <v>6.4500000000000002E-2</v>
      </c>
      <c r="T699" s="288"/>
      <c r="U699" s="288">
        <v>0</v>
      </c>
      <c r="V699" s="289">
        <v>300.06450000000001</v>
      </c>
      <c r="W699" s="289">
        <v>0</v>
      </c>
      <c r="X699" s="288">
        <v>0.125</v>
      </c>
      <c r="Y699" s="288">
        <v>0.125</v>
      </c>
      <c r="Z699" s="288">
        <v>2.6874999999999999E-5</v>
      </c>
      <c r="AA699" s="288">
        <v>0</v>
      </c>
      <c r="AB699" s="288">
        <v>0</v>
      </c>
      <c r="AC699" s="289">
        <v>0.12502687500000001</v>
      </c>
      <c r="AD699" s="289">
        <v>0</v>
      </c>
    </row>
    <row r="700" spans="1:30" ht="15" customHeight="1" x14ac:dyDescent="0.25">
      <c r="A700" s="282" t="s">
        <v>581</v>
      </c>
      <c r="B700" s="282" t="s">
        <v>616</v>
      </c>
      <c r="C700" s="282" t="s">
        <v>617</v>
      </c>
      <c r="D700" s="283" t="s">
        <v>1202</v>
      </c>
      <c r="E700" s="404">
        <v>45056</v>
      </c>
      <c r="F700" s="404">
        <v>46883</v>
      </c>
      <c r="G700" s="286" t="s">
        <v>286</v>
      </c>
      <c r="H700" s="282" t="s">
        <v>759</v>
      </c>
      <c r="I700" s="282" t="s">
        <v>590</v>
      </c>
      <c r="J700" s="282" t="s">
        <v>156</v>
      </c>
      <c r="K700" s="286" t="s">
        <v>760</v>
      </c>
      <c r="L700" s="282" t="s">
        <v>574</v>
      </c>
      <c r="M700" s="287">
        <v>2400</v>
      </c>
      <c r="N700" s="287">
        <v>0</v>
      </c>
      <c r="O700" s="287">
        <v>0</v>
      </c>
      <c r="P700" s="287"/>
      <c r="Q700" s="288">
        <v>286</v>
      </c>
      <c r="R700" s="288" t="s">
        <v>1203</v>
      </c>
      <c r="S700" s="288">
        <v>5.9700000000000003E-2</v>
      </c>
      <c r="T700" s="288"/>
      <c r="U700" s="288">
        <v>0</v>
      </c>
      <c r="V700" s="289">
        <v>286.05970000000002</v>
      </c>
      <c r="W700" s="289">
        <v>0</v>
      </c>
      <c r="X700" s="288">
        <v>0.11916666666666667</v>
      </c>
      <c r="Y700" s="288">
        <v>0.11916666666666667</v>
      </c>
      <c r="Z700" s="288">
        <v>2.4875000000000002E-5</v>
      </c>
      <c r="AA700" s="288">
        <v>0</v>
      </c>
      <c r="AB700" s="288">
        <v>0</v>
      </c>
      <c r="AC700" s="289">
        <v>0.11919154166666666</v>
      </c>
      <c r="AD700" s="289">
        <v>0</v>
      </c>
    </row>
    <row r="701" spans="1:30" ht="15" customHeight="1" x14ac:dyDescent="0.25">
      <c r="A701" s="282" t="s">
        <v>581</v>
      </c>
      <c r="B701" s="282" t="s">
        <v>839</v>
      </c>
      <c r="C701" s="282" t="s">
        <v>840</v>
      </c>
      <c r="D701" s="283" t="s">
        <v>1204</v>
      </c>
      <c r="E701" s="404">
        <v>45056</v>
      </c>
      <c r="F701" s="404">
        <v>46883</v>
      </c>
      <c r="G701" s="286" t="s">
        <v>286</v>
      </c>
      <c r="H701" s="282" t="s">
        <v>759</v>
      </c>
      <c r="I701" s="282" t="s">
        <v>590</v>
      </c>
      <c r="J701" s="282" t="s">
        <v>156</v>
      </c>
      <c r="K701" s="286" t="s">
        <v>760</v>
      </c>
      <c r="L701" s="282" t="s">
        <v>574</v>
      </c>
      <c r="M701" s="287">
        <v>2400</v>
      </c>
      <c r="N701" s="287">
        <v>0</v>
      </c>
      <c r="O701" s="287">
        <v>0</v>
      </c>
      <c r="P701" s="287"/>
      <c r="Q701" s="288">
        <v>379</v>
      </c>
      <c r="R701" s="288" t="s">
        <v>1205</v>
      </c>
      <c r="S701" s="288">
        <v>7.8799999999999995E-2</v>
      </c>
      <c r="T701" s="288"/>
      <c r="U701" s="288">
        <v>0</v>
      </c>
      <c r="V701" s="289">
        <v>379.0788</v>
      </c>
      <c r="W701" s="289">
        <v>0</v>
      </c>
      <c r="X701" s="288">
        <v>0.15791666666666668</v>
      </c>
      <c r="Y701" s="288">
        <v>0.15791666666666668</v>
      </c>
      <c r="Z701" s="288">
        <v>3.283333333333333E-5</v>
      </c>
      <c r="AA701" s="288">
        <v>0</v>
      </c>
      <c r="AB701" s="288">
        <v>0</v>
      </c>
      <c r="AC701" s="289">
        <v>0.15794950000000002</v>
      </c>
      <c r="AD701" s="289">
        <v>0</v>
      </c>
    </row>
    <row r="702" spans="1:30" ht="15" customHeight="1" x14ac:dyDescent="0.25">
      <c r="A702" s="282" t="s">
        <v>581</v>
      </c>
      <c r="B702" s="282" t="s">
        <v>695</v>
      </c>
      <c r="C702" s="282" t="s">
        <v>696</v>
      </c>
      <c r="D702" s="283" t="s">
        <v>1206</v>
      </c>
      <c r="E702" s="404">
        <v>45056</v>
      </c>
      <c r="F702" s="404">
        <v>46883</v>
      </c>
      <c r="G702" s="286" t="s">
        <v>286</v>
      </c>
      <c r="H702" s="282" t="s">
        <v>759</v>
      </c>
      <c r="I702" s="282" t="s">
        <v>590</v>
      </c>
      <c r="J702" s="282" t="s">
        <v>156</v>
      </c>
      <c r="K702" s="286" t="s">
        <v>760</v>
      </c>
      <c r="L702" s="282" t="s">
        <v>574</v>
      </c>
      <c r="M702" s="287">
        <v>2400</v>
      </c>
      <c r="N702" s="287">
        <v>0</v>
      </c>
      <c r="O702" s="287">
        <v>0</v>
      </c>
      <c r="P702" s="287"/>
      <c r="Q702" s="288">
        <v>352</v>
      </c>
      <c r="R702" s="288" t="s">
        <v>1207</v>
      </c>
      <c r="S702" s="288">
        <v>6.7500000000000004E-2</v>
      </c>
      <c r="T702" s="288"/>
      <c r="U702" s="288">
        <v>0</v>
      </c>
      <c r="V702" s="289">
        <v>352.0675</v>
      </c>
      <c r="W702" s="289">
        <v>0</v>
      </c>
      <c r="X702" s="288">
        <v>0.14666666666666667</v>
      </c>
      <c r="Y702" s="288">
        <v>0.14666666666666667</v>
      </c>
      <c r="Z702" s="288">
        <v>2.8125000000000003E-5</v>
      </c>
      <c r="AA702" s="288">
        <v>0</v>
      </c>
      <c r="AB702" s="288">
        <v>0</v>
      </c>
      <c r="AC702" s="289">
        <v>0.14669479166666666</v>
      </c>
      <c r="AD702" s="289">
        <v>0</v>
      </c>
    </row>
    <row r="703" spans="1:30" ht="15" customHeight="1" x14ac:dyDescent="0.25">
      <c r="A703" s="282" t="s">
        <v>581</v>
      </c>
      <c r="B703" s="282" t="s">
        <v>611</v>
      </c>
      <c r="C703" s="282" t="s">
        <v>612</v>
      </c>
      <c r="D703" s="283" t="s">
        <v>1208</v>
      </c>
      <c r="E703" s="404">
        <v>45056</v>
      </c>
      <c r="F703" s="404">
        <v>46883</v>
      </c>
      <c r="G703" s="286" t="s">
        <v>286</v>
      </c>
      <c r="H703" s="282" t="s">
        <v>759</v>
      </c>
      <c r="I703" s="282" t="s">
        <v>590</v>
      </c>
      <c r="J703" s="282" t="s">
        <v>156</v>
      </c>
      <c r="K703" s="286" t="s">
        <v>760</v>
      </c>
      <c r="L703" s="282" t="s">
        <v>574</v>
      </c>
      <c r="M703" s="287">
        <v>2400</v>
      </c>
      <c r="N703" s="287">
        <v>0</v>
      </c>
      <c r="O703" s="287">
        <v>0</v>
      </c>
      <c r="P703" s="287"/>
      <c r="Q703" s="288">
        <v>195</v>
      </c>
      <c r="R703" s="288" t="s">
        <v>620</v>
      </c>
      <c r="S703" s="288">
        <v>3.6600000000000001E-2</v>
      </c>
      <c r="T703" s="288"/>
      <c r="U703" s="288">
        <v>0</v>
      </c>
      <c r="V703" s="289">
        <v>195.03659999999999</v>
      </c>
      <c r="W703" s="289">
        <v>0</v>
      </c>
      <c r="X703" s="288">
        <v>8.1250000000000003E-2</v>
      </c>
      <c r="Y703" s="288">
        <v>8.1250000000000003E-2</v>
      </c>
      <c r="Z703" s="288">
        <v>1.525E-5</v>
      </c>
      <c r="AA703" s="288">
        <v>0</v>
      </c>
      <c r="AB703" s="288">
        <v>0</v>
      </c>
      <c r="AC703" s="289">
        <v>8.1265249999999997E-2</v>
      </c>
      <c r="AD703" s="289">
        <v>0</v>
      </c>
    </row>
    <row r="704" spans="1:30" ht="15" customHeight="1" x14ac:dyDescent="0.25">
      <c r="A704" s="282" t="s">
        <v>581</v>
      </c>
      <c r="B704" s="282" t="s">
        <v>594</v>
      </c>
      <c r="C704" s="282" t="s">
        <v>595</v>
      </c>
      <c r="D704" s="283" t="s">
        <v>1209</v>
      </c>
      <c r="E704" s="404">
        <v>45056</v>
      </c>
      <c r="F704" s="404">
        <v>46883</v>
      </c>
      <c r="G704" s="286" t="s">
        <v>286</v>
      </c>
      <c r="H704" s="282" t="s">
        <v>759</v>
      </c>
      <c r="I704" s="282" t="s">
        <v>590</v>
      </c>
      <c r="J704" s="282" t="s">
        <v>156</v>
      </c>
      <c r="K704" s="286" t="s">
        <v>760</v>
      </c>
      <c r="L704" s="282" t="s">
        <v>574</v>
      </c>
      <c r="M704" s="287">
        <v>2400</v>
      </c>
      <c r="N704" s="287">
        <v>0</v>
      </c>
      <c r="O704" s="287">
        <v>0</v>
      </c>
      <c r="P704" s="287"/>
      <c r="Q704" s="288">
        <v>146</v>
      </c>
      <c r="R704" s="288" t="s">
        <v>1210</v>
      </c>
      <c r="S704" s="288">
        <v>2.69E-2</v>
      </c>
      <c r="T704" s="288"/>
      <c r="U704" s="288">
        <v>0</v>
      </c>
      <c r="V704" s="289">
        <v>146.02690000000001</v>
      </c>
      <c r="W704" s="289">
        <v>0</v>
      </c>
      <c r="X704" s="288">
        <v>6.0833333333333336E-2</v>
      </c>
      <c r="Y704" s="288">
        <v>6.0833333333333336E-2</v>
      </c>
      <c r="Z704" s="288">
        <v>1.1208333333333334E-5</v>
      </c>
      <c r="AA704" s="288">
        <v>0</v>
      </c>
      <c r="AB704" s="288">
        <v>0</v>
      </c>
      <c r="AC704" s="289">
        <v>6.0844541666666668E-2</v>
      </c>
      <c r="AD704" s="289">
        <v>0</v>
      </c>
    </row>
    <row r="705" spans="1:30" ht="15" customHeight="1" x14ac:dyDescent="0.25">
      <c r="A705" s="282" t="s">
        <v>581</v>
      </c>
      <c r="B705" s="282" t="s">
        <v>695</v>
      </c>
      <c r="C705" s="282" t="s">
        <v>696</v>
      </c>
      <c r="D705" s="283" t="s">
        <v>1211</v>
      </c>
      <c r="E705" s="404">
        <v>45056</v>
      </c>
      <c r="F705" s="404">
        <v>46883</v>
      </c>
      <c r="G705" s="286" t="s">
        <v>286</v>
      </c>
      <c r="H705" s="282" t="s">
        <v>759</v>
      </c>
      <c r="I705" s="282" t="s">
        <v>590</v>
      </c>
      <c r="J705" s="282" t="s">
        <v>156</v>
      </c>
      <c r="K705" s="286" t="s">
        <v>760</v>
      </c>
      <c r="L705" s="282" t="s">
        <v>574</v>
      </c>
      <c r="M705" s="287">
        <v>2400</v>
      </c>
      <c r="N705" s="287">
        <v>0</v>
      </c>
      <c r="O705" s="287">
        <v>0</v>
      </c>
      <c r="P705" s="287"/>
      <c r="Q705" s="288">
        <v>316</v>
      </c>
      <c r="R705" s="288" t="s">
        <v>1212</v>
      </c>
      <c r="S705" s="288">
        <v>4.9200000000000001E-2</v>
      </c>
      <c r="T705" s="288"/>
      <c r="U705" s="288">
        <v>0</v>
      </c>
      <c r="V705" s="289">
        <v>316.04919999999998</v>
      </c>
      <c r="W705" s="289">
        <v>0</v>
      </c>
      <c r="X705" s="288">
        <v>0.13166666666666665</v>
      </c>
      <c r="Y705" s="288">
        <v>0.13166666666666665</v>
      </c>
      <c r="Z705" s="288">
        <v>2.05E-5</v>
      </c>
      <c r="AA705" s="288">
        <v>0</v>
      </c>
      <c r="AB705" s="288">
        <v>0</v>
      </c>
      <c r="AC705" s="289">
        <v>0.13168716666666666</v>
      </c>
      <c r="AD705" s="289">
        <v>0</v>
      </c>
    </row>
    <row r="706" spans="1:30" ht="15" customHeight="1" x14ac:dyDescent="0.25">
      <c r="A706" s="282" t="s">
        <v>581</v>
      </c>
      <c r="B706" s="282" t="s">
        <v>628</v>
      </c>
      <c r="C706" s="282" t="s">
        <v>629</v>
      </c>
      <c r="D706" s="283" t="s">
        <v>1213</v>
      </c>
      <c r="E706" s="404">
        <v>45056</v>
      </c>
      <c r="F706" s="404">
        <v>46883</v>
      </c>
      <c r="G706" s="286" t="s">
        <v>286</v>
      </c>
      <c r="H706" s="282" t="s">
        <v>759</v>
      </c>
      <c r="I706" s="282" t="s">
        <v>590</v>
      </c>
      <c r="J706" s="282" t="s">
        <v>156</v>
      </c>
      <c r="K706" s="286" t="s">
        <v>760</v>
      </c>
      <c r="L706" s="282" t="s">
        <v>574</v>
      </c>
      <c r="M706" s="287">
        <v>2400</v>
      </c>
      <c r="N706" s="287">
        <v>0</v>
      </c>
      <c r="O706" s="287">
        <v>0</v>
      </c>
      <c r="P706" s="287"/>
      <c r="Q706" s="288">
        <v>171</v>
      </c>
      <c r="R706" s="288" t="s">
        <v>1050</v>
      </c>
      <c r="S706" s="288">
        <v>2.2499999999999999E-2</v>
      </c>
      <c r="T706" s="288"/>
      <c r="U706" s="288">
        <v>0</v>
      </c>
      <c r="V706" s="289">
        <v>171.02250000000001</v>
      </c>
      <c r="W706" s="289">
        <v>0</v>
      </c>
      <c r="X706" s="288">
        <v>7.1249999999999994E-2</v>
      </c>
      <c r="Y706" s="288">
        <v>7.1249999999999994E-2</v>
      </c>
      <c r="Z706" s="288">
        <v>9.3749999999999992E-6</v>
      </c>
      <c r="AA706" s="288">
        <v>0</v>
      </c>
      <c r="AB706" s="288">
        <v>0</v>
      </c>
      <c r="AC706" s="289">
        <v>7.1259375E-2</v>
      </c>
      <c r="AD706" s="289">
        <v>0</v>
      </c>
    </row>
    <row r="707" spans="1:30" ht="15" customHeight="1" x14ac:dyDescent="0.25">
      <c r="A707" s="282" t="s">
        <v>581</v>
      </c>
      <c r="B707" s="282" t="s">
        <v>585</v>
      </c>
      <c r="C707" s="282" t="s">
        <v>586</v>
      </c>
      <c r="D707" s="283" t="s">
        <v>1214</v>
      </c>
      <c r="E707" s="404">
        <v>45056</v>
      </c>
      <c r="F707" s="404">
        <v>46883</v>
      </c>
      <c r="G707" s="286" t="s">
        <v>286</v>
      </c>
      <c r="H707" s="282" t="s">
        <v>759</v>
      </c>
      <c r="I707" s="282" t="s">
        <v>590</v>
      </c>
      <c r="J707" s="282" t="s">
        <v>156</v>
      </c>
      <c r="K707" s="286" t="s">
        <v>760</v>
      </c>
      <c r="L707" s="282" t="s">
        <v>574</v>
      </c>
      <c r="M707" s="287">
        <v>2400</v>
      </c>
      <c r="N707" s="287">
        <v>0</v>
      </c>
      <c r="O707" s="287">
        <v>0</v>
      </c>
      <c r="P707" s="287"/>
      <c r="Q707" s="288">
        <v>226</v>
      </c>
      <c r="R707" s="288" t="s">
        <v>1215</v>
      </c>
      <c r="S707" s="288">
        <v>2.69E-2</v>
      </c>
      <c r="T707" s="288"/>
      <c r="U707" s="288">
        <v>0</v>
      </c>
      <c r="V707" s="289">
        <v>226.02690000000001</v>
      </c>
      <c r="W707" s="289">
        <v>0</v>
      </c>
      <c r="X707" s="288">
        <v>9.4166666666666662E-2</v>
      </c>
      <c r="Y707" s="288">
        <v>9.4166666666666662E-2</v>
      </c>
      <c r="Z707" s="288">
        <v>1.1208333333333334E-5</v>
      </c>
      <c r="AA707" s="288">
        <v>0</v>
      </c>
      <c r="AB707" s="288">
        <v>0</v>
      </c>
      <c r="AC707" s="289">
        <v>9.4177874999999994E-2</v>
      </c>
      <c r="AD707" s="289">
        <v>0</v>
      </c>
    </row>
    <row r="708" spans="1:30" ht="15" customHeight="1" x14ac:dyDescent="0.25">
      <c r="A708" s="282" t="s">
        <v>581</v>
      </c>
      <c r="B708" s="282" t="s">
        <v>1216</v>
      </c>
      <c r="C708" s="282" t="s">
        <v>586</v>
      </c>
      <c r="D708" s="283" t="s">
        <v>1217</v>
      </c>
      <c r="E708" s="404">
        <v>45056</v>
      </c>
      <c r="F708" s="404">
        <v>46883</v>
      </c>
      <c r="G708" s="286" t="s">
        <v>286</v>
      </c>
      <c r="H708" s="282" t="s">
        <v>759</v>
      </c>
      <c r="I708" s="282" t="s">
        <v>590</v>
      </c>
      <c r="J708" s="282" t="s">
        <v>156</v>
      </c>
      <c r="K708" s="286" t="s">
        <v>760</v>
      </c>
      <c r="L708" s="282" t="s">
        <v>574</v>
      </c>
      <c r="M708" s="287">
        <v>2400</v>
      </c>
      <c r="N708" s="287">
        <v>0</v>
      </c>
      <c r="O708" s="287">
        <v>0</v>
      </c>
      <c r="P708" s="287"/>
      <c r="Q708" s="288">
        <v>208</v>
      </c>
      <c r="R708" s="288" t="s">
        <v>672</v>
      </c>
      <c r="S708" s="288">
        <v>2.24E-2</v>
      </c>
      <c r="T708" s="288"/>
      <c r="U708" s="288">
        <v>0</v>
      </c>
      <c r="V708" s="289">
        <v>208.0224</v>
      </c>
      <c r="W708" s="289">
        <v>0</v>
      </c>
      <c r="X708" s="288">
        <v>8.666666666666667E-2</v>
      </c>
      <c r="Y708" s="288">
        <v>8.666666666666667E-2</v>
      </c>
      <c r="Z708" s="288">
        <v>9.3333333333333326E-6</v>
      </c>
      <c r="AA708" s="288">
        <v>0</v>
      </c>
      <c r="AB708" s="288">
        <v>0</v>
      </c>
      <c r="AC708" s="289">
        <v>8.6676000000000003E-2</v>
      </c>
      <c r="AD708" s="289">
        <v>0</v>
      </c>
    </row>
    <row r="709" spans="1:30" ht="15" customHeight="1" x14ac:dyDescent="0.25">
      <c r="A709" s="282" t="s">
        <v>581</v>
      </c>
      <c r="B709" s="282" t="s">
        <v>616</v>
      </c>
      <c r="C709" s="282" t="s">
        <v>617</v>
      </c>
      <c r="D709" s="283" t="s">
        <v>1218</v>
      </c>
      <c r="E709" s="404">
        <v>45056</v>
      </c>
      <c r="F709" s="404">
        <v>46883</v>
      </c>
      <c r="G709" s="286" t="s">
        <v>286</v>
      </c>
      <c r="H709" s="282" t="s">
        <v>759</v>
      </c>
      <c r="I709" s="282" t="s">
        <v>590</v>
      </c>
      <c r="J709" s="282" t="s">
        <v>156</v>
      </c>
      <c r="K709" s="286" t="s">
        <v>760</v>
      </c>
      <c r="L709" s="282" t="s">
        <v>574</v>
      </c>
      <c r="M709" s="287">
        <v>2400</v>
      </c>
      <c r="N709" s="287">
        <v>0</v>
      </c>
      <c r="O709" s="287">
        <v>0</v>
      </c>
      <c r="P709" s="287"/>
      <c r="Q709" s="288">
        <v>270</v>
      </c>
      <c r="R709" s="288" t="s">
        <v>1075</v>
      </c>
      <c r="S709" s="288">
        <v>2.8799999999999999E-2</v>
      </c>
      <c r="T709" s="288"/>
      <c r="U709" s="288">
        <v>0</v>
      </c>
      <c r="V709" s="289">
        <v>270.02879999999999</v>
      </c>
      <c r="W709" s="289">
        <v>0</v>
      </c>
      <c r="X709" s="288">
        <v>0.1125</v>
      </c>
      <c r="Y709" s="288">
        <v>0.1125</v>
      </c>
      <c r="Z709" s="288">
        <v>1.2E-5</v>
      </c>
      <c r="AA709" s="288">
        <v>0</v>
      </c>
      <c r="AB709" s="288">
        <v>0</v>
      </c>
      <c r="AC709" s="289">
        <v>0.112512</v>
      </c>
      <c r="AD709" s="289">
        <v>0</v>
      </c>
    </row>
    <row r="710" spans="1:30" ht="15" customHeight="1" x14ac:dyDescent="0.25">
      <c r="A710" s="282" t="s">
        <v>581</v>
      </c>
      <c r="B710" s="282" t="s">
        <v>594</v>
      </c>
      <c r="C710" s="282" t="s">
        <v>595</v>
      </c>
      <c r="D710" s="283" t="s">
        <v>1219</v>
      </c>
      <c r="E710" s="404">
        <v>45056</v>
      </c>
      <c r="F710" s="404">
        <v>46883</v>
      </c>
      <c r="G710" s="286" t="s">
        <v>286</v>
      </c>
      <c r="H710" s="282" t="s">
        <v>759</v>
      </c>
      <c r="I710" s="282" t="s">
        <v>590</v>
      </c>
      <c r="J710" s="282" t="s">
        <v>156</v>
      </c>
      <c r="K710" s="286" t="s">
        <v>760</v>
      </c>
      <c r="L710" s="282" t="s">
        <v>574</v>
      </c>
      <c r="M710" s="287">
        <v>2400</v>
      </c>
      <c r="N710" s="287">
        <v>0</v>
      </c>
      <c r="O710" s="287">
        <v>0</v>
      </c>
      <c r="P710" s="287"/>
      <c r="Q710" s="288">
        <v>159</v>
      </c>
      <c r="R710" s="288" t="s">
        <v>1056</v>
      </c>
      <c r="S710" s="288">
        <v>1.35E-2</v>
      </c>
      <c r="T710" s="288"/>
      <c r="U710" s="288">
        <v>0</v>
      </c>
      <c r="V710" s="289">
        <v>159.01349999999999</v>
      </c>
      <c r="W710" s="289">
        <v>0</v>
      </c>
      <c r="X710" s="288">
        <v>6.6250000000000003E-2</v>
      </c>
      <c r="Y710" s="288">
        <v>6.6250000000000003E-2</v>
      </c>
      <c r="Z710" s="288">
        <v>5.6250000000000004E-6</v>
      </c>
      <c r="AA710" s="288">
        <v>0</v>
      </c>
      <c r="AB710" s="288">
        <v>0</v>
      </c>
      <c r="AC710" s="289">
        <v>6.6255624999999999E-2</v>
      </c>
      <c r="AD710" s="289">
        <v>0</v>
      </c>
    </row>
    <row r="711" spans="1:30" ht="15" customHeight="1" x14ac:dyDescent="0.25">
      <c r="A711" s="282" t="s">
        <v>581</v>
      </c>
      <c r="B711" s="282" t="s">
        <v>1220</v>
      </c>
      <c r="C711" s="282" t="s">
        <v>586</v>
      </c>
      <c r="D711" s="283" t="s">
        <v>1221</v>
      </c>
      <c r="E711" s="404">
        <v>45016</v>
      </c>
      <c r="F711" s="404">
        <v>46843</v>
      </c>
      <c r="G711" s="286" t="s">
        <v>264</v>
      </c>
      <c r="H711" s="282" t="s">
        <v>1222</v>
      </c>
      <c r="I711" s="282" t="s">
        <v>590</v>
      </c>
      <c r="J711" s="282" t="s">
        <v>156</v>
      </c>
      <c r="K711" s="286" t="s">
        <v>1223</v>
      </c>
      <c r="L711" s="282" t="s">
        <v>574</v>
      </c>
      <c r="M711" s="287">
        <v>2400</v>
      </c>
      <c r="N711" s="287">
        <v>0</v>
      </c>
      <c r="O711" s="287">
        <v>0</v>
      </c>
      <c r="P711" s="287"/>
      <c r="Q711" s="288">
        <v>356.58</v>
      </c>
      <c r="R711" s="288">
        <v>356.61</v>
      </c>
      <c r="S711" s="288">
        <v>-4.0800000000000003E-2</v>
      </c>
      <c r="T711" s="288"/>
      <c r="U711" s="288">
        <v>0</v>
      </c>
      <c r="V711" s="289">
        <v>356.61</v>
      </c>
      <c r="W711" s="289">
        <v>0</v>
      </c>
      <c r="X711" s="288">
        <v>0.14857499999999998</v>
      </c>
      <c r="Y711" s="288">
        <v>0.14858750000000001</v>
      </c>
      <c r="Z711" s="288">
        <v>-1.7E-5</v>
      </c>
      <c r="AA711" s="288">
        <v>0</v>
      </c>
      <c r="AB711" s="288">
        <v>0</v>
      </c>
      <c r="AC711" s="289">
        <v>0.14858750000000001</v>
      </c>
      <c r="AD711" s="289">
        <v>0</v>
      </c>
    </row>
    <row r="712" spans="1:30" ht="15" customHeight="1" x14ac:dyDescent="0.25">
      <c r="A712" s="282" t="s">
        <v>581</v>
      </c>
      <c r="B712" s="282" t="s">
        <v>585</v>
      </c>
      <c r="C712" s="282" t="s">
        <v>586</v>
      </c>
      <c r="D712" s="283" t="s">
        <v>1224</v>
      </c>
      <c r="E712" s="404">
        <v>45056</v>
      </c>
      <c r="F712" s="404">
        <v>46883</v>
      </c>
      <c r="G712" s="286" t="s">
        <v>286</v>
      </c>
      <c r="H712" s="282" t="s">
        <v>759</v>
      </c>
      <c r="I712" s="282" t="s">
        <v>590</v>
      </c>
      <c r="J712" s="282" t="s">
        <v>156</v>
      </c>
      <c r="K712" s="286" t="s">
        <v>760</v>
      </c>
      <c r="L712" s="282" t="s">
        <v>574</v>
      </c>
      <c r="M712" s="287">
        <v>2400</v>
      </c>
      <c r="N712" s="287">
        <v>0</v>
      </c>
      <c r="O712" s="287">
        <v>0</v>
      </c>
      <c r="P712" s="287"/>
      <c r="Q712" s="288">
        <v>247</v>
      </c>
      <c r="R712" s="288" t="s">
        <v>851</v>
      </c>
      <c r="S712" s="288">
        <v>1.8499999999999999E-2</v>
      </c>
      <c r="T712" s="288"/>
      <c r="U712" s="288">
        <v>0</v>
      </c>
      <c r="V712" s="289">
        <v>247.01849999999999</v>
      </c>
      <c r="W712" s="289">
        <v>0</v>
      </c>
      <c r="X712" s="288">
        <v>0.10291666666666667</v>
      </c>
      <c r="Y712" s="288">
        <v>0.10291666666666667</v>
      </c>
      <c r="Z712" s="288">
        <v>7.7083333333333338E-6</v>
      </c>
      <c r="AA712" s="288">
        <v>0</v>
      </c>
      <c r="AB712" s="288">
        <v>0</v>
      </c>
      <c r="AC712" s="289">
        <v>0.102924375</v>
      </c>
      <c r="AD712" s="289">
        <v>0</v>
      </c>
    </row>
    <row r="713" spans="1:30" ht="15" customHeight="1" x14ac:dyDescent="0.25">
      <c r="A713" s="282" t="s">
        <v>581</v>
      </c>
      <c r="B713" s="282" t="s">
        <v>616</v>
      </c>
      <c r="C713" s="282" t="s">
        <v>617</v>
      </c>
      <c r="D713" s="283" t="s">
        <v>1225</v>
      </c>
      <c r="E713" s="404">
        <v>45056</v>
      </c>
      <c r="F713" s="404">
        <v>46883</v>
      </c>
      <c r="G713" s="286" t="s">
        <v>286</v>
      </c>
      <c r="H713" s="282" t="s">
        <v>759</v>
      </c>
      <c r="I713" s="282" t="s">
        <v>590</v>
      </c>
      <c r="J713" s="282" t="s">
        <v>156</v>
      </c>
      <c r="K713" s="286" t="s">
        <v>760</v>
      </c>
      <c r="L713" s="282" t="s">
        <v>574</v>
      </c>
      <c r="M713" s="287">
        <v>2400</v>
      </c>
      <c r="N713" s="287">
        <v>0</v>
      </c>
      <c r="O713" s="287">
        <v>0</v>
      </c>
      <c r="P713" s="287"/>
      <c r="Q713" s="288">
        <v>363</v>
      </c>
      <c r="R713" s="288" t="s">
        <v>1122</v>
      </c>
      <c r="S713" s="288">
        <v>2.4299999999999999E-2</v>
      </c>
      <c r="T713" s="288"/>
      <c r="U713" s="288">
        <v>0</v>
      </c>
      <c r="V713" s="289">
        <v>363.02429999999998</v>
      </c>
      <c r="W713" s="289">
        <v>0</v>
      </c>
      <c r="X713" s="288">
        <v>0.15125</v>
      </c>
      <c r="Y713" s="288">
        <v>0.15125</v>
      </c>
      <c r="Z713" s="288">
        <v>1.0124999999999999E-5</v>
      </c>
      <c r="AA713" s="288">
        <v>0</v>
      </c>
      <c r="AB713" s="288">
        <v>0</v>
      </c>
      <c r="AC713" s="289">
        <v>0.151260125</v>
      </c>
      <c r="AD713" s="289">
        <v>0</v>
      </c>
    </row>
    <row r="714" spans="1:30" ht="15" customHeight="1" x14ac:dyDescent="0.25">
      <c r="A714" s="282" t="s">
        <v>581</v>
      </c>
      <c r="B714" s="282" t="s">
        <v>616</v>
      </c>
      <c r="C714" s="282" t="s">
        <v>617</v>
      </c>
      <c r="D714" s="283" t="s">
        <v>1226</v>
      </c>
      <c r="E714" s="404">
        <v>45016</v>
      </c>
      <c r="F714" s="404">
        <v>46843</v>
      </c>
      <c r="G714" s="286" t="s">
        <v>316</v>
      </c>
      <c r="H714" s="282" t="s">
        <v>1227</v>
      </c>
      <c r="I714" s="282" t="s">
        <v>590</v>
      </c>
      <c r="J714" s="282" t="s">
        <v>156</v>
      </c>
      <c r="K714" s="286" t="s">
        <v>1228</v>
      </c>
      <c r="L714" s="282" t="s">
        <v>574</v>
      </c>
      <c r="M714" s="287">
        <v>2400</v>
      </c>
      <c r="N714" s="287">
        <v>0</v>
      </c>
      <c r="O714" s="287">
        <v>0</v>
      </c>
      <c r="P714" s="287"/>
      <c r="Q714" s="288">
        <v>303.64</v>
      </c>
      <c r="R714" s="288">
        <v>303.49</v>
      </c>
      <c r="S714" s="288">
        <v>0.17</v>
      </c>
      <c r="T714" s="288"/>
      <c r="U714" s="288">
        <v>0</v>
      </c>
      <c r="V714" s="289">
        <v>303.66000000000003</v>
      </c>
      <c r="W714" s="289">
        <v>0</v>
      </c>
      <c r="X714" s="288">
        <v>0.12651666666666667</v>
      </c>
      <c r="Y714" s="288">
        <v>0.12645416666666667</v>
      </c>
      <c r="Z714" s="288">
        <v>7.0833333333333338E-5</v>
      </c>
      <c r="AA714" s="288">
        <v>0</v>
      </c>
      <c r="AB714" s="288">
        <v>0</v>
      </c>
      <c r="AC714" s="289">
        <v>0.126525</v>
      </c>
      <c r="AD714" s="289">
        <v>0</v>
      </c>
    </row>
    <row r="715" spans="1:30" ht="15" customHeight="1" x14ac:dyDescent="0.25">
      <c r="A715" s="282" t="s">
        <v>581</v>
      </c>
      <c r="B715" s="282" t="s">
        <v>611</v>
      </c>
      <c r="C715" s="282" t="s">
        <v>612</v>
      </c>
      <c r="D715" s="283" t="s">
        <v>1229</v>
      </c>
      <c r="E715" s="404">
        <v>45056</v>
      </c>
      <c r="F715" s="404">
        <v>46883</v>
      </c>
      <c r="G715" s="286" t="s">
        <v>286</v>
      </c>
      <c r="H715" s="282" t="s">
        <v>759</v>
      </c>
      <c r="I715" s="282" t="s">
        <v>590</v>
      </c>
      <c r="J715" s="282" t="s">
        <v>156</v>
      </c>
      <c r="K715" s="286" t="s">
        <v>760</v>
      </c>
      <c r="L715" s="282" t="s">
        <v>574</v>
      </c>
      <c r="M715" s="287">
        <v>2400</v>
      </c>
      <c r="N715" s="287">
        <v>0</v>
      </c>
      <c r="O715" s="287">
        <v>0</v>
      </c>
      <c r="P715" s="287"/>
      <c r="Q715" s="288">
        <v>198</v>
      </c>
      <c r="R715" s="288" t="s">
        <v>848</v>
      </c>
      <c r="S715" s="288">
        <v>1.2E-2</v>
      </c>
      <c r="T715" s="288"/>
      <c r="U715" s="288">
        <v>0</v>
      </c>
      <c r="V715" s="289">
        <v>198.012</v>
      </c>
      <c r="W715" s="289">
        <v>0</v>
      </c>
      <c r="X715" s="288">
        <v>8.2500000000000004E-2</v>
      </c>
      <c r="Y715" s="288">
        <v>8.2500000000000004E-2</v>
      </c>
      <c r="Z715" s="288">
        <v>5.0000000000000004E-6</v>
      </c>
      <c r="AA715" s="288">
        <v>0</v>
      </c>
      <c r="AB715" s="288">
        <v>0</v>
      </c>
      <c r="AC715" s="289">
        <v>8.2505000000000009E-2</v>
      </c>
      <c r="AD715" s="289">
        <v>0</v>
      </c>
    </row>
    <row r="716" spans="1:30" ht="15" customHeight="1" x14ac:dyDescent="0.25">
      <c r="A716" s="282" t="s">
        <v>581</v>
      </c>
      <c r="B716" s="282" t="s">
        <v>1220</v>
      </c>
      <c r="C716" s="282" t="s">
        <v>586</v>
      </c>
      <c r="D716" s="283" t="s">
        <v>1230</v>
      </c>
      <c r="E716" s="404">
        <v>45016</v>
      </c>
      <c r="F716" s="404">
        <v>46843</v>
      </c>
      <c r="G716" s="286" t="s">
        <v>264</v>
      </c>
      <c r="H716" s="282" t="s">
        <v>1222</v>
      </c>
      <c r="I716" s="282" t="s">
        <v>590</v>
      </c>
      <c r="J716" s="282" t="s">
        <v>156</v>
      </c>
      <c r="K716" s="286" t="s">
        <v>1223</v>
      </c>
      <c r="L716" s="282" t="s">
        <v>574</v>
      </c>
      <c r="M716" s="287">
        <v>2400</v>
      </c>
      <c r="N716" s="287">
        <v>0</v>
      </c>
      <c r="O716" s="287">
        <v>0</v>
      </c>
      <c r="P716" s="287"/>
      <c r="Q716" s="288">
        <v>355.01</v>
      </c>
      <c r="R716" s="288">
        <v>355.03</v>
      </c>
      <c r="S716" s="288">
        <v>-4.2099999999999999E-2</v>
      </c>
      <c r="T716" s="288"/>
      <c r="U716" s="288">
        <v>0</v>
      </c>
      <c r="V716" s="289">
        <v>355.03</v>
      </c>
      <c r="W716" s="289">
        <v>0</v>
      </c>
      <c r="X716" s="288">
        <v>0.14792083333333333</v>
      </c>
      <c r="Y716" s="288">
        <v>0.14792916666666667</v>
      </c>
      <c r="Z716" s="288">
        <v>-1.7541666666666665E-5</v>
      </c>
      <c r="AA716" s="288">
        <v>0</v>
      </c>
      <c r="AB716" s="288">
        <v>0</v>
      </c>
      <c r="AC716" s="289">
        <v>0.14792916666666667</v>
      </c>
      <c r="AD716" s="289">
        <v>0</v>
      </c>
    </row>
    <row r="717" spans="1:30" ht="15" customHeight="1" x14ac:dyDescent="0.25">
      <c r="A717" s="282" t="s">
        <v>581</v>
      </c>
      <c r="B717" s="282" t="s">
        <v>1216</v>
      </c>
      <c r="C717" s="282" t="s">
        <v>586</v>
      </c>
      <c r="D717" s="283" t="s">
        <v>1231</v>
      </c>
      <c r="E717" s="404">
        <v>45056</v>
      </c>
      <c r="F717" s="404">
        <v>46883</v>
      </c>
      <c r="G717" s="286" t="s">
        <v>286</v>
      </c>
      <c r="H717" s="282" t="s">
        <v>759</v>
      </c>
      <c r="I717" s="282" t="s">
        <v>590</v>
      </c>
      <c r="J717" s="282" t="s">
        <v>156</v>
      </c>
      <c r="K717" s="286" t="s">
        <v>760</v>
      </c>
      <c r="L717" s="282" t="s">
        <v>574</v>
      </c>
      <c r="M717" s="287">
        <v>2400</v>
      </c>
      <c r="N717" s="287">
        <v>0</v>
      </c>
      <c r="O717" s="287">
        <v>0</v>
      </c>
      <c r="P717" s="287"/>
      <c r="Q717" s="288">
        <v>186</v>
      </c>
      <c r="R717" s="288" t="s">
        <v>1232</v>
      </c>
      <c r="S717" s="288">
        <v>1.0200000000000001E-2</v>
      </c>
      <c r="T717" s="288"/>
      <c r="U717" s="288">
        <v>0</v>
      </c>
      <c r="V717" s="289">
        <v>186.0102</v>
      </c>
      <c r="W717" s="289">
        <v>0</v>
      </c>
      <c r="X717" s="288">
        <v>7.7499999999999999E-2</v>
      </c>
      <c r="Y717" s="288">
        <v>7.7499999999999999E-2</v>
      </c>
      <c r="Z717" s="288">
        <v>4.25E-6</v>
      </c>
      <c r="AA717" s="288">
        <v>0</v>
      </c>
      <c r="AB717" s="288">
        <v>0</v>
      </c>
      <c r="AC717" s="289">
        <v>7.7504249999999997E-2</v>
      </c>
      <c r="AD717" s="289">
        <v>0</v>
      </c>
    </row>
    <row r="718" spans="1:30" ht="15" customHeight="1" x14ac:dyDescent="0.25">
      <c r="A718" s="282" t="s">
        <v>581</v>
      </c>
      <c r="B718" s="282" t="s">
        <v>616</v>
      </c>
      <c r="C718" s="282" t="s">
        <v>617</v>
      </c>
      <c r="D718" s="283" t="s">
        <v>1233</v>
      </c>
      <c r="E718" s="404">
        <v>45056</v>
      </c>
      <c r="F718" s="404">
        <v>46883</v>
      </c>
      <c r="G718" s="286" t="s">
        <v>286</v>
      </c>
      <c r="H718" s="282" t="s">
        <v>759</v>
      </c>
      <c r="I718" s="282" t="s">
        <v>590</v>
      </c>
      <c r="J718" s="282" t="s">
        <v>156</v>
      </c>
      <c r="K718" s="286" t="s">
        <v>760</v>
      </c>
      <c r="L718" s="282" t="s">
        <v>574</v>
      </c>
      <c r="M718" s="287">
        <v>2400</v>
      </c>
      <c r="N718" s="287">
        <v>0</v>
      </c>
      <c r="O718" s="287">
        <v>0</v>
      </c>
      <c r="P718" s="287"/>
      <c r="Q718" s="288">
        <v>388</v>
      </c>
      <c r="R718" s="288" t="s">
        <v>727</v>
      </c>
      <c r="S718" s="288">
        <v>1.95E-2</v>
      </c>
      <c r="T718" s="288"/>
      <c r="U718" s="288">
        <v>0</v>
      </c>
      <c r="V718" s="289">
        <v>388.01949999999999</v>
      </c>
      <c r="W718" s="289">
        <v>0</v>
      </c>
      <c r="X718" s="288">
        <v>0.16166666666666665</v>
      </c>
      <c r="Y718" s="288">
        <v>0.16166666666666665</v>
      </c>
      <c r="Z718" s="288">
        <v>8.1249999999999993E-6</v>
      </c>
      <c r="AA718" s="288">
        <v>0</v>
      </c>
      <c r="AB718" s="288">
        <v>0</v>
      </c>
      <c r="AC718" s="289">
        <v>0.16167479166666665</v>
      </c>
      <c r="AD718" s="289">
        <v>0</v>
      </c>
    </row>
    <row r="719" spans="1:30" ht="15" customHeight="1" x14ac:dyDescent="0.25">
      <c r="A719" s="282" t="s">
        <v>581</v>
      </c>
      <c r="B719" s="282" t="s">
        <v>585</v>
      </c>
      <c r="C719" s="282" t="s">
        <v>586</v>
      </c>
      <c r="D719" s="283" t="s">
        <v>1234</v>
      </c>
      <c r="E719" s="404">
        <v>45016</v>
      </c>
      <c r="F719" s="404">
        <v>46843</v>
      </c>
      <c r="G719" s="286" t="s">
        <v>316</v>
      </c>
      <c r="H719" s="282" t="s">
        <v>1227</v>
      </c>
      <c r="I719" s="282" t="s">
        <v>590</v>
      </c>
      <c r="J719" s="282" t="s">
        <v>156</v>
      </c>
      <c r="K719" s="286" t="s">
        <v>1228</v>
      </c>
      <c r="L719" s="282" t="s">
        <v>574</v>
      </c>
      <c r="M719" s="287">
        <v>2400</v>
      </c>
      <c r="N719" s="287">
        <v>0</v>
      </c>
      <c r="O719" s="287">
        <v>0</v>
      </c>
      <c r="P719" s="287"/>
      <c r="Q719" s="288">
        <v>234.81</v>
      </c>
      <c r="R719" s="288">
        <v>234.76</v>
      </c>
      <c r="S719" s="288">
        <v>0.06</v>
      </c>
      <c r="T719" s="288"/>
      <c r="U719" s="288">
        <v>0</v>
      </c>
      <c r="V719" s="289">
        <v>234.82</v>
      </c>
      <c r="W719" s="289">
        <v>0</v>
      </c>
      <c r="X719" s="288">
        <v>9.7837500000000008E-2</v>
      </c>
      <c r="Y719" s="288">
        <v>9.7816666666666663E-2</v>
      </c>
      <c r="Z719" s="288">
        <v>2.4999999999999998E-5</v>
      </c>
      <c r="AA719" s="288">
        <v>0</v>
      </c>
      <c r="AB719" s="288">
        <v>0</v>
      </c>
      <c r="AC719" s="289">
        <v>9.784166666666666E-2</v>
      </c>
      <c r="AD719" s="289">
        <v>0</v>
      </c>
    </row>
    <row r="720" spans="1:30" ht="15" customHeight="1" x14ac:dyDescent="0.25">
      <c r="A720" s="282" t="s">
        <v>581</v>
      </c>
      <c r="B720" s="282" t="s">
        <v>616</v>
      </c>
      <c r="C720" s="282" t="s">
        <v>617</v>
      </c>
      <c r="D720" s="283" t="s">
        <v>1235</v>
      </c>
      <c r="E720" s="404">
        <v>45016</v>
      </c>
      <c r="F720" s="404">
        <v>46843</v>
      </c>
      <c r="G720" s="286" t="s">
        <v>264</v>
      </c>
      <c r="H720" s="282" t="s">
        <v>1222</v>
      </c>
      <c r="I720" s="282" t="s">
        <v>590</v>
      </c>
      <c r="J720" s="282" t="s">
        <v>156</v>
      </c>
      <c r="K720" s="286" t="s">
        <v>1223</v>
      </c>
      <c r="L720" s="282" t="s">
        <v>574</v>
      </c>
      <c r="M720" s="287">
        <v>2400</v>
      </c>
      <c r="N720" s="287">
        <v>0</v>
      </c>
      <c r="O720" s="287">
        <v>0</v>
      </c>
      <c r="P720" s="287"/>
      <c r="Q720" s="288">
        <v>508.51</v>
      </c>
      <c r="R720" s="288">
        <v>508.53</v>
      </c>
      <c r="S720" s="288">
        <v>-1.4200000000000001E-2</v>
      </c>
      <c r="T720" s="288"/>
      <c r="U720" s="288">
        <v>0</v>
      </c>
      <c r="V720" s="289">
        <v>508.53</v>
      </c>
      <c r="W720" s="289">
        <v>0</v>
      </c>
      <c r="X720" s="288">
        <v>0.21187916666666667</v>
      </c>
      <c r="Y720" s="288">
        <v>0.21188749999999998</v>
      </c>
      <c r="Z720" s="288">
        <v>-5.9166666666666671E-6</v>
      </c>
      <c r="AA720" s="288">
        <v>0</v>
      </c>
      <c r="AB720" s="288">
        <v>0</v>
      </c>
      <c r="AC720" s="289">
        <v>0.21188749999999998</v>
      </c>
      <c r="AD720" s="289">
        <v>0</v>
      </c>
    </row>
    <row r="721" spans="1:30" ht="15" customHeight="1" x14ac:dyDescent="0.25">
      <c r="A721" s="282" t="s">
        <v>581</v>
      </c>
      <c r="B721" s="282" t="s">
        <v>1236</v>
      </c>
      <c r="C721" s="282" t="s">
        <v>1237</v>
      </c>
      <c r="D721" s="283" t="s">
        <v>1238</v>
      </c>
      <c r="E721" s="404">
        <v>45016</v>
      </c>
      <c r="F721" s="404">
        <v>46843</v>
      </c>
      <c r="G721" s="286" t="s">
        <v>264</v>
      </c>
      <c r="H721" s="282" t="s">
        <v>1222</v>
      </c>
      <c r="I721" s="282" t="s">
        <v>590</v>
      </c>
      <c r="J721" s="282" t="s">
        <v>156</v>
      </c>
      <c r="K721" s="286" t="s">
        <v>1223</v>
      </c>
      <c r="L721" s="282" t="s">
        <v>574</v>
      </c>
      <c r="M721" s="287">
        <v>2400</v>
      </c>
      <c r="N721" s="287">
        <v>0</v>
      </c>
      <c r="O721" s="287">
        <v>0</v>
      </c>
      <c r="P721" s="287"/>
      <c r="Q721" s="288">
        <v>141.56</v>
      </c>
      <c r="R721" s="288">
        <v>141.56</v>
      </c>
      <c r="S721" s="288">
        <v>5.0600000000000003E-3</v>
      </c>
      <c r="T721" s="288"/>
      <c r="U721" s="288">
        <v>0</v>
      </c>
      <c r="V721" s="289">
        <v>141.56505999999999</v>
      </c>
      <c r="W721" s="289">
        <v>0</v>
      </c>
      <c r="X721" s="288">
        <v>5.8983333333333332E-2</v>
      </c>
      <c r="Y721" s="288">
        <v>5.8983333333333332E-2</v>
      </c>
      <c r="Z721" s="288">
        <v>2.1083333333333336E-6</v>
      </c>
      <c r="AA721" s="288">
        <v>0</v>
      </c>
      <c r="AB721" s="288">
        <v>0</v>
      </c>
      <c r="AC721" s="289">
        <v>5.8985441666666666E-2</v>
      </c>
      <c r="AD721" s="289">
        <v>0</v>
      </c>
    </row>
    <row r="722" spans="1:30" ht="15" customHeight="1" x14ac:dyDescent="0.25">
      <c r="A722" s="282" t="s">
        <v>581</v>
      </c>
      <c r="B722" s="282" t="s">
        <v>611</v>
      </c>
      <c r="C722" s="282" t="s">
        <v>612</v>
      </c>
      <c r="D722" s="283" t="s">
        <v>1239</v>
      </c>
      <c r="E722" s="404">
        <v>45016</v>
      </c>
      <c r="F722" s="404">
        <v>46843</v>
      </c>
      <c r="G722" s="286" t="s">
        <v>264</v>
      </c>
      <c r="H722" s="282" t="s">
        <v>1222</v>
      </c>
      <c r="I722" s="282" t="s">
        <v>590</v>
      </c>
      <c r="J722" s="282" t="s">
        <v>156</v>
      </c>
      <c r="K722" s="286" t="s">
        <v>1223</v>
      </c>
      <c r="L722" s="282" t="s">
        <v>574</v>
      </c>
      <c r="M722" s="287">
        <v>2400</v>
      </c>
      <c r="N722" s="287">
        <v>0</v>
      </c>
      <c r="O722" s="287">
        <v>0</v>
      </c>
      <c r="P722" s="287"/>
      <c r="Q722" s="288">
        <v>305.99</v>
      </c>
      <c r="R722" s="288">
        <v>306</v>
      </c>
      <c r="S722" s="288">
        <v>-4.0400000000000002E-3</v>
      </c>
      <c r="T722" s="288"/>
      <c r="U722" s="288">
        <v>0</v>
      </c>
      <c r="V722" s="289">
        <v>306</v>
      </c>
      <c r="W722" s="289">
        <v>0</v>
      </c>
      <c r="X722" s="288">
        <v>0.12749583333333334</v>
      </c>
      <c r="Y722" s="288">
        <v>0.1275</v>
      </c>
      <c r="Z722" s="288">
        <v>-1.6833333333333335E-6</v>
      </c>
      <c r="AA722" s="288">
        <v>0</v>
      </c>
      <c r="AB722" s="288">
        <v>0</v>
      </c>
      <c r="AC722" s="289">
        <v>0.1275</v>
      </c>
      <c r="AD722" s="289">
        <v>0</v>
      </c>
    </row>
    <row r="723" spans="1:30" ht="15" customHeight="1" x14ac:dyDescent="0.25">
      <c r="A723" s="282" t="s">
        <v>581</v>
      </c>
      <c r="B723" s="282" t="s">
        <v>611</v>
      </c>
      <c r="C723" s="282" t="s">
        <v>612</v>
      </c>
      <c r="D723" s="283" t="s">
        <v>1240</v>
      </c>
      <c r="E723" s="404">
        <v>45016</v>
      </c>
      <c r="F723" s="404">
        <v>46843</v>
      </c>
      <c r="G723" s="286" t="s">
        <v>264</v>
      </c>
      <c r="H723" s="282" t="s">
        <v>1222</v>
      </c>
      <c r="I723" s="282" t="s">
        <v>590</v>
      </c>
      <c r="J723" s="282" t="s">
        <v>156</v>
      </c>
      <c r="K723" s="286" t="s">
        <v>1223</v>
      </c>
      <c r="L723" s="282" t="s">
        <v>574</v>
      </c>
      <c r="M723" s="287">
        <v>2400</v>
      </c>
      <c r="N723" s="287">
        <v>0</v>
      </c>
      <c r="O723" s="287">
        <v>0</v>
      </c>
      <c r="P723" s="287"/>
      <c r="Q723" s="288">
        <v>343.18</v>
      </c>
      <c r="R723" s="288">
        <v>343.19</v>
      </c>
      <c r="S723" s="288">
        <v>-6.11E-3</v>
      </c>
      <c r="T723" s="288"/>
      <c r="U723" s="288">
        <v>0</v>
      </c>
      <c r="V723" s="289">
        <v>343.19</v>
      </c>
      <c r="W723" s="289">
        <v>0</v>
      </c>
      <c r="X723" s="288">
        <v>0.14299166666666666</v>
      </c>
      <c r="Y723" s="288">
        <v>0.14299583333333332</v>
      </c>
      <c r="Z723" s="288">
        <v>-2.5458333333333332E-6</v>
      </c>
      <c r="AA723" s="288">
        <v>0</v>
      </c>
      <c r="AB723" s="288">
        <v>0</v>
      </c>
      <c r="AC723" s="289">
        <v>0.14299583333333332</v>
      </c>
      <c r="AD723" s="289">
        <v>0</v>
      </c>
    </row>
    <row r="724" spans="1:30" ht="15" customHeight="1" x14ac:dyDescent="0.25">
      <c r="A724" s="282" t="s">
        <v>581</v>
      </c>
      <c r="B724" s="282" t="s">
        <v>611</v>
      </c>
      <c r="C724" s="282" t="s">
        <v>612</v>
      </c>
      <c r="D724" s="283" t="s">
        <v>1241</v>
      </c>
      <c r="E724" s="404">
        <v>45016</v>
      </c>
      <c r="F724" s="404">
        <v>46843</v>
      </c>
      <c r="G724" s="286" t="s">
        <v>264</v>
      </c>
      <c r="H724" s="282" t="s">
        <v>1222</v>
      </c>
      <c r="I724" s="282" t="s">
        <v>590</v>
      </c>
      <c r="J724" s="282" t="s">
        <v>156</v>
      </c>
      <c r="K724" s="286" t="s">
        <v>1223</v>
      </c>
      <c r="L724" s="282" t="s">
        <v>574</v>
      </c>
      <c r="M724" s="287">
        <v>2400</v>
      </c>
      <c r="N724" s="287">
        <v>0</v>
      </c>
      <c r="O724" s="287">
        <v>0</v>
      </c>
      <c r="P724" s="287"/>
      <c r="Q724" s="288">
        <v>360.47</v>
      </c>
      <c r="R724" s="288">
        <v>360.48</v>
      </c>
      <c r="S724" s="288">
        <v>-6.8900000000000003E-3</v>
      </c>
      <c r="T724" s="288"/>
      <c r="U724" s="288">
        <v>0</v>
      </c>
      <c r="V724" s="289">
        <v>360.48</v>
      </c>
      <c r="W724" s="289">
        <v>0</v>
      </c>
      <c r="X724" s="288">
        <v>0.15019583333333333</v>
      </c>
      <c r="Y724" s="288">
        <v>0.1502</v>
      </c>
      <c r="Z724" s="288">
        <v>-2.8708333333333335E-6</v>
      </c>
      <c r="AA724" s="288">
        <v>0</v>
      </c>
      <c r="AB724" s="288">
        <v>0</v>
      </c>
      <c r="AC724" s="289">
        <v>0.1502</v>
      </c>
      <c r="AD724" s="289">
        <v>0</v>
      </c>
    </row>
    <row r="725" spans="1:30" ht="15" customHeight="1" x14ac:dyDescent="0.25">
      <c r="A725" s="282" t="s">
        <v>581</v>
      </c>
      <c r="B725" s="282" t="s">
        <v>616</v>
      </c>
      <c r="C725" s="282" t="s">
        <v>617</v>
      </c>
      <c r="D725" s="283" t="s">
        <v>1242</v>
      </c>
      <c r="E725" s="404">
        <v>45056</v>
      </c>
      <c r="F725" s="404">
        <v>46883</v>
      </c>
      <c r="G725" s="286" t="s">
        <v>286</v>
      </c>
      <c r="H725" s="282" t="s">
        <v>759</v>
      </c>
      <c r="I725" s="282" t="s">
        <v>590</v>
      </c>
      <c r="J725" s="282" t="s">
        <v>156</v>
      </c>
      <c r="K725" s="286" t="s">
        <v>760</v>
      </c>
      <c r="L725" s="282" t="s">
        <v>574</v>
      </c>
      <c r="M725" s="287">
        <v>2400</v>
      </c>
      <c r="N725" s="287">
        <v>0</v>
      </c>
      <c r="O725" s="287">
        <v>0</v>
      </c>
      <c r="P725" s="287"/>
      <c r="Q725" s="288">
        <v>310</v>
      </c>
      <c r="R725" s="288" t="s">
        <v>777</v>
      </c>
      <c r="S725" s="288">
        <v>8.4799999999999997E-3</v>
      </c>
      <c r="T725" s="288"/>
      <c r="U725" s="288">
        <v>0</v>
      </c>
      <c r="V725" s="289">
        <v>310.00848000000002</v>
      </c>
      <c r="W725" s="289">
        <v>0</v>
      </c>
      <c r="X725" s="288">
        <v>0.12916666666666668</v>
      </c>
      <c r="Y725" s="288">
        <v>0.12916666666666668</v>
      </c>
      <c r="Z725" s="288">
        <v>3.5333333333333331E-6</v>
      </c>
      <c r="AA725" s="288">
        <v>0</v>
      </c>
      <c r="AB725" s="288">
        <v>0</v>
      </c>
      <c r="AC725" s="289">
        <v>0.12917020000000001</v>
      </c>
      <c r="AD725" s="289">
        <v>0</v>
      </c>
    </row>
    <row r="726" spans="1:30" ht="15" customHeight="1" x14ac:dyDescent="0.25">
      <c r="A726" s="282" t="s">
        <v>581</v>
      </c>
      <c r="B726" s="282" t="s">
        <v>616</v>
      </c>
      <c r="C726" s="282" t="s">
        <v>617</v>
      </c>
      <c r="D726" s="283" t="s">
        <v>1243</v>
      </c>
      <c r="E726" s="404">
        <v>45056</v>
      </c>
      <c r="F726" s="404">
        <v>46883</v>
      </c>
      <c r="G726" s="286" t="s">
        <v>286</v>
      </c>
      <c r="H726" s="282" t="s">
        <v>759</v>
      </c>
      <c r="I726" s="282" t="s">
        <v>590</v>
      </c>
      <c r="J726" s="282" t="s">
        <v>156</v>
      </c>
      <c r="K726" s="286" t="s">
        <v>760</v>
      </c>
      <c r="L726" s="282" t="s">
        <v>574</v>
      </c>
      <c r="M726" s="287">
        <v>2400</v>
      </c>
      <c r="N726" s="287">
        <v>0</v>
      </c>
      <c r="O726" s="287">
        <v>0</v>
      </c>
      <c r="P726" s="287"/>
      <c r="Q726" s="288">
        <v>310</v>
      </c>
      <c r="R726" s="288" t="s">
        <v>777</v>
      </c>
      <c r="S726" s="288">
        <v>8.4799999999999997E-3</v>
      </c>
      <c r="T726" s="288"/>
      <c r="U726" s="288">
        <v>0</v>
      </c>
      <c r="V726" s="289">
        <v>310.00848000000002</v>
      </c>
      <c r="W726" s="289">
        <v>0</v>
      </c>
      <c r="X726" s="288">
        <v>0.12916666666666668</v>
      </c>
      <c r="Y726" s="288">
        <v>0.12916666666666668</v>
      </c>
      <c r="Z726" s="288">
        <v>3.5333333333333331E-6</v>
      </c>
      <c r="AA726" s="288">
        <v>0</v>
      </c>
      <c r="AB726" s="288">
        <v>0</v>
      </c>
      <c r="AC726" s="289">
        <v>0.12917020000000001</v>
      </c>
      <c r="AD726" s="289">
        <v>0</v>
      </c>
    </row>
    <row r="727" spans="1:30" ht="15" customHeight="1" x14ac:dyDescent="0.25">
      <c r="A727" s="282" t="s">
        <v>581</v>
      </c>
      <c r="B727" s="282" t="s">
        <v>585</v>
      </c>
      <c r="C727" s="282" t="s">
        <v>586</v>
      </c>
      <c r="D727" s="283" t="s">
        <v>1244</v>
      </c>
      <c r="E727" s="404">
        <v>45016</v>
      </c>
      <c r="F727" s="404">
        <v>46843</v>
      </c>
      <c r="G727" s="286" t="s">
        <v>264</v>
      </c>
      <c r="H727" s="282" t="s">
        <v>1222</v>
      </c>
      <c r="I727" s="282" t="s">
        <v>590</v>
      </c>
      <c r="J727" s="282" t="s">
        <v>156</v>
      </c>
      <c r="K727" s="286" t="s">
        <v>1223</v>
      </c>
      <c r="L727" s="282" t="s">
        <v>574</v>
      </c>
      <c r="M727" s="287">
        <v>2400</v>
      </c>
      <c r="N727" s="287">
        <v>0</v>
      </c>
      <c r="O727" s="287">
        <v>0</v>
      </c>
      <c r="P727" s="287"/>
      <c r="Q727" s="288">
        <v>398.23</v>
      </c>
      <c r="R727" s="288">
        <v>398.24</v>
      </c>
      <c r="S727" s="288">
        <v>-8.7799999999999996E-3</v>
      </c>
      <c r="T727" s="288"/>
      <c r="U727" s="288">
        <v>0</v>
      </c>
      <c r="V727" s="289">
        <v>398.24</v>
      </c>
      <c r="W727" s="289">
        <v>0</v>
      </c>
      <c r="X727" s="288">
        <v>0.16592916666666668</v>
      </c>
      <c r="Y727" s="288">
        <v>0.16593333333333335</v>
      </c>
      <c r="Z727" s="288">
        <v>-3.6583333333333332E-6</v>
      </c>
      <c r="AA727" s="288">
        <v>0</v>
      </c>
      <c r="AB727" s="288">
        <v>0</v>
      </c>
      <c r="AC727" s="289">
        <v>0.16593333333333335</v>
      </c>
      <c r="AD727" s="289">
        <v>0</v>
      </c>
    </row>
    <row r="728" spans="1:30" ht="15" customHeight="1" x14ac:dyDescent="0.25">
      <c r="A728" s="282" t="s">
        <v>581</v>
      </c>
      <c r="B728" s="282" t="s">
        <v>585</v>
      </c>
      <c r="C728" s="282" t="s">
        <v>586</v>
      </c>
      <c r="D728" s="283" t="s">
        <v>1245</v>
      </c>
      <c r="E728" s="404">
        <v>45016</v>
      </c>
      <c r="F728" s="404">
        <v>46843</v>
      </c>
      <c r="G728" s="286" t="s">
        <v>264</v>
      </c>
      <c r="H728" s="282" t="s">
        <v>1222</v>
      </c>
      <c r="I728" s="282" t="s">
        <v>590</v>
      </c>
      <c r="J728" s="282" t="s">
        <v>156</v>
      </c>
      <c r="K728" s="286" t="s">
        <v>1223</v>
      </c>
      <c r="L728" s="282" t="s">
        <v>574</v>
      </c>
      <c r="M728" s="287">
        <v>2400</v>
      </c>
      <c r="N728" s="287">
        <v>0</v>
      </c>
      <c r="O728" s="287">
        <v>0</v>
      </c>
      <c r="P728" s="287"/>
      <c r="Q728" s="288">
        <v>401.05</v>
      </c>
      <c r="R728" s="288">
        <v>401.06</v>
      </c>
      <c r="S728" s="288">
        <v>-8.9200000000000008E-3</v>
      </c>
      <c r="T728" s="288"/>
      <c r="U728" s="288">
        <v>0</v>
      </c>
      <c r="V728" s="289">
        <v>401.06</v>
      </c>
      <c r="W728" s="289">
        <v>0</v>
      </c>
      <c r="X728" s="288">
        <v>0.16710416666666666</v>
      </c>
      <c r="Y728" s="288">
        <v>0.16710833333333333</v>
      </c>
      <c r="Z728" s="288">
        <v>-3.7166666666666669E-6</v>
      </c>
      <c r="AA728" s="288">
        <v>0</v>
      </c>
      <c r="AB728" s="288">
        <v>0</v>
      </c>
      <c r="AC728" s="289">
        <v>0.16710833333333333</v>
      </c>
      <c r="AD728" s="289">
        <v>0</v>
      </c>
    </row>
    <row r="729" spans="1:30" ht="15" customHeight="1" x14ac:dyDescent="0.25">
      <c r="A729" s="282" t="s">
        <v>581</v>
      </c>
      <c r="B729" s="282" t="s">
        <v>585</v>
      </c>
      <c r="C729" s="282" t="s">
        <v>586</v>
      </c>
      <c r="D729" s="283" t="s">
        <v>1246</v>
      </c>
      <c r="E729" s="404">
        <v>45016</v>
      </c>
      <c r="F729" s="404">
        <v>46843</v>
      </c>
      <c r="G729" s="286" t="s">
        <v>264</v>
      </c>
      <c r="H729" s="282" t="s">
        <v>1222</v>
      </c>
      <c r="I729" s="282" t="s">
        <v>590</v>
      </c>
      <c r="J729" s="282" t="s">
        <v>156</v>
      </c>
      <c r="K729" s="286" t="s">
        <v>1223</v>
      </c>
      <c r="L729" s="282" t="s">
        <v>574</v>
      </c>
      <c r="M729" s="287">
        <v>2400</v>
      </c>
      <c r="N729" s="287">
        <v>0</v>
      </c>
      <c r="O729" s="287">
        <v>0</v>
      </c>
      <c r="P729" s="287"/>
      <c r="Q729" s="288">
        <v>401.05</v>
      </c>
      <c r="R729" s="288">
        <v>401.06</v>
      </c>
      <c r="S729" s="288">
        <v>-8.9200000000000008E-3</v>
      </c>
      <c r="T729" s="288"/>
      <c r="U729" s="288">
        <v>0</v>
      </c>
      <c r="V729" s="289">
        <v>401.06</v>
      </c>
      <c r="W729" s="289">
        <v>0</v>
      </c>
      <c r="X729" s="288">
        <v>0.16710416666666666</v>
      </c>
      <c r="Y729" s="288">
        <v>0.16710833333333333</v>
      </c>
      <c r="Z729" s="288">
        <v>-3.7166666666666669E-6</v>
      </c>
      <c r="AA729" s="288">
        <v>0</v>
      </c>
      <c r="AB729" s="288">
        <v>0</v>
      </c>
      <c r="AC729" s="289">
        <v>0.16710833333333333</v>
      </c>
      <c r="AD729" s="289">
        <v>0</v>
      </c>
    </row>
    <row r="730" spans="1:30" ht="15" customHeight="1" x14ac:dyDescent="0.25">
      <c r="A730" s="282" t="s">
        <v>581</v>
      </c>
      <c r="B730" s="282" t="s">
        <v>585</v>
      </c>
      <c r="C730" s="282" t="s">
        <v>586</v>
      </c>
      <c r="D730" s="283" t="s">
        <v>1247</v>
      </c>
      <c r="E730" s="404">
        <v>45016</v>
      </c>
      <c r="F730" s="404">
        <v>46843</v>
      </c>
      <c r="G730" s="286" t="s">
        <v>264</v>
      </c>
      <c r="H730" s="282" t="s">
        <v>1222</v>
      </c>
      <c r="I730" s="282" t="s">
        <v>590</v>
      </c>
      <c r="J730" s="282" t="s">
        <v>156</v>
      </c>
      <c r="K730" s="286" t="s">
        <v>1223</v>
      </c>
      <c r="L730" s="282" t="s">
        <v>574</v>
      </c>
      <c r="M730" s="287">
        <v>2400</v>
      </c>
      <c r="N730" s="287">
        <v>0</v>
      </c>
      <c r="O730" s="287">
        <v>0</v>
      </c>
      <c r="P730" s="287"/>
      <c r="Q730" s="288">
        <v>405.73</v>
      </c>
      <c r="R730" s="288">
        <v>405.74</v>
      </c>
      <c r="S730" s="288">
        <v>-9.1699999999999993E-3</v>
      </c>
      <c r="T730" s="288"/>
      <c r="U730" s="288">
        <v>0</v>
      </c>
      <c r="V730" s="289">
        <v>405.74</v>
      </c>
      <c r="W730" s="289">
        <v>0</v>
      </c>
      <c r="X730" s="288">
        <v>0.16905416666666667</v>
      </c>
      <c r="Y730" s="288">
        <v>0.16905833333333334</v>
      </c>
      <c r="Z730" s="288">
        <v>-3.8208333333333333E-6</v>
      </c>
      <c r="AA730" s="288">
        <v>0</v>
      </c>
      <c r="AB730" s="288">
        <v>0</v>
      </c>
      <c r="AC730" s="289">
        <v>0.16905833333333334</v>
      </c>
      <c r="AD730" s="289">
        <v>0</v>
      </c>
    </row>
    <row r="731" spans="1:30" ht="15" customHeight="1" x14ac:dyDescent="0.25">
      <c r="A731" s="282" t="s">
        <v>581</v>
      </c>
      <c r="B731" s="282" t="s">
        <v>585</v>
      </c>
      <c r="C731" s="282" t="s">
        <v>586</v>
      </c>
      <c r="D731" s="283" t="s">
        <v>1248</v>
      </c>
      <c r="E731" s="404">
        <v>45016</v>
      </c>
      <c r="F731" s="404">
        <v>46843</v>
      </c>
      <c r="G731" s="286" t="s">
        <v>264</v>
      </c>
      <c r="H731" s="282" t="s">
        <v>1222</v>
      </c>
      <c r="I731" s="282" t="s">
        <v>590</v>
      </c>
      <c r="J731" s="282" t="s">
        <v>156</v>
      </c>
      <c r="K731" s="286" t="s">
        <v>1223</v>
      </c>
      <c r="L731" s="282" t="s">
        <v>574</v>
      </c>
      <c r="M731" s="287">
        <v>2400</v>
      </c>
      <c r="N731" s="287">
        <v>0</v>
      </c>
      <c r="O731" s="287">
        <v>0</v>
      </c>
      <c r="P731" s="287"/>
      <c r="Q731" s="288">
        <v>410.44</v>
      </c>
      <c r="R731" s="288">
        <v>410.45</v>
      </c>
      <c r="S731" s="288">
        <v>-9.4000000000000004E-3</v>
      </c>
      <c r="T731" s="288"/>
      <c r="U731" s="288">
        <v>0</v>
      </c>
      <c r="V731" s="289">
        <v>410.45</v>
      </c>
      <c r="W731" s="289">
        <v>0</v>
      </c>
      <c r="X731" s="288">
        <v>0.17101666666666668</v>
      </c>
      <c r="Y731" s="288">
        <v>0.17102083333333332</v>
      </c>
      <c r="Z731" s="288">
        <v>-3.9166666666666667E-6</v>
      </c>
      <c r="AA731" s="288">
        <v>0</v>
      </c>
      <c r="AB731" s="288">
        <v>0</v>
      </c>
      <c r="AC731" s="289">
        <v>0.17102083333333332</v>
      </c>
      <c r="AD731" s="289">
        <v>0</v>
      </c>
    </row>
    <row r="732" spans="1:30" ht="15" customHeight="1" x14ac:dyDescent="0.25">
      <c r="A732" s="282" t="s">
        <v>581</v>
      </c>
      <c r="B732" s="282" t="s">
        <v>585</v>
      </c>
      <c r="C732" s="282" t="s">
        <v>586</v>
      </c>
      <c r="D732" s="283" t="s">
        <v>1249</v>
      </c>
      <c r="E732" s="404">
        <v>45016</v>
      </c>
      <c r="F732" s="404">
        <v>46843</v>
      </c>
      <c r="G732" s="286" t="s">
        <v>264</v>
      </c>
      <c r="H732" s="282" t="s">
        <v>1222</v>
      </c>
      <c r="I732" s="282" t="s">
        <v>590</v>
      </c>
      <c r="J732" s="282" t="s">
        <v>156</v>
      </c>
      <c r="K732" s="286" t="s">
        <v>1223</v>
      </c>
      <c r="L732" s="282" t="s">
        <v>574</v>
      </c>
      <c r="M732" s="287">
        <v>2400</v>
      </c>
      <c r="N732" s="287">
        <v>0</v>
      </c>
      <c r="O732" s="287">
        <v>0</v>
      </c>
      <c r="P732" s="287"/>
      <c r="Q732" s="288">
        <v>424.54</v>
      </c>
      <c r="R732" s="288">
        <v>424.55</v>
      </c>
      <c r="S732" s="288">
        <v>-1.01E-2</v>
      </c>
      <c r="T732" s="288"/>
      <c r="U732" s="288">
        <v>0</v>
      </c>
      <c r="V732" s="289">
        <v>424.55</v>
      </c>
      <c r="W732" s="289">
        <v>0</v>
      </c>
      <c r="X732" s="288">
        <v>0.17689166666666667</v>
      </c>
      <c r="Y732" s="288">
        <v>0.17689583333333334</v>
      </c>
      <c r="Z732" s="288">
        <v>-4.2083333333333334E-6</v>
      </c>
      <c r="AA732" s="288">
        <v>0</v>
      </c>
      <c r="AB732" s="288">
        <v>0</v>
      </c>
      <c r="AC732" s="289">
        <v>0.17689583333333334</v>
      </c>
      <c r="AD732" s="289">
        <v>0</v>
      </c>
    </row>
    <row r="733" spans="1:30" ht="15" customHeight="1" x14ac:dyDescent="0.25">
      <c r="A733" s="282" t="s">
        <v>581</v>
      </c>
      <c r="B733" s="282" t="s">
        <v>585</v>
      </c>
      <c r="C733" s="282" t="s">
        <v>586</v>
      </c>
      <c r="D733" s="283" t="s">
        <v>1250</v>
      </c>
      <c r="E733" s="404">
        <v>45016</v>
      </c>
      <c r="F733" s="404">
        <v>46843</v>
      </c>
      <c r="G733" s="286" t="s">
        <v>264</v>
      </c>
      <c r="H733" s="282" t="s">
        <v>1222</v>
      </c>
      <c r="I733" s="282" t="s">
        <v>590</v>
      </c>
      <c r="J733" s="282" t="s">
        <v>156</v>
      </c>
      <c r="K733" s="286" t="s">
        <v>1223</v>
      </c>
      <c r="L733" s="282" t="s">
        <v>574</v>
      </c>
      <c r="M733" s="287">
        <v>2400</v>
      </c>
      <c r="N733" s="287">
        <v>0</v>
      </c>
      <c r="O733" s="287">
        <v>0</v>
      </c>
      <c r="P733" s="287"/>
      <c r="Q733" s="288">
        <v>424.54</v>
      </c>
      <c r="R733" s="288">
        <v>424.55</v>
      </c>
      <c r="S733" s="288">
        <v>-1.01E-2</v>
      </c>
      <c r="T733" s="288"/>
      <c r="U733" s="288">
        <v>0</v>
      </c>
      <c r="V733" s="289">
        <v>424.55</v>
      </c>
      <c r="W733" s="289">
        <v>0</v>
      </c>
      <c r="X733" s="288">
        <v>0.17689166666666667</v>
      </c>
      <c r="Y733" s="288">
        <v>0.17689583333333334</v>
      </c>
      <c r="Z733" s="288">
        <v>-4.2083333333333334E-6</v>
      </c>
      <c r="AA733" s="288">
        <v>0</v>
      </c>
      <c r="AB733" s="288">
        <v>0</v>
      </c>
      <c r="AC733" s="289">
        <v>0.17689583333333334</v>
      </c>
      <c r="AD733" s="289">
        <v>0</v>
      </c>
    </row>
    <row r="734" spans="1:30" ht="15" customHeight="1" x14ac:dyDescent="0.25">
      <c r="A734" s="282" t="s">
        <v>581</v>
      </c>
      <c r="B734" s="282" t="s">
        <v>585</v>
      </c>
      <c r="C734" s="282" t="s">
        <v>586</v>
      </c>
      <c r="D734" s="283" t="s">
        <v>1251</v>
      </c>
      <c r="E734" s="404">
        <v>45056</v>
      </c>
      <c r="F734" s="404">
        <v>46883</v>
      </c>
      <c r="G734" s="286" t="s">
        <v>286</v>
      </c>
      <c r="H734" s="282" t="s">
        <v>759</v>
      </c>
      <c r="I734" s="282" t="s">
        <v>590</v>
      </c>
      <c r="J734" s="282" t="s">
        <v>156</v>
      </c>
      <c r="K734" s="286" t="s">
        <v>760</v>
      </c>
      <c r="L734" s="282" t="s">
        <v>574</v>
      </c>
      <c r="M734" s="287">
        <v>2400</v>
      </c>
      <c r="N734" s="287">
        <v>0</v>
      </c>
      <c r="O734" s="287">
        <v>0</v>
      </c>
      <c r="P734" s="287"/>
      <c r="Q734" s="288">
        <v>299</v>
      </c>
      <c r="R734" s="288" t="s">
        <v>939</v>
      </c>
      <c r="S734" s="288">
        <v>6.9199999999999999E-3</v>
      </c>
      <c r="T734" s="288"/>
      <c r="U734" s="288">
        <v>0</v>
      </c>
      <c r="V734" s="289">
        <v>299.00691999999998</v>
      </c>
      <c r="W734" s="289">
        <v>0</v>
      </c>
      <c r="X734" s="288">
        <v>0.12458333333333334</v>
      </c>
      <c r="Y734" s="288">
        <v>0.12458333333333334</v>
      </c>
      <c r="Z734" s="288">
        <v>2.8833333333333334E-6</v>
      </c>
      <c r="AA734" s="288">
        <v>0</v>
      </c>
      <c r="AB734" s="288">
        <v>0</v>
      </c>
      <c r="AC734" s="289">
        <v>0.12458621666666667</v>
      </c>
      <c r="AD734" s="289">
        <v>0</v>
      </c>
    </row>
    <row r="735" spans="1:30" ht="15" customHeight="1" x14ac:dyDescent="0.25">
      <c r="A735" s="282" t="s">
        <v>581</v>
      </c>
      <c r="B735" s="282" t="s">
        <v>616</v>
      </c>
      <c r="C735" s="282" t="s">
        <v>617</v>
      </c>
      <c r="D735" s="283" t="s">
        <v>1252</v>
      </c>
      <c r="E735" s="404">
        <v>45016</v>
      </c>
      <c r="F735" s="404">
        <v>46843</v>
      </c>
      <c r="G735" s="286" t="s">
        <v>264</v>
      </c>
      <c r="H735" s="282" t="s">
        <v>1222</v>
      </c>
      <c r="I735" s="282" t="s">
        <v>590</v>
      </c>
      <c r="J735" s="282" t="s">
        <v>156</v>
      </c>
      <c r="K735" s="286" t="s">
        <v>1223</v>
      </c>
      <c r="L735" s="282" t="s">
        <v>574</v>
      </c>
      <c r="M735" s="287">
        <v>2400</v>
      </c>
      <c r="N735" s="287">
        <v>0</v>
      </c>
      <c r="O735" s="287">
        <v>0</v>
      </c>
      <c r="P735" s="287"/>
      <c r="Q735" s="288">
        <v>455.27</v>
      </c>
      <c r="R735" s="288">
        <v>455.28</v>
      </c>
      <c r="S735" s="288">
        <v>-9.1900000000000003E-3</v>
      </c>
      <c r="T735" s="288"/>
      <c r="U735" s="288">
        <v>0</v>
      </c>
      <c r="V735" s="289">
        <v>455.28</v>
      </c>
      <c r="W735" s="289">
        <v>0</v>
      </c>
      <c r="X735" s="288">
        <v>0.18969583333333331</v>
      </c>
      <c r="Y735" s="288">
        <v>0.18969999999999998</v>
      </c>
      <c r="Z735" s="288">
        <v>-3.8291666666666671E-6</v>
      </c>
      <c r="AA735" s="288">
        <v>0</v>
      </c>
      <c r="AB735" s="288">
        <v>0</v>
      </c>
      <c r="AC735" s="289">
        <v>0.18969999999999998</v>
      </c>
      <c r="AD735" s="289">
        <v>0</v>
      </c>
    </row>
    <row r="736" spans="1:30" ht="15" customHeight="1" x14ac:dyDescent="0.25">
      <c r="A736" s="282" t="s">
        <v>581</v>
      </c>
      <c r="B736" s="282" t="s">
        <v>585</v>
      </c>
      <c r="C736" s="282" t="s">
        <v>586</v>
      </c>
      <c r="D736" s="283" t="s">
        <v>1253</v>
      </c>
      <c r="E736" s="404">
        <v>45016</v>
      </c>
      <c r="F736" s="404">
        <v>46843</v>
      </c>
      <c r="G736" s="286" t="s">
        <v>264</v>
      </c>
      <c r="H736" s="282" t="s">
        <v>1222</v>
      </c>
      <c r="I736" s="282" t="s">
        <v>590</v>
      </c>
      <c r="J736" s="282" t="s">
        <v>156</v>
      </c>
      <c r="K736" s="286" t="s">
        <v>1223</v>
      </c>
      <c r="L736" s="282" t="s">
        <v>574</v>
      </c>
      <c r="M736" s="287">
        <v>2400</v>
      </c>
      <c r="N736" s="287">
        <v>0</v>
      </c>
      <c r="O736" s="287">
        <v>0</v>
      </c>
      <c r="P736" s="287"/>
      <c r="Q736" s="288">
        <v>287.01</v>
      </c>
      <c r="R736" s="288">
        <v>286.97000000000003</v>
      </c>
      <c r="S736" s="288">
        <v>4.6300000000000001E-2</v>
      </c>
      <c r="T736" s="288"/>
      <c r="U736" s="288">
        <v>0</v>
      </c>
      <c r="V736" s="289">
        <v>287.0163</v>
      </c>
      <c r="W736" s="289">
        <v>0</v>
      </c>
      <c r="X736" s="288">
        <v>0.1195875</v>
      </c>
      <c r="Y736" s="288">
        <v>0.11957083333333335</v>
      </c>
      <c r="Z736" s="288">
        <v>1.9291666666666667E-5</v>
      </c>
      <c r="AA736" s="288">
        <v>0</v>
      </c>
      <c r="AB736" s="288">
        <v>0</v>
      </c>
      <c r="AC736" s="289">
        <v>0.11959012500000002</v>
      </c>
      <c r="AD736" s="289">
        <v>0</v>
      </c>
    </row>
    <row r="737" spans="1:30" ht="15" customHeight="1" x14ac:dyDescent="0.25">
      <c r="A737" s="282" t="s">
        <v>581</v>
      </c>
      <c r="B737" s="282" t="s">
        <v>628</v>
      </c>
      <c r="C737" s="282" t="s">
        <v>629</v>
      </c>
      <c r="D737" s="283" t="s">
        <v>1254</v>
      </c>
      <c r="E737" s="404">
        <v>45056</v>
      </c>
      <c r="F737" s="404">
        <v>46883</v>
      </c>
      <c r="G737" s="286" t="s">
        <v>286</v>
      </c>
      <c r="H737" s="282" t="s">
        <v>759</v>
      </c>
      <c r="I737" s="282" t="s">
        <v>590</v>
      </c>
      <c r="J737" s="282" t="s">
        <v>156</v>
      </c>
      <c r="K737" s="286" t="s">
        <v>760</v>
      </c>
      <c r="L737" s="282" t="s">
        <v>574</v>
      </c>
      <c r="M737" s="287">
        <v>2400</v>
      </c>
      <c r="N737" s="287">
        <v>0</v>
      </c>
      <c r="O737" s="287">
        <v>0</v>
      </c>
      <c r="P737" s="287"/>
      <c r="Q737" s="288">
        <v>180</v>
      </c>
      <c r="R737" s="288" t="s">
        <v>1255</v>
      </c>
      <c r="S737" s="288">
        <v>3.6700000000000001E-3</v>
      </c>
      <c r="T737" s="288"/>
      <c r="U737" s="288">
        <v>0</v>
      </c>
      <c r="V737" s="289">
        <v>180.00367</v>
      </c>
      <c r="W737" s="289">
        <v>0</v>
      </c>
      <c r="X737" s="288">
        <v>7.4999999999999997E-2</v>
      </c>
      <c r="Y737" s="288">
        <v>7.4999999999999997E-2</v>
      </c>
      <c r="Z737" s="288">
        <v>1.5291666666666667E-6</v>
      </c>
      <c r="AA737" s="288">
        <v>0</v>
      </c>
      <c r="AB737" s="288">
        <v>0</v>
      </c>
      <c r="AC737" s="289">
        <v>7.5001529166666664E-2</v>
      </c>
      <c r="AD737" s="289">
        <v>0</v>
      </c>
    </row>
    <row r="738" spans="1:30" ht="15" customHeight="1" x14ac:dyDescent="0.25">
      <c r="A738" s="282" t="s">
        <v>581</v>
      </c>
      <c r="B738" s="282" t="s">
        <v>585</v>
      </c>
      <c r="C738" s="282" t="s">
        <v>586</v>
      </c>
      <c r="D738" s="283" t="s">
        <v>1256</v>
      </c>
      <c r="E738" s="404">
        <v>45016</v>
      </c>
      <c r="F738" s="404">
        <v>46843</v>
      </c>
      <c r="G738" s="286" t="s">
        <v>264</v>
      </c>
      <c r="H738" s="282" t="s">
        <v>1222</v>
      </c>
      <c r="I738" s="282" t="s">
        <v>590</v>
      </c>
      <c r="J738" s="282" t="s">
        <v>156</v>
      </c>
      <c r="K738" s="286" t="s">
        <v>1223</v>
      </c>
      <c r="L738" s="282" t="s">
        <v>574</v>
      </c>
      <c r="M738" s="287">
        <v>2400</v>
      </c>
      <c r="N738" s="287">
        <v>0</v>
      </c>
      <c r="O738" s="287">
        <v>0</v>
      </c>
      <c r="P738" s="287"/>
      <c r="Q738" s="288">
        <v>502.88</v>
      </c>
      <c r="R738" s="288">
        <v>502.89</v>
      </c>
      <c r="S738" s="288">
        <v>-1.8100000000000002E-2</v>
      </c>
      <c r="T738" s="288"/>
      <c r="U738" s="288">
        <v>0</v>
      </c>
      <c r="V738" s="289">
        <v>502.89</v>
      </c>
      <c r="W738" s="289">
        <v>0</v>
      </c>
      <c r="X738" s="288">
        <v>0.20953333333333332</v>
      </c>
      <c r="Y738" s="288">
        <v>0.20953749999999999</v>
      </c>
      <c r="Z738" s="288">
        <v>-7.5416666666666676E-6</v>
      </c>
      <c r="AA738" s="288">
        <v>0</v>
      </c>
      <c r="AB738" s="288">
        <v>0</v>
      </c>
      <c r="AC738" s="289">
        <v>0.20953749999999999</v>
      </c>
      <c r="AD738" s="289">
        <v>0</v>
      </c>
    </row>
    <row r="739" spans="1:30" ht="15" customHeight="1" x14ac:dyDescent="0.25">
      <c r="A739" s="282" t="s">
        <v>581</v>
      </c>
      <c r="B739" s="282" t="s">
        <v>585</v>
      </c>
      <c r="C739" s="282" t="s">
        <v>586</v>
      </c>
      <c r="D739" s="283" t="s">
        <v>1257</v>
      </c>
      <c r="E739" s="404">
        <v>45016</v>
      </c>
      <c r="F739" s="404">
        <v>46843</v>
      </c>
      <c r="G739" s="286" t="s">
        <v>264</v>
      </c>
      <c r="H739" s="282" t="s">
        <v>1222</v>
      </c>
      <c r="I739" s="282" t="s">
        <v>590</v>
      </c>
      <c r="J739" s="282" t="s">
        <v>156</v>
      </c>
      <c r="K739" s="286" t="s">
        <v>1223</v>
      </c>
      <c r="L739" s="282" t="s">
        <v>574</v>
      </c>
      <c r="M739" s="287">
        <v>2400</v>
      </c>
      <c r="N739" s="287">
        <v>0</v>
      </c>
      <c r="O739" s="287">
        <v>0</v>
      </c>
      <c r="P739" s="287"/>
      <c r="Q739" s="288">
        <v>513.39</v>
      </c>
      <c r="R739" s="288">
        <v>513.4</v>
      </c>
      <c r="S739" s="288">
        <v>-1.41E-2</v>
      </c>
      <c r="T739" s="288"/>
      <c r="U739" s="288">
        <v>0</v>
      </c>
      <c r="V739" s="289">
        <v>513.4</v>
      </c>
      <c r="W739" s="289">
        <v>0</v>
      </c>
      <c r="X739" s="288">
        <v>0.21391250000000001</v>
      </c>
      <c r="Y739" s="288">
        <v>0.21391666666666664</v>
      </c>
      <c r="Z739" s="288">
        <v>-5.8749999999999997E-6</v>
      </c>
      <c r="AA739" s="288">
        <v>0</v>
      </c>
      <c r="AB739" s="288">
        <v>0</v>
      </c>
      <c r="AC739" s="289">
        <v>0.21391666666666664</v>
      </c>
      <c r="AD739" s="289">
        <v>0</v>
      </c>
    </row>
    <row r="740" spans="1:30" ht="15" customHeight="1" x14ac:dyDescent="0.25">
      <c r="A740" s="282" t="s">
        <v>581</v>
      </c>
      <c r="B740" s="282" t="s">
        <v>585</v>
      </c>
      <c r="C740" s="282" t="s">
        <v>586</v>
      </c>
      <c r="D740" s="283" t="s">
        <v>1258</v>
      </c>
      <c r="E740" s="404">
        <v>45016</v>
      </c>
      <c r="F740" s="404">
        <v>46843</v>
      </c>
      <c r="G740" s="286" t="s">
        <v>264</v>
      </c>
      <c r="H740" s="282" t="s">
        <v>1222</v>
      </c>
      <c r="I740" s="282" t="s">
        <v>590</v>
      </c>
      <c r="J740" s="282" t="s">
        <v>156</v>
      </c>
      <c r="K740" s="286" t="s">
        <v>1223</v>
      </c>
      <c r="L740" s="282" t="s">
        <v>574</v>
      </c>
      <c r="M740" s="287">
        <v>2400</v>
      </c>
      <c r="N740" s="287">
        <v>0</v>
      </c>
      <c r="O740" s="287">
        <v>0</v>
      </c>
      <c r="P740" s="287"/>
      <c r="Q740" s="288">
        <v>283.18</v>
      </c>
      <c r="R740" s="288">
        <v>283.14</v>
      </c>
      <c r="S740" s="288">
        <v>4.53E-2</v>
      </c>
      <c r="T740" s="288"/>
      <c r="U740" s="288">
        <v>0</v>
      </c>
      <c r="V740" s="289">
        <v>283.18529999999998</v>
      </c>
      <c r="W740" s="289">
        <v>0</v>
      </c>
      <c r="X740" s="288">
        <v>0.11799166666666668</v>
      </c>
      <c r="Y740" s="288">
        <v>0.117975</v>
      </c>
      <c r="Z740" s="288">
        <v>1.8875000000000001E-5</v>
      </c>
      <c r="AA740" s="288">
        <v>0</v>
      </c>
      <c r="AB740" s="288">
        <v>0</v>
      </c>
      <c r="AC740" s="289">
        <v>0.117993875</v>
      </c>
      <c r="AD740" s="289">
        <v>0</v>
      </c>
    </row>
    <row r="741" spans="1:30" ht="15" customHeight="1" x14ac:dyDescent="0.25">
      <c r="A741" s="282" t="s">
        <v>581</v>
      </c>
      <c r="B741" s="282" t="s">
        <v>616</v>
      </c>
      <c r="C741" s="282" t="s">
        <v>617</v>
      </c>
      <c r="D741" s="283" t="s">
        <v>1259</v>
      </c>
      <c r="E741" s="404">
        <v>45016</v>
      </c>
      <c r="F741" s="404">
        <v>46843</v>
      </c>
      <c r="G741" s="286" t="s">
        <v>264</v>
      </c>
      <c r="H741" s="282" t="s">
        <v>1222</v>
      </c>
      <c r="I741" s="282" t="s">
        <v>590</v>
      </c>
      <c r="J741" s="282" t="s">
        <v>156</v>
      </c>
      <c r="K741" s="286" t="s">
        <v>1223</v>
      </c>
      <c r="L741" s="282" t="s">
        <v>574</v>
      </c>
      <c r="M741" s="287">
        <v>2400</v>
      </c>
      <c r="N741" s="287">
        <v>0</v>
      </c>
      <c r="O741" s="287">
        <v>0</v>
      </c>
      <c r="P741" s="287"/>
      <c r="Q741" s="288">
        <v>401.36</v>
      </c>
      <c r="R741" s="288">
        <v>401.34</v>
      </c>
      <c r="S741" s="288">
        <v>2.5499999999999998E-2</v>
      </c>
      <c r="T741" s="288"/>
      <c r="U741" s="288">
        <v>0</v>
      </c>
      <c r="V741" s="289">
        <v>401.3655</v>
      </c>
      <c r="W741" s="289">
        <v>0</v>
      </c>
      <c r="X741" s="288">
        <v>0.16723333333333334</v>
      </c>
      <c r="Y741" s="288">
        <v>0.16722499999999998</v>
      </c>
      <c r="Z741" s="288">
        <v>1.0624999999999999E-5</v>
      </c>
      <c r="AA741" s="288">
        <v>0</v>
      </c>
      <c r="AB741" s="288">
        <v>0</v>
      </c>
      <c r="AC741" s="289">
        <v>0.16723562499999997</v>
      </c>
      <c r="AD741" s="289">
        <v>0</v>
      </c>
    </row>
    <row r="742" spans="1:30" ht="15" customHeight="1" x14ac:dyDescent="0.25">
      <c r="A742" s="282" t="s">
        <v>581</v>
      </c>
      <c r="B742" s="282" t="s">
        <v>606</v>
      </c>
      <c r="C742" s="282" t="s">
        <v>260</v>
      </c>
      <c r="D742" s="283" t="s">
        <v>1260</v>
      </c>
      <c r="E742" s="404">
        <v>45016</v>
      </c>
      <c r="F742" s="404">
        <v>46843</v>
      </c>
      <c r="G742" s="286" t="s">
        <v>264</v>
      </c>
      <c r="H742" s="282" t="s">
        <v>1222</v>
      </c>
      <c r="I742" s="282" t="s">
        <v>590</v>
      </c>
      <c r="J742" s="282" t="s">
        <v>156</v>
      </c>
      <c r="K742" s="286" t="s">
        <v>1223</v>
      </c>
      <c r="L742" s="282" t="s">
        <v>574</v>
      </c>
      <c r="M742" s="287">
        <v>2400</v>
      </c>
      <c r="N742" s="287">
        <v>0</v>
      </c>
      <c r="O742" s="287">
        <v>0</v>
      </c>
      <c r="P742" s="287"/>
      <c r="Q742" s="288">
        <v>347.95</v>
      </c>
      <c r="R742" s="288">
        <v>347.9</v>
      </c>
      <c r="S742" s="288">
        <v>5.4100000000000002E-2</v>
      </c>
      <c r="T742" s="288"/>
      <c r="U742" s="288">
        <v>0</v>
      </c>
      <c r="V742" s="289">
        <v>347.95409999999998</v>
      </c>
      <c r="W742" s="289">
        <v>0</v>
      </c>
      <c r="X742" s="288">
        <v>0.14497916666666666</v>
      </c>
      <c r="Y742" s="288">
        <v>0.14495833333333333</v>
      </c>
      <c r="Z742" s="288">
        <v>2.2541666666666668E-5</v>
      </c>
      <c r="AA742" s="288">
        <v>0</v>
      </c>
      <c r="AB742" s="288">
        <v>0</v>
      </c>
      <c r="AC742" s="289">
        <v>0.14498087499999998</v>
      </c>
      <c r="AD742" s="289">
        <v>0</v>
      </c>
    </row>
    <row r="743" spans="1:30" ht="15" customHeight="1" x14ac:dyDescent="0.25">
      <c r="A743" s="282" t="s">
        <v>581</v>
      </c>
      <c r="B743" s="282" t="s">
        <v>616</v>
      </c>
      <c r="C743" s="282" t="s">
        <v>617</v>
      </c>
      <c r="D743" s="283" t="s">
        <v>1261</v>
      </c>
      <c r="E743" s="404">
        <v>45016</v>
      </c>
      <c r="F743" s="404">
        <v>46843</v>
      </c>
      <c r="G743" s="286" t="s">
        <v>264</v>
      </c>
      <c r="H743" s="282" t="s">
        <v>1222</v>
      </c>
      <c r="I743" s="282" t="s">
        <v>590</v>
      </c>
      <c r="J743" s="282" t="s">
        <v>156</v>
      </c>
      <c r="K743" s="286" t="s">
        <v>1223</v>
      </c>
      <c r="L743" s="282" t="s">
        <v>574</v>
      </c>
      <c r="M743" s="287">
        <v>2400</v>
      </c>
      <c r="N743" s="287">
        <v>0</v>
      </c>
      <c r="O743" s="287">
        <v>0</v>
      </c>
      <c r="P743" s="287"/>
      <c r="Q743" s="288">
        <v>335.03</v>
      </c>
      <c r="R743" s="288">
        <v>334.98</v>
      </c>
      <c r="S743" s="288">
        <v>5.3400000000000003E-2</v>
      </c>
      <c r="T743" s="288"/>
      <c r="U743" s="288">
        <v>0</v>
      </c>
      <c r="V743" s="289">
        <v>335.03340000000003</v>
      </c>
      <c r="W743" s="289">
        <v>0</v>
      </c>
      <c r="X743" s="288">
        <v>0.13959583333333334</v>
      </c>
      <c r="Y743" s="288">
        <v>0.139575</v>
      </c>
      <c r="Z743" s="288">
        <v>2.2250000000000002E-5</v>
      </c>
      <c r="AA743" s="288">
        <v>0</v>
      </c>
      <c r="AB743" s="288">
        <v>0</v>
      </c>
      <c r="AC743" s="289">
        <v>0.13959725000000001</v>
      </c>
      <c r="AD743" s="289">
        <v>0</v>
      </c>
    </row>
    <row r="744" spans="1:30" ht="15" customHeight="1" x14ac:dyDescent="0.25">
      <c r="A744" s="282" t="s">
        <v>581</v>
      </c>
      <c r="B744" s="282" t="s">
        <v>616</v>
      </c>
      <c r="C744" s="282" t="s">
        <v>617</v>
      </c>
      <c r="D744" s="283" t="s">
        <v>1262</v>
      </c>
      <c r="E744" s="404">
        <v>45016</v>
      </c>
      <c r="F744" s="404">
        <v>46843</v>
      </c>
      <c r="G744" s="286" t="s">
        <v>264</v>
      </c>
      <c r="H744" s="282" t="s">
        <v>1222</v>
      </c>
      <c r="I744" s="282" t="s">
        <v>590</v>
      </c>
      <c r="J744" s="282" t="s">
        <v>156</v>
      </c>
      <c r="K744" s="286" t="s">
        <v>1223</v>
      </c>
      <c r="L744" s="282" t="s">
        <v>574</v>
      </c>
      <c r="M744" s="287">
        <v>2400</v>
      </c>
      <c r="N744" s="287">
        <v>0</v>
      </c>
      <c r="O744" s="287">
        <v>0</v>
      </c>
      <c r="P744" s="287"/>
      <c r="Q744" s="288">
        <v>419.47</v>
      </c>
      <c r="R744" s="288">
        <v>419.46</v>
      </c>
      <c r="S744" s="288">
        <v>1.41E-2</v>
      </c>
      <c r="T744" s="288"/>
      <c r="U744" s="288">
        <v>0</v>
      </c>
      <c r="V744" s="289">
        <v>419.47409999999996</v>
      </c>
      <c r="W744" s="289">
        <v>0</v>
      </c>
      <c r="X744" s="288">
        <v>0.17477916666666668</v>
      </c>
      <c r="Y744" s="288">
        <v>0.17477499999999999</v>
      </c>
      <c r="Z744" s="288">
        <v>5.8749999999999997E-6</v>
      </c>
      <c r="AA744" s="288">
        <v>0</v>
      </c>
      <c r="AB744" s="288">
        <v>0</v>
      </c>
      <c r="AC744" s="289">
        <v>0.17478087499999997</v>
      </c>
      <c r="AD744" s="289">
        <v>0</v>
      </c>
    </row>
    <row r="745" spans="1:30" ht="15" customHeight="1" x14ac:dyDescent="0.25">
      <c r="A745" s="282" t="s">
        <v>581</v>
      </c>
      <c r="B745" s="282" t="s">
        <v>585</v>
      </c>
      <c r="C745" s="282" t="s">
        <v>586</v>
      </c>
      <c r="D745" s="283" t="s">
        <v>1263</v>
      </c>
      <c r="E745" s="404">
        <v>45016</v>
      </c>
      <c r="F745" s="404">
        <v>46843</v>
      </c>
      <c r="G745" s="286" t="s">
        <v>264</v>
      </c>
      <c r="H745" s="282" t="s">
        <v>1222</v>
      </c>
      <c r="I745" s="282" t="s">
        <v>590</v>
      </c>
      <c r="J745" s="282" t="s">
        <v>156</v>
      </c>
      <c r="K745" s="286" t="s">
        <v>1223</v>
      </c>
      <c r="L745" s="282" t="s">
        <v>574</v>
      </c>
      <c r="M745" s="287">
        <v>2400</v>
      </c>
      <c r="N745" s="287">
        <v>0</v>
      </c>
      <c r="O745" s="287">
        <v>0</v>
      </c>
      <c r="P745" s="287"/>
      <c r="Q745" s="288">
        <v>338.58</v>
      </c>
      <c r="R745" s="288">
        <v>338.56</v>
      </c>
      <c r="S745" s="288">
        <v>2.3199999999999998E-2</v>
      </c>
      <c r="T745" s="288"/>
      <c r="U745" s="288">
        <v>0</v>
      </c>
      <c r="V745" s="289">
        <v>338.58319999999998</v>
      </c>
      <c r="W745" s="289">
        <v>0</v>
      </c>
      <c r="X745" s="288">
        <v>0.14107500000000001</v>
      </c>
      <c r="Y745" s="288">
        <v>0.14106666666666667</v>
      </c>
      <c r="Z745" s="288">
        <v>9.6666666666666667E-6</v>
      </c>
      <c r="AA745" s="288">
        <v>0</v>
      </c>
      <c r="AB745" s="288">
        <v>0</v>
      </c>
      <c r="AC745" s="289">
        <v>0.14107633333333333</v>
      </c>
      <c r="AD745" s="289">
        <v>0</v>
      </c>
    </row>
    <row r="746" spans="1:30" ht="15" customHeight="1" x14ac:dyDescent="0.25">
      <c r="A746" s="282" t="s">
        <v>581</v>
      </c>
      <c r="B746" s="282" t="s">
        <v>1264</v>
      </c>
      <c r="C746" s="282" t="s">
        <v>696</v>
      </c>
      <c r="D746" s="283" t="s">
        <v>1265</v>
      </c>
      <c r="E746" s="404">
        <v>45016</v>
      </c>
      <c r="F746" s="404">
        <v>46843</v>
      </c>
      <c r="G746" s="286" t="s">
        <v>264</v>
      </c>
      <c r="H746" s="282" t="s">
        <v>1222</v>
      </c>
      <c r="I746" s="282" t="s">
        <v>590</v>
      </c>
      <c r="J746" s="282" t="s">
        <v>156</v>
      </c>
      <c r="K746" s="286" t="s">
        <v>1223</v>
      </c>
      <c r="L746" s="282" t="s">
        <v>574</v>
      </c>
      <c r="M746" s="287">
        <v>2400</v>
      </c>
      <c r="N746" s="287">
        <v>0</v>
      </c>
      <c r="O746" s="287">
        <v>0</v>
      </c>
      <c r="P746" s="287"/>
      <c r="Q746" s="288">
        <v>349.87</v>
      </c>
      <c r="R746" s="288">
        <v>349.83</v>
      </c>
      <c r="S746" s="288">
        <v>4.3299999999999998E-2</v>
      </c>
      <c r="T746" s="288"/>
      <c r="U746" s="288">
        <v>0</v>
      </c>
      <c r="V746" s="289">
        <v>349.87329999999997</v>
      </c>
      <c r="W746" s="289">
        <v>0</v>
      </c>
      <c r="X746" s="288">
        <v>0.14577916666666668</v>
      </c>
      <c r="Y746" s="288">
        <v>0.14576249999999999</v>
      </c>
      <c r="Z746" s="288">
        <v>1.8041666666666667E-5</v>
      </c>
      <c r="AA746" s="288">
        <v>0</v>
      </c>
      <c r="AB746" s="288">
        <v>0</v>
      </c>
      <c r="AC746" s="289">
        <v>0.14578054166666665</v>
      </c>
      <c r="AD746" s="289">
        <v>0</v>
      </c>
    </row>
    <row r="747" spans="1:30" ht="15" customHeight="1" x14ac:dyDescent="0.25">
      <c r="A747" s="282" t="s">
        <v>581</v>
      </c>
      <c r="B747" s="282" t="s">
        <v>611</v>
      </c>
      <c r="C747" s="282" t="s">
        <v>612</v>
      </c>
      <c r="D747" s="283" t="s">
        <v>1266</v>
      </c>
      <c r="E747" s="404">
        <v>45016</v>
      </c>
      <c r="F747" s="404">
        <v>46843</v>
      </c>
      <c r="G747" s="286" t="s">
        <v>264</v>
      </c>
      <c r="H747" s="282" t="s">
        <v>1222</v>
      </c>
      <c r="I747" s="282" t="s">
        <v>590</v>
      </c>
      <c r="J747" s="282" t="s">
        <v>156</v>
      </c>
      <c r="K747" s="286" t="s">
        <v>1223</v>
      </c>
      <c r="L747" s="282" t="s">
        <v>574</v>
      </c>
      <c r="M747" s="287">
        <v>2400</v>
      </c>
      <c r="N747" s="287">
        <v>0</v>
      </c>
      <c r="O747" s="287">
        <v>0</v>
      </c>
      <c r="P747" s="287"/>
      <c r="Q747" s="288">
        <v>247.33</v>
      </c>
      <c r="R747" s="288">
        <v>247.3</v>
      </c>
      <c r="S747" s="288">
        <v>3.1899999999999998E-2</v>
      </c>
      <c r="T747" s="288"/>
      <c r="U747" s="288">
        <v>0</v>
      </c>
      <c r="V747" s="289">
        <v>247.33190000000002</v>
      </c>
      <c r="W747" s="289">
        <v>0</v>
      </c>
      <c r="X747" s="288">
        <v>0.10305416666666667</v>
      </c>
      <c r="Y747" s="288">
        <v>0.10304166666666667</v>
      </c>
      <c r="Z747" s="288">
        <v>1.3291666666666665E-5</v>
      </c>
      <c r="AA747" s="288">
        <v>0</v>
      </c>
      <c r="AB747" s="288">
        <v>0</v>
      </c>
      <c r="AC747" s="289">
        <v>0.10305495833333334</v>
      </c>
      <c r="AD747" s="289">
        <v>0</v>
      </c>
    </row>
    <row r="748" spans="1:30" ht="15" customHeight="1" x14ac:dyDescent="0.25">
      <c r="A748" s="282" t="s">
        <v>581</v>
      </c>
      <c r="B748" s="282" t="s">
        <v>616</v>
      </c>
      <c r="C748" s="282" t="s">
        <v>617</v>
      </c>
      <c r="D748" s="283" t="s">
        <v>1267</v>
      </c>
      <c r="E748" s="404">
        <v>45016</v>
      </c>
      <c r="F748" s="404">
        <v>46843</v>
      </c>
      <c r="G748" s="286" t="s">
        <v>264</v>
      </c>
      <c r="H748" s="282" t="s">
        <v>1222</v>
      </c>
      <c r="I748" s="282" t="s">
        <v>590</v>
      </c>
      <c r="J748" s="282" t="s">
        <v>156</v>
      </c>
      <c r="K748" s="286" t="s">
        <v>1223</v>
      </c>
      <c r="L748" s="282" t="s">
        <v>574</v>
      </c>
      <c r="M748" s="287">
        <v>2400</v>
      </c>
      <c r="N748" s="287">
        <v>0</v>
      </c>
      <c r="O748" s="287">
        <v>0</v>
      </c>
      <c r="P748" s="287"/>
      <c r="Q748" s="288">
        <v>389.79</v>
      </c>
      <c r="R748" s="288">
        <v>389.76</v>
      </c>
      <c r="S748" s="288">
        <v>3.2800000000000003E-2</v>
      </c>
      <c r="T748" s="288"/>
      <c r="U748" s="288">
        <v>0</v>
      </c>
      <c r="V748" s="289">
        <v>389.7928</v>
      </c>
      <c r="W748" s="289">
        <v>0</v>
      </c>
      <c r="X748" s="288">
        <v>0.16241250000000002</v>
      </c>
      <c r="Y748" s="288">
        <v>0.16239999999999999</v>
      </c>
      <c r="Z748" s="288">
        <v>1.3666666666666667E-5</v>
      </c>
      <c r="AA748" s="288">
        <v>0</v>
      </c>
      <c r="AB748" s="288">
        <v>0</v>
      </c>
      <c r="AC748" s="289">
        <v>0.16241366666666665</v>
      </c>
      <c r="AD748" s="289">
        <v>0</v>
      </c>
    </row>
    <row r="749" spans="1:30" ht="15" customHeight="1" x14ac:dyDescent="0.25">
      <c r="A749" s="282" t="s">
        <v>581</v>
      </c>
      <c r="B749" s="282" t="s">
        <v>611</v>
      </c>
      <c r="C749" s="282" t="s">
        <v>612</v>
      </c>
      <c r="D749" s="283" t="s">
        <v>1268</v>
      </c>
      <c r="E749" s="404">
        <v>45016</v>
      </c>
      <c r="F749" s="404">
        <v>46843</v>
      </c>
      <c r="G749" s="286" t="s">
        <v>264</v>
      </c>
      <c r="H749" s="282" t="s">
        <v>1222</v>
      </c>
      <c r="I749" s="282" t="s">
        <v>590</v>
      </c>
      <c r="J749" s="282" t="s">
        <v>156</v>
      </c>
      <c r="K749" s="286" t="s">
        <v>1223</v>
      </c>
      <c r="L749" s="282" t="s">
        <v>574</v>
      </c>
      <c r="M749" s="287">
        <v>2400</v>
      </c>
      <c r="N749" s="287">
        <v>0</v>
      </c>
      <c r="O749" s="287">
        <v>0</v>
      </c>
      <c r="P749" s="287"/>
      <c r="Q749" s="288">
        <v>244.96</v>
      </c>
      <c r="R749" s="288">
        <v>244.93</v>
      </c>
      <c r="S749" s="288">
        <v>3.15E-2</v>
      </c>
      <c r="T749" s="288"/>
      <c r="U749" s="288">
        <v>0</v>
      </c>
      <c r="V749" s="289">
        <v>244.9615</v>
      </c>
      <c r="W749" s="289">
        <v>0</v>
      </c>
      <c r="X749" s="288">
        <v>0.10206666666666667</v>
      </c>
      <c r="Y749" s="288">
        <v>0.10205416666666667</v>
      </c>
      <c r="Z749" s="288">
        <v>1.3125000000000001E-5</v>
      </c>
      <c r="AA749" s="288">
        <v>0</v>
      </c>
      <c r="AB749" s="288">
        <v>0</v>
      </c>
      <c r="AC749" s="289">
        <v>0.10206729166666667</v>
      </c>
      <c r="AD749" s="289">
        <v>0</v>
      </c>
    </row>
    <row r="750" spans="1:30" ht="15" customHeight="1" x14ac:dyDescent="0.25">
      <c r="A750" s="282" t="s">
        <v>581</v>
      </c>
      <c r="B750" s="282" t="s">
        <v>611</v>
      </c>
      <c r="C750" s="282" t="s">
        <v>612</v>
      </c>
      <c r="D750" s="283" t="s">
        <v>1269</v>
      </c>
      <c r="E750" s="404">
        <v>45016</v>
      </c>
      <c r="F750" s="404">
        <v>46843</v>
      </c>
      <c r="G750" s="286" t="s">
        <v>264</v>
      </c>
      <c r="H750" s="282" t="s">
        <v>1222</v>
      </c>
      <c r="I750" s="282" t="s">
        <v>590</v>
      </c>
      <c r="J750" s="282" t="s">
        <v>156</v>
      </c>
      <c r="K750" s="286" t="s">
        <v>1223</v>
      </c>
      <c r="L750" s="282" t="s">
        <v>574</v>
      </c>
      <c r="M750" s="287">
        <v>2400</v>
      </c>
      <c r="N750" s="287">
        <v>0</v>
      </c>
      <c r="O750" s="287">
        <v>0</v>
      </c>
      <c r="P750" s="287"/>
      <c r="Q750" s="288">
        <v>245.02</v>
      </c>
      <c r="R750" s="288">
        <v>244.99</v>
      </c>
      <c r="S750" s="288">
        <v>3.15E-2</v>
      </c>
      <c r="T750" s="288"/>
      <c r="U750" s="288">
        <v>0</v>
      </c>
      <c r="V750" s="289">
        <v>245.0215</v>
      </c>
      <c r="W750" s="289">
        <v>0</v>
      </c>
      <c r="X750" s="288">
        <v>0.10209166666666668</v>
      </c>
      <c r="Y750" s="288">
        <v>0.10207916666666667</v>
      </c>
      <c r="Z750" s="288">
        <v>1.3125000000000001E-5</v>
      </c>
      <c r="AA750" s="288">
        <v>0</v>
      </c>
      <c r="AB750" s="288">
        <v>0</v>
      </c>
      <c r="AC750" s="289">
        <v>0.10209229166666667</v>
      </c>
      <c r="AD750" s="289">
        <v>0</v>
      </c>
    </row>
    <row r="751" spans="1:30" ht="15" customHeight="1" x14ac:dyDescent="0.25">
      <c r="A751" s="282" t="s">
        <v>581</v>
      </c>
      <c r="B751" s="282" t="s">
        <v>611</v>
      </c>
      <c r="C751" s="282" t="s">
        <v>612</v>
      </c>
      <c r="D751" s="283" t="s">
        <v>1270</v>
      </c>
      <c r="E751" s="404">
        <v>45016</v>
      </c>
      <c r="F751" s="404">
        <v>46843</v>
      </c>
      <c r="G751" s="286" t="s">
        <v>264</v>
      </c>
      <c r="H751" s="282" t="s">
        <v>1222</v>
      </c>
      <c r="I751" s="282" t="s">
        <v>590</v>
      </c>
      <c r="J751" s="282" t="s">
        <v>156</v>
      </c>
      <c r="K751" s="286" t="s">
        <v>1223</v>
      </c>
      <c r="L751" s="282" t="s">
        <v>574</v>
      </c>
      <c r="M751" s="287">
        <v>2400</v>
      </c>
      <c r="N751" s="287">
        <v>0</v>
      </c>
      <c r="O751" s="287">
        <v>0</v>
      </c>
      <c r="P751" s="287"/>
      <c r="Q751" s="288">
        <v>235.58</v>
      </c>
      <c r="R751" s="288">
        <v>235.54</v>
      </c>
      <c r="S751" s="288">
        <v>4.1399999999999999E-2</v>
      </c>
      <c r="T751" s="288"/>
      <c r="U751" s="288">
        <v>0</v>
      </c>
      <c r="V751" s="289">
        <v>235.5814</v>
      </c>
      <c r="W751" s="289">
        <v>0</v>
      </c>
      <c r="X751" s="288">
        <v>9.8158333333333334E-2</v>
      </c>
      <c r="Y751" s="288">
        <v>9.8141666666666669E-2</v>
      </c>
      <c r="Z751" s="288">
        <v>1.7249999999999999E-5</v>
      </c>
      <c r="AA751" s="288">
        <v>0</v>
      </c>
      <c r="AB751" s="288">
        <v>0</v>
      </c>
      <c r="AC751" s="289">
        <v>9.8158916666666665E-2</v>
      </c>
      <c r="AD751" s="289">
        <v>0</v>
      </c>
    </row>
    <row r="752" spans="1:30" ht="15" customHeight="1" x14ac:dyDescent="0.25">
      <c r="A752" s="282" t="s">
        <v>581</v>
      </c>
      <c r="B752" s="282" t="s">
        <v>585</v>
      </c>
      <c r="C752" s="282" t="s">
        <v>586</v>
      </c>
      <c r="D752" s="283" t="s">
        <v>1271</v>
      </c>
      <c r="E752" s="404">
        <v>45016</v>
      </c>
      <c r="F752" s="404">
        <v>46843</v>
      </c>
      <c r="G752" s="286" t="s">
        <v>264</v>
      </c>
      <c r="H752" s="282" t="s">
        <v>1222</v>
      </c>
      <c r="I752" s="282" t="s">
        <v>590</v>
      </c>
      <c r="J752" s="282" t="s">
        <v>156</v>
      </c>
      <c r="K752" s="286" t="s">
        <v>1223</v>
      </c>
      <c r="L752" s="282" t="s">
        <v>574</v>
      </c>
      <c r="M752" s="287">
        <v>2400</v>
      </c>
      <c r="N752" s="287">
        <v>0</v>
      </c>
      <c r="O752" s="287">
        <v>0</v>
      </c>
      <c r="P752" s="287"/>
      <c r="Q752" s="288">
        <v>366.72</v>
      </c>
      <c r="R752" s="288">
        <v>366.72</v>
      </c>
      <c r="S752" s="288">
        <v>2.16E-3</v>
      </c>
      <c r="T752" s="288"/>
      <c r="U752" s="288">
        <v>0</v>
      </c>
      <c r="V752" s="289">
        <v>366.72216000000003</v>
      </c>
      <c r="W752" s="289">
        <v>0</v>
      </c>
      <c r="X752" s="288">
        <v>0.15280000000000002</v>
      </c>
      <c r="Y752" s="288">
        <v>0.15280000000000002</v>
      </c>
      <c r="Z752" s="288">
        <v>8.9999999999999996E-7</v>
      </c>
      <c r="AA752" s="288">
        <v>0</v>
      </c>
      <c r="AB752" s="288">
        <v>0</v>
      </c>
      <c r="AC752" s="289">
        <v>0.15280090000000002</v>
      </c>
      <c r="AD752" s="289">
        <v>0</v>
      </c>
    </row>
    <row r="753" spans="1:30" ht="15" customHeight="1" x14ac:dyDescent="0.25">
      <c r="A753" s="282" t="s">
        <v>581</v>
      </c>
      <c r="B753" s="282" t="s">
        <v>585</v>
      </c>
      <c r="C753" s="282" t="s">
        <v>586</v>
      </c>
      <c r="D753" s="283" t="s">
        <v>1272</v>
      </c>
      <c r="E753" s="404">
        <v>45056</v>
      </c>
      <c r="F753" s="404">
        <v>46883</v>
      </c>
      <c r="G753" s="286" t="s">
        <v>286</v>
      </c>
      <c r="H753" s="282" t="s">
        <v>759</v>
      </c>
      <c r="I753" s="282" t="s">
        <v>590</v>
      </c>
      <c r="J753" s="282" t="s">
        <v>156</v>
      </c>
      <c r="K753" s="286" t="s">
        <v>760</v>
      </c>
      <c r="L753" s="282" t="s">
        <v>574</v>
      </c>
      <c r="M753" s="287">
        <v>2400</v>
      </c>
      <c r="N753" s="287">
        <v>0</v>
      </c>
      <c r="O753" s="287">
        <v>0</v>
      </c>
      <c r="P753" s="287"/>
      <c r="Q753" s="288">
        <v>303</v>
      </c>
      <c r="R753" s="288" t="s">
        <v>748</v>
      </c>
      <c r="S753" s="288">
        <v>1.6999999999999999E-3</v>
      </c>
      <c r="T753" s="288"/>
      <c r="U753" s="288">
        <v>0</v>
      </c>
      <c r="V753" s="289">
        <v>303.00170000000003</v>
      </c>
      <c r="W753" s="289">
        <v>0</v>
      </c>
      <c r="X753" s="288">
        <v>0.12625</v>
      </c>
      <c r="Y753" s="288">
        <v>0.12625</v>
      </c>
      <c r="Z753" s="288">
        <v>7.0833333333333326E-7</v>
      </c>
      <c r="AA753" s="288">
        <v>0</v>
      </c>
      <c r="AB753" s="288">
        <v>0</v>
      </c>
      <c r="AC753" s="289">
        <v>0.12625070833333332</v>
      </c>
      <c r="AD753" s="289">
        <v>0</v>
      </c>
    </row>
    <row r="754" spans="1:30" ht="15" customHeight="1" x14ac:dyDescent="0.25">
      <c r="A754" s="282" t="s">
        <v>581</v>
      </c>
      <c r="B754" s="282" t="s">
        <v>611</v>
      </c>
      <c r="C754" s="282" t="s">
        <v>612</v>
      </c>
      <c r="D754" s="283" t="s">
        <v>1273</v>
      </c>
      <c r="E754" s="404">
        <v>45016</v>
      </c>
      <c r="F754" s="404">
        <v>46843</v>
      </c>
      <c r="G754" s="286" t="s">
        <v>264</v>
      </c>
      <c r="H754" s="282" t="s">
        <v>1222</v>
      </c>
      <c r="I754" s="282" t="s">
        <v>590</v>
      </c>
      <c r="J754" s="282" t="s">
        <v>156</v>
      </c>
      <c r="K754" s="286" t="s">
        <v>1223</v>
      </c>
      <c r="L754" s="282" t="s">
        <v>574</v>
      </c>
      <c r="M754" s="287">
        <v>2400</v>
      </c>
      <c r="N754" s="287">
        <v>0</v>
      </c>
      <c r="O754" s="287">
        <v>0</v>
      </c>
      <c r="P754" s="287"/>
      <c r="Q754" s="288">
        <v>242.58</v>
      </c>
      <c r="R754" s="288">
        <v>242.55</v>
      </c>
      <c r="S754" s="288">
        <v>3.1199999999999999E-2</v>
      </c>
      <c r="T754" s="288"/>
      <c r="U754" s="288">
        <v>0</v>
      </c>
      <c r="V754" s="289">
        <v>242.58120000000002</v>
      </c>
      <c r="W754" s="289">
        <v>0</v>
      </c>
      <c r="X754" s="288">
        <v>0.10107500000000001</v>
      </c>
      <c r="Y754" s="288">
        <v>0.1010625</v>
      </c>
      <c r="Z754" s="288">
        <v>1.2999999999999999E-5</v>
      </c>
      <c r="AA754" s="288">
        <v>0</v>
      </c>
      <c r="AB754" s="288">
        <v>0</v>
      </c>
      <c r="AC754" s="289">
        <v>0.1010755</v>
      </c>
      <c r="AD754" s="289">
        <v>0</v>
      </c>
    </row>
    <row r="755" spans="1:30" ht="15" customHeight="1" x14ac:dyDescent="0.25">
      <c r="A755" s="282" t="s">
        <v>581</v>
      </c>
      <c r="B755" s="282" t="s">
        <v>594</v>
      </c>
      <c r="C755" s="282" t="s">
        <v>595</v>
      </c>
      <c r="D755" s="283" t="s">
        <v>1274</v>
      </c>
      <c r="E755" s="404">
        <v>45016</v>
      </c>
      <c r="F755" s="404">
        <v>46843</v>
      </c>
      <c r="G755" s="286" t="s">
        <v>264</v>
      </c>
      <c r="H755" s="282" t="s">
        <v>1222</v>
      </c>
      <c r="I755" s="282" t="s">
        <v>590</v>
      </c>
      <c r="J755" s="282" t="s">
        <v>156</v>
      </c>
      <c r="K755" s="286" t="s">
        <v>1223</v>
      </c>
      <c r="L755" s="282" t="s">
        <v>574</v>
      </c>
      <c r="M755" s="287">
        <v>2400</v>
      </c>
      <c r="N755" s="287">
        <v>0</v>
      </c>
      <c r="O755" s="287">
        <v>0</v>
      </c>
      <c r="P755" s="287"/>
      <c r="Q755" s="288">
        <v>208.89</v>
      </c>
      <c r="R755" s="288">
        <v>208.88</v>
      </c>
      <c r="S755" s="288">
        <v>1.0999999999999999E-2</v>
      </c>
      <c r="T755" s="288"/>
      <c r="U755" s="288">
        <v>0</v>
      </c>
      <c r="V755" s="289">
        <v>208.89099999999999</v>
      </c>
      <c r="W755" s="289">
        <v>0</v>
      </c>
      <c r="X755" s="288">
        <v>8.703749999999999E-2</v>
      </c>
      <c r="Y755" s="288">
        <v>8.7033333333333338E-2</v>
      </c>
      <c r="Z755" s="288">
        <v>4.5833333333333332E-6</v>
      </c>
      <c r="AA755" s="288">
        <v>0</v>
      </c>
      <c r="AB755" s="288">
        <v>0</v>
      </c>
      <c r="AC755" s="289">
        <v>8.7037916666666673E-2</v>
      </c>
      <c r="AD755" s="289">
        <v>0</v>
      </c>
    </row>
    <row r="756" spans="1:30" ht="15" customHeight="1" x14ac:dyDescent="0.25">
      <c r="A756" s="282" t="s">
        <v>581</v>
      </c>
      <c r="B756" s="282" t="s">
        <v>606</v>
      </c>
      <c r="C756" s="282" t="s">
        <v>260</v>
      </c>
      <c r="D756" s="283" t="s">
        <v>1275</v>
      </c>
      <c r="E756" s="404">
        <v>45016</v>
      </c>
      <c r="F756" s="404">
        <v>46843</v>
      </c>
      <c r="G756" s="286" t="s">
        <v>264</v>
      </c>
      <c r="H756" s="282" t="s">
        <v>1222</v>
      </c>
      <c r="I756" s="282" t="s">
        <v>590</v>
      </c>
      <c r="J756" s="282" t="s">
        <v>156</v>
      </c>
      <c r="K756" s="286" t="s">
        <v>1223</v>
      </c>
      <c r="L756" s="282" t="s">
        <v>574</v>
      </c>
      <c r="M756" s="287">
        <v>2400</v>
      </c>
      <c r="N756" s="287">
        <v>0</v>
      </c>
      <c r="O756" s="287">
        <v>0</v>
      </c>
      <c r="P756" s="287"/>
      <c r="Q756" s="288">
        <v>395.12</v>
      </c>
      <c r="R756" s="288">
        <v>395.09</v>
      </c>
      <c r="S756" s="288">
        <v>3.15E-2</v>
      </c>
      <c r="T756" s="288"/>
      <c r="U756" s="288">
        <v>0</v>
      </c>
      <c r="V756" s="289">
        <v>395.12149999999997</v>
      </c>
      <c r="W756" s="289">
        <v>0</v>
      </c>
      <c r="X756" s="288">
        <v>0.16463333333333333</v>
      </c>
      <c r="Y756" s="288">
        <v>0.16462083333333333</v>
      </c>
      <c r="Z756" s="288">
        <v>1.3125000000000001E-5</v>
      </c>
      <c r="AA756" s="288">
        <v>0</v>
      </c>
      <c r="AB756" s="288">
        <v>0</v>
      </c>
      <c r="AC756" s="289">
        <v>0.16463395833333333</v>
      </c>
      <c r="AD756" s="289">
        <v>0</v>
      </c>
    </row>
    <row r="757" spans="1:30" ht="15" customHeight="1" x14ac:dyDescent="0.25">
      <c r="A757" s="282" t="s">
        <v>581</v>
      </c>
      <c r="B757" s="282" t="s">
        <v>611</v>
      </c>
      <c r="C757" s="282" t="s">
        <v>612</v>
      </c>
      <c r="D757" s="283" t="s">
        <v>1276</v>
      </c>
      <c r="E757" s="404">
        <v>45016</v>
      </c>
      <c r="F757" s="404">
        <v>46843</v>
      </c>
      <c r="G757" s="286" t="s">
        <v>264</v>
      </c>
      <c r="H757" s="282" t="s">
        <v>1222</v>
      </c>
      <c r="I757" s="282" t="s">
        <v>590</v>
      </c>
      <c r="J757" s="282" t="s">
        <v>156</v>
      </c>
      <c r="K757" s="286" t="s">
        <v>1223</v>
      </c>
      <c r="L757" s="282" t="s">
        <v>574</v>
      </c>
      <c r="M757" s="287">
        <v>2400</v>
      </c>
      <c r="N757" s="287">
        <v>0</v>
      </c>
      <c r="O757" s="287">
        <v>0</v>
      </c>
      <c r="P757" s="287"/>
      <c r="Q757" s="288">
        <v>240.2</v>
      </c>
      <c r="R757" s="288">
        <v>240.17</v>
      </c>
      <c r="S757" s="288">
        <v>3.0800000000000001E-2</v>
      </c>
      <c r="T757" s="288"/>
      <c r="U757" s="288">
        <v>0</v>
      </c>
      <c r="V757" s="289">
        <v>240.20079999999999</v>
      </c>
      <c r="W757" s="289">
        <v>0</v>
      </c>
      <c r="X757" s="288">
        <v>0.10008333333333333</v>
      </c>
      <c r="Y757" s="288">
        <v>0.10007083333333333</v>
      </c>
      <c r="Z757" s="288">
        <v>1.2833333333333333E-5</v>
      </c>
      <c r="AA757" s="288">
        <v>0</v>
      </c>
      <c r="AB757" s="288">
        <v>0</v>
      </c>
      <c r="AC757" s="289">
        <v>0.10008366666666667</v>
      </c>
      <c r="AD757" s="289">
        <v>0</v>
      </c>
    </row>
    <row r="758" spans="1:30" ht="15" customHeight="1" x14ac:dyDescent="0.25">
      <c r="A758" s="282" t="s">
        <v>581</v>
      </c>
      <c r="B758" s="282" t="s">
        <v>611</v>
      </c>
      <c r="C758" s="282" t="s">
        <v>612</v>
      </c>
      <c r="D758" s="283" t="s">
        <v>1277</v>
      </c>
      <c r="E758" s="404">
        <v>45016</v>
      </c>
      <c r="F758" s="404">
        <v>46843</v>
      </c>
      <c r="G758" s="286" t="s">
        <v>264</v>
      </c>
      <c r="H758" s="282" t="s">
        <v>1222</v>
      </c>
      <c r="I758" s="282" t="s">
        <v>590</v>
      </c>
      <c r="J758" s="282" t="s">
        <v>156</v>
      </c>
      <c r="K758" s="286" t="s">
        <v>1223</v>
      </c>
      <c r="L758" s="282" t="s">
        <v>574</v>
      </c>
      <c r="M758" s="287">
        <v>2400</v>
      </c>
      <c r="N758" s="287">
        <v>0</v>
      </c>
      <c r="O758" s="287">
        <v>0</v>
      </c>
      <c r="P758" s="287"/>
      <c r="Q758" s="288">
        <v>277.67</v>
      </c>
      <c r="R758" s="288">
        <v>277.64999999999998</v>
      </c>
      <c r="S758" s="288">
        <v>2.0799999999999999E-2</v>
      </c>
      <c r="T758" s="288"/>
      <c r="U758" s="288">
        <v>0</v>
      </c>
      <c r="V758" s="289">
        <v>277.67079999999999</v>
      </c>
      <c r="W758" s="289">
        <v>0</v>
      </c>
      <c r="X758" s="288">
        <v>0.11569583333333334</v>
      </c>
      <c r="Y758" s="288">
        <v>0.11568749999999998</v>
      </c>
      <c r="Z758" s="288">
        <v>8.6666666666666661E-6</v>
      </c>
      <c r="AA758" s="288">
        <v>0</v>
      </c>
      <c r="AB758" s="288">
        <v>0</v>
      </c>
      <c r="AC758" s="289">
        <v>0.11569616666666666</v>
      </c>
      <c r="AD758" s="289">
        <v>0</v>
      </c>
    </row>
    <row r="759" spans="1:30" ht="15" customHeight="1" x14ac:dyDescent="0.25">
      <c r="A759" s="282" t="s">
        <v>581</v>
      </c>
      <c r="B759" s="282" t="s">
        <v>616</v>
      </c>
      <c r="C759" s="282" t="s">
        <v>617</v>
      </c>
      <c r="D759" s="283" t="s">
        <v>1278</v>
      </c>
      <c r="E759" s="404">
        <v>45016</v>
      </c>
      <c r="F759" s="404">
        <v>46843</v>
      </c>
      <c r="G759" s="286" t="s">
        <v>264</v>
      </c>
      <c r="H759" s="282" t="s">
        <v>1222</v>
      </c>
      <c r="I759" s="282" t="s">
        <v>590</v>
      </c>
      <c r="J759" s="282" t="s">
        <v>156</v>
      </c>
      <c r="K759" s="286" t="s">
        <v>1223</v>
      </c>
      <c r="L759" s="282" t="s">
        <v>574</v>
      </c>
      <c r="M759" s="287">
        <v>2400</v>
      </c>
      <c r="N759" s="287">
        <v>0</v>
      </c>
      <c r="O759" s="287">
        <v>0</v>
      </c>
      <c r="P759" s="287"/>
      <c r="Q759" s="288">
        <v>317.83999999999997</v>
      </c>
      <c r="R759" s="288">
        <v>317.79000000000002</v>
      </c>
      <c r="S759" s="288">
        <v>5.0299999999999997E-2</v>
      </c>
      <c r="T759" s="288"/>
      <c r="U759" s="288">
        <v>0</v>
      </c>
      <c r="V759" s="289">
        <v>317.84030000000001</v>
      </c>
      <c r="W759" s="289">
        <v>0</v>
      </c>
      <c r="X759" s="288">
        <v>0.13243333333333332</v>
      </c>
      <c r="Y759" s="288">
        <v>0.13241250000000002</v>
      </c>
      <c r="Z759" s="288">
        <v>2.0958333333333332E-5</v>
      </c>
      <c r="AA759" s="288">
        <v>0</v>
      </c>
      <c r="AB759" s="288">
        <v>0</v>
      </c>
      <c r="AC759" s="289">
        <v>0.13243345833333334</v>
      </c>
      <c r="AD759" s="289">
        <v>0</v>
      </c>
    </row>
    <row r="760" spans="1:30" ht="15" customHeight="1" x14ac:dyDescent="0.25">
      <c r="A760" s="282" t="s">
        <v>581</v>
      </c>
      <c r="B760" s="282" t="s">
        <v>616</v>
      </c>
      <c r="C760" s="282" t="s">
        <v>617</v>
      </c>
      <c r="D760" s="283" t="s">
        <v>1279</v>
      </c>
      <c r="E760" s="404">
        <v>45016</v>
      </c>
      <c r="F760" s="404">
        <v>46843</v>
      </c>
      <c r="G760" s="286" t="s">
        <v>264</v>
      </c>
      <c r="H760" s="282" t="s">
        <v>1222</v>
      </c>
      <c r="I760" s="282" t="s">
        <v>590</v>
      </c>
      <c r="J760" s="282" t="s">
        <v>156</v>
      </c>
      <c r="K760" s="286" t="s">
        <v>1223</v>
      </c>
      <c r="L760" s="282" t="s">
        <v>574</v>
      </c>
      <c r="M760" s="287">
        <v>2400</v>
      </c>
      <c r="N760" s="287">
        <v>0</v>
      </c>
      <c r="O760" s="287">
        <v>0</v>
      </c>
      <c r="P760" s="287"/>
      <c r="Q760" s="288">
        <v>321.51</v>
      </c>
      <c r="R760" s="288">
        <v>321.47000000000003</v>
      </c>
      <c r="S760" s="288">
        <v>4.02E-2</v>
      </c>
      <c r="T760" s="288"/>
      <c r="U760" s="288">
        <v>0</v>
      </c>
      <c r="V760" s="289">
        <v>321.51020000000005</v>
      </c>
      <c r="W760" s="289">
        <v>0</v>
      </c>
      <c r="X760" s="288">
        <v>0.13396249999999998</v>
      </c>
      <c r="Y760" s="288">
        <v>0.13394583333333335</v>
      </c>
      <c r="Z760" s="288">
        <v>1.6750000000000001E-5</v>
      </c>
      <c r="AA760" s="288">
        <v>0</v>
      </c>
      <c r="AB760" s="288">
        <v>0</v>
      </c>
      <c r="AC760" s="289">
        <v>0.13396258333333336</v>
      </c>
      <c r="AD760" s="289">
        <v>0</v>
      </c>
    </row>
    <row r="761" spans="1:30" ht="15" customHeight="1" x14ac:dyDescent="0.25">
      <c r="A761" s="282" t="s">
        <v>581</v>
      </c>
      <c r="B761" s="282" t="s">
        <v>611</v>
      </c>
      <c r="C761" s="282" t="s">
        <v>612</v>
      </c>
      <c r="D761" s="283" t="s">
        <v>1280</v>
      </c>
      <c r="E761" s="404">
        <v>45016</v>
      </c>
      <c r="F761" s="404">
        <v>46843</v>
      </c>
      <c r="G761" s="286" t="s">
        <v>264</v>
      </c>
      <c r="H761" s="282" t="s">
        <v>1222</v>
      </c>
      <c r="I761" s="282" t="s">
        <v>590</v>
      </c>
      <c r="J761" s="282" t="s">
        <v>156</v>
      </c>
      <c r="K761" s="286" t="s">
        <v>1223</v>
      </c>
      <c r="L761" s="282" t="s">
        <v>574</v>
      </c>
      <c r="M761" s="287">
        <v>2400</v>
      </c>
      <c r="N761" s="287">
        <v>0</v>
      </c>
      <c r="O761" s="287">
        <v>0</v>
      </c>
      <c r="P761" s="287"/>
      <c r="Q761" s="288">
        <v>256.05</v>
      </c>
      <c r="R761" s="288">
        <v>256.02999999999997</v>
      </c>
      <c r="S761" s="288">
        <v>2.01E-2</v>
      </c>
      <c r="T761" s="288"/>
      <c r="U761" s="288">
        <v>0</v>
      </c>
      <c r="V761" s="289">
        <v>256.05009999999999</v>
      </c>
      <c r="W761" s="289">
        <v>0</v>
      </c>
      <c r="X761" s="288">
        <v>0.1066875</v>
      </c>
      <c r="Y761" s="288">
        <v>0.10667916666666666</v>
      </c>
      <c r="Z761" s="288">
        <v>8.3750000000000003E-6</v>
      </c>
      <c r="AA761" s="288">
        <v>0</v>
      </c>
      <c r="AB761" s="288">
        <v>0</v>
      </c>
      <c r="AC761" s="289">
        <v>0.10668754166666666</v>
      </c>
      <c r="AD761" s="289">
        <v>0</v>
      </c>
    </row>
    <row r="762" spans="1:30" ht="15" customHeight="1" x14ac:dyDescent="0.25">
      <c r="A762" s="282" t="s">
        <v>581</v>
      </c>
      <c r="B762" s="282" t="s">
        <v>594</v>
      </c>
      <c r="C762" s="282" t="s">
        <v>595</v>
      </c>
      <c r="D762" s="286" t="s">
        <v>1281</v>
      </c>
      <c r="E762" s="404">
        <v>43646</v>
      </c>
      <c r="F762" s="404">
        <v>45473</v>
      </c>
      <c r="G762" s="290" t="s">
        <v>1282</v>
      </c>
      <c r="H762" s="282" t="s">
        <v>1283</v>
      </c>
      <c r="I762" s="282" t="s">
        <v>590</v>
      </c>
      <c r="J762" s="282" t="s">
        <v>156</v>
      </c>
      <c r="K762" s="286" t="s">
        <v>1284</v>
      </c>
      <c r="L762" s="282" t="s">
        <v>574</v>
      </c>
      <c r="M762" s="287">
        <v>2400</v>
      </c>
      <c r="N762" s="287">
        <v>0</v>
      </c>
      <c r="O762" s="287">
        <v>0</v>
      </c>
      <c r="P762" s="287"/>
      <c r="Q762" s="288" t="s">
        <v>1285</v>
      </c>
      <c r="R762" s="288" t="s">
        <v>1285</v>
      </c>
      <c r="S762" s="288"/>
      <c r="T762" s="288"/>
      <c r="U762" s="288">
        <v>0</v>
      </c>
      <c r="V762" s="289">
        <v>273</v>
      </c>
      <c r="W762" s="289">
        <v>0</v>
      </c>
      <c r="X762" s="288">
        <v>0.11375</v>
      </c>
      <c r="Y762" s="288">
        <v>0.11375</v>
      </c>
      <c r="Z762" s="288">
        <v>0</v>
      </c>
      <c r="AA762" s="288">
        <v>0</v>
      </c>
      <c r="AB762" s="288">
        <v>0</v>
      </c>
      <c r="AC762" s="289">
        <v>0.11375</v>
      </c>
      <c r="AD762" s="289">
        <v>0</v>
      </c>
    </row>
    <row r="763" spans="1:30" ht="15" customHeight="1" x14ac:dyDescent="0.25">
      <c r="A763" s="282" t="s">
        <v>581</v>
      </c>
      <c r="B763" s="282" t="s">
        <v>594</v>
      </c>
      <c r="C763" s="282" t="s">
        <v>595</v>
      </c>
      <c r="D763" s="286" t="s">
        <v>1286</v>
      </c>
      <c r="E763" s="404">
        <v>43646</v>
      </c>
      <c r="F763" s="404">
        <v>45473</v>
      </c>
      <c r="G763" s="290" t="s">
        <v>1282</v>
      </c>
      <c r="H763" s="282" t="s">
        <v>1283</v>
      </c>
      <c r="I763" s="282" t="s">
        <v>590</v>
      </c>
      <c r="J763" s="282" t="s">
        <v>156</v>
      </c>
      <c r="K763" s="286" t="s">
        <v>1284</v>
      </c>
      <c r="L763" s="282" t="s">
        <v>574</v>
      </c>
      <c r="M763" s="287">
        <v>2400</v>
      </c>
      <c r="N763" s="287">
        <v>0</v>
      </c>
      <c r="O763" s="287">
        <v>0</v>
      </c>
      <c r="P763" s="287"/>
      <c r="Q763" s="288" t="s">
        <v>1287</v>
      </c>
      <c r="R763" s="288" t="s">
        <v>1287</v>
      </c>
      <c r="S763" s="288"/>
      <c r="T763" s="288"/>
      <c r="U763" s="288">
        <v>0</v>
      </c>
      <c r="V763" s="289">
        <v>220</v>
      </c>
      <c r="W763" s="289">
        <v>0</v>
      </c>
      <c r="X763" s="288">
        <v>9.166666666666666E-2</v>
      </c>
      <c r="Y763" s="288">
        <v>9.166666666666666E-2</v>
      </c>
      <c r="Z763" s="288">
        <v>0</v>
      </c>
      <c r="AA763" s="288">
        <v>0</v>
      </c>
      <c r="AB763" s="288">
        <v>0</v>
      </c>
      <c r="AC763" s="289">
        <v>9.166666666666666E-2</v>
      </c>
      <c r="AD763" s="289">
        <v>0</v>
      </c>
    </row>
    <row r="764" spans="1:30" ht="15" customHeight="1" x14ac:dyDescent="0.25">
      <c r="A764" s="282" t="s">
        <v>581</v>
      </c>
      <c r="B764" s="282" t="s">
        <v>594</v>
      </c>
      <c r="C764" s="282" t="s">
        <v>595</v>
      </c>
      <c r="D764" s="286" t="s">
        <v>1288</v>
      </c>
      <c r="E764" s="404">
        <v>43646</v>
      </c>
      <c r="F764" s="404">
        <v>45473</v>
      </c>
      <c r="G764" s="290" t="s">
        <v>1282</v>
      </c>
      <c r="H764" s="282" t="s">
        <v>1283</v>
      </c>
      <c r="I764" s="282" t="s">
        <v>590</v>
      </c>
      <c r="J764" s="282" t="s">
        <v>156</v>
      </c>
      <c r="K764" s="286" t="s">
        <v>1284</v>
      </c>
      <c r="L764" s="282" t="s">
        <v>574</v>
      </c>
      <c r="M764" s="287">
        <v>2400</v>
      </c>
      <c r="N764" s="287">
        <v>0</v>
      </c>
      <c r="O764" s="287">
        <v>0</v>
      </c>
      <c r="P764" s="287"/>
      <c r="Q764" s="288" t="s">
        <v>1289</v>
      </c>
      <c r="R764" s="288" t="s">
        <v>1289</v>
      </c>
      <c r="S764" s="288"/>
      <c r="T764" s="288"/>
      <c r="U764" s="288">
        <v>0</v>
      </c>
      <c r="V764" s="289">
        <v>171</v>
      </c>
      <c r="W764" s="289">
        <v>0</v>
      </c>
      <c r="X764" s="288">
        <v>7.1249999999999994E-2</v>
      </c>
      <c r="Y764" s="288">
        <v>7.1249999999999994E-2</v>
      </c>
      <c r="Z764" s="288">
        <v>0</v>
      </c>
      <c r="AA764" s="288">
        <v>0</v>
      </c>
      <c r="AB764" s="288">
        <v>0</v>
      </c>
      <c r="AC764" s="289">
        <v>7.1249999999999994E-2</v>
      </c>
      <c r="AD764" s="289">
        <v>0</v>
      </c>
    </row>
    <row r="765" spans="1:30" ht="15" customHeight="1" x14ac:dyDescent="0.25">
      <c r="A765" s="282" t="s">
        <v>581</v>
      </c>
      <c r="B765" s="282" t="s">
        <v>594</v>
      </c>
      <c r="C765" s="282" t="s">
        <v>595</v>
      </c>
      <c r="D765" s="286" t="s">
        <v>1290</v>
      </c>
      <c r="E765" s="404">
        <v>43646</v>
      </c>
      <c r="F765" s="404">
        <v>45473</v>
      </c>
      <c r="G765" s="290" t="s">
        <v>1282</v>
      </c>
      <c r="H765" s="282" t="s">
        <v>1283</v>
      </c>
      <c r="I765" s="282" t="s">
        <v>590</v>
      </c>
      <c r="J765" s="282" t="s">
        <v>156</v>
      </c>
      <c r="K765" s="286" t="s">
        <v>1284</v>
      </c>
      <c r="L765" s="282" t="s">
        <v>574</v>
      </c>
      <c r="M765" s="287">
        <v>2400</v>
      </c>
      <c r="N765" s="287">
        <v>0</v>
      </c>
      <c r="O765" s="287">
        <v>0</v>
      </c>
      <c r="P765" s="287"/>
      <c r="Q765" s="288" t="s">
        <v>1291</v>
      </c>
      <c r="R765" s="288" t="s">
        <v>1291</v>
      </c>
      <c r="S765" s="288"/>
      <c r="T765" s="288"/>
      <c r="U765" s="288">
        <v>0</v>
      </c>
      <c r="V765" s="289">
        <v>152</v>
      </c>
      <c r="W765" s="289">
        <v>0</v>
      </c>
      <c r="X765" s="288">
        <v>6.3333333333333339E-2</v>
      </c>
      <c r="Y765" s="288">
        <v>6.3333333333333339E-2</v>
      </c>
      <c r="Z765" s="288">
        <v>0</v>
      </c>
      <c r="AA765" s="288">
        <v>0</v>
      </c>
      <c r="AB765" s="288">
        <v>0</v>
      </c>
      <c r="AC765" s="289">
        <v>6.3333333333333339E-2</v>
      </c>
      <c r="AD765" s="289">
        <v>0</v>
      </c>
    </row>
    <row r="766" spans="1:30" ht="15" customHeight="1" x14ac:dyDescent="0.25">
      <c r="A766" s="282" t="s">
        <v>581</v>
      </c>
      <c r="B766" s="282" t="s">
        <v>628</v>
      </c>
      <c r="C766" s="282" t="s">
        <v>629</v>
      </c>
      <c r="D766" s="286" t="s">
        <v>1292</v>
      </c>
      <c r="E766" s="404">
        <v>43646</v>
      </c>
      <c r="F766" s="404">
        <v>45473</v>
      </c>
      <c r="G766" s="290" t="s">
        <v>1282</v>
      </c>
      <c r="H766" s="282" t="s">
        <v>1283</v>
      </c>
      <c r="I766" s="282" t="s">
        <v>590</v>
      </c>
      <c r="J766" s="282" t="s">
        <v>156</v>
      </c>
      <c r="K766" s="286" t="s">
        <v>1284</v>
      </c>
      <c r="L766" s="282" t="s">
        <v>574</v>
      </c>
      <c r="M766" s="287">
        <v>2400</v>
      </c>
      <c r="N766" s="287">
        <v>0</v>
      </c>
      <c r="O766" s="287">
        <v>0</v>
      </c>
      <c r="P766" s="287"/>
      <c r="Q766" s="288" t="s">
        <v>1293</v>
      </c>
      <c r="R766" s="288" t="s">
        <v>1293</v>
      </c>
      <c r="S766" s="288"/>
      <c r="T766" s="288"/>
      <c r="U766" s="288">
        <v>0</v>
      </c>
      <c r="V766" s="289">
        <v>297</v>
      </c>
      <c r="W766" s="289">
        <v>0</v>
      </c>
      <c r="X766" s="288">
        <v>0.12375</v>
      </c>
      <c r="Y766" s="288">
        <v>0.12375</v>
      </c>
      <c r="Z766" s="288">
        <v>0</v>
      </c>
      <c r="AA766" s="288">
        <v>0</v>
      </c>
      <c r="AB766" s="288">
        <v>0</v>
      </c>
      <c r="AC766" s="289">
        <v>0.12375</v>
      </c>
      <c r="AD766" s="289">
        <v>0</v>
      </c>
    </row>
    <row r="767" spans="1:30" ht="15" customHeight="1" x14ac:dyDescent="0.25">
      <c r="A767" s="282" t="s">
        <v>581</v>
      </c>
      <c r="B767" s="282" t="s">
        <v>628</v>
      </c>
      <c r="C767" s="282" t="s">
        <v>629</v>
      </c>
      <c r="D767" s="286" t="s">
        <v>1294</v>
      </c>
      <c r="E767" s="404">
        <v>43646</v>
      </c>
      <c r="F767" s="404">
        <v>45473</v>
      </c>
      <c r="G767" s="290" t="s">
        <v>1282</v>
      </c>
      <c r="H767" s="282" t="s">
        <v>1283</v>
      </c>
      <c r="I767" s="282" t="s">
        <v>590</v>
      </c>
      <c r="J767" s="282" t="s">
        <v>156</v>
      </c>
      <c r="K767" s="286" t="s">
        <v>1284</v>
      </c>
      <c r="L767" s="282" t="s">
        <v>574</v>
      </c>
      <c r="M767" s="287">
        <v>2400</v>
      </c>
      <c r="N767" s="287">
        <v>0</v>
      </c>
      <c r="O767" s="287">
        <v>0</v>
      </c>
      <c r="P767" s="287"/>
      <c r="Q767" s="288" t="s">
        <v>1295</v>
      </c>
      <c r="R767" s="288" t="s">
        <v>1295</v>
      </c>
      <c r="S767" s="288"/>
      <c r="T767" s="288"/>
      <c r="U767" s="288">
        <v>0</v>
      </c>
      <c r="V767" s="289">
        <v>241</v>
      </c>
      <c r="W767" s="289">
        <v>0</v>
      </c>
      <c r="X767" s="288">
        <v>0.10041666666666667</v>
      </c>
      <c r="Y767" s="288">
        <v>0.10041666666666667</v>
      </c>
      <c r="Z767" s="288">
        <v>0</v>
      </c>
      <c r="AA767" s="288">
        <v>0</v>
      </c>
      <c r="AB767" s="288">
        <v>0</v>
      </c>
      <c r="AC767" s="289">
        <v>0.10041666666666667</v>
      </c>
      <c r="AD767" s="289">
        <v>0</v>
      </c>
    </row>
    <row r="768" spans="1:30" ht="15" customHeight="1" x14ac:dyDescent="0.25">
      <c r="A768" s="282" t="s">
        <v>581</v>
      </c>
      <c r="B768" s="282" t="s">
        <v>628</v>
      </c>
      <c r="C768" s="282" t="s">
        <v>629</v>
      </c>
      <c r="D768" s="286" t="s">
        <v>1296</v>
      </c>
      <c r="E768" s="404">
        <v>43646</v>
      </c>
      <c r="F768" s="404">
        <v>45473</v>
      </c>
      <c r="G768" s="290" t="s">
        <v>1282</v>
      </c>
      <c r="H768" s="282" t="s">
        <v>1283</v>
      </c>
      <c r="I768" s="282" t="s">
        <v>590</v>
      </c>
      <c r="J768" s="282" t="s">
        <v>156</v>
      </c>
      <c r="K768" s="286" t="s">
        <v>1284</v>
      </c>
      <c r="L768" s="282" t="s">
        <v>574</v>
      </c>
      <c r="M768" s="287">
        <v>2400</v>
      </c>
      <c r="N768" s="287">
        <v>0</v>
      </c>
      <c r="O768" s="287">
        <v>0</v>
      </c>
      <c r="P768" s="287"/>
      <c r="Q768" s="288" t="s">
        <v>1297</v>
      </c>
      <c r="R768" s="288" t="s">
        <v>1297</v>
      </c>
      <c r="S768" s="288"/>
      <c r="T768" s="288"/>
      <c r="U768" s="288">
        <v>0</v>
      </c>
      <c r="V768" s="289">
        <v>185</v>
      </c>
      <c r="W768" s="289">
        <v>0</v>
      </c>
      <c r="X768" s="288">
        <v>7.7083333333333337E-2</v>
      </c>
      <c r="Y768" s="288">
        <v>7.7083333333333337E-2</v>
      </c>
      <c r="Z768" s="288">
        <v>0</v>
      </c>
      <c r="AA768" s="288">
        <v>0</v>
      </c>
      <c r="AB768" s="288">
        <v>0</v>
      </c>
      <c r="AC768" s="289">
        <v>7.7083333333333337E-2</v>
      </c>
      <c r="AD768" s="289">
        <v>0</v>
      </c>
    </row>
    <row r="769" spans="1:30" ht="15" customHeight="1" x14ac:dyDescent="0.25">
      <c r="A769" s="282" t="s">
        <v>581</v>
      </c>
      <c r="B769" s="282" t="s">
        <v>628</v>
      </c>
      <c r="C769" s="282" t="s">
        <v>629</v>
      </c>
      <c r="D769" s="286" t="s">
        <v>1298</v>
      </c>
      <c r="E769" s="404">
        <v>43646</v>
      </c>
      <c r="F769" s="404">
        <v>45473</v>
      </c>
      <c r="G769" s="290" t="s">
        <v>1282</v>
      </c>
      <c r="H769" s="282" t="s">
        <v>1283</v>
      </c>
      <c r="I769" s="282" t="s">
        <v>590</v>
      </c>
      <c r="J769" s="282" t="s">
        <v>156</v>
      </c>
      <c r="K769" s="286" t="s">
        <v>1284</v>
      </c>
      <c r="L769" s="282" t="s">
        <v>574</v>
      </c>
      <c r="M769" s="287">
        <v>2400</v>
      </c>
      <c r="N769" s="287">
        <v>0</v>
      </c>
      <c r="O769" s="287">
        <v>0</v>
      </c>
      <c r="P769" s="287"/>
      <c r="Q769" s="288" t="s">
        <v>1299</v>
      </c>
      <c r="R769" s="288" t="s">
        <v>1299</v>
      </c>
      <c r="S769" s="288"/>
      <c r="T769" s="288"/>
      <c r="U769" s="288">
        <v>0</v>
      </c>
      <c r="V769" s="289">
        <v>154</v>
      </c>
      <c r="W769" s="289">
        <v>0</v>
      </c>
      <c r="X769" s="288">
        <v>6.4166666666666664E-2</v>
      </c>
      <c r="Y769" s="288">
        <v>6.4166666666666664E-2</v>
      </c>
      <c r="Z769" s="288">
        <v>0</v>
      </c>
      <c r="AA769" s="288">
        <v>0</v>
      </c>
      <c r="AB769" s="288">
        <v>0</v>
      </c>
      <c r="AC769" s="289">
        <v>6.4166666666666664E-2</v>
      </c>
      <c r="AD769" s="289">
        <v>0</v>
      </c>
    </row>
    <row r="770" spans="1:30" ht="15" customHeight="1" x14ac:dyDescent="0.25">
      <c r="A770" s="282" t="s">
        <v>581</v>
      </c>
      <c r="B770" s="282" t="s">
        <v>611</v>
      </c>
      <c r="C770" s="282" t="s">
        <v>612</v>
      </c>
      <c r="D770" s="286" t="s">
        <v>1300</v>
      </c>
      <c r="E770" s="404">
        <v>43646</v>
      </c>
      <c r="F770" s="404">
        <v>45473</v>
      </c>
      <c r="G770" s="290" t="s">
        <v>1282</v>
      </c>
      <c r="H770" s="282" t="s">
        <v>1283</v>
      </c>
      <c r="I770" s="282" t="s">
        <v>590</v>
      </c>
      <c r="J770" s="282" t="s">
        <v>156</v>
      </c>
      <c r="K770" s="286" t="s">
        <v>1284</v>
      </c>
      <c r="L770" s="282" t="s">
        <v>574</v>
      </c>
      <c r="M770" s="287">
        <v>2400</v>
      </c>
      <c r="N770" s="287">
        <v>0</v>
      </c>
      <c r="O770" s="287">
        <v>0</v>
      </c>
      <c r="P770" s="287"/>
      <c r="Q770" s="288" t="s">
        <v>1301</v>
      </c>
      <c r="R770" s="288" t="s">
        <v>1301</v>
      </c>
      <c r="S770" s="288"/>
      <c r="T770" s="288"/>
      <c r="U770" s="288">
        <v>0</v>
      </c>
      <c r="V770" s="289">
        <v>343</v>
      </c>
      <c r="W770" s="289">
        <v>0</v>
      </c>
      <c r="X770" s="288">
        <v>0.14291666666666666</v>
      </c>
      <c r="Y770" s="288">
        <v>0.14291666666666666</v>
      </c>
      <c r="Z770" s="288">
        <v>0</v>
      </c>
      <c r="AA770" s="288">
        <v>0</v>
      </c>
      <c r="AB770" s="288">
        <v>0</v>
      </c>
      <c r="AC770" s="289">
        <v>0.14291666666666666</v>
      </c>
      <c r="AD770" s="289">
        <v>0</v>
      </c>
    </row>
    <row r="771" spans="1:30" ht="15" customHeight="1" x14ac:dyDescent="0.25">
      <c r="A771" s="282" t="s">
        <v>581</v>
      </c>
      <c r="B771" s="282" t="s">
        <v>611</v>
      </c>
      <c r="C771" s="282" t="s">
        <v>612</v>
      </c>
      <c r="D771" s="286" t="s">
        <v>1302</v>
      </c>
      <c r="E771" s="404">
        <v>43646</v>
      </c>
      <c r="F771" s="404">
        <v>45473</v>
      </c>
      <c r="G771" s="290" t="s">
        <v>1282</v>
      </c>
      <c r="H771" s="282" t="s">
        <v>1283</v>
      </c>
      <c r="I771" s="282" t="s">
        <v>590</v>
      </c>
      <c r="J771" s="282" t="s">
        <v>156</v>
      </c>
      <c r="K771" s="286" t="s">
        <v>1284</v>
      </c>
      <c r="L771" s="282" t="s">
        <v>574</v>
      </c>
      <c r="M771" s="287">
        <v>2400</v>
      </c>
      <c r="N771" s="287">
        <v>0</v>
      </c>
      <c r="O771" s="287">
        <v>0</v>
      </c>
      <c r="P771" s="287"/>
      <c r="Q771" s="288" t="s">
        <v>1285</v>
      </c>
      <c r="R771" s="288" t="s">
        <v>1285</v>
      </c>
      <c r="S771" s="288"/>
      <c r="T771" s="288"/>
      <c r="U771" s="288">
        <v>0</v>
      </c>
      <c r="V771" s="289">
        <v>273</v>
      </c>
      <c r="W771" s="289">
        <v>0</v>
      </c>
      <c r="X771" s="288">
        <v>0.11375</v>
      </c>
      <c r="Y771" s="288">
        <v>0.11375</v>
      </c>
      <c r="Z771" s="288">
        <v>0</v>
      </c>
      <c r="AA771" s="288">
        <v>0</v>
      </c>
      <c r="AB771" s="288">
        <v>0</v>
      </c>
      <c r="AC771" s="289">
        <v>0.11375</v>
      </c>
      <c r="AD771" s="289">
        <v>0</v>
      </c>
    </row>
    <row r="772" spans="1:30" ht="15" customHeight="1" x14ac:dyDescent="0.25">
      <c r="A772" s="282" t="s">
        <v>581</v>
      </c>
      <c r="B772" s="282" t="s">
        <v>611</v>
      </c>
      <c r="C772" s="282" t="s">
        <v>612</v>
      </c>
      <c r="D772" s="286" t="s">
        <v>1303</v>
      </c>
      <c r="E772" s="404">
        <v>43646</v>
      </c>
      <c r="F772" s="404">
        <v>45473</v>
      </c>
      <c r="G772" s="290" t="s">
        <v>1282</v>
      </c>
      <c r="H772" s="282" t="s">
        <v>1283</v>
      </c>
      <c r="I772" s="282" t="s">
        <v>590</v>
      </c>
      <c r="J772" s="282" t="s">
        <v>156</v>
      </c>
      <c r="K772" s="286" t="s">
        <v>1284</v>
      </c>
      <c r="L772" s="282" t="s">
        <v>574</v>
      </c>
      <c r="M772" s="287">
        <v>2400</v>
      </c>
      <c r="N772" s="287">
        <v>0</v>
      </c>
      <c r="O772" s="287">
        <v>0</v>
      </c>
      <c r="P772" s="287"/>
      <c r="Q772" s="288" t="s">
        <v>1304</v>
      </c>
      <c r="R772" s="288" t="s">
        <v>1304</v>
      </c>
      <c r="S772" s="288"/>
      <c r="T772" s="288"/>
      <c r="U772" s="288">
        <v>0</v>
      </c>
      <c r="V772" s="289">
        <v>196</v>
      </c>
      <c r="W772" s="289">
        <v>0</v>
      </c>
      <c r="X772" s="288">
        <v>8.1666666666666665E-2</v>
      </c>
      <c r="Y772" s="288">
        <v>8.1666666666666665E-2</v>
      </c>
      <c r="Z772" s="288">
        <v>0</v>
      </c>
      <c r="AA772" s="288">
        <v>0</v>
      </c>
      <c r="AB772" s="288">
        <v>0</v>
      </c>
      <c r="AC772" s="289">
        <v>8.1666666666666665E-2</v>
      </c>
      <c r="AD772" s="289">
        <v>0</v>
      </c>
    </row>
    <row r="773" spans="1:30" ht="15" customHeight="1" x14ac:dyDescent="0.25">
      <c r="A773" s="282" t="s">
        <v>581</v>
      </c>
      <c r="B773" s="282" t="s">
        <v>611</v>
      </c>
      <c r="C773" s="282" t="s">
        <v>612</v>
      </c>
      <c r="D773" s="286" t="s">
        <v>1305</v>
      </c>
      <c r="E773" s="404">
        <v>43646</v>
      </c>
      <c r="F773" s="404">
        <v>45473</v>
      </c>
      <c r="G773" s="290" t="s">
        <v>1282</v>
      </c>
      <c r="H773" s="282" t="s">
        <v>1283</v>
      </c>
      <c r="I773" s="282" t="s">
        <v>590</v>
      </c>
      <c r="J773" s="282" t="s">
        <v>156</v>
      </c>
      <c r="K773" s="286" t="s">
        <v>1284</v>
      </c>
      <c r="L773" s="282" t="s">
        <v>574</v>
      </c>
      <c r="M773" s="287">
        <v>2400</v>
      </c>
      <c r="N773" s="287">
        <v>0</v>
      </c>
      <c r="O773" s="287">
        <v>0</v>
      </c>
      <c r="P773" s="287"/>
      <c r="Q773" s="288" t="s">
        <v>1306</v>
      </c>
      <c r="R773" s="288" t="s">
        <v>1306</v>
      </c>
      <c r="S773" s="288"/>
      <c r="T773" s="288"/>
      <c r="U773" s="288">
        <v>0</v>
      </c>
      <c r="V773" s="289">
        <v>176</v>
      </c>
      <c r="W773" s="289">
        <v>0</v>
      </c>
      <c r="X773" s="288">
        <v>7.3333333333333334E-2</v>
      </c>
      <c r="Y773" s="288">
        <v>7.3333333333333334E-2</v>
      </c>
      <c r="Z773" s="288">
        <v>0</v>
      </c>
      <c r="AA773" s="288">
        <v>0</v>
      </c>
      <c r="AB773" s="288">
        <v>0</v>
      </c>
      <c r="AC773" s="289">
        <v>7.3333333333333334E-2</v>
      </c>
      <c r="AD773" s="289">
        <v>0</v>
      </c>
    </row>
    <row r="774" spans="1:30" ht="15" customHeight="1" x14ac:dyDescent="0.25">
      <c r="A774" s="282" t="s">
        <v>581</v>
      </c>
      <c r="B774" s="282" t="s">
        <v>585</v>
      </c>
      <c r="C774" s="282" t="s">
        <v>586</v>
      </c>
      <c r="D774" s="286" t="s">
        <v>1307</v>
      </c>
      <c r="E774" s="404">
        <v>43646</v>
      </c>
      <c r="F774" s="404">
        <v>45473</v>
      </c>
      <c r="G774" s="290" t="s">
        <v>1282</v>
      </c>
      <c r="H774" s="282" t="s">
        <v>1283</v>
      </c>
      <c r="I774" s="282" t="s">
        <v>590</v>
      </c>
      <c r="J774" s="282" t="s">
        <v>156</v>
      </c>
      <c r="K774" s="286" t="s">
        <v>1284</v>
      </c>
      <c r="L774" s="282" t="s">
        <v>574</v>
      </c>
      <c r="M774" s="287">
        <v>2400</v>
      </c>
      <c r="N774" s="287">
        <v>0</v>
      </c>
      <c r="O774" s="287">
        <v>0</v>
      </c>
      <c r="P774" s="287"/>
      <c r="Q774" s="288" t="s">
        <v>1308</v>
      </c>
      <c r="R774" s="288" t="s">
        <v>1308</v>
      </c>
      <c r="S774" s="288"/>
      <c r="T774" s="288"/>
      <c r="U774" s="288">
        <v>0</v>
      </c>
      <c r="V774" s="289">
        <v>405</v>
      </c>
      <c r="W774" s="289">
        <v>0</v>
      </c>
      <c r="X774" s="288">
        <v>0.16875000000000001</v>
      </c>
      <c r="Y774" s="288">
        <v>0.16875000000000001</v>
      </c>
      <c r="Z774" s="288">
        <v>0</v>
      </c>
      <c r="AA774" s="288">
        <v>0</v>
      </c>
      <c r="AB774" s="288">
        <v>0</v>
      </c>
      <c r="AC774" s="289">
        <v>0.16875000000000001</v>
      </c>
      <c r="AD774" s="289">
        <v>0</v>
      </c>
    </row>
    <row r="775" spans="1:30" ht="15" customHeight="1" x14ac:dyDescent="0.25">
      <c r="A775" s="282" t="s">
        <v>581</v>
      </c>
      <c r="B775" s="282" t="s">
        <v>585</v>
      </c>
      <c r="C775" s="282" t="s">
        <v>586</v>
      </c>
      <c r="D775" s="286" t="s">
        <v>1309</v>
      </c>
      <c r="E775" s="404">
        <v>43646</v>
      </c>
      <c r="F775" s="404">
        <v>45473</v>
      </c>
      <c r="G775" s="290" t="s">
        <v>1282</v>
      </c>
      <c r="H775" s="282" t="s">
        <v>1283</v>
      </c>
      <c r="I775" s="282" t="s">
        <v>590</v>
      </c>
      <c r="J775" s="282" t="s">
        <v>156</v>
      </c>
      <c r="K775" s="286" t="s">
        <v>1284</v>
      </c>
      <c r="L775" s="282" t="s">
        <v>574</v>
      </c>
      <c r="M775" s="287">
        <v>2400</v>
      </c>
      <c r="N775" s="287">
        <v>0</v>
      </c>
      <c r="O775" s="287">
        <v>0</v>
      </c>
      <c r="P775" s="287"/>
      <c r="Q775" s="288" t="s">
        <v>1310</v>
      </c>
      <c r="R775" s="288" t="s">
        <v>1310</v>
      </c>
      <c r="S775" s="288"/>
      <c r="T775" s="288"/>
      <c r="U775" s="288">
        <v>0</v>
      </c>
      <c r="V775" s="289">
        <v>328</v>
      </c>
      <c r="W775" s="289">
        <v>0</v>
      </c>
      <c r="X775" s="288">
        <v>0.13666666666666666</v>
      </c>
      <c r="Y775" s="288">
        <v>0.13666666666666666</v>
      </c>
      <c r="Z775" s="288">
        <v>0</v>
      </c>
      <c r="AA775" s="288">
        <v>0</v>
      </c>
      <c r="AB775" s="288">
        <v>0</v>
      </c>
      <c r="AC775" s="289">
        <v>0.13666666666666666</v>
      </c>
      <c r="AD775" s="289">
        <v>0</v>
      </c>
    </row>
    <row r="776" spans="1:30" ht="15" customHeight="1" x14ac:dyDescent="0.25">
      <c r="A776" s="282" t="s">
        <v>581</v>
      </c>
      <c r="B776" s="282" t="s">
        <v>585</v>
      </c>
      <c r="C776" s="282" t="s">
        <v>586</v>
      </c>
      <c r="D776" s="286" t="s">
        <v>1311</v>
      </c>
      <c r="E776" s="404">
        <v>43646</v>
      </c>
      <c r="F776" s="404">
        <v>45473</v>
      </c>
      <c r="G776" s="290" t="s">
        <v>1282</v>
      </c>
      <c r="H776" s="282" t="s">
        <v>1283</v>
      </c>
      <c r="I776" s="282" t="s">
        <v>590</v>
      </c>
      <c r="J776" s="282" t="s">
        <v>156</v>
      </c>
      <c r="K776" s="286" t="s">
        <v>1284</v>
      </c>
      <c r="L776" s="282" t="s">
        <v>574</v>
      </c>
      <c r="M776" s="287">
        <v>2400</v>
      </c>
      <c r="N776" s="287">
        <v>0</v>
      </c>
      <c r="O776" s="287">
        <v>0</v>
      </c>
      <c r="P776" s="287"/>
      <c r="Q776" s="288" t="s">
        <v>1312</v>
      </c>
      <c r="R776" s="288" t="s">
        <v>1312</v>
      </c>
      <c r="S776" s="288"/>
      <c r="T776" s="288"/>
      <c r="U776" s="288">
        <v>0</v>
      </c>
      <c r="V776" s="289">
        <v>243</v>
      </c>
      <c r="W776" s="289">
        <v>0</v>
      </c>
      <c r="X776" s="288">
        <v>0.10125000000000001</v>
      </c>
      <c r="Y776" s="288">
        <v>0.10125000000000001</v>
      </c>
      <c r="Z776" s="288">
        <v>0</v>
      </c>
      <c r="AA776" s="288">
        <v>0</v>
      </c>
      <c r="AB776" s="288">
        <v>0</v>
      </c>
      <c r="AC776" s="289">
        <v>0.10125000000000001</v>
      </c>
      <c r="AD776" s="289">
        <v>0</v>
      </c>
    </row>
    <row r="777" spans="1:30" ht="15" customHeight="1" x14ac:dyDescent="0.25">
      <c r="A777" s="282" t="s">
        <v>581</v>
      </c>
      <c r="B777" s="282" t="s">
        <v>585</v>
      </c>
      <c r="C777" s="282" t="s">
        <v>586</v>
      </c>
      <c r="D777" s="286" t="s">
        <v>1313</v>
      </c>
      <c r="E777" s="404">
        <v>43646</v>
      </c>
      <c r="F777" s="404">
        <v>45473</v>
      </c>
      <c r="G777" s="290" t="s">
        <v>1282</v>
      </c>
      <c r="H777" s="282" t="s">
        <v>1283</v>
      </c>
      <c r="I777" s="282" t="s">
        <v>590</v>
      </c>
      <c r="J777" s="282" t="s">
        <v>156</v>
      </c>
      <c r="K777" s="286" t="s">
        <v>1284</v>
      </c>
      <c r="L777" s="282" t="s">
        <v>574</v>
      </c>
      <c r="M777" s="287">
        <v>2400</v>
      </c>
      <c r="N777" s="287">
        <v>0</v>
      </c>
      <c r="O777" s="287">
        <v>0</v>
      </c>
      <c r="P777" s="287"/>
      <c r="Q777" s="288" t="s">
        <v>1314</v>
      </c>
      <c r="R777" s="288" t="s">
        <v>1314</v>
      </c>
      <c r="S777" s="288"/>
      <c r="T777" s="288"/>
      <c r="U777" s="288">
        <v>0</v>
      </c>
      <c r="V777" s="289">
        <v>219</v>
      </c>
      <c r="W777" s="289">
        <v>0</v>
      </c>
      <c r="X777" s="288">
        <v>9.1249999999999998E-2</v>
      </c>
      <c r="Y777" s="288">
        <v>9.1249999999999998E-2</v>
      </c>
      <c r="Z777" s="288">
        <v>0</v>
      </c>
      <c r="AA777" s="288">
        <v>0</v>
      </c>
      <c r="AB777" s="288">
        <v>0</v>
      </c>
      <c r="AC777" s="289">
        <v>9.1249999999999998E-2</v>
      </c>
      <c r="AD777" s="289">
        <v>0</v>
      </c>
    </row>
    <row r="778" spans="1:30" ht="15" customHeight="1" x14ac:dyDescent="0.25">
      <c r="A778" s="282" t="s">
        <v>581</v>
      </c>
      <c r="B778" s="282" t="s">
        <v>616</v>
      </c>
      <c r="C778" s="282" t="s">
        <v>617</v>
      </c>
      <c r="D778" s="286" t="s">
        <v>1315</v>
      </c>
      <c r="E778" s="404">
        <v>43646</v>
      </c>
      <c r="F778" s="404">
        <v>45473</v>
      </c>
      <c r="G778" s="290" t="s">
        <v>1282</v>
      </c>
      <c r="H778" s="282" t="s">
        <v>1283</v>
      </c>
      <c r="I778" s="282" t="s">
        <v>590</v>
      </c>
      <c r="J778" s="282" t="s">
        <v>156</v>
      </c>
      <c r="K778" s="286" t="s">
        <v>1284</v>
      </c>
      <c r="L778" s="282" t="s">
        <v>574</v>
      </c>
      <c r="M778" s="287">
        <v>2400</v>
      </c>
      <c r="N778" s="287">
        <v>0</v>
      </c>
      <c r="O778" s="287">
        <v>0</v>
      </c>
      <c r="P778" s="287"/>
      <c r="Q778" s="288" t="s">
        <v>1316</v>
      </c>
      <c r="R778" s="288" t="s">
        <v>1316</v>
      </c>
      <c r="S778" s="288"/>
      <c r="T778" s="288"/>
      <c r="U778" s="288">
        <v>0</v>
      </c>
      <c r="V778" s="289">
        <v>514</v>
      </c>
      <c r="W778" s="289">
        <v>0</v>
      </c>
      <c r="X778" s="288">
        <v>0.21416666666666667</v>
      </c>
      <c r="Y778" s="288">
        <v>0.21416666666666667</v>
      </c>
      <c r="Z778" s="288">
        <v>0</v>
      </c>
      <c r="AA778" s="288">
        <v>0</v>
      </c>
      <c r="AB778" s="288">
        <v>0</v>
      </c>
      <c r="AC778" s="289">
        <v>0.21416666666666667</v>
      </c>
      <c r="AD778" s="289">
        <v>0</v>
      </c>
    </row>
    <row r="779" spans="1:30" ht="15" customHeight="1" x14ac:dyDescent="0.25">
      <c r="A779" s="282" t="s">
        <v>581</v>
      </c>
      <c r="B779" s="282" t="s">
        <v>616</v>
      </c>
      <c r="C779" s="282" t="s">
        <v>617</v>
      </c>
      <c r="D779" s="286" t="s">
        <v>1317</v>
      </c>
      <c r="E779" s="404">
        <v>43646</v>
      </c>
      <c r="F779" s="404">
        <v>45473</v>
      </c>
      <c r="G779" s="290" t="s">
        <v>1282</v>
      </c>
      <c r="H779" s="282" t="s">
        <v>1283</v>
      </c>
      <c r="I779" s="282" t="s">
        <v>590</v>
      </c>
      <c r="J779" s="282" t="s">
        <v>156</v>
      </c>
      <c r="K779" s="286" t="s">
        <v>1284</v>
      </c>
      <c r="L779" s="282" t="s">
        <v>574</v>
      </c>
      <c r="M779" s="287">
        <v>2400</v>
      </c>
      <c r="N779" s="287">
        <v>0</v>
      </c>
      <c r="O779" s="287">
        <v>0</v>
      </c>
      <c r="P779" s="287"/>
      <c r="Q779" s="288" t="s">
        <v>1318</v>
      </c>
      <c r="R779" s="288" t="s">
        <v>1318</v>
      </c>
      <c r="S779" s="288"/>
      <c r="T779" s="288"/>
      <c r="U779" s="288">
        <v>0</v>
      </c>
      <c r="V779" s="289">
        <v>414</v>
      </c>
      <c r="W779" s="289">
        <v>0</v>
      </c>
      <c r="X779" s="288">
        <v>0.17249999999999999</v>
      </c>
      <c r="Y779" s="288">
        <v>0.17249999999999999</v>
      </c>
      <c r="Z779" s="288">
        <v>0</v>
      </c>
      <c r="AA779" s="288">
        <v>0</v>
      </c>
      <c r="AB779" s="288">
        <v>0</v>
      </c>
      <c r="AC779" s="289">
        <v>0.17249999999999999</v>
      </c>
      <c r="AD779" s="289">
        <v>0</v>
      </c>
    </row>
    <row r="780" spans="1:30" ht="15" customHeight="1" x14ac:dyDescent="0.25">
      <c r="A780" s="282" t="s">
        <v>581</v>
      </c>
      <c r="B780" s="282" t="s">
        <v>616</v>
      </c>
      <c r="C780" s="282" t="s">
        <v>617</v>
      </c>
      <c r="D780" s="286" t="s">
        <v>1319</v>
      </c>
      <c r="E780" s="404">
        <v>43646</v>
      </c>
      <c r="F780" s="404">
        <v>45473</v>
      </c>
      <c r="G780" s="290" t="s">
        <v>1282</v>
      </c>
      <c r="H780" s="282" t="s">
        <v>1283</v>
      </c>
      <c r="I780" s="282" t="s">
        <v>590</v>
      </c>
      <c r="J780" s="282" t="s">
        <v>156</v>
      </c>
      <c r="K780" s="286" t="s">
        <v>1284</v>
      </c>
      <c r="L780" s="282" t="s">
        <v>574</v>
      </c>
      <c r="M780" s="287">
        <v>2400</v>
      </c>
      <c r="N780" s="287">
        <v>0</v>
      </c>
      <c r="O780" s="287">
        <v>0</v>
      </c>
      <c r="P780" s="287"/>
      <c r="Q780" s="288" t="s">
        <v>1320</v>
      </c>
      <c r="R780" s="288" t="s">
        <v>1320</v>
      </c>
      <c r="S780" s="288"/>
      <c r="T780" s="288"/>
      <c r="U780" s="288">
        <v>0</v>
      </c>
      <c r="V780" s="289">
        <v>303</v>
      </c>
      <c r="W780" s="289">
        <v>0</v>
      </c>
      <c r="X780" s="288">
        <v>0.12625</v>
      </c>
      <c r="Y780" s="288">
        <v>0.12625</v>
      </c>
      <c r="Z780" s="288">
        <v>0</v>
      </c>
      <c r="AA780" s="288">
        <v>0</v>
      </c>
      <c r="AB780" s="288">
        <v>0</v>
      </c>
      <c r="AC780" s="289">
        <v>0.12625</v>
      </c>
      <c r="AD780" s="289">
        <v>0</v>
      </c>
    </row>
    <row r="781" spans="1:30" ht="15" customHeight="1" x14ac:dyDescent="0.25">
      <c r="A781" s="282" t="s">
        <v>581</v>
      </c>
      <c r="B781" s="282" t="s">
        <v>616</v>
      </c>
      <c r="C781" s="282" t="s">
        <v>617</v>
      </c>
      <c r="D781" s="286" t="s">
        <v>1321</v>
      </c>
      <c r="E781" s="404">
        <v>43646</v>
      </c>
      <c r="F781" s="404">
        <v>45473</v>
      </c>
      <c r="G781" s="290" t="s">
        <v>1282</v>
      </c>
      <c r="H781" s="282" t="s">
        <v>1283</v>
      </c>
      <c r="I781" s="282" t="s">
        <v>590</v>
      </c>
      <c r="J781" s="282" t="s">
        <v>156</v>
      </c>
      <c r="K781" s="286" t="s">
        <v>1284</v>
      </c>
      <c r="L781" s="282" t="s">
        <v>574</v>
      </c>
      <c r="M781" s="287">
        <v>2400</v>
      </c>
      <c r="N781" s="287">
        <v>0</v>
      </c>
      <c r="O781" s="287">
        <v>0</v>
      </c>
      <c r="P781" s="287"/>
      <c r="Q781" s="288" t="s">
        <v>1322</v>
      </c>
      <c r="R781" s="288" t="s">
        <v>1322</v>
      </c>
      <c r="S781" s="288"/>
      <c r="T781" s="288"/>
      <c r="U781" s="288">
        <v>0</v>
      </c>
      <c r="V781" s="289">
        <v>284</v>
      </c>
      <c r="W781" s="289">
        <v>0</v>
      </c>
      <c r="X781" s="288">
        <v>0.11833333333333333</v>
      </c>
      <c r="Y781" s="288">
        <v>0.11833333333333333</v>
      </c>
      <c r="Z781" s="288">
        <v>0</v>
      </c>
      <c r="AA781" s="288">
        <v>0</v>
      </c>
      <c r="AB781" s="288">
        <v>0</v>
      </c>
      <c r="AC781" s="289">
        <v>0.11833333333333333</v>
      </c>
      <c r="AD781" s="289">
        <v>0</v>
      </c>
    </row>
    <row r="782" spans="1:30" ht="15" customHeight="1" x14ac:dyDescent="0.25">
      <c r="A782" s="282" t="s">
        <v>581</v>
      </c>
      <c r="B782" s="282" t="s">
        <v>594</v>
      </c>
      <c r="C782" s="282" t="s">
        <v>595</v>
      </c>
      <c r="D782" s="286" t="s">
        <v>1323</v>
      </c>
      <c r="E782" s="404">
        <v>43646</v>
      </c>
      <c r="F782" s="404">
        <v>45473</v>
      </c>
      <c r="G782" s="290" t="s">
        <v>283</v>
      </c>
      <c r="H782" s="282" t="s">
        <v>1283</v>
      </c>
      <c r="I782" s="282" t="s">
        <v>590</v>
      </c>
      <c r="J782" s="282" t="s">
        <v>156</v>
      </c>
      <c r="K782" s="286" t="s">
        <v>1284</v>
      </c>
      <c r="L782" s="282" t="s">
        <v>574</v>
      </c>
      <c r="M782" s="287">
        <v>2400</v>
      </c>
      <c r="N782" s="287">
        <v>0</v>
      </c>
      <c r="O782" s="287">
        <v>0</v>
      </c>
      <c r="P782" s="287"/>
      <c r="Q782" s="288" t="s">
        <v>1324</v>
      </c>
      <c r="R782" s="288" t="s">
        <v>1324</v>
      </c>
      <c r="S782" s="288"/>
      <c r="T782" s="288"/>
      <c r="U782" s="288">
        <v>0</v>
      </c>
      <c r="V782" s="289">
        <v>242</v>
      </c>
      <c r="W782" s="289">
        <v>0</v>
      </c>
      <c r="X782" s="288">
        <v>0.10083333333333333</v>
      </c>
      <c r="Y782" s="288">
        <v>0.10083333333333333</v>
      </c>
      <c r="Z782" s="288">
        <v>0</v>
      </c>
      <c r="AA782" s="288">
        <v>0</v>
      </c>
      <c r="AB782" s="288">
        <v>0</v>
      </c>
      <c r="AC782" s="289">
        <v>0.10083333333333333</v>
      </c>
      <c r="AD782" s="289">
        <v>0</v>
      </c>
    </row>
    <row r="783" spans="1:30" ht="15" customHeight="1" x14ac:dyDescent="0.25">
      <c r="A783" s="282" t="s">
        <v>581</v>
      </c>
      <c r="B783" s="282" t="s">
        <v>594</v>
      </c>
      <c r="C783" s="282" t="s">
        <v>595</v>
      </c>
      <c r="D783" s="286" t="s">
        <v>1325</v>
      </c>
      <c r="E783" s="404">
        <v>43646</v>
      </c>
      <c r="F783" s="404">
        <v>45473</v>
      </c>
      <c r="G783" s="290" t="s">
        <v>283</v>
      </c>
      <c r="H783" s="282" t="s">
        <v>1283</v>
      </c>
      <c r="I783" s="282" t="s">
        <v>590</v>
      </c>
      <c r="J783" s="282" t="s">
        <v>156</v>
      </c>
      <c r="K783" s="286" t="s">
        <v>1284</v>
      </c>
      <c r="L783" s="282" t="s">
        <v>574</v>
      </c>
      <c r="M783" s="287">
        <v>2400</v>
      </c>
      <c r="N783" s="287">
        <v>0</v>
      </c>
      <c r="O783" s="287">
        <v>0</v>
      </c>
      <c r="P783" s="287"/>
      <c r="Q783" s="288" t="s">
        <v>1326</v>
      </c>
      <c r="R783" s="288" t="s">
        <v>1326</v>
      </c>
      <c r="S783" s="288"/>
      <c r="T783" s="288"/>
      <c r="U783" s="288">
        <v>0</v>
      </c>
      <c r="V783" s="289">
        <v>203</v>
      </c>
      <c r="W783" s="289">
        <v>0</v>
      </c>
      <c r="X783" s="288">
        <v>8.458333333333333E-2</v>
      </c>
      <c r="Y783" s="288">
        <v>8.458333333333333E-2</v>
      </c>
      <c r="Z783" s="288">
        <v>0</v>
      </c>
      <c r="AA783" s="288">
        <v>0</v>
      </c>
      <c r="AB783" s="288">
        <v>0</v>
      </c>
      <c r="AC783" s="289">
        <v>8.458333333333333E-2</v>
      </c>
      <c r="AD783" s="289">
        <v>0</v>
      </c>
    </row>
    <row r="784" spans="1:30" ht="15" customHeight="1" x14ac:dyDescent="0.25">
      <c r="A784" s="282" t="s">
        <v>581</v>
      </c>
      <c r="B784" s="282" t="s">
        <v>594</v>
      </c>
      <c r="C784" s="282" t="s">
        <v>595</v>
      </c>
      <c r="D784" s="286" t="s">
        <v>1327</v>
      </c>
      <c r="E784" s="404">
        <v>43646</v>
      </c>
      <c r="F784" s="404">
        <v>45473</v>
      </c>
      <c r="G784" s="290" t="s">
        <v>283</v>
      </c>
      <c r="H784" s="282" t="s">
        <v>1283</v>
      </c>
      <c r="I784" s="282" t="s">
        <v>590</v>
      </c>
      <c r="J784" s="282" t="s">
        <v>156</v>
      </c>
      <c r="K784" s="286" t="s">
        <v>1284</v>
      </c>
      <c r="L784" s="282" t="s">
        <v>574</v>
      </c>
      <c r="M784" s="287">
        <v>2400</v>
      </c>
      <c r="N784" s="287">
        <v>0</v>
      </c>
      <c r="O784" s="287">
        <v>0</v>
      </c>
      <c r="P784" s="287"/>
      <c r="Q784" s="288" t="s">
        <v>1328</v>
      </c>
      <c r="R784" s="288" t="s">
        <v>1328</v>
      </c>
      <c r="S784" s="288"/>
      <c r="T784" s="288"/>
      <c r="U784" s="288">
        <v>0</v>
      </c>
      <c r="V784" s="289">
        <v>163</v>
      </c>
      <c r="W784" s="289">
        <v>0</v>
      </c>
      <c r="X784" s="288">
        <v>6.7916666666666667E-2</v>
      </c>
      <c r="Y784" s="288">
        <v>6.7916666666666667E-2</v>
      </c>
      <c r="Z784" s="288">
        <v>0</v>
      </c>
      <c r="AA784" s="288">
        <v>0</v>
      </c>
      <c r="AB784" s="288">
        <v>0</v>
      </c>
      <c r="AC784" s="289">
        <v>6.7916666666666667E-2</v>
      </c>
      <c r="AD784" s="289">
        <v>0</v>
      </c>
    </row>
    <row r="785" spans="1:30" ht="15" customHeight="1" x14ac:dyDescent="0.25">
      <c r="A785" s="282" t="s">
        <v>581</v>
      </c>
      <c r="B785" s="282" t="s">
        <v>594</v>
      </c>
      <c r="C785" s="282" t="s">
        <v>595</v>
      </c>
      <c r="D785" s="286" t="s">
        <v>1329</v>
      </c>
      <c r="E785" s="404">
        <v>43646</v>
      </c>
      <c r="F785" s="404">
        <v>45473</v>
      </c>
      <c r="G785" s="290" t="s">
        <v>283</v>
      </c>
      <c r="H785" s="282" t="s">
        <v>1283</v>
      </c>
      <c r="I785" s="282" t="s">
        <v>590</v>
      </c>
      <c r="J785" s="282" t="s">
        <v>156</v>
      </c>
      <c r="K785" s="286" t="s">
        <v>1284</v>
      </c>
      <c r="L785" s="282" t="s">
        <v>574</v>
      </c>
      <c r="M785" s="287">
        <v>2400</v>
      </c>
      <c r="N785" s="287">
        <v>0</v>
      </c>
      <c r="O785" s="287">
        <v>0</v>
      </c>
      <c r="P785" s="287"/>
      <c r="Q785" s="288" t="s">
        <v>1299</v>
      </c>
      <c r="R785" s="288" t="s">
        <v>1299</v>
      </c>
      <c r="S785" s="288"/>
      <c r="T785" s="288"/>
      <c r="U785" s="288">
        <v>0</v>
      </c>
      <c r="V785" s="289">
        <v>154</v>
      </c>
      <c r="W785" s="289">
        <v>0</v>
      </c>
      <c r="X785" s="288">
        <v>6.4166666666666664E-2</v>
      </c>
      <c r="Y785" s="288">
        <v>6.4166666666666664E-2</v>
      </c>
      <c r="Z785" s="288">
        <v>0</v>
      </c>
      <c r="AA785" s="288">
        <v>0</v>
      </c>
      <c r="AB785" s="288">
        <v>0</v>
      </c>
      <c r="AC785" s="289">
        <v>6.4166666666666664E-2</v>
      </c>
      <c r="AD785" s="289">
        <v>0</v>
      </c>
    </row>
    <row r="786" spans="1:30" ht="15" customHeight="1" x14ac:dyDescent="0.25">
      <c r="A786" s="282" t="s">
        <v>581</v>
      </c>
      <c r="B786" s="282" t="s">
        <v>628</v>
      </c>
      <c r="C786" s="282" t="s">
        <v>629</v>
      </c>
      <c r="D786" s="286" t="s">
        <v>1330</v>
      </c>
      <c r="E786" s="404">
        <v>43646</v>
      </c>
      <c r="F786" s="404">
        <v>45473</v>
      </c>
      <c r="G786" s="290" t="s">
        <v>283</v>
      </c>
      <c r="H786" s="282" t="s">
        <v>1283</v>
      </c>
      <c r="I786" s="282" t="s">
        <v>590</v>
      </c>
      <c r="J786" s="282" t="s">
        <v>156</v>
      </c>
      <c r="K786" s="286" t="s">
        <v>1284</v>
      </c>
      <c r="L786" s="282" t="s">
        <v>574</v>
      </c>
      <c r="M786" s="287">
        <v>2400</v>
      </c>
      <c r="N786" s="287">
        <v>0</v>
      </c>
      <c r="O786" s="287">
        <v>0</v>
      </c>
      <c r="P786" s="287"/>
      <c r="Q786" s="288" t="s">
        <v>1331</v>
      </c>
      <c r="R786" s="288" t="s">
        <v>1331</v>
      </c>
      <c r="S786" s="288"/>
      <c r="T786" s="288"/>
      <c r="U786" s="288">
        <v>0</v>
      </c>
      <c r="V786" s="289">
        <v>257</v>
      </c>
      <c r="W786" s="289">
        <v>0</v>
      </c>
      <c r="X786" s="288">
        <v>0.10708333333333334</v>
      </c>
      <c r="Y786" s="288">
        <v>0.10708333333333334</v>
      </c>
      <c r="Z786" s="288">
        <v>0</v>
      </c>
      <c r="AA786" s="288">
        <v>0</v>
      </c>
      <c r="AB786" s="288">
        <v>0</v>
      </c>
      <c r="AC786" s="289">
        <v>0.10708333333333334</v>
      </c>
      <c r="AD786" s="289">
        <v>0</v>
      </c>
    </row>
    <row r="787" spans="1:30" ht="15" customHeight="1" x14ac:dyDescent="0.25">
      <c r="A787" s="282" t="s">
        <v>581</v>
      </c>
      <c r="B787" s="282" t="s">
        <v>628</v>
      </c>
      <c r="C787" s="282" t="s">
        <v>629</v>
      </c>
      <c r="D787" s="286" t="s">
        <v>1332</v>
      </c>
      <c r="E787" s="404">
        <v>43646</v>
      </c>
      <c r="F787" s="404">
        <v>45473</v>
      </c>
      <c r="G787" s="290" t="s">
        <v>283</v>
      </c>
      <c r="H787" s="282" t="s">
        <v>1283</v>
      </c>
      <c r="I787" s="282" t="s">
        <v>590</v>
      </c>
      <c r="J787" s="282" t="s">
        <v>156</v>
      </c>
      <c r="K787" s="286" t="s">
        <v>1284</v>
      </c>
      <c r="L787" s="282" t="s">
        <v>574</v>
      </c>
      <c r="M787" s="287">
        <v>2400</v>
      </c>
      <c r="N787" s="287">
        <v>0</v>
      </c>
      <c r="O787" s="287">
        <v>0</v>
      </c>
      <c r="P787" s="287"/>
      <c r="Q787" s="288" t="s">
        <v>1314</v>
      </c>
      <c r="R787" s="288" t="s">
        <v>1314</v>
      </c>
      <c r="S787" s="288"/>
      <c r="T787" s="288"/>
      <c r="U787" s="288">
        <v>0</v>
      </c>
      <c r="V787" s="289">
        <v>219</v>
      </c>
      <c r="W787" s="289">
        <v>0</v>
      </c>
      <c r="X787" s="288">
        <v>9.1249999999999998E-2</v>
      </c>
      <c r="Y787" s="288">
        <v>9.1249999999999998E-2</v>
      </c>
      <c r="Z787" s="288">
        <v>0</v>
      </c>
      <c r="AA787" s="288">
        <v>0</v>
      </c>
      <c r="AB787" s="288">
        <v>0</v>
      </c>
      <c r="AC787" s="289">
        <v>9.1249999999999998E-2</v>
      </c>
      <c r="AD787" s="289">
        <v>0</v>
      </c>
    </row>
    <row r="788" spans="1:30" ht="15" customHeight="1" x14ac:dyDescent="0.25">
      <c r="A788" s="282" t="s">
        <v>581</v>
      </c>
      <c r="B788" s="282" t="s">
        <v>628</v>
      </c>
      <c r="C788" s="282" t="s">
        <v>629</v>
      </c>
      <c r="D788" s="286" t="s">
        <v>1333</v>
      </c>
      <c r="E788" s="404">
        <v>43646</v>
      </c>
      <c r="F788" s="404">
        <v>45473</v>
      </c>
      <c r="G788" s="290" t="s">
        <v>283</v>
      </c>
      <c r="H788" s="282" t="s">
        <v>1283</v>
      </c>
      <c r="I788" s="282" t="s">
        <v>590</v>
      </c>
      <c r="J788" s="282" t="s">
        <v>156</v>
      </c>
      <c r="K788" s="286" t="s">
        <v>1284</v>
      </c>
      <c r="L788" s="282" t="s">
        <v>574</v>
      </c>
      <c r="M788" s="287">
        <v>2400</v>
      </c>
      <c r="N788" s="287">
        <v>0</v>
      </c>
      <c r="O788" s="287">
        <v>0</v>
      </c>
      <c r="P788" s="287"/>
      <c r="Q788" s="288" t="s">
        <v>1334</v>
      </c>
      <c r="R788" s="288" t="s">
        <v>1334</v>
      </c>
      <c r="S788" s="288"/>
      <c r="T788" s="288"/>
      <c r="U788" s="288">
        <v>0</v>
      </c>
      <c r="V788" s="289">
        <v>172</v>
      </c>
      <c r="W788" s="289">
        <v>0</v>
      </c>
      <c r="X788" s="288">
        <v>7.166666666666667E-2</v>
      </c>
      <c r="Y788" s="288">
        <v>7.166666666666667E-2</v>
      </c>
      <c r="Z788" s="288">
        <v>0</v>
      </c>
      <c r="AA788" s="288">
        <v>0</v>
      </c>
      <c r="AB788" s="288">
        <v>0</v>
      </c>
      <c r="AC788" s="289">
        <v>7.166666666666667E-2</v>
      </c>
      <c r="AD788" s="289">
        <v>0</v>
      </c>
    </row>
    <row r="789" spans="1:30" ht="15" customHeight="1" x14ac:dyDescent="0.25">
      <c r="A789" s="282" t="s">
        <v>581</v>
      </c>
      <c r="B789" s="282" t="s">
        <v>628</v>
      </c>
      <c r="C789" s="282" t="s">
        <v>629</v>
      </c>
      <c r="D789" s="286" t="s">
        <v>1335</v>
      </c>
      <c r="E789" s="404">
        <v>43646</v>
      </c>
      <c r="F789" s="404">
        <v>45473</v>
      </c>
      <c r="G789" s="290" t="s">
        <v>283</v>
      </c>
      <c r="H789" s="282" t="s">
        <v>1283</v>
      </c>
      <c r="I789" s="282" t="s">
        <v>590</v>
      </c>
      <c r="J789" s="282" t="s">
        <v>156</v>
      </c>
      <c r="K789" s="286" t="s">
        <v>1284</v>
      </c>
      <c r="L789" s="282" t="s">
        <v>574</v>
      </c>
      <c r="M789" s="287">
        <v>2400</v>
      </c>
      <c r="N789" s="287">
        <v>0</v>
      </c>
      <c r="O789" s="287">
        <v>0</v>
      </c>
      <c r="P789" s="287"/>
      <c r="Q789" s="288" t="s">
        <v>1336</v>
      </c>
      <c r="R789" s="288" t="s">
        <v>1336</v>
      </c>
      <c r="S789" s="288"/>
      <c r="T789" s="288"/>
      <c r="U789" s="288">
        <v>0</v>
      </c>
      <c r="V789" s="289">
        <v>167</v>
      </c>
      <c r="W789" s="289">
        <v>0</v>
      </c>
      <c r="X789" s="288">
        <v>6.958333333333333E-2</v>
      </c>
      <c r="Y789" s="288">
        <v>6.958333333333333E-2</v>
      </c>
      <c r="Z789" s="288">
        <v>0</v>
      </c>
      <c r="AA789" s="288">
        <v>0</v>
      </c>
      <c r="AB789" s="288">
        <v>0</v>
      </c>
      <c r="AC789" s="289">
        <v>6.958333333333333E-2</v>
      </c>
      <c r="AD789" s="289">
        <v>0</v>
      </c>
    </row>
    <row r="790" spans="1:30" ht="15" customHeight="1" x14ac:dyDescent="0.25">
      <c r="A790" s="282" t="s">
        <v>581</v>
      </c>
      <c r="B790" s="282" t="s">
        <v>611</v>
      </c>
      <c r="C790" s="282" t="s">
        <v>612</v>
      </c>
      <c r="D790" s="286" t="s">
        <v>1337</v>
      </c>
      <c r="E790" s="404">
        <v>43646</v>
      </c>
      <c r="F790" s="404">
        <v>45473</v>
      </c>
      <c r="G790" s="290" t="s">
        <v>283</v>
      </c>
      <c r="H790" s="282" t="s">
        <v>1283</v>
      </c>
      <c r="I790" s="282" t="s">
        <v>590</v>
      </c>
      <c r="J790" s="282" t="s">
        <v>156</v>
      </c>
      <c r="K790" s="286" t="s">
        <v>1284</v>
      </c>
      <c r="L790" s="282" t="s">
        <v>574</v>
      </c>
      <c r="M790" s="287">
        <v>2400</v>
      </c>
      <c r="N790" s="287">
        <v>0</v>
      </c>
      <c r="O790" s="287">
        <v>0</v>
      </c>
      <c r="P790" s="287"/>
      <c r="Q790" s="288" t="s">
        <v>1320</v>
      </c>
      <c r="R790" s="288" t="s">
        <v>1320</v>
      </c>
      <c r="S790" s="288"/>
      <c r="T790" s="288"/>
      <c r="U790" s="288">
        <v>0</v>
      </c>
      <c r="V790" s="289">
        <v>303</v>
      </c>
      <c r="W790" s="289">
        <v>0</v>
      </c>
      <c r="X790" s="288">
        <v>0.12625</v>
      </c>
      <c r="Y790" s="288">
        <v>0.12625</v>
      </c>
      <c r="Z790" s="288">
        <v>0</v>
      </c>
      <c r="AA790" s="288">
        <v>0</v>
      </c>
      <c r="AB790" s="288">
        <v>0</v>
      </c>
      <c r="AC790" s="289">
        <v>0.12625</v>
      </c>
      <c r="AD790" s="289">
        <v>0</v>
      </c>
    </row>
    <row r="791" spans="1:30" ht="15" customHeight="1" x14ac:dyDescent="0.25">
      <c r="A791" s="282" t="s">
        <v>581</v>
      </c>
      <c r="B791" s="282" t="s">
        <v>611</v>
      </c>
      <c r="C791" s="282" t="s">
        <v>612</v>
      </c>
      <c r="D791" s="286" t="s">
        <v>1338</v>
      </c>
      <c r="E791" s="404">
        <v>43646</v>
      </c>
      <c r="F791" s="404">
        <v>45473</v>
      </c>
      <c r="G791" s="290" t="s">
        <v>283</v>
      </c>
      <c r="H791" s="282" t="s">
        <v>1283</v>
      </c>
      <c r="I791" s="282" t="s">
        <v>590</v>
      </c>
      <c r="J791" s="282" t="s">
        <v>156</v>
      </c>
      <c r="K791" s="286" t="s">
        <v>1284</v>
      </c>
      <c r="L791" s="282" t="s">
        <v>574</v>
      </c>
      <c r="M791" s="287">
        <v>2400</v>
      </c>
      <c r="N791" s="287">
        <v>0</v>
      </c>
      <c r="O791" s="287">
        <v>0</v>
      </c>
      <c r="P791" s="287"/>
      <c r="Q791" s="288" t="s">
        <v>1339</v>
      </c>
      <c r="R791" s="288" t="s">
        <v>1339</v>
      </c>
      <c r="S791" s="288"/>
      <c r="T791" s="288"/>
      <c r="U791" s="288">
        <v>0</v>
      </c>
      <c r="V791" s="289">
        <v>247</v>
      </c>
      <c r="W791" s="289">
        <v>0</v>
      </c>
      <c r="X791" s="288">
        <v>0.10291666666666667</v>
      </c>
      <c r="Y791" s="288">
        <v>0.10291666666666667</v>
      </c>
      <c r="Z791" s="288">
        <v>0</v>
      </c>
      <c r="AA791" s="288">
        <v>0</v>
      </c>
      <c r="AB791" s="288">
        <v>0</v>
      </c>
      <c r="AC791" s="289">
        <v>0.10291666666666667</v>
      </c>
      <c r="AD791" s="289">
        <v>0</v>
      </c>
    </row>
    <row r="792" spans="1:30" ht="15" customHeight="1" x14ac:dyDescent="0.25">
      <c r="A792" s="282" t="s">
        <v>581</v>
      </c>
      <c r="B792" s="282" t="s">
        <v>611</v>
      </c>
      <c r="C792" s="282" t="s">
        <v>612</v>
      </c>
      <c r="D792" s="286" t="s">
        <v>1340</v>
      </c>
      <c r="E792" s="404">
        <v>43646</v>
      </c>
      <c r="F792" s="404">
        <v>45473</v>
      </c>
      <c r="G792" s="290" t="s">
        <v>283</v>
      </c>
      <c r="H792" s="282" t="s">
        <v>1283</v>
      </c>
      <c r="I792" s="282" t="s">
        <v>590</v>
      </c>
      <c r="J792" s="282" t="s">
        <v>156</v>
      </c>
      <c r="K792" s="286" t="s">
        <v>1284</v>
      </c>
      <c r="L792" s="282" t="s">
        <v>574</v>
      </c>
      <c r="M792" s="287">
        <v>2400</v>
      </c>
      <c r="N792" s="287">
        <v>0</v>
      </c>
      <c r="O792" s="287">
        <v>0</v>
      </c>
      <c r="P792" s="287"/>
      <c r="Q792" s="288" t="s">
        <v>1341</v>
      </c>
      <c r="R792" s="288" t="s">
        <v>1341</v>
      </c>
      <c r="S792" s="288"/>
      <c r="T792" s="288"/>
      <c r="U792" s="288">
        <v>0</v>
      </c>
      <c r="V792" s="289">
        <v>186</v>
      </c>
      <c r="W792" s="289">
        <v>0</v>
      </c>
      <c r="X792" s="288">
        <v>7.7499999999999999E-2</v>
      </c>
      <c r="Y792" s="288">
        <v>7.7499999999999999E-2</v>
      </c>
      <c r="Z792" s="288">
        <v>0</v>
      </c>
      <c r="AA792" s="288">
        <v>0</v>
      </c>
      <c r="AB792" s="288">
        <v>0</v>
      </c>
      <c r="AC792" s="289">
        <v>7.7499999999999999E-2</v>
      </c>
      <c r="AD792" s="289">
        <v>0</v>
      </c>
    </row>
    <row r="793" spans="1:30" ht="15" customHeight="1" x14ac:dyDescent="0.25">
      <c r="A793" s="282" t="s">
        <v>581</v>
      </c>
      <c r="B793" s="282" t="s">
        <v>585</v>
      </c>
      <c r="C793" s="282" t="s">
        <v>586</v>
      </c>
      <c r="D793" s="286" t="s">
        <v>1342</v>
      </c>
      <c r="E793" s="404">
        <v>43646</v>
      </c>
      <c r="F793" s="404">
        <v>45473</v>
      </c>
      <c r="G793" s="290" t="s">
        <v>283</v>
      </c>
      <c r="H793" s="282" t="s">
        <v>1283</v>
      </c>
      <c r="I793" s="282" t="s">
        <v>590</v>
      </c>
      <c r="J793" s="282" t="s">
        <v>156</v>
      </c>
      <c r="K793" s="286" t="s">
        <v>1284</v>
      </c>
      <c r="L793" s="282" t="s">
        <v>574</v>
      </c>
      <c r="M793" s="287">
        <v>2400</v>
      </c>
      <c r="N793" s="287">
        <v>0</v>
      </c>
      <c r="O793" s="287">
        <v>0</v>
      </c>
      <c r="P793" s="287"/>
      <c r="Q793" s="288" t="s">
        <v>1343</v>
      </c>
      <c r="R793" s="288" t="s">
        <v>1343</v>
      </c>
      <c r="S793" s="288"/>
      <c r="T793" s="288"/>
      <c r="U793" s="288">
        <v>0</v>
      </c>
      <c r="V793" s="289">
        <v>355</v>
      </c>
      <c r="W793" s="289">
        <v>0</v>
      </c>
      <c r="X793" s="288">
        <v>0.14791666666666667</v>
      </c>
      <c r="Y793" s="288">
        <v>0.14791666666666667</v>
      </c>
      <c r="Z793" s="288">
        <v>0</v>
      </c>
      <c r="AA793" s="288">
        <v>0</v>
      </c>
      <c r="AB793" s="288">
        <v>0</v>
      </c>
      <c r="AC793" s="289">
        <v>0.14791666666666667</v>
      </c>
      <c r="AD793" s="289">
        <v>0</v>
      </c>
    </row>
    <row r="794" spans="1:30" ht="15" customHeight="1" x14ac:dyDescent="0.25">
      <c r="A794" s="282" t="s">
        <v>581</v>
      </c>
      <c r="B794" s="282" t="s">
        <v>585</v>
      </c>
      <c r="C794" s="282" t="s">
        <v>586</v>
      </c>
      <c r="D794" s="286" t="s">
        <v>1344</v>
      </c>
      <c r="E794" s="404">
        <v>43646</v>
      </c>
      <c r="F794" s="404">
        <v>45473</v>
      </c>
      <c r="G794" s="290" t="s">
        <v>283</v>
      </c>
      <c r="H794" s="282" t="s">
        <v>1283</v>
      </c>
      <c r="I794" s="282" t="s">
        <v>590</v>
      </c>
      <c r="J794" s="282" t="s">
        <v>156</v>
      </c>
      <c r="K794" s="286" t="s">
        <v>1284</v>
      </c>
      <c r="L794" s="282" t="s">
        <v>574</v>
      </c>
      <c r="M794" s="287">
        <v>2400</v>
      </c>
      <c r="N794" s="287">
        <v>0</v>
      </c>
      <c r="O794" s="287">
        <v>0</v>
      </c>
      <c r="P794" s="287"/>
      <c r="Q794" s="288" t="s">
        <v>1293</v>
      </c>
      <c r="R794" s="288" t="s">
        <v>1293</v>
      </c>
      <c r="S794" s="288"/>
      <c r="T794" s="288"/>
      <c r="U794" s="288">
        <v>0</v>
      </c>
      <c r="V794" s="289">
        <v>297</v>
      </c>
      <c r="W794" s="289">
        <v>0</v>
      </c>
      <c r="X794" s="288">
        <v>0.12375</v>
      </c>
      <c r="Y794" s="288">
        <v>0.12375</v>
      </c>
      <c r="Z794" s="288">
        <v>0</v>
      </c>
      <c r="AA794" s="288">
        <v>0</v>
      </c>
      <c r="AB794" s="288">
        <v>0</v>
      </c>
      <c r="AC794" s="289">
        <v>0.12375</v>
      </c>
      <c r="AD794" s="289">
        <v>0</v>
      </c>
    </row>
    <row r="795" spans="1:30" ht="15" customHeight="1" x14ac:dyDescent="0.25">
      <c r="A795" s="282" t="s">
        <v>581</v>
      </c>
      <c r="B795" s="282" t="s">
        <v>585</v>
      </c>
      <c r="C795" s="282" t="s">
        <v>586</v>
      </c>
      <c r="D795" s="286" t="s">
        <v>1345</v>
      </c>
      <c r="E795" s="404">
        <v>43646</v>
      </c>
      <c r="F795" s="404">
        <v>45473</v>
      </c>
      <c r="G795" s="290" t="s">
        <v>283</v>
      </c>
      <c r="H795" s="282" t="s">
        <v>1283</v>
      </c>
      <c r="I795" s="282" t="s">
        <v>590</v>
      </c>
      <c r="J795" s="282" t="s">
        <v>156</v>
      </c>
      <c r="K795" s="286" t="s">
        <v>1284</v>
      </c>
      <c r="L795" s="282" t="s">
        <v>574</v>
      </c>
      <c r="M795" s="287">
        <v>2400</v>
      </c>
      <c r="N795" s="287">
        <v>0</v>
      </c>
      <c r="O795" s="287">
        <v>0</v>
      </c>
      <c r="P795" s="287"/>
      <c r="Q795" s="288" t="s">
        <v>1346</v>
      </c>
      <c r="R795" s="288" t="s">
        <v>1346</v>
      </c>
      <c r="S795" s="288"/>
      <c r="T795" s="288"/>
      <c r="U795" s="288">
        <v>0</v>
      </c>
      <c r="V795" s="289">
        <v>218</v>
      </c>
      <c r="W795" s="289">
        <v>0</v>
      </c>
      <c r="X795" s="288">
        <v>9.0833333333333335E-2</v>
      </c>
      <c r="Y795" s="288">
        <v>9.0833333333333335E-2</v>
      </c>
      <c r="Z795" s="288">
        <v>0</v>
      </c>
      <c r="AA795" s="288">
        <v>0</v>
      </c>
      <c r="AB795" s="288">
        <v>0</v>
      </c>
      <c r="AC795" s="289">
        <v>9.0833333333333335E-2</v>
      </c>
      <c r="AD795" s="289">
        <v>0</v>
      </c>
    </row>
    <row r="796" spans="1:30" ht="15" customHeight="1" x14ac:dyDescent="0.25">
      <c r="A796" s="282" t="s">
        <v>581</v>
      </c>
      <c r="B796" s="282" t="s">
        <v>616</v>
      </c>
      <c r="C796" s="282" t="s">
        <v>617</v>
      </c>
      <c r="D796" s="286" t="s">
        <v>1347</v>
      </c>
      <c r="E796" s="404">
        <v>43646</v>
      </c>
      <c r="F796" s="404">
        <v>45473</v>
      </c>
      <c r="G796" s="290" t="s">
        <v>283</v>
      </c>
      <c r="H796" s="282" t="s">
        <v>1283</v>
      </c>
      <c r="I796" s="282" t="s">
        <v>590</v>
      </c>
      <c r="J796" s="282" t="s">
        <v>156</v>
      </c>
      <c r="K796" s="286" t="s">
        <v>1284</v>
      </c>
      <c r="L796" s="282" t="s">
        <v>574</v>
      </c>
      <c r="M796" s="287">
        <v>2400</v>
      </c>
      <c r="N796" s="287">
        <v>0</v>
      </c>
      <c r="O796" s="287">
        <v>0</v>
      </c>
      <c r="P796" s="287"/>
      <c r="Q796" s="288" t="s">
        <v>1348</v>
      </c>
      <c r="R796" s="288" t="s">
        <v>1348</v>
      </c>
      <c r="S796" s="288"/>
      <c r="T796" s="288"/>
      <c r="U796" s="288">
        <v>0</v>
      </c>
      <c r="V796" s="289">
        <v>363</v>
      </c>
      <c r="W796" s="289">
        <v>0</v>
      </c>
      <c r="X796" s="288">
        <v>0.15125</v>
      </c>
      <c r="Y796" s="288">
        <v>0.15125</v>
      </c>
      <c r="Z796" s="288">
        <v>0</v>
      </c>
      <c r="AA796" s="288">
        <v>0</v>
      </c>
      <c r="AB796" s="288">
        <v>0</v>
      </c>
      <c r="AC796" s="289">
        <v>0.15125</v>
      </c>
      <c r="AD796" s="289">
        <v>0</v>
      </c>
    </row>
    <row r="797" spans="1:30" ht="15" customHeight="1" x14ac:dyDescent="0.25">
      <c r="A797" s="282" t="s">
        <v>581</v>
      </c>
      <c r="B797" s="282" t="s">
        <v>616</v>
      </c>
      <c r="C797" s="282" t="s">
        <v>617</v>
      </c>
      <c r="D797" s="286" t="s">
        <v>1349</v>
      </c>
      <c r="E797" s="404">
        <v>43646</v>
      </c>
      <c r="F797" s="404">
        <v>45473</v>
      </c>
      <c r="G797" s="290" t="s">
        <v>283</v>
      </c>
      <c r="H797" s="282" t="s">
        <v>1283</v>
      </c>
      <c r="I797" s="282" t="s">
        <v>590</v>
      </c>
      <c r="J797" s="282" t="s">
        <v>156</v>
      </c>
      <c r="K797" s="286" t="s">
        <v>1284</v>
      </c>
      <c r="L797" s="282" t="s">
        <v>574</v>
      </c>
      <c r="M797" s="287">
        <v>2400</v>
      </c>
      <c r="N797" s="287">
        <v>0</v>
      </c>
      <c r="O797" s="287">
        <v>0</v>
      </c>
      <c r="P797" s="287"/>
      <c r="Q797" s="288" t="s">
        <v>1350</v>
      </c>
      <c r="R797" s="288" t="s">
        <v>1350</v>
      </c>
      <c r="S797" s="288"/>
      <c r="T797" s="288"/>
      <c r="U797" s="288">
        <v>0</v>
      </c>
      <c r="V797" s="289">
        <v>296</v>
      </c>
      <c r="W797" s="289">
        <v>0</v>
      </c>
      <c r="X797" s="288">
        <v>0.12333333333333334</v>
      </c>
      <c r="Y797" s="288">
        <v>0.12333333333333334</v>
      </c>
      <c r="Z797" s="288">
        <v>0</v>
      </c>
      <c r="AA797" s="288">
        <v>0</v>
      </c>
      <c r="AB797" s="288">
        <v>0</v>
      </c>
      <c r="AC797" s="289">
        <v>0.12333333333333334</v>
      </c>
      <c r="AD797" s="289">
        <v>0</v>
      </c>
    </row>
    <row r="798" spans="1:30" ht="15" customHeight="1" x14ac:dyDescent="0.25">
      <c r="A798" s="282" t="s">
        <v>581</v>
      </c>
      <c r="B798" s="282" t="s">
        <v>594</v>
      </c>
      <c r="C798" s="282" t="s">
        <v>595</v>
      </c>
      <c r="D798" s="286" t="s">
        <v>1351</v>
      </c>
      <c r="E798" s="404">
        <v>43646</v>
      </c>
      <c r="F798" s="404">
        <v>45473</v>
      </c>
      <c r="G798" s="290" t="s">
        <v>286</v>
      </c>
      <c r="H798" s="282" t="s">
        <v>1283</v>
      </c>
      <c r="I798" s="282" t="s">
        <v>590</v>
      </c>
      <c r="J798" s="282" t="s">
        <v>156</v>
      </c>
      <c r="K798" s="286" t="s">
        <v>1284</v>
      </c>
      <c r="L798" s="282" t="s">
        <v>574</v>
      </c>
      <c r="M798" s="287">
        <v>2400</v>
      </c>
      <c r="N798" s="287">
        <v>0</v>
      </c>
      <c r="O798" s="287">
        <v>0</v>
      </c>
      <c r="P798" s="287"/>
      <c r="Q798" s="288" t="s">
        <v>1331</v>
      </c>
      <c r="R798" s="288" t="s">
        <v>1331</v>
      </c>
      <c r="S798" s="288"/>
      <c r="T798" s="288"/>
      <c r="U798" s="288">
        <v>0</v>
      </c>
      <c r="V798" s="289">
        <v>257</v>
      </c>
      <c r="W798" s="289">
        <v>0</v>
      </c>
      <c r="X798" s="288">
        <v>0.10708333333333334</v>
      </c>
      <c r="Y798" s="288">
        <v>0.10708333333333334</v>
      </c>
      <c r="Z798" s="288">
        <v>0</v>
      </c>
      <c r="AA798" s="288">
        <v>0</v>
      </c>
      <c r="AB798" s="288">
        <v>0</v>
      </c>
      <c r="AC798" s="289">
        <v>0.10708333333333334</v>
      </c>
      <c r="AD798" s="289">
        <v>0</v>
      </c>
    </row>
    <row r="799" spans="1:30" ht="15" customHeight="1" x14ac:dyDescent="0.25">
      <c r="A799" s="282" t="s">
        <v>581</v>
      </c>
      <c r="B799" s="282" t="s">
        <v>594</v>
      </c>
      <c r="C799" s="282" t="s">
        <v>595</v>
      </c>
      <c r="D799" s="286" t="s">
        <v>1352</v>
      </c>
      <c r="E799" s="404">
        <v>43646</v>
      </c>
      <c r="F799" s="404">
        <v>45473</v>
      </c>
      <c r="G799" s="290" t="s">
        <v>286</v>
      </c>
      <c r="H799" s="282" t="s">
        <v>1283</v>
      </c>
      <c r="I799" s="282" t="s">
        <v>590</v>
      </c>
      <c r="J799" s="282" t="s">
        <v>156</v>
      </c>
      <c r="K799" s="286" t="s">
        <v>1284</v>
      </c>
      <c r="L799" s="282" t="s">
        <v>574</v>
      </c>
      <c r="M799" s="287">
        <v>2400</v>
      </c>
      <c r="N799" s="287">
        <v>0</v>
      </c>
      <c r="O799" s="287">
        <v>0</v>
      </c>
      <c r="P799" s="287"/>
      <c r="Q799" s="288" t="s">
        <v>1353</v>
      </c>
      <c r="R799" s="288" t="s">
        <v>1353</v>
      </c>
      <c r="S799" s="288"/>
      <c r="T799" s="288"/>
      <c r="U799" s="288">
        <v>0</v>
      </c>
      <c r="V799" s="289">
        <v>221</v>
      </c>
      <c r="W799" s="289">
        <v>0</v>
      </c>
      <c r="X799" s="288">
        <v>9.2083333333333336E-2</v>
      </c>
      <c r="Y799" s="288">
        <v>9.2083333333333336E-2</v>
      </c>
      <c r="Z799" s="288">
        <v>0</v>
      </c>
      <c r="AA799" s="288">
        <v>0</v>
      </c>
      <c r="AB799" s="288">
        <v>0</v>
      </c>
      <c r="AC799" s="289">
        <v>9.2083333333333336E-2</v>
      </c>
      <c r="AD799" s="289">
        <v>0</v>
      </c>
    </row>
    <row r="800" spans="1:30" ht="15" customHeight="1" x14ac:dyDescent="0.25">
      <c r="A800" s="282" t="s">
        <v>581</v>
      </c>
      <c r="B800" s="282" t="s">
        <v>594</v>
      </c>
      <c r="C800" s="282" t="s">
        <v>595</v>
      </c>
      <c r="D800" s="286" t="s">
        <v>1354</v>
      </c>
      <c r="E800" s="404">
        <v>43646</v>
      </c>
      <c r="F800" s="404">
        <v>45473</v>
      </c>
      <c r="G800" s="290" t="s">
        <v>286</v>
      </c>
      <c r="H800" s="282" t="s">
        <v>1283</v>
      </c>
      <c r="I800" s="282" t="s">
        <v>590</v>
      </c>
      <c r="J800" s="282" t="s">
        <v>156</v>
      </c>
      <c r="K800" s="286" t="s">
        <v>1284</v>
      </c>
      <c r="L800" s="282" t="s">
        <v>574</v>
      </c>
      <c r="M800" s="287">
        <v>2400</v>
      </c>
      <c r="N800" s="287">
        <v>0</v>
      </c>
      <c r="O800" s="287">
        <v>0</v>
      </c>
      <c r="P800" s="287"/>
      <c r="Q800" s="288" t="s">
        <v>1355</v>
      </c>
      <c r="R800" s="288" t="s">
        <v>1355</v>
      </c>
      <c r="S800" s="288"/>
      <c r="T800" s="288"/>
      <c r="U800" s="288">
        <v>0</v>
      </c>
      <c r="V800" s="289">
        <v>209</v>
      </c>
      <c r="W800" s="289">
        <v>0</v>
      </c>
      <c r="X800" s="288">
        <v>8.7083333333333332E-2</v>
      </c>
      <c r="Y800" s="288">
        <v>8.7083333333333332E-2</v>
      </c>
      <c r="Z800" s="288">
        <v>0</v>
      </c>
      <c r="AA800" s="288">
        <v>0</v>
      </c>
      <c r="AB800" s="288">
        <v>0</v>
      </c>
      <c r="AC800" s="289">
        <v>8.7083333333333332E-2</v>
      </c>
      <c r="AD800" s="289">
        <v>0</v>
      </c>
    </row>
    <row r="801" spans="1:30" ht="15" customHeight="1" x14ac:dyDescent="0.25">
      <c r="A801" s="282" t="s">
        <v>581</v>
      </c>
      <c r="B801" s="282" t="s">
        <v>628</v>
      </c>
      <c r="C801" s="282" t="s">
        <v>629</v>
      </c>
      <c r="D801" s="286" t="s">
        <v>1356</v>
      </c>
      <c r="E801" s="404">
        <v>43646</v>
      </c>
      <c r="F801" s="404">
        <v>45473</v>
      </c>
      <c r="G801" s="290" t="s">
        <v>286</v>
      </c>
      <c r="H801" s="282" t="s">
        <v>1283</v>
      </c>
      <c r="I801" s="282" t="s">
        <v>590</v>
      </c>
      <c r="J801" s="282" t="s">
        <v>156</v>
      </c>
      <c r="K801" s="286" t="s">
        <v>1284</v>
      </c>
      <c r="L801" s="282" t="s">
        <v>574</v>
      </c>
      <c r="M801" s="287">
        <v>2400</v>
      </c>
      <c r="N801" s="287">
        <v>0</v>
      </c>
      <c r="O801" s="287">
        <v>0</v>
      </c>
      <c r="P801" s="287"/>
      <c r="Q801" s="288" t="s">
        <v>1357</v>
      </c>
      <c r="R801" s="288" t="s">
        <v>1357</v>
      </c>
      <c r="S801" s="288"/>
      <c r="T801" s="288"/>
      <c r="U801" s="288">
        <v>0</v>
      </c>
      <c r="V801" s="289">
        <v>286</v>
      </c>
      <c r="W801" s="289">
        <v>0</v>
      </c>
      <c r="X801" s="288">
        <v>0.11916666666666667</v>
      </c>
      <c r="Y801" s="288">
        <v>0.11916666666666667</v>
      </c>
      <c r="Z801" s="288">
        <v>0</v>
      </c>
      <c r="AA801" s="288">
        <v>0</v>
      </c>
      <c r="AB801" s="288">
        <v>0</v>
      </c>
      <c r="AC801" s="289">
        <v>0.11916666666666667</v>
      </c>
      <c r="AD801" s="289">
        <v>0</v>
      </c>
    </row>
    <row r="802" spans="1:30" ht="15" customHeight="1" x14ac:dyDescent="0.25">
      <c r="A802" s="282" t="s">
        <v>581</v>
      </c>
      <c r="B802" s="282" t="s">
        <v>628</v>
      </c>
      <c r="C802" s="282" t="s">
        <v>629</v>
      </c>
      <c r="D802" s="286" t="s">
        <v>1358</v>
      </c>
      <c r="E802" s="404">
        <v>43646</v>
      </c>
      <c r="F802" s="404">
        <v>45473</v>
      </c>
      <c r="G802" s="290" t="s">
        <v>286</v>
      </c>
      <c r="H802" s="282" t="s">
        <v>1283</v>
      </c>
      <c r="I802" s="282" t="s">
        <v>590</v>
      </c>
      <c r="J802" s="282" t="s">
        <v>156</v>
      </c>
      <c r="K802" s="286" t="s">
        <v>1284</v>
      </c>
      <c r="L802" s="282" t="s">
        <v>574</v>
      </c>
      <c r="M802" s="287">
        <v>2400</v>
      </c>
      <c r="N802" s="287">
        <v>0</v>
      </c>
      <c r="O802" s="287">
        <v>0</v>
      </c>
      <c r="P802" s="287"/>
      <c r="Q802" s="288" t="s">
        <v>1359</v>
      </c>
      <c r="R802" s="288" t="s">
        <v>1359</v>
      </c>
      <c r="S802" s="288"/>
      <c r="T802" s="288"/>
      <c r="U802" s="288">
        <v>0</v>
      </c>
      <c r="V802" s="289">
        <v>240</v>
      </c>
      <c r="W802" s="289">
        <v>0</v>
      </c>
      <c r="X802" s="288">
        <v>0.1</v>
      </c>
      <c r="Y802" s="288">
        <v>0.1</v>
      </c>
      <c r="Z802" s="288">
        <v>0</v>
      </c>
      <c r="AA802" s="288">
        <v>0</v>
      </c>
      <c r="AB802" s="288">
        <v>0</v>
      </c>
      <c r="AC802" s="289">
        <v>0.1</v>
      </c>
      <c r="AD802" s="289">
        <v>0</v>
      </c>
    </row>
    <row r="803" spans="1:30" ht="15" customHeight="1" x14ac:dyDescent="0.25">
      <c r="A803" s="282" t="s">
        <v>581</v>
      </c>
      <c r="B803" s="282" t="s">
        <v>628</v>
      </c>
      <c r="C803" s="282" t="s">
        <v>629</v>
      </c>
      <c r="D803" s="286" t="s">
        <v>1360</v>
      </c>
      <c r="E803" s="404">
        <v>43646</v>
      </c>
      <c r="F803" s="404">
        <v>45473</v>
      </c>
      <c r="G803" s="290" t="s">
        <v>286</v>
      </c>
      <c r="H803" s="282" t="s">
        <v>1283</v>
      </c>
      <c r="I803" s="282" t="s">
        <v>590</v>
      </c>
      <c r="J803" s="282" t="s">
        <v>156</v>
      </c>
      <c r="K803" s="286" t="s">
        <v>1284</v>
      </c>
      <c r="L803" s="282" t="s">
        <v>574</v>
      </c>
      <c r="M803" s="287">
        <v>2400</v>
      </c>
      <c r="N803" s="287">
        <v>0</v>
      </c>
      <c r="O803" s="287">
        <v>0</v>
      </c>
      <c r="P803" s="287"/>
      <c r="Q803" s="288" t="s">
        <v>1361</v>
      </c>
      <c r="R803" s="288" t="s">
        <v>1361</v>
      </c>
      <c r="S803" s="288"/>
      <c r="T803" s="288"/>
      <c r="U803" s="288">
        <v>0</v>
      </c>
      <c r="V803" s="289">
        <v>215</v>
      </c>
      <c r="W803" s="289">
        <v>0</v>
      </c>
      <c r="X803" s="288">
        <v>8.9583333333333334E-2</v>
      </c>
      <c r="Y803" s="288">
        <v>8.9583333333333334E-2</v>
      </c>
      <c r="Z803" s="288">
        <v>0</v>
      </c>
      <c r="AA803" s="288">
        <v>0</v>
      </c>
      <c r="AB803" s="288">
        <v>0</v>
      </c>
      <c r="AC803" s="289">
        <v>8.9583333333333334E-2</v>
      </c>
      <c r="AD803" s="289">
        <v>0</v>
      </c>
    </row>
    <row r="804" spans="1:30" ht="15" customHeight="1" x14ac:dyDescent="0.25">
      <c r="A804" s="282" t="s">
        <v>581</v>
      </c>
      <c r="B804" s="282" t="s">
        <v>611</v>
      </c>
      <c r="C804" s="282" t="s">
        <v>612</v>
      </c>
      <c r="D804" s="286" t="s">
        <v>1362</v>
      </c>
      <c r="E804" s="404">
        <v>43646</v>
      </c>
      <c r="F804" s="404">
        <v>45473</v>
      </c>
      <c r="G804" s="290" t="s">
        <v>286</v>
      </c>
      <c r="H804" s="282" t="s">
        <v>1283</v>
      </c>
      <c r="I804" s="282" t="s">
        <v>590</v>
      </c>
      <c r="J804" s="282" t="s">
        <v>156</v>
      </c>
      <c r="K804" s="286" t="s">
        <v>1284</v>
      </c>
      <c r="L804" s="282" t="s">
        <v>574</v>
      </c>
      <c r="M804" s="287">
        <v>2400</v>
      </c>
      <c r="N804" s="287">
        <v>0</v>
      </c>
      <c r="O804" s="287">
        <v>0</v>
      </c>
      <c r="P804" s="287"/>
      <c r="Q804" s="288" t="s">
        <v>1310</v>
      </c>
      <c r="R804" s="288" t="s">
        <v>1310</v>
      </c>
      <c r="S804" s="288"/>
      <c r="T804" s="288"/>
      <c r="U804" s="288">
        <v>0</v>
      </c>
      <c r="V804" s="289">
        <v>328</v>
      </c>
      <c r="W804" s="289">
        <v>0</v>
      </c>
      <c r="X804" s="288">
        <v>0.13666666666666666</v>
      </c>
      <c r="Y804" s="288">
        <v>0.13666666666666666</v>
      </c>
      <c r="Z804" s="288">
        <v>0</v>
      </c>
      <c r="AA804" s="288">
        <v>0</v>
      </c>
      <c r="AB804" s="288">
        <v>0</v>
      </c>
      <c r="AC804" s="289">
        <v>0.13666666666666666</v>
      </c>
      <c r="AD804" s="289">
        <v>0</v>
      </c>
    </row>
    <row r="805" spans="1:30" ht="15" customHeight="1" x14ac:dyDescent="0.25">
      <c r="A805" s="282" t="s">
        <v>581</v>
      </c>
      <c r="B805" s="282" t="s">
        <v>611</v>
      </c>
      <c r="C805" s="282" t="s">
        <v>612</v>
      </c>
      <c r="D805" s="286" t="s">
        <v>1363</v>
      </c>
      <c r="E805" s="404">
        <v>43646</v>
      </c>
      <c r="F805" s="404">
        <v>45473</v>
      </c>
      <c r="G805" s="290" t="s">
        <v>286</v>
      </c>
      <c r="H805" s="282" t="s">
        <v>1283</v>
      </c>
      <c r="I805" s="282" t="s">
        <v>590</v>
      </c>
      <c r="J805" s="282" t="s">
        <v>156</v>
      </c>
      <c r="K805" s="286" t="s">
        <v>1284</v>
      </c>
      <c r="L805" s="282" t="s">
        <v>574</v>
      </c>
      <c r="M805" s="287">
        <v>2400</v>
      </c>
      <c r="N805" s="287">
        <v>0</v>
      </c>
      <c r="O805" s="287">
        <v>0</v>
      </c>
      <c r="P805" s="287"/>
      <c r="Q805" s="288" t="s">
        <v>1364</v>
      </c>
      <c r="R805" s="288" t="s">
        <v>1364</v>
      </c>
      <c r="S805" s="288"/>
      <c r="T805" s="288"/>
      <c r="U805" s="288">
        <v>0</v>
      </c>
      <c r="V805" s="289">
        <v>265</v>
      </c>
      <c r="W805" s="289">
        <v>0</v>
      </c>
      <c r="X805" s="288">
        <v>0.11041666666666666</v>
      </c>
      <c r="Y805" s="288">
        <v>0.11041666666666666</v>
      </c>
      <c r="Z805" s="288">
        <v>0</v>
      </c>
      <c r="AA805" s="288">
        <v>0</v>
      </c>
      <c r="AB805" s="288">
        <v>0</v>
      </c>
      <c r="AC805" s="289">
        <v>0.11041666666666666</v>
      </c>
      <c r="AD805" s="289">
        <v>0</v>
      </c>
    </row>
    <row r="806" spans="1:30" ht="15" customHeight="1" x14ac:dyDescent="0.25">
      <c r="A806" s="282" t="s">
        <v>581</v>
      </c>
      <c r="B806" s="282" t="s">
        <v>611</v>
      </c>
      <c r="C806" s="282" t="s">
        <v>612</v>
      </c>
      <c r="D806" s="286" t="s">
        <v>1365</v>
      </c>
      <c r="E806" s="404">
        <v>43646</v>
      </c>
      <c r="F806" s="404">
        <v>45473</v>
      </c>
      <c r="G806" s="290" t="s">
        <v>286</v>
      </c>
      <c r="H806" s="282" t="s">
        <v>1283</v>
      </c>
      <c r="I806" s="282" t="s">
        <v>590</v>
      </c>
      <c r="J806" s="282" t="s">
        <v>156</v>
      </c>
      <c r="K806" s="286" t="s">
        <v>1284</v>
      </c>
      <c r="L806" s="282" t="s">
        <v>574</v>
      </c>
      <c r="M806" s="287">
        <v>2400</v>
      </c>
      <c r="N806" s="287">
        <v>0</v>
      </c>
      <c r="O806" s="287">
        <v>0</v>
      </c>
      <c r="P806" s="287"/>
      <c r="Q806" s="288" t="s">
        <v>1366</v>
      </c>
      <c r="R806" s="288" t="s">
        <v>1366</v>
      </c>
      <c r="S806" s="288"/>
      <c r="T806" s="288"/>
      <c r="U806" s="288">
        <v>0</v>
      </c>
      <c r="V806" s="289">
        <v>252</v>
      </c>
      <c r="W806" s="289">
        <v>0</v>
      </c>
      <c r="X806" s="288">
        <v>0.105</v>
      </c>
      <c r="Y806" s="288">
        <v>0.105</v>
      </c>
      <c r="Z806" s="288">
        <v>0</v>
      </c>
      <c r="AA806" s="288">
        <v>0</v>
      </c>
      <c r="AB806" s="288">
        <v>0</v>
      </c>
      <c r="AC806" s="289">
        <v>0.105</v>
      </c>
      <c r="AD806" s="289">
        <v>0</v>
      </c>
    </row>
    <row r="807" spans="1:30" ht="15" customHeight="1" x14ac:dyDescent="0.25">
      <c r="A807" s="282" t="s">
        <v>581</v>
      </c>
      <c r="B807" s="282" t="s">
        <v>585</v>
      </c>
      <c r="C807" s="282" t="s">
        <v>586</v>
      </c>
      <c r="D807" s="286" t="s">
        <v>1367</v>
      </c>
      <c r="E807" s="404">
        <v>43646</v>
      </c>
      <c r="F807" s="404">
        <v>45473</v>
      </c>
      <c r="G807" s="290" t="s">
        <v>286</v>
      </c>
      <c r="H807" s="282" t="s">
        <v>1283</v>
      </c>
      <c r="I807" s="282" t="s">
        <v>590</v>
      </c>
      <c r="J807" s="282" t="s">
        <v>156</v>
      </c>
      <c r="K807" s="286" t="s">
        <v>1284</v>
      </c>
      <c r="L807" s="282" t="s">
        <v>574</v>
      </c>
      <c r="M807" s="287">
        <v>2400</v>
      </c>
      <c r="N807" s="287">
        <v>0</v>
      </c>
      <c r="O807" s="287">
        <v>0</v>
      </c>
      <c r="P807" s="287"/>
      <c r="Q807" s="288" t="s">
        <v>1368</v>
      </c>
      <c r="R807" s="288" t="s">
        <v>1368</v>
      </c>
      <c r="S807" s="288"/>
      <c r="T807" s="288"/>
      <c r="U807" s="288">
        <v>0</v>
      </c>
      <c r="V807" s="289">
        <v>386</v>
      </c>
      <c r="W807" s="289">
        <v>0</v>
      </c>
      <c r="X807" s="288">
        <v>0.16083333333333333</v>
      </c>
      <c r="Y807" s="288">
        <v>0.16083333333333333</v>
      </c>
      <c r="Z807" s="288">
        <v>0</v>
      </c>
      <c r="AA807" s="288">
        <v>0</v>
      </c>
      <c r="AB807" s="288">
        <v>0</v>
      </c>
      <c r="AC807" s="289">
        <v>0.16083333333333333</v>
      </c>
      <c r="AD807" s="289">
        <v>0</v>
      </c>
    </row>
    <row r="808" spans="1:30" ht="15" customHeight="1" x14ac:dyDescent="0.25">
      <c r="A808" s="282" t="s">
        <v>581</v>
      </c>
      <c r="B808" s="282" t="s">
        <v>585</v>
      </c>
      <c r="C808" s="282" t="s">
        <v>586</v>
      </c>
      <c r="D808" s="286" t="s">
        <v>1369</v>
      </c>
      <c r="E808" s="404">
        <v>43646</v>
      </c>
      <c r="F808" s="404">
        <v>45473</v>
      </c>
      <c r="G808" s="290" t="s">
        <v>286</v>
      </c>
      <c r="H808" s="282" t="s">
        <v>1283</v>
      </c>
      <c r="I808" s="282" t="s">
        <v>590</v>
      </c>
      <c r="J808" s="282" t="s">
        <v>156</v>
      </c>
      <c r="K808" s="286" t="s">
        <v>1284</v>
      </c>
      <c r="L808" s="282" t="s">
        <v>574</v>
      </c>
      <c r="M808" s="287">
        <v>2400</v>
      </c>
      <c r="N808" s="287">
        <v>0</v>
      </c>
      <c r="O808" s="287">
        <v>0</v>
      </c>
      <c r="P808" s="287"/>
      <c r="Q808" s="288" t="s">
        <v>1370</v>
      </c>
      <c r="R808" s="288" t="s">
        <v>1370</v>
      </c>
      <c r="S808" s="288"/>
      <c r="T808" s="288"/>
      <c r="U808" s="288">
        <v>0</v>
      </c>
      <c r="V808" s="289">
        <v>302</v>
      </c>
      <c r="W808" s="289">
        <v>0</v>
      </c>
      <c r="X808" s="288">
        <v>0.12583333333333332</v>
      </c>
      <c r="Y808" s="288">
        <v>0.12583333333333332</v>
      </c>
      <c r="Z808" s="288">
        <v>0</v>
      </c>
      <c r="AA808" s="288">
        <v>0</v>
      </c>
      <c r="AB808" s="288">
        <v>0</v>
      </c>
      <c r="AC808" s="289">
        <v>0.12583333333333332</v>
      </c>
      <c r="AD808" s="289">
        <v>0</v>
      </c>
    </row>
    <row r="809" spans="1:30" ht="15" customHeight="1" x14ac:dyDescent="0.25">
      <c r="A809" s="282" t="s">
        <v>581</v>
      </c>
      <c r="B809" s="282" t="s">
        <v>585</v>
      </c>
      <c r="C809" s="282" t="s">
        <v>586</v>
      </c>
      <c r="D809" s="286" t="s">
        <v>1371</v>
      </c>
      <c r="E809" s="404">
        <v>43646</v>
      </c>
      <c r="F809" s="404">
        <v>45473</v>
      </c>
      <c r="G809" s="290" t="s">
        <v>286</v>
      </c>
      <c r="H809" s="282" t="s">
        <v>1283</v>
      </c>
      <c r="I809" s="282" t="s">
        <v>590</v>
      </c>
      <c r="J809" s="282" t="s">
        <v>156</v>
      </c>
      <c r="K809" s="286" t="s">
        <v>1284</v>
      </c>
      <c r="L809" s="282" t="s">
        <v>574</v>
      </c>
      <c r="M809" s="287">
        <v>2400</v>
      </c>
      <c r="N809" s="287">
        <v>0</v>
      </c>
      <c r="O809" s="287">
        <v>0</v>
      </c>
      <c r="P809" s="287"/>
      <c r="Q809" s="288" t="s">
        <v>1372</v>
      </c>
      <c r="R809" s="288" t="s">
        <v>1372</v>
      </c>
      <c r="S809" s="288"/>
      <c r="T809" s="288"/>
      <c r="U809" s="288">
        <v>0</v>
      </c>
      <c r="V809" s="289">
        <v>272</v>
      </c>
      <c r="W809" s="289">
        <v>0</v>
      </c>
      <c r="X809" s="288">
        <v>0.11333333333333333</v>
      </c>
      <c r="Y809" s="288">
        <v>0.11333333333333333</v>
      </c>
      <c r="Z809" s="288">
        <v>0</v>
      </c>
      <c r="AA809" s="288">
        <v>0</v>
      </c>
      <c r="AB809" s="288">
        <v>0</v>
      </c>
      <c r="AC809" s="289">
        <v>0.11333333333333333</v>
      </c>
      <c r="AD809" s="289">
        <v>0</v>
      </c>
    </row>
    <row r="810" spans="1:30" ht="15" customHeight="1" x14ac:dyDescent="0.25">
      <c r="A810" s="282" t="s">
        <v>581</v>
      </c>
      <c r="B810" s="282" t="s">
        <v>616</v>
      </c>
      <c r="C810" s="282" t="s">
        <v>617</v>
      </c>
      <c r="D810" s="286" t="s">
        <v>1373</v>
      </c>
      <c r="E810" s="404">
        <v>43646</v>
      </c>
      <c r="F810" s="404">
        <v>45473</v>
      </c>
      <c r="G810" s="290" t="s">
        <v>286</v>
      </c>
      <c r="H810" s="282" t="s">
        <v>1283</v>
      </c>
      <c r="I810" s="282" t="s">
        <v>590</v>
      </c>
      <c r="J810" s="282" t="s">
        <v>156</v>
      </c>
      <c r="K810" s="286" t="s">
        <v>1284</v>
      </c>
      <c r="L810" s="282" t="s">
        <v>574</v>
      </c>
      <c r="M810" s="287">
        <v>2400</v>
      </c>
      <c r="N810" s="287">
        <v>0</v>
      </c>
      <c r="O810" s="287">
        <v>0</v>
      </c>
      <c r="P810" s="287"/>
      <c r="Q810" s="288" t="s">
        <v>1374</v>
      </c>
      <c r="R810" s="288" t="s">
        <v>1374</v>
      </c>
      <c r="S810" s="288"/>
      <c r="T810" s="288"/>
      <c r="U810" s="288">
        <v>0</v>
      </c>
      <c r="V810" s="289">
        <v>454</v>
      </c>
      <c r="W810" s="289">
        <v>0</v>
      </c>
      <c r="X810" s="288">
        <v>0.18916666666666668</v>
      </c>
      <c r="Y810" s="288">
        <v>0.18916666666666668</v>
      </c>
      <c r="Z810" s="288">
        <v>0</v>
      </c>
      <c r="AA810" s="288">
        <v>0</v>
      </c>
      <c r="AB810" s="288">
        <v>0</v>
      </c>
      <c r="AC810" s="289">
        <v>0.18916666666666668</v>
      </c>
      <c r="AD810" s="289">
        <v>0</v>
      </c>
    </row>
    <row r="811" spans="1:30" ht="15" customHeight="1" x14ac:dyDescent="0.25">
      <c r="A811" s="282" t="s">
        <v>581</v>
      </c>
      <c r="B811" s="282" t="s">
        <v>616</v>
      </c>
      <c r="C811" s="282" t="s">
        <v>617</v>
      </c>
      <c r="D811" s="286" t="s">
        <v>1375</v>
      </c>
      <c r="E811" s="404">
        <v>43646</v>
      </c>
      <c r="F811" s="404">
        <v>45473</v>
      </c>
      <c r="G811" s="290" t="s">
        <v>286</v>
      </c>
      <c r="H811" s="282" t="s">
        <v>1283</v>
      </c>
      <c r="I811" s="282" t="s">
        <v>590</v>
      </c>
      <c r="J811" s="282" t="s">
        <v>156</v>
      </c>
      <c r="K811" s="286" t="s">
        <v>1284</v>
      </c>
      <c r="L811" s="282" t="s">
        <v>574</v>
      </c>
      <c r="M811" s="287">
        <v>2400</v>
      </c>
      <c r="N811" s="287">
        <v>0</v>
      </c>
      <c r="O811" s="287">
        <v>0</v>
      </c>
      <c r="P811" s="287"/>
      <c r="Q811" s="288" t="s">
        <v>1348</v>
      </c>
      <c r="R811" s="288" t="s">
        <v>1348</v>
      </c>
      <c r="S811" s="288"/>
      <c r="T811" s="288"/>
      <c r="U811" s="288">
        <v>0</v>
      </c>
      <c r="V811" s="289">
        <v>363</v>
      </c>
      <c r="W811" s="289">
        <v>0</v>
      </c>
      <c r="X811" s="288">
        <v>0.15125</v>
      </c>
      <c r="Y811" s="288">
        <v>0.15125</v>
      </c>
      <c r="Z811" s="288">
        <v>0</v>
      </c>
      <c r="AA811" s="288">
        <v>0</v>
      </c>
      <c r="AB811" s="288">
        <v>0</v>
      </c>
      <c r="AC811" s="289">
        <v>0.15125</v>
      </c>
      <c r="AD811" s="289">
        <v>0</v>
      </c>
    </row>
    <row r="812" spans="1:30" ht="15" customHeight="1" x14ac:dyDescent="0.25">
      <c r="A812" s="282" t="s">
        <v>581</v>
      </c>
      <c r="B812" s="282" t="s">
        <v>616</v>
      </c>
      <c r="C812" s="282" t="s">
        <v>617</v>
      </c>
      <c r="D812" s="286" t="s">
        <v>1376</v>
      </c>
      <c r="E812" s="404">
        <v>43646</v>
      </c>
      <c r="F812" s="404">
        <v>45473</v>
      </c>
      <c r="G812" s="290" t="s">
        <v>286</v>
      </c>
      <c r="H812" s="282" t="s">
        <v>1283</v>
      </c>
      <c r="I812" s="282" t="s">
        <v>590</v>
      </c>
      <c r="J812" s="282" t="s">
        <v>156</v>
      </c>
      <c r="K812" s="286" t="s">
        <v>1284</v>
      </c>
      <c r="L812" s="282" t="s">
        <v>574</v>
      </c>
      <c r="M812" s="287">
        <v>2400</v>
      </c>
      <c r="N812" s="287">
        <v>0</v>
      </c>
      <c r="O812" s="287">
        <v>0</v>
      </c>
      <c r="P812" s="287"/>
      <c r="Q812" s="288" t="s">
        <v>1370</v>
      </c>
      <c r="R812" s="288" t="s">
        <v>1370</v>
      </c>
      <c r="S812" s="288"/>
      <c r="T812" s="288"/>
      <c r="U812" s="288">
        <v>0</v>
      </c>
      <c r="V812" s="289">
        <v>302</v>
      </c>
      <c r="W812" s="289">
        <v>0</v>
      </c>
      <c r="X812" s="288">
        <v>0.12583333333333332</v>
      </c>
      <c r="Y812" s="288">
        <v>0.12583333333333332</v>
      </c>
      <c r="Z812" s="288">
        <v>0</v>
      </c>
      <c r="AA812" s="288">
        <v>0</v>
      </c>
      <c r="AB812" s="288">
        <v>0</v>
      </c>
      <c r="AC812" s="289">
        <v>0.12583333333333332</v>
      </c>
      <c r="AD812" s="289">
        <v>0</v>
      </c>
    </row>
    <row r="813" spans="1:30" ht="15" customHeight="1" x14ac:dyDescent="0.25">
      <c r="A813" s="282" t="s">
        <v>581</v>
      </c>
      <c r="B813" s="282" t="s">
        <v>594</v>
      </c>
      <c r="C813" s="282" t="s">
        <v>595</v>
      </c>
      <c r="D813" s="286" t="s">
        <v>1377</v>
      </c>
      <c r="E813" s="404">
        <v>43646</v>
      </c>
      <c r="F813" s="404">
        <v>45473</v>
      </c>
      <c r="G813" s="290" t="s">
        <v>316</v>
      </c>
      <c r="H813" s="282" t="s">
        <v>1283</v>
      </c>
      <c r="I813" s="282" t="s">
        <v>590</v>
      </c>
      <c r="J813" s="282" t="s">
        <v>156</v>
      </c>
      <c r="K813" s="286" t="s">
        <v>1284</v>
      </c>
      <c r="L813" s="282" t="s">
        <v>574</v>
      </c>
      <c r="M813" s="287">
        <v>2400</v>
      </c>
      <c r="N813" s="287">
        <v>0</v>
      </c>
      <c r="O813" s="287">
        <v>0</v>
      </c>
      <c r="P813" s="287"/>
      <c r="Q813" s="288" t="s">
        <v>1364</v>
      </c>
      <c r="R813" s="288" t="s">
        <v>1364</v>
      </c>
      <c r="S813" s="288"/>
      <c r="T813" s="288"/>
      <c r="U813" s="288">
        <v>0</v>
      </c>
      <c r="V813" s="289">
        <v>265</v>
      </c>
      <c r="W813" s="289">
        <v>0</v>
      </c>
      <c r="X813" s="288">
        <v>0.11041666666666666</v>
      </c>
      <c r="Y813" s="288">
        <v>0.11041666666666666</v>
      </c>
      <c r="Z813" s="288">
        <v>0</v>
      </c>
      <c r="AA813" s="288">
        <v>0</v>
      </c>
      <c r="AB813" s="288">
        <v>0</v>
      </c>
      <c r="AC813" s="289">
        <v>0.11041666666666666</v>
      </c>
      <c r="AD813" s="289">
        <v>0</v>
      </c>
    </row>
    <row r="814" spans="1:30" ht="15" customHeight="1" x14ac:dyDescent="0.25">
      <c r="A814" s="282" t="s">
        <v>581</v>
      </c>
      <c r="B814" s="282" t="s">
        <v>594</v>
      </c>
      <c r="C814" s="282" t="s">
        <v>595</v>
      </c>
      <c r="D814" s="286" t="s">
        <v>1378</v>
      </c>
      <c r="E814" s="404">
        <v>43646</v>
      </c>
      <c r="F814" s="404">
        <v>45473</v>
      </c>
      <c r="G814" s="290" t="s">
        <v>316</v>
      </c>
      <c r="H814" s="282" t="s">
        <v>1283</v>
      </c>
      <c r="I814" s="282" t="s">
        <v>590</v>
      </c>
      <c r="J814" s="282" t="s">
        <v>156</v>
      </c>
      <c r="K814" s="286" t="s">
        <v>1284</v>
      </c>
      <c r="L814" s="282" t="s">
        <v>574</v>
      </c>
      <c r="M814" s="287">
        <v>2400</v>
      </c>
      <c r="N814" s="287">
        <v>0</v>
      </c>
      <c r="O814" s="287">
        <v>0</v>
      </c>
      <c r="P814" s="287"/>
      <c r="Q814" s="288" t="s">
        <v>1379</v>
      </c>
      <c r="R814" s="288" t="s">
        <v>1379</v>
      </c>
      <c r="S814" s="288"/>
      <c r="T814" s="288"/>
      <c r="U814" s="288">
        <v>0</v>
      </c>
      <c r="V814" s="289">
        <v>198</v>
      </c>
      <c r="W814" s="289">
        <v>0</v>
      </c>
      <c r="X814" s="288">
        <v>8.2500000000000004E-2</v>
      </c>
      <c r="Y814" s="288">
        <v>8.2500000000000004E-2</v>
      </c>
      <c r="Z814" s="288">
        <v>0</v>
      </c>
      <c r="AA814" s="288">
        <v>0</v>
      </c>
      <c r="AB814" s="288">
        <v>0</v>
      </c>
      <c r="AC814" s="289">
        <v>8.2500000000000004E-2</v>
      </c>
      <c r="AD814" s="289">
        <v>0</v>
      </c>
    </row>
    <row r="815" spans="1:30" ht="15" customHeight="1" x14ac:dyDescent="0.25">
      <c r="A815" s="282" t="s">
        <v>581</v>
      </c>
      <c r="B815" s="282" t="s">
        <v>594</v>
      </c>
      <c r="C815" s="282" t="s">
        <v>595</v>
      </c>
      <c r="D815" s="286" t="s">
        <v>1380</v>
      </c>
      <c r="E815" s="404">
        <v>43646</v>
      </c>
      <c r="F815" s="404">
        <v>45473</v>
      </c>
      <c r="G815" s="290" t="s">
        <v>316</v>
      </c>
      <c r="H815" s="282" t="s">
        <v>1283</v>
      </c>
      <c r="I815" s="282" t="s">
        <v>590</v>
      </c>
      <c r="J815" s="282" t="s">
        <v>156</v>
      </c>
      <c r="K815" s="286" t="s">
        <v>1284</v>
      </c>
      <c r="L815" s="282" t="s">
        <v>574</v>
      </c>
      <c r="M815" s="287">
        <v>2400</v>
      </c>
      <c r="N815" s="287">
        <v>0</v>
      </c>
      <c r="O815" s="287">
        <v>0</v>
      </c>
      <c r="P815" s="287"/>
      <c r="Q815" s="288" t="s">
        <v>1381</v>
      </c>
      <c r="R815" s="288" t="s">
        <v>1381</v>
      </c>
      <c r="S815" s="288"/>
      <c r="T815" s="288"/>
      <c r="U815" s="288">
        <v>0</v>
      </c>
      <c r="V815" s="289">
        <v>200</v>
      </c>
      <c r="W815" s="289">
        <v>0</v>
      </c>
      <c r="X815" s="288">
        <v>8.3333333333333329E-2</v>
      </c>
      <c r="Y815" s="288">
        <v>8.3333333333333329E-2</v>
      </c>
      <c r="Z815" s="288">
        <v>0</v>
      </c>
      <c r="AA815" s="288">
        <v>0</v>
      </c>
      <c r="AB815" s="288">
        <v>0</v>
      </c>
      <c r="AC815" s="289">
        <v>8.3333333333333329E-2</v>
      </c>
      <c r="AD815" s="289">
        <v>0</v>
      </c>
    </row>
    <row r="816" spans="1:30" ht="15" customHeight="1" x14ac:dyDescent="0.25">
      <c r="A816" s="282" t="s">
        <v>581</v>
      </c>
      <c r="B816" s="282" t="s">
        <v>628</v>
      </c>
      <c r="C816" s="282" t="s">
        <v>629</v>
      </c>
      <c r="D816" s="286" t="s">
        <v>1382</v>
      </c>
      <c r="E816" s="404">
        <v>43646</v>
      </c>
      <c r="F816" s="404">
        <v>45473</v>
      </c>
      <c r="G816" s="290" t="s">
        <v>316</v>
      </c>
      <c r="H816" s="282" t="s">
        <v>1283</v>
      </c>
      <c r="I816" s="282" t="s">
        <v>590</v>
      </c>
      <c r="J816" s="282" t="s">
        <v>156</v>
      </c>
      <c r="K816" s="286" t="s">
        <v>1284</v>
      </c>
      <c r="L816" s="282" t="s">
        <v>574</v>
      </c>
      <c r="M816" s="287">
        <v>2400</v>
      </c>
      <c r="N816" s="287">
        <v>0</v>
      </c>
      <c r="O816" s="287">
        <v>0</v>
      </c>
      <c r="P816" s="287"/>
      <c r="Q816" s="288" t="s">
        <v>1320</v>
      </c>
      <c r="R816" s="288" t="s">
        <v>1320</v>
      </c>
      <c r="S816" s="288"/>
      <c r="T816" s="288"/>
      <c r="U816" s="288">
        <v>0</v>
      </c>
      <c r="V816" s="289">
        <v>303</v>
      </c>
      <c r="W816" s="289">
        <v>0</v>
      </c>
      <c r="X816" s="288">
        <v>0.12625</v>
      </c>
      <c r="Y816" s="288">
        <v>0.12625</v>
      </c>
      <c r="Z816" s="288">
        <v>0</v>
      </c>
      <c r="AA816" s="288">
        <v>0</v>
      </c>
      <c r="AB816" s="288">
        <v>0</v>
      </c>
      <c r="AC816" s="289">
        <v>0.12625</v>
      </c>
      <c r="AD816" s="289">
        <v>0</v>
      </c>
    </row>
    <row r="817" spans="1:30" ht="15" customHeight="1" x14ac:dyDescent="0.25">
      <c r="A817" s="282" t="s">
        <v>581</v>
      </c>
      <c r="B817" s="282" t="s">
        <v>628</v>
      </c>
      <c r="C817" s="282" t="s">
        <v>629</v>
      </c>
      <c r="D817" s="286" t="s">
        <v>1383</v>
      </c>
      <c r="E817" s="404">
        <v>43646</v>
      </c>
      <c r="F817" s="404">
        <v>45473</v>
      </c>
      <c r="G817" s="290" t="s">
        <v>316</v>
      </c>
      <c r="H817" s="282" t="s">
        <v>1283</v>
      </c>
      <c r="I817" s="282" t="s">
        <v>590</v>
      </c>
      <c r="J817" s="282" t="s">
        <v>156</v>
      </c>
      <c r="K817" s="286" t="s">
        <v>1284</v>
      </c>
      <c r="L817" s="282" t="s">
        <v>574</v>
      </c>
      <c r="M817" s="287">
        <v>2400</v>
      </c>
      <c r="N817" s="287">
        <v>0</v>
      </c>
      <c r="O817" s="287">
        <v>0</v>
      </c>
      <c r="P817" s="287"/>
      <c r="Q817" s="288" t="s">
        <v>1384</v>
      </c>
      <c r="R817" s="288" t="s">
        <v>1384</v>
      </c>
      <c r="S817" s="288"/>
      <c r="T817" s="288"/>
      <c r="U817" s="288">
        <v>0</v>
      </c>
      <c r="V817" s="289">
        <v>227</v>
      </c>
      <c r="W817" s="289">
        <v>0</v>
      </c>
      <c r="X817" s="288">
        <v>9.4583333333333339E-2</v>
      </c>
      <c r="Y817" s="288">
        <v>9.4583333333333339E-2</v>
      </c>
      <c r="Z817" s="288">
        <v>0</v>
      </c>
      <c r="AA817" s="288">
        <v>0</v>
      </c>
      <c r="AB817" s="288">
        <v>0</v>
      </c>
      <c r="AC817" s="289">
        <v>9.4583333333333339E-2</v>
      </c>
      <c r="AD817" s="289">
        <v>0</v>
      </c>
    </row>
    <row r="818" spans="1:30" ht="15" customHeight="1" x14ac:dyDescent="0.25">
      <c r="A818" s="282" t="s">
        <v>581</v>
      </c>
      <c r="B818" s="282" t="s">
        <v>628</v>
      </c>
      <c r="C818" s="282" t="s">
        <v>629</v>
      </c>
      <c r="D818" s="286" t="s">
        <v>1385</v>
      </c>
      <c r="E818" s="404">
        <v>43646</v>
      </c>
      <c r="F818" s="404">
        <v>45473</v>
      </c>
      <c r="G818" s="290" t="s">
        <v>316</v>
      </c>
      <c r="H818" s="282" t="s">
        <v>1283</v>
      </c>
      <c r="I818" s="282" t="s">
        <v>590</v>
      </c>
      <c r="J818" s="282" t="s">
        <v>156</v>
      </c>
      <c r="K818" s="286" t="s">
        <v>1284</v>
      </c>
      <c r="L818" s="282" t="s">
        <v>574</v>
      </c>
      <c r="M818" s="287">
        <v>2400</v>
      </c>
      <c r="N818" s="287">
        <v>0</v>
      </c>
      <c r="O818" s="287">
        <v>0</v>
      </c>
      <c r="P818" s="287"/>
      <c r="Q818" s="288" t="s">
        <v>1287</v>
      </c>
      <c r="R818" s="288" t="s">
        <v>1287</v>
      </c>
      <c r="S818" s="288"/>
      <c r="T818" s="288"/>
      <c r="U818" s="288">
        <v>0</v>
      </c>
      <c r="V818" s="289">
        <v>220</v>
      </c>
      <c r="W818" s="289">
        <v>0</v>
      </c>
      <c r="X818" s="288">
        <v>9.166666666666666E-2</v>
      </c>
      <c r="Y818" s="288">
        <v>9.166666666666666E-2</v>
      </c>
      <c r="Z818" s="288">
        <v>0</v>
      </c>
      <c r="AA818" s="288">
        <v>0</v>
      </c>
      <c r="AB818" s="288">
        <v>0</v>
      </c>
      <c r="AC818" s="289">
        <v>9.166666666666666E-2</v>
      </c>
      <c r="AD818" s="289">
        <v>0</v>
      </c>
    </row>
    <row r="819" spans="1:30" ht="15" customHeight="1" x14ac:dyDescent="0.25">
      <c r="A819" s="282" t="s">
        <v>581</v>
      </c>
      <c r="B819" s="282" t="s">
        <v>611</v>
      </c>
      <c r="C819" s="282" t="s">
        <v>612</v>
      </c>
      <c r="D819" s="286" t="s">
        <v>1386</v>
      </c>
      <c r="E819" s="404">
        <v>43646</v>
      </c>
      <c r="F819" s="404">
        <v>45473</v>
      </c>
      <c r="G819" s="290" t="s">
        <v>316</v>
      </c>
      <c r="H819" s="282" t="s">
        <v>1283</v>
      </c>
      <c r="I819" s="282" t="s">
        <v>590</v>
      </c>
      <c r="J819" s="282" t="s">
        <v>156</v>
      </c>
      <c r="K819" s="286" t="s">
        <v>1284</v>
      </c>
      <c r="L819" s="282" t="s">
        <v>574</v>
      </c>
      <c r="M819" s="287">
        <v>2400</v>
      </c>
      <c r="N819" s="287">
        <v>0</v>
      </c>
      <c r="O819" s="287">
        <v>0</v>
      </c>
      <c r="P819" s="287"/>
      <c r="Q819" s="288" t="s">
        <v>1387</v>
      </c>
      <c r="R819" s="288" t="s">
        <v>1387</v>
      </c>
      <c r="S819" s="288"/>
      <c r="T819" s="288"/>
      <c r="U819" s="288">
        <v>0</v>
      </c>
      <c r="V819" s="289">
        <v>351</v>
      </c>
      <c r="W819" s="289">
        <v>0</v>
      </c>
      <c r="X819" s="288">
        <v>0.14624999999999999</v>
      </c>
      <c r="Y819" s="288">
        <v>0.14624999999999999</v>
      </c>
      <c r="Z819" s="288">
        <v>0</v>
      </c>
      <c r="AA819" s="288">
        <v>0</v>
      </c>
      <c r="AB819" s="288">
        <v>0</v>
      </c>
      <c r="AC819" s="289">
        <v>0.14624999999999999</v>
      </c>
      <c r="AD819" s="289">
        <v>0</v>
      </c>
    </row>
    <row r="820" spans="1:30" ht="15" customHeight="1" x14ac:dyDescent="0.25">
      <c r="A820" s="282" t="s">
        <v>581</v>
      </c>
      <c r="B820" s="282" t="s">
        <v>611</v>
      </c>
      <c r="C820" s="282" t="s">
        <v>612</v>
      </c>
      <c r="D820" s="286" t="s">
        <v>1388</v>
      </c>
      <c r="E820" s="404">
        <v>43646</v>
      </c>
      <c r="F820" s="404">
        <v>45473</v>
      </c>
      <c r="G820" s="290" t="s">
        <v>316</v>
      </c>
      <c r="H820" s="282" t="s">
        <v>1283</v>
      </c>
      <c r="I820" s="282" t="s">
        <v>590</v>
      </c>
      <c r="J820" s="282" t="s">
        <v>156</v>
      </c>
      <c r="K820" s="286" t="s">
        <v>1284</v>
      </c>
      <c r="L820" s="282" t="s">
        <v>574</v>
      </c>
      <c r="M820" s="287">
        <v>2400</v>
      </c>
      <c r="N820" s="287">
        <v>0</v>
      </c>
      <c r="O820" s="287">
        <v>0</v>
      </c>
      <c r="P820" s="287"/>
      <c r="Q820" s="288" t="s">
        <v>1389</v>
      </c>
      <c r="R820" s="288" t="s">
        <v>1389</v>
      </c>
      <c r="S820" s="288"/>
      <c r="T820" s="288"/>
      <c r="U820" s="288">
        <v>0</v>
      </c>
      <c r="V820" s="289">
        <v>263</v>
      </c>
      <c r="W820" s="289">
        <v>0</v>
      </c>
      <c r="X820" s="288">
        <v>0.10958333333333334</v>
      </c>
      <c r="Y820" s="288">
        <v>0.10958333333333334</v>
      </c>
      <c r="Z820" s="288">
        <v>0</v>
      </c>
      <c r="AA820" s="288">
        <v>0</v>
      </c>
      <c r="AB820" s="288">
        <v>0</v>
      </c>
      <c r="AC820" s="289">
        <v>0.10958333333333334</v>
      </c>
      <c r="AD820" s="289">
        <v>0</v>
      </c>
    </row>
    <row r="821" spans="1:30" ht="15" customHeight="1" x14ac:dyDescent="0.25">
      <c r="A821" s="282" t="s">
        <v>581</v>
      </c>
      <c r="B821" s="282" t="s">
        <v>611</v>
      </c>
      <c r="C821" s="282" t="s">
        <v>612</v>
      </c>
      <c r="D821" s="286" t="s">
        <v>1390</v>
      </c>
      <c r="E821" s="404">
        <v>43646</v>
      </c>
      <c r="F821" s="404">
        <v>45473</v>
      </c>
      <c r="G821" s="290" t="s">
        <v>316</v>
      </c>
      <c r="H821" s="282" t="s">
        <v>1283</v>
      </c>
      <c r="I821" s="282" t="s">
        <v>590</v>
      </c>
      <c r="J821" s="282" t="s">
        <v>156</v>
      </c>
      <c r="K821" s="286" t="s">
        <v>1284</v>
      </c>
      <c r="L821" s="282" t="s">
        <v>574</v>
      </c>
      <c r="M821" s="287">
        <v>2400</v>
      </c>
      <c r="N821" s="287">
        <v>0</v>
      </c>
      <c r="O821" s="287">
        <v>0</v>
      </c>
      <c r="P821" s="287"/>
      <c r="Q821" s="288" t="s">
        <v>1391</v>
      </c>
      <c r="R821" s="288" t="s">
        <v>1391</v>
      </c>
      <c r="S821" s="288"/>
      <c r="T821" s="288"/>
      <c r="U821" s="288">
        <v>0</v>
      </c>
      <c r="V821" s="289">
        <v>238</v>
      </c>
      <c r="W821" s="289">
        <v>0</v>
      </c>
      <c r="X821" s="288">
        <v>9.9166666666666667E-2</v>
      </c>
      <c r="Y821" s="288">
        <v>9.9166666666666667E-2</v>
      </c>
      <c r="Z821" s="288">
        <v>0</v>
      </c>
      <c r="AA821" s="288">
        <v>0</v>
      </c>
      <c r="AB821" s="288">
        <v>0</v>
      </c>
      <c r="AC821" s="289">
        <v>9.9166666666666667E-2</v>
      </c>
      <c r="AD821" s="289">
        <v>0</v>
      </c>
    </row>
    <row r="822" spans="1:30" ht="15" customHeight="1" x14ac:dyDescent="0.25">
      <c r="A822" s="282" t="s">
        <v>581</v>
      </c>
      <c r="B822" s="282" t="s">
        <v>585</v>
      </c>
      <c r="C822" s="282" t="s">
        <v>586</v>
      </c>
      <c r="D822" s="286" t="s">
        <v>1392</v>
      </c>
      <c r="E822" s="404">
        <v>43646</v>
      </c>
      <c r="F822" s="404">
        <v>45473</v>
      </c>
      <c r="G822" s="290" t="s">
        <v>316</v>
      </c>
      <c r="H822" s="282" t="s">
        <v>1283</v>
      </c>
      <c r="I822" s="282" t="s">
        <v>590</v>
      </c>
      <c r="J822" s="282" t="s">
        <v>156</v>
      </c>
      <c r="K822" s="286" t="s">
        <v>1284</v>
      </c>
      <c r="L822" s="282" t="s">
        <v>574</v>
      </c>
      <c r="M822" s="287">
        <v>2400</v>
      </c>
      <c r="N822" s="287">
        <v>0</v>
      </c>
      <c r="O822" s="287">
        <v>0</v>
      </c>
      <c r="P822" s="287"/>
      <c r="Q822" s="288" t="s">
        <v>1393</v>
      </c>
      <c r="R822" s="288" t="s">
        <v>1393</v>
      </c>
      <c r="S822" s="288"/>
      <c r="T822" s="288"/>
      <c r="U822" s="288">
        <v>0</v>
      </c>
      <c r="V822" s="289">
        <v>413</v>
      </c>
      <c r="W822" s="289">
        <v>0</v>
      </c>
      <c r="X822" s="288">
        <v>0.17208333333333334</v>
      </c>
      <c r="Y822" s="288">
        <v>0.17208333333333334</v>
      </c>
      <c r="Z822" s="288">
        <v>0</v>
      </c>
      <c r="AA822" s="288">
        <v>0</v>
      </c>
      <c r="AB822" s="288">
        <v>0</v>
      </c>
      <c r="AC822" s="289">
        <v>0.17208333333333334</v>
      </c>
      <c r="AD822" s="289">
        <v>0</v>
      </c>
    </row>
    <row r="823" spans="1:30" ht="15" customHeight="1" x14ac:dyDescent="0.25">
      <c r="A823" s="282" t="s">
        <v>581</v>
      </c>
      <c r="B823" s="282" t="s">
        <v>585</v>
      </c>
      <c r="C823" s="282" t="s">
        <v>586</v>
      </c>
      <c r="D823" s="286" t="s">
        <v>1394</v>
      </c>
      <c r="E823" s="404">
        <v>43646</v>
      </c>
      <c r="F823" s="404">
        <v>45473</v>
      </c>
      <c r="G823" s="290" t="s">
        <v>316</v>
      </c>
      <c r="H823" s="282" t="s">
        <v>1283</v>
      </c>
      <c r="I823" s="282" t="s">
        <v>590</v>
      </c>
      <c r="J823" s="282" t="s">
        <v>156</v>
      </c>
      <c r="K823" s="286" t="s">
        <v>1284</v>
      </c>
      <c r="L823" s="282" t="s">
        <v>574</v>
      </c>
      <c r="M823" s="287">
        <v>2400</v>
      </c>
      <c r="N823" s="287">
        <v>0</v>
      </c>
      <c r="O823" s="287">
        <v>0</v>
      </c>
      <c r="P823" s="287"/>
      <c r="Q823" s="288" t="s">
        <v>1395</v>
      </c>
      <c r="R823" s="288" t="s">
        <v>1395</v>
      </c>
      <c r="S823" s="288"/>
      <c r="T823" s="288"/>
      <c r="U823" s="288">
        <v>0</v>
      </c>
      <c r="V823" s="289">
        <v>308</v>
      </c>
      <c r="W823" s="289">
        <v>0</v>
      </c>
      <c r="X823" s="288">
        <v>0.12833333333333333</v>
      </c>
      <c r="Y823" s="288">
        <v>0.12833333333333333</v>
      </c>
      <c r="Z823" s="288">
        <v>0</v>
      </c>
      <c r="AA823" s="288">
        <v>0</v>
      </c>
      <c r="AB823" s="288">
        <v>0</v>
      </c>
      <c r="AC823" s="289">
        <v>0.12833333333333333</v>
      </c>
      <c r="AD823" s="289">
        <v>0</v>
      </c>
    </row>
    <row r="824" spans="1:30" ht="15" customHeight="1" x14ac:dyDescent="0.25">
      <c r="A824" s="282" t="s">
        <v>581</v>
      </c>
      <c r="B824" s="282" t="s">
        <v>585</v>
      </c>
      <c r="C824" s="282" t="s">
        <v>586</v>
      </c>
      <c r="D824" s="286" t="s">
        <v>1396</v>
      </c>
      <c r="E824" s="404">
        <v>43646</v>
      </c>
      <c r="F824" s="404">
        <v>45473</v>
      </c>
      <c r="G824" s="290" t="s">
        <v>316</v>
      </c>
      <c r="H824" s="282" t="s">
        <v>1283</v>
      </c>
      <c r="I824" s="282" t="s">
        <v>590</v>
      </c>
      <c r="J824" s="282" t="s">
        <v>156</v>
      </c>
      <c r="K824" s="286" t="s">
        <v>1284</v>
      </c>
      <c r="L824" s="282" t="s">
        <v>574</v>
      </c>
      <c r="M824" s="287">
        <v>2400</v>
      </c>
      <c r="N824" s="287">
        <v>0</v>
      </c>
      <c r="O824" s="287">
        <v>0</v>
      </c>
      <c r="P824" s="287"/>
      <c r="Q824" s="288" t="s">
        <v>1397</v>
      </c>
      <c r="R824" s="288" t="s">
        <v>1397</v>
      </c>
      <c r="S824" s="288"/>
      <c r="T824" s="288"/>
      <c r="U824" s="288">
        <v>0</v>
      </c>
      <c r="V824" s="289">
        <v>262</v>
      </c>
      <c r="W824" s="289">
        <v>0</v>
      </c>
      <c r="X824" s="288">
        <v>0.10916666666666666</v>
      </c>
      <c r="Y824" s="288">
        <v>0.10916666666666666</v>
      </c>
      <c r="Z824" s="288">
        <v>0</v>
      </c>
      <c r="AA824" s="288">
        <v>0</v>
      </c>
      <c r="AB824" s="288">
        <v>0</v>
      </c>
      <c r="AC824" s="289">
        <v>0.10916666666666666</v>
      </c>
      <c r="AD824" s="289">
        <v>0</v>
      </c>
    </row>
    <row r="825" spans="1:30" ht="15" customHeight="1" x14ac:dyDescent="0.25">
      <c r="A825" s="282" t="s">
        <v>581</v>
      </c>
      <c r="B825" s="282" t="s">
        <v>616</v>
      </c>
      <c r="C825" s="282" t="s">
        <v>617</v>
      </c>
      <c r="D825" s="286" t="s">
        <v>1398</v>
      </c>
      <c r="E825" s="404">
        <v>43646</v>
      </c>
      <c r="F825" s="404">
        <v>45473</v>
      </c>
      <c r="G825" s="290" t="s">
        <v>316</v>
      </c>
      <c r="H825" s="282" t="s">
        <v>1283</v>
      </c>
      <c r="I825" s="282" t="s">
        <v>590</v>
      </c>
      <c r="J825" s="282" t="s">
        <v>156</v>
      </c>
      <c r="K825" s="286" t="s">
        <v>1284</v>
      </c>
      <c r="L825" s="282" t="s">
        <v>574</v>
      </c>
      <c r="M825" s="287">
        <v>2400</v>
      </c>
      <c r="N825" s="287">
        <v>0</v>
      </c>
      <c r="O825" s="287">
        <v>0</v>
      </c>
      <c r="P825" s="287"/>
      <c r="Q825" s="288" t="s">
        <v>1320</v>
      </c>
      <c r="R825" s="288" t="s">
        <v>1320</v>
      </c>
      <c r="S825" s="288"/>
      <c r="T825" s="288"/>
      <c r="U825" s="288">
        <v>0</v>
      </c>
      <c r="V825" s="289">
        <v>303</v>
      </c>
      <c r="W825" s="289">
        <v>0</v>
      </c>
      <c r="X825" s="288">
        <v>0.12625</v>
      </c>
      <c r="Y825" s="288">
        <v>0.12625</v>
      </c>
      <c r="Z825" s="288">
        <v>0</v>
      </c>
      <c r="AA825" s="288">
        <v>0</v>
      </c>
      <c r="AB825" s="288">
        <v>0</v>
      </c>
      <c r="AC825" s="289">
        <v>0.12625</v>
      </c>
      <c r="AD825" s="289">
        <v>0</v>
      </c>
    </row>
    <row r="826" spans="1:30" ht="15" customHeight="1" x14ac:dyDescent="0.25">
      <c r="A826" s="282" t="s">
        <v>581</v>
      </c>
      <c r="B826" s="282" t="s">
        <v>594</v>
      </c>
      <c r="C826" s="282" t="s">
        <v>595</v>
      </c>
      <c r="D826" s="286" t="s">
        <v>1399</v>
      </c>
      <c r="E826" s="404">
        <v>43646</v>
      </c>
      <c r="F826" s="404">
        <v>45473</v>
      </c>
      <c r="G826" s="290" t="s">
        <v>299</v>
      </c>
      <c r="H826" s="282" t="s">
        <v>1283</v>
      </c>
      <c r="I826" s="282" t="s">
        <v>590</v>
      </c>
      <c r="J826" s="282" t="s">
        <v>156</v>
      </c>
      <c r="K826" s="286" t="s">
        <v>1284</v>
      </c>
      <c r="L826" s="282" t="s">
        <v>574</v>
      </c>
      <c r="M826" s="287">
        <v>2400</v>
      </c>
      <c r="N826" s="287">
        <v>0</v>
      </c>
      <c r="O826" s="287">
        <v>0</v>
      </c>
      <c r="P826" s="287"/>
      <c r="Q826" s="288" t="s">
        <v>1364</v>
      </c>
      <c r="R826" s="288" t="s">
        <v>1364</v>
      </c>
      <c r="S826" s="288"/>
      <c r="T826" s="288"/>
      <c r="U826" s="288">
        <v>0</v>
      </c>
      <c r="V826" s="289">
        <v>265</v>
      </c>
      <c r="W826" s="289">
        <v>0</v>
      </c>
      <c r="X826" s="288">
        <v>0.11041666666666666</v>
      </c>
      <c r="Y826" s="288">
        <v>0.11041666666666666</v>
      </c>
      <c r="Z826" s="288">
        <v>0</v>
      </c>
      <c r="AA826" s="288">
        <v>0</v>
      </c>
      <c r="AB826" s="288">
        <v>0</v>
      </c>
      <c r="AC826" s="289">
        <v>0.11041666666666666</v>
      </c>
      <c r="AD826" s="289">
        <v>0</v>
      </c>
    </row>
    <row r="827" spans="1:30" ht="15" customHeight="1" x14ac:dyDescent="0.25">
      <c r="A827" s="282" t="s">
        <v>581</v>
      </c>
      <c r="B827" s="282" t="s">
        <v>594</v>
      </c>
      <c r="C827" s="282" t="s">
        <v>595</v>
      </c>
      <c r="D827" s="286" t="s">
        <v>1400</v>
      </c>
      <c r="E827" s="404">
        <v>43646</v>
      </c>
      <c r="F827" s="404">
        <v>45473</v>
      </c>
      <c r="G827" s="290" t="s">
        <v>299</v>
      </c>
      <c r="H827" s="282" t="s">
        <v>1283</v>
      </c>
      <c r="I827" s="282" t="s">
        <v>590</v>
      </c>
      <c r="J827" s="282" t="s">
        <v>156</v>
      </c>
      <c r="K827" s="286" t="s">
        <v>1284</v>
      </c>
      <c r="L827" s="282" t="s">
        <v>574</v>
      </c>
      <c r="M827" s="287">
        <v>2400</v>
      </c>
      <c r="N827" s="287">
        <v>0</v>
      </c>
      <c r="O827" s="287">
        <v>0</v>
      </c>
      <c r="P827" s="287"/>
      <c r="Q827" s="288" t="s">
        <v>1401</v>
      </c>
      <c r="R827" s="288" t="s">
        <v>1401</v>
      </c>
      <c r="S827" s="288"/>
      <c r="T827" s="288"/>
      <c r="U827" s="288">
        <v>0</v>
      </c>
      <c r="V827" s="289">
        <v>207</v>
      </c>
      <c r="W827" s="289">
        <v>0</v>
      </c>
      <c r="X827" s="288">
        <v>8.6249999999999993E-2</v>
      </c>
      <c r="Y827" s="288">
        <v>8.6249999999999993E-2</v>
      </c>
      <c r="Z827" s="288">
        <v>0</v>
      </c>
      <c r="AA827" s="288">
        <v>0</v>
      </c>
      <c r="AB827" s="288">
        <v>0</v>
      </c>
      <c r="AC827" s="289">
        <v>8.6249999999999993E-2</v>
      </c>
      <c r="AD827" s="289">
        <v>0</v>
      </c>
    </row>
    <row r="828" spans="1:30" ht="15" customHeight="1" x14ac:dyDescent="0.25">
      <c r="A828" s="282" t="s">
        <v>581</v>
      </c>
      <c r="B828" s="282" t="s">
        <v>628</v>
      </c>
      <c r="C828" s="282" t="s">
        <v>629</v>
      </c>
      <c r="D828" s="286" t="s">
        <v>1402</v>
      </c>
      <c r="E828" s="404">
        <v>43646</v>
      </c>
      <c r="F828" s="404">
        <v>45473</v>
      </c>
      <c r="G828" s="290" t="s">
        <v>299</v>
      </c>
      <c r="H828" s="282" t="s">
        <v>1283</v>
      </c>
      <c r="I828" s="282" t="s">
        <v>590</v>
      </c>
      <c r="J828" s="282" t="s">
        <v>156</v>
      </c>
      <c r="K828" s="286" t="s">
        <v>1284</v>
      </c>
      <c r="L828" s="282" t="s">
        <v>574</v>
      </c>
      <c r="M828" s="287">
        <v>2400</v>
      </c>
      <c r="N828" s="287">
        <v>0</v>
      </c>
      <c r="O828" s="287">
        <v>0</v>
      </c>
      <c r="P828" s="287"/>
      <c r="Q828" s="288" t="s">
        <v>1403</v>
      </c>
      <c r="R828" s="288" t="s">
        <v>1403</v>
      </c>
      <c r="S828" s="288"/>
      <c r="T828" s="288"/>
      <c r="U828" s="288">
        <v>0</v>
      </c>
      <c r="V828" s="289">
        <v>280</v>
      </c>
      <c r="W828" s="289">
        <v>0</v>
      </c>
      <c r="X828" s="288">
        <v>0.11666666666666667</v>
      </c>
      <c r="Y828" s="288">
        <v>0.11666666666666667</v>
      </c>
      <c r="Z828" s="288">
        <v>0</v>
      </c>
      <c r="AA828" s="288">
        <v>0</v>
      </c>
      <c r="AB828" s="288">
        <v>0</v>
      </c>
      <c r="AC828" s="289">
        <v>0.11666666666666667</v>
      </c>
      <c r="AD828" s="289">
        <v>0</v>
      </c>
    </row>
    <row r="829" spans="1:30" ht="15" customHeight="1" x14ac:dyDescent="0.25">
      <c r="A829" s="282" t="s">
        <v>581</v>
      </c>
      <c r="B829" s="282" t="s">
        <v>628</v>
      </c>
      <c r="C829" s="282" t="s">
        <v>629</v>
      </c>
      <c r="D829" s="286" t="s">
        <v>1404</v>
      </c>
      <c r="E829" s="404">
        <v>43646</v>
      </c>
      <c r="F829" s="404">
        <v>45473</v>
      </c>
      <c r="G829" s="290" t="s">
        <v>299</v>
      </c>
      <c r="H829" s="282" t="s">
        <v>1283</v>
      </c>
      <c r="I829" s="282" t="s">
        <v>590</v>
      </c>
      <c r="J829" s="282" t="s">
        <v>156</v>
      </c>
      <c r="K829" s="286" t="s">
        <v>1284</v>
      </c>
      <c r="L829" s="282" t="s">
        <v>574</v>
      </c>
      <c r="M829" s="287">
        <v>2400</v>
      </c>
      <c r="N829" s="287">
        <v>0</v>
      </c>
      <c r="O829" s="287">
        <v>0</v>
      </c>
      <c r="P829" s="287"/>
      <c r="Q829" s="288" t="s">
        <v>1353</v>
      </c>
      <c r="R829" s="288" t="s">
        <v>1353</v>
      </c>
      <c r="S829" s="288"/>
      <c r="T829" s="288"/>
      <c r="U829" s="288">
        <v>0</v>
      </c>
      <c r="V829" s="289">
        <v>221</v>
      </c>
      <c r="W829" s="289">
        <v>0</v>
      </c>
      <c r="X829" s="288">
        <v>9.2083333333333336E-2</v>
      </c>
      <c r="Y829" s="288">
        <v>9.2083333333333336E-2</v>
      </c>
      <c r="Z829" s="288">
        <v>0</v>
      </c>
      <c r="AA829" s="288">
        <v>0</v>
      </c>
      <c r="AB829" s="288">
        <v>0</v>
      </c>
      <c r="AC829" s="289">
        <v>9.2083333333333336E-2</v>
      </c>
      <c r="AD829" s="289">
        <v>0</v>
      </c>
    </row>
    <row r="830" spans="1:30" ht="15" customHeight="1" x14ac:dyDescent="0.25">
      <c r="A830" s="282" t="s">
        <v>581</v>
      </c>
      <c r="B830" s="282" t="s">
        <v>611</v>
      </c>
      <c r="C830" s="282" t="s">
        <v>612</v>
      </c>
      <c r="D830" s="286" t="s">
        <v>1405</v>
      </c>
      <c r="E830" s="404">
        <v>43646</v>
      </c>
      <c r="F830" s="404">
        <v>45473</v>
      </c>
      <c r="G830" s="290" t="s">
        <v>299</v>
      </c>
      <c r="H830" s="282" t="s">
        <v>1283</v>
      </c>
      <c r="I830" s="282" t="s">
        <v>590</v>
      </c>
      <c r="J830" s="282" t="s">
        <v>156</v>
      </c>
      <c r="K830" s="286" t="s">
        <v>1284</v>
      </c>
      <c r="L830" s="282" t="s">
        <v>574</v>
      </c>
      <c r="M830" s="287">
        <v>2400</v>
      </c>
      <c r="N830" s="287">
        <v>0</v>
      </c>
      <c r="O830" s="287">
        <v>0</v>
      </c>
      <c r="P830" s="287"/>
      <c r="Q830" s="288" t="s">
        <v>1406</v>
      </c>
      <c r="R830" s="288" t="s">
        <v>1406</v>
      </c>
      <c r="S830" s="288"/>
      <c r="T830" s="288"/>
      <c r="U830" s="288">
        <v>0</v>
      </c>
      <c r="V830" s="289">
        <v>321</v>
      </c>
      <c r="W830" s="289">
        <v>0</v>
      </c>
      <c r="X830" s="288">
        <v>0.13375000000000001</v>
      </c>
      <c r="Y830" s="288">
        <v>0.13375000000000001</v>
      </c>
      <c r="Z830" s="288">
        <v>0</v>
      </c>
      <c r="AA830" s="288">
        <v>0</v>
      </c>
      <c r="AB830" s="288">
        <v>0</v>
      </c>
      <c r="AC830" s="289">
        <v>0.13375000000000001</v>
      </c>
      <c r="AD830" s="289">
        <v>0</v>
      </c>
    </row>
    <row r="831" spans="1:30" ht="15" customHeight="1" x14ac:dyDescent="0.25">
      <c r="A831" s="282" t="s">
        <v>581</v>
      </c>
      <c r="B831" s="282" t="s">
        <v>611</v>
      </c>
      <c r="C831" s="282" t="s">
        <v>612</v>
      </c>
      <c r="D831" s="286" t="s">
        <v>1407</v>
      </c>
      <c r="E831" s="404">
        <v>43646</v>
      </c>
      <c r="F831" s="404">
        <v>45473</v>
      </c>
      <c r="G831" s="290" t="s">
        <v>299</v>
      </c>
      <c r="H831" s="282" t="s">
        <v>1283</v>
      </c>
      <c r="I831" s="282" t="s">
        <v>590</v>
      </c>
      <c r="J831" s="282" t="s">
        <v>156</v>
      </c>
      <c r="K831" s="286" t="s">
        <v>1284</v>
      </c>
      <c r="L831" s="282" t="s">
        <v>574</v>
      </c>
      <c r="M831" s="287">
        <v>2400</v>
      </c>
      <c r="N831" s="287">
        <v>0</v>
      </c>
      <c r="O831" s="287">
        <v>0</v>
      </c>
      <c r="P831" s="287"/>
      <c r="Q831" s="288" t="s">
        <v>1408</v>
      </c>
      <c r="R831" s="288" t="s">
        <v>1408</v>
      </c>
      <c r="S831" s="288"/>
      <c r="T831" s="288"/>
      <c r="U831" s="288">
        <v>0</v>
      </c>
      <c r="V831" s="289">
        <v>237</v>
      </c>
      <c r="W831" s="289">
        <v>0</v>
      </c>
      <c r="X831" s="288">
        <v>9.8750000000000004E-2</v>
      </c>
      <c r="Y831" s="288">
        <v>9.8750000000000004E-2</v>
      </c>
      <c r="Z831" s="288">
        <v>0</v>
      </c>
      <c r="AA831" s="288">
        <v>0</v>
      </c>
      <c r="AB831" s="288">
        <v>0</v>
      </c>
      <c r="AC831" s="289">
        <v>9.8750000000000004E-2</v>
      </c>
      <c r="AD831" s="289">
        <v>0</v>
      </c>
    </row>
    <row r="832" spans="1:30" ht="15" customHeight="1" x14ac:dyDescent="0.25">
      <c r="A832" s="282" t="s">
        <v>581</v>
      </c>
      <c r="B832" s="282" t="s">
        <v>585</v>
      </c>
      <c r="C832" s="282" t="s">
        <v>586</v>
      </c>
      <c r="D832" s="286" t="s">
        <v>1409</v>
      </c>
      <c r="E832" s="404">
        <v>43646</v>
      </c>
      <c r="F832" s="404">
        <v>45473</v>
      </c>
      <c r="G832" s="290" t="s">
        <v>299</v>
      </c>
      <c r="H832" s="282" t="s">
        <v>1283</v>
      </c>
      <c r="I832" s="282" t="s">
        <v>590</v>
      </c>
      <c r="J832" s="282" t="s">
        <v>156</v>
      </c>
      <c r="K832" s="286" t="s">
        <v>1284</v>
      </c>
      <c r="L832" s="282" t="s">
        <v>574</v>
      </c>
      <c r="M832" s="287">
        <v>2400</v>
      </c>
      <c r="N832" s="287">
        <v>0</v>
      </c>
      <c r="O832" s="287">
        <v>0</v>
      </c>
      <c r="P832" s="287"/>
      <c r="Q832" s="288" t="s">
        <v>1410</v>
      </c>
      <c r="R832" s="288" t="s">
        <v>1410</v>
      </c>
      <c r="S832" s="288"/>
      <c r="T832" s="288"/>
      <c r="U832" s="288">
        <v>0</v>
      </c>
      <c r="V832" s="289">
        <v>370</v>
      </c>
      <c r="W832" s="289">
        <v>0</v>
      </c>
      <c r="X832" s="288">
        <v>0.15416666666666667</v>
      </c>
      <c r="Y832" s="288">
        <v>0.15416666666666667</v>
      </c>
      <c r="Z832" s="288">
        <v>0</v>
      </c>
      <c r="AA832" s="288">
        <v>0</v>
      </c>
      <c r="AB832" s="288">
        <v>0</v>
      </c>
      <c r="AC832" s="289">
        <v>0.15416666666666667</v>
      </c>
      <c r="AD832" s="289">
        <v>0</v>
      </c>
    </row>
    <row r="833" spans="1:30" ht="15" customHeight="1" x14ac:dyDescent="0.25">
      <c r="A833" s="282" t="s">
        <v>581</v>
      </c>
      <c r="B833" s="282" t="s">
        <v>585</v>
      </c>
      <c r="C833" s="282" t="s">
        <v>586</v>
      </c>
      <c r="D833" s="286" t="s">
        <v>1411</v>
      </c>
      <c r="E833" s="404">
        <v>43646</v>
      </c>
      <c r="F833" s="404">
        <v>45473</v>
      </c>
      <c r="G833" s="290" t="s">
        <v>299</v>
      </c>
      <c r="H833" s="282" t="s">
        <v>1283</v>
      </c>
      <c r="I833" s="282" t="s">
        <v>590</v>
      </c>
      <c r="J833" s="282" t="s">
        <v>156</v>
      </c>
      <c r="K833" s="286" t="s">
        <v>1284</v>
      </c>
      <c r="L833" s="282" t="s">
        <v>574</v>
      </c>
      <c r="M833" s="287">
        <v>2400</v>
      </c>
      <c r="N833" s="287">
        <v>0</v>
      </c>
      <c r="O833" s="287">
        <v>0</v>
      </c>
      <c r="P833" s="287"/>
      <c r="Q833" s="288" t="s">
        <v>1412</v>
      </c>
      <c r="R833" s="288" t="s">
        <v>1412</v>
      </c>
      <c r="S833" s="288"/>
      <c r="T833" s="288"/>
      <c r="U833" s="288">
        <v>0</v>
      </c>
      <c r="V833" s="289">
        <v>267</v>
      </c>
      <c r="W833" s="289">
        <v>0</v>
      </c>
      <c r="X833" s="288">
        <v>0.11125</v>
      </c>
      <c r="Y833" s="288">
        <v>0.11125</v>
      </c>
      <c r="Z833" s="288">
        <v>0</v>
      </c>
      <c r="AA833" s="288">
        <v>0</v>
      </c>
      <c r="AB833" s="288">
        <v>0</v>
      </c>
      <c r="AC833" s="289">
        <v>0.11125</v>
      </c>
      <c r="AD833" s="289">
        <v>0</v>
      </c>
    </row>
    <row r="834" spans="1:30" ht="15" customHeight="1" x14ac:dyDescent="0.25">
      <c r="A834" s="282" t="s">
        <v>581</v>
      </c>
      <c r="B834" s="282" t="s">
        <v>616</v>
      </c>
      <c r="C834" s="282" t="s">
        <v>617</v>
      </c>
      <c r="D834" s="286" t="s">
        <v>1413</v>
      </c>
      <c r="E834" s="404">
        <v>43646</v>
      </c>
      <c r="F834" s="404">
        <v>45473</v>
      </c>
      <c r="G834" s="290" t="s">
        <v>299</v>
      </c>
      <c r="H834" s="282" t="s">
        <v>1283</v>
      </c>
      <c r="I834" s="282" t="s">
        <v>590</v>
      </c>
      <c r="J834" s="282" t="s">
        <v>156</v>
      </c>
      <c r="K834" s="286" t="s">
        <v>1284</v>
      </c>
      <c r="L834" s="282" t="s">
        <v>574</v>
      </c>
      <c r="M834" s="287">
        <v>2400</v>
      </c>
      <c r="N834" s="287">
        <v>0</v>
      </c>
      <c r="O834" s="287">
        <v>0</v>
      </c>
      <c r="P834" s="287"/>
      <c r="Q834" s="288" t="s">
        <v>1414</v>
      </c>
      <c r="R834" s="288" t="s">
        <v>1414</v>
      </c>
      <c r="S834" s="288"/>
      <c r="T834" s="288"/>
      <c r="U834" s="288">
        <v>0</v>
      </c>
      <c r="V834" s="289">
        <v>334</v>
      </c>
      <c r="W834" s="289">
        <v>0</v>
      </c>
      <c r="X834" s="288">
        <v>0.13916666666666666</v>
      </c>
      <c r="Y834" s="288">
        <v>0.13916666666666666</v>
      </c>
      <c r="Z834" s="288">
        <v>0</v>
      </c>
      <c r="AA834" s="288">
        <v>0</v>
      </c>
      <c r="AB834" s="288">
        <v>0</v>
      </c>
      <c r="AC834" s="289">
        <v>0.13916666666666666</v>
      </c>
      <c r="AD834" s="289">
        <v>0</v>
      </c>
    </row>
    <row r="835" spans="1:30" ht="15" customHeight="1" x14ac:dyDescent="0.25">
      <c r="A835" s="282" t="s">
        <v>581</v>
      </c>
      <c r="B835" s="282" t="s">
        <v>594</v>
      </c>
      <c r="C835" s="282" t="s">
        <v>595</v>
      </c>
      <c r="D835" s="286" t="s">
        <v>1415</v>
      </c>
      <c r="E835" s="404">
        <v>44490</v>
      </c>
      <c r="F835" s="404">
        <v>46316</v>
      </c>
      <c r="G835" s="286" t="s">
        <v>1416</v>
      </c>
      <c r="H835" s="282" t="s">
        <v>1417</v>
      </c>
      <c r="I835" s="282" t="s">
        <v>590</v>
      </c>
      <c r="J835" s="282" t="s">
        <v>156</v>
      </c>
      <c r="K835" s="286" t="s">
        <v>1418</v>
      </c>
      <c r="L835" s="282" t="s">
        <v>574</v>
      </c>
      <c r="M835" s="287">
        <v>2400</v>
      </c>
      <c r="N835" s="287">
        <v>0</v>
      </c>
      <c r="O835" s="287">
        <v>0</v>
      </c>
      <c r="P835" s="287"/>
      <c r="Q835" s="288" t="s">
        <v>1419</v>
      </c>
      <c r="R835" s="288"/>
      <c r="S835" s="288"/>
      <c r="T835" s="288"/>
      <c r="U835" s="288">
        <v>0</v>
      </c>
      <c r="V835" s="289">
        <v>173.43</v>
      </c>
      <c r="W835" s="289">
        <v>0</v>
      </c>
      <c r="X835" s="288">
        <v>7.2262500000000007E-2</v>
      </c>
      <c r="Y835" s="288">
        <v>0</v>
      </c>
      <c r="Z835" s="288">
        <v>0</v>
      </c>
      <c r="AA835" s="288">
        <v>0</v>
      </c>
      <c r="AB835" s="288">
        <v>0</v>
      </c>
      <c r="AC835" s="289">
        <v>7.2262500000000007E-2</v>
      </c>
      <c r="AD835" s="289">
        <v>0</v>
      </c>
    </row>
    <row r="836" spans="1:30" ht="15" customHeight="1" x14ac:dyDescent="0.25">
      <c r="A836" s="282" t="s">
        <v>581</v>
      </c>
      <c r="B836" s="282" t="s">
        <v>594</v>
      </c>
      <c r="C836" s="282" t="s">
        <v>595</v>
      </c>
      <c r="D836" s="286" t="s">
        <v>1420</v>
      </c>
      <c r="E836" s="404">
        <v>44490</v>
      </c>
      <c r="F836" s="404">
        <v>46316</v>
      </c>
      <c r="G836" s="286" t="s">
        <v>1416</v>
      </c>
      <c r="H836" s="282" t="s">
        <v>1417</v>
      </c>
      <c r="I836" s="282" t="s">
        <v>590</v>
      </c>
      <c r="J836" s="282" t="s">
        <v>156</v>
      </c>
      <c r="K836" s="286" t="s">
        <v>1418</v>
      </c>
      <c r="L836" s="282" t="s">
        <v>574</v>
      </c>
      <c r="M836" s="287">
        <v>2400</v>
      </c>
      <c r="N836" s="287">
        <v>0</v>
      </c>
      <c r="O836" s="287">
        <v>0</v>
      </c>
      <c r="P836" s="287"/>
      <c r="Q836" s="288" t="s">
        <v>1421</v>
      </c>
      <c r="R836" s="288"/>
      <c r="S836" s="288"/>
      <c r="T836" s="288"/>
      <c r="U836" s="288">
        <v>0</v>
      </c>
      <c r="V836" s="289">
        <v>174.96</v>
      </c>
      <c r="W836" s="289">
        <v>0</v>
      </c>
      <c r="X836" s="288">
        <v>7.2900000000000006E-2</v>
      </c>
      <c r="Y836" s="288">
        <v>0</v>
      </c>
      <c r="Z836" s="288">
        <v>0</v>
      </c>
      <c r="AA836" s="288">
        <v>0</v>
      </c>
      <c r="AB836" s="288">
        <v>0</v>
      </c>
      <c r="AC836" s="289">
        <v>7.2900000000000006E-2</v>
      </c>
      <c r="AD836" s="289">
        <v>0</v>
      </c>
    </row>
    <row r="837" spans="1:30" ht="15" customHeight="1" x14ac:dyDescent="0.25">
      <c r="A837" s="282" t="s">
        <v>581</v>
      </c>
      <c r="B837" s="282" t="s">
        <v>628</v>
      </c>
      <c r="C837" s="282" t="s">
        <v>629</v>
      </c>
      <c r="D837" s="286" t="s">
        <v>1422</v>
      </c>
      <c r="E837" s="404">
        <v>44490</v>
      </c>
      <c r="F837" s="404">
        <v>46316</v>
      </c>
      <c r="G837" s="286" t="s">
        <v>1416</v>
      </c>
      <c r="H837" s="282" t="s">
        <v>1417</v>
      </c>
      <c r="I837" s="282" t="s">
        <v>590</v>
      </c>
      <c r="J837" s="282" t="s">
        <v>156</v>
      </c>
      <c r="K837" s="286" t="s">
        <v>1418</v>
      </c>
      <c r="L837" s="282" t="s">
        <v>574</v>
      </c>
      <c r="M837" s="287">
        <v>2400</v>
      </c>
      <c r="N837" s="287">
        <v>0</v>
      </c>
      <c r="O837" s="287">
        <v>0</v>
      </c>
      <c r="P837" s="287"/>
      <c r="Q837" s="288" t="s">
        <v>1423</v>
      </c>
      <c r="R837" s="288"/>
      <c r="S837" s="288"/>
      <c r="T837" s="288"/>
      <c r="U837" s="288">
        <v>0</v>
      </c>
      <c r="V837" s="289">
        <v>184.71</v>
      </c>
      <c r="W837" s="289">
        <v>0</v>
      </c>
      <c r="X837" s="288">
        <v>7.6962500000000003E-2</v>
      </c>
      <c r="Y837" s="288">
        <v>0</v>
      </c>
      <c r="Z837" s="288">
        <v>0</v>
      </c>
      <c r="AA837" s="288">
        <v>0</v>
      </c>
      <c r="AB837" s="288">
        <v>0</v>
      </c>
      <c r="AC837" s="289">
        <v>7.6962500000000003E-2</v>
      </c>
      <c r="AD837" s="289">
        <v>0</v>
      </c>
    </row>
    <row r="838" spans="1:30" ht="15" customHeight="1" x14ac:dyDescent="0.25">
      <c r="A838" s="282" t="s">
        <v>581</v>
      </c>
      <c r="B838" s="282" t="s">
        <v>628</v>
      </c>
      <c r="C838" s="282" t="s">
        <v>629</v>
      </c>
      <c r="D838" s="286" t="s">
        <v>1424</v>
      </c>
      <c r="E838" s="404">
        <v>44490</v>
      </c>
      <c r="F838" s="404">
        <v>46316</v>
      </c>
      <c r="G838" s="286" t="s">
        <v>1416</v>
      </c>
      <c r="H838" s="282" t="s">
        <v>1417</v>
      </c>
      <c r="I838" s="282" t="s">
        <v>590</v>
      </c>
      <c r="J838" s="282" t="s">
        <v>156</v>
      </c>
      <c r="K838" s="286" t="s">
        <v>1418</v>
      </c>
      <c r="L838" s="282" t="s">
        <v>574</v>
      </c>
      <c r="M838" s="287">
        <v>2400</v>
      </c>
      <c r="N838" s="287">
        <v>0</v>
      </c>
      <c r="O838" s="287">
        <v>0</v>
      </c>
      <c r="P838" s="287"/>
      <c r="Q838" s="288" t="s">
        <v>1425</v>
      </c>
      <c r="R838" s="288"/>
      <c r="S838" s="288"/>
      <c r="T838" s="288"/>
      <c r="U838" s="288">
        <v>0</v>
      </c>
      <c r="V838" s="289">
        <v>186.34</v>
      </c>
      <c r="W838" s="289">
        <v>0</v>
      </c>
      <c r="X838" s="288">
        <v>7.7641666666666664E-2</v>
      </c>
      <c r="Y838" s="288">
        <v>0</v>
      </c>
      <c r="Z838" s="288">
        <v>0</v>
      </c>
      <c r="AA838" s="288">
        <v>0</v>
      </c>
      <c r="AB838" s="288">
        <v>0</v>
      </c>
      <c r="AC838" s="289">
        <v>7.7641666666666664E-2</v>
      </c>
      <c r="AD838" s="289">
        <v>0</v>
      </c>
    </row>
    <row r="839" spans="1:30" ht="15" customHeight="1" x14ac:dyDescent="0.25">
      <c r="A839" s="282" t="s">
        <v>581</v>
      </c>
      <c r="B839" s="282" t="s">
        <v>611</v>
      </c>
      <c r="C839" s="282" t="s">
        <v>612</v>
      </c>
      <c r="D839" s="286" t="s">
        <v>1426</v>
      </c>
      <c r="E839" s="404">
        <v>44490</v>
      </c>
      <c r="F839" s="404">
        <v>46316</v>
      </c>
      <c r="G839" s="286" t="s">
        <v>1416</v>
      </c>
      <c r="H839" s="282" t="s">
        <v>1417</v>
      </c>
      <c r="I839" s="282" t="s">
        <v>590</v>
      </c>
      <c r="J839" s="282" t="s">
        <v>156</v>
      </c>
      <c r="K839" s="286" t="s">
        <v>1418</v>
      </c>
      <c r="L839" s="282" t="s">
        <v>574</v>
      </c>
      <c r="M839" s="287">
        <v>2400</v>
      </c>
      <c r="N839" s="287">
        <v>0</v>
      </c>
      <c r="O839" s="287">
        <v>0</v>
      </c>
      <c r="P839" s="287"/>
      <c r="Q839" s="288" t="s">
        <v>1427</v>
      </c>
      <c r="R839" s="288"/>
      <c r="S839" s="288"/>
      <c r="T839" s="288"/>
      <c r="U839" s="288">
        <v>0</v>
      </c>
      <c r="V839" s="289">
        <v>217.34</v>
      </c>
      <c r="W839" s="289">
        <v>0</v>
      </c>
      <c r="X839" s="288">
        <v>9.0558333333333338E-2</v>
      </c>
      <c r="Y839" s="288">
        <v>0</v>
      </c>
      <c r="Z839" s="288">
        <v>0</v>
      </c>
      <c r="AA839" s="288">
        <v>0</v>
      </c>
      <c r="AB839" s="288">
        <v>0</v>
      </c>
      <c r="AC839" s="289">
        <v>9.0558333333333338E-2</v>
      </c>
      <c r="AD839" s="289">
        <v>0</v>
      </c>
    </row>
    <row r="840" spans="1:30" ht="15" customHeight="1" x14ac:dyDescent="0.25">
      <c r="A840" s="282" t="s">
        <v>581</v>
      </c>
      <c r="B840" s="282" t="s">
        <v>611</v>
      </c>
      <c r="C840" s="282" t="s">
        <v>612</v>
      </c>
      <c r="D840" s="286" t="s">
        <v>1428</v>
      </c>
      <c r="E840" s="404">
        <v>44490</v>
      </c>
      <c r="F840" s="404">
        <v>46316</v>
      </c>
      <c r="G840" s="286" t="s">
        <v>1416</v>
      </c>
      <c r="H840" s="282" t="s">
        <v>1417</v>
      </c>
      <c r="I840" s="282" t="s">
        <v>590</v>
      </c>
      <c r="J840" s="282" t="s">
        <v>156</v>
      </c>
      <c r="K840" s="286" t="s">
        <v>1418</v>
      </c>
      <c r="L840" s="282" t="s">
        <v>574</v>
      </c>
      <c r="M840" s="287">
        <v>2400</v>
      </c>
      <c r="N840" s="287">
        <v>0</v>
      </c>
      <c r="O840" s="287">
        <v>0</v>
      </c>
      <c r="P840" s="287"/>
      <c r="Q840" s="288" t="s">
        <v>1429</v>
      </c>
      <c r="R840" s="288"/>
      <c r="S840" s="288"/>
      <c r="T840" s="288"/>
      <c r="U840" s="288">
        <v>0</v>
      </c>
      <c r="V840" s="289">
        <v>219.35</v>
      </c>
      <c r="W840" s="289">
        <v>0</v>
      </c>
      <c r="X840" s="288">
        <v>9.1395833333333329E-2</v>
      </c>
      <c r="Y840" s="288">
        <v>0</v>
      </c>
      <c r="Z840" s="288">
        <v>0</v>
      </c>
      <c r="AA840" s="288">
        <v>0</v>
      </c>
      <c r="AB840" s="288">
        <v>0</v>
      </c>
      <c r="AC840" s="289">
        <v>9.1395833333333329E-2</v>
      </c>
      <c r="AD840" s="289">
        <v>0</v>
      </c>
    </row>
    <row r="841" spans="1:30" ht="15" customHeight="1" x14ac:dyDescent="0.25">
      <c r="A841" s="282" t="s">
        <v>581</v>
      </c>
      <c r="B841" s="282" t="s">
        <v>585</v>
      </c>
      <c r="C841" s="282" t="s">
        <v>586</v>
      </c>
      <c r="D841" s="286" t="s">
        <v>1430</v>
      </c>
      <c r="E841" s="404">
        <v>44490</v>
      </c>
      <c r="F841" s="404">
        <v>46316</v>
      </c>
      <c r="G841" s="286" t="s">
        <v>1416</v>
      </c>
      <c r="H841" s="282" t="s">
        <v>1417</v>
      </c>
      <c r="I841" s="282" t="s">
        <v>590</v>
      </c>
      <c r="J841" s="282" t="s">
        <v>156</v>
      </c>
      <c r="K841" s="286" t="s">
        <v>1418</v>
      </c>
      <c r="L841" s="282" t="s">
        <v>574</v>
      </c>
      <c r="M841" s="287">
        <v>2400</v>
      </c>
      <c r="N841" s="287">
        <v>0</v>
      </c>
      <c r="O841" s="287">
        <v>0</v>
      </c>
      <c r="P841" s="287"/>
      <c r="Q841" s="288" t="s">
        <v>1431</v>
      </c>
      <c r="R841" s="288"/>
      <c r="S841" s="288"/>
      <c r="T841" s="288"/>
      <c r="U841" s="288">
        <v>0</v>
      </c>
      <c r="V841" s="289">
        <v>260.60000000000002</v>
      </c>
      <c r="W841" s="289">
        <v>0</v>
      </c>
      <c r="X841" s="288">
        <v>0.10858333333333334</v>
      </c>
      <c r="Y841" s="288">
        <v>0</v>
      </c>
      <c r="Z841" s="288">
        <v>0</v>
      </c>
      <c r="AA841" s="288">
        <v>0</v>
      </c>
      <c r="AB841" s="288">
        <v>0</v>
      </c>
      <c r="AC841" s="289">
        <v>0.10858333333333334</v>
      </c>
      <c r="AD841" s="289">
        <v>0</v>
      </c>
    </row>
    <row r="842" spans="1:30" ht="15" customHeight="1" x14ac:dyDescent="0.25">
      <c r="A842" s="282" t="s">
        <v>581</v>
      </c>
      <c r="B842" s="282" t="s">
        <v>585</v>
      </c>
      <c r="C842" s="282" t="s">
        <v>586</v>
      </c>
      <c r="D842" s="286" t="s">
        <v>1432</v>
      </c>
      <c r="E842" s="404">
        <v>44490</v>
      </c>
      <c r="F842" s="404">
        <v>46316</v>
      </c>
      <c r="G842" s="286" t="s">
        <v>1416</v>
      </c>
      <c r="H842" s="282" t="s">
        <v>1417</v>
      </c>
      <c r="I842" s="282" t="s">
        <v>590</v>
      </c>
      <c r="J842" s="282" t="s">
        <v>156</v>
      </c>
      <c r="K842" s="286" t="s">
        <v>1418</v>
      </c>
      <c r="L842" s="282" t="s">
        <v>574</v>
      </c>
      <c r="M842" s="287">
        <v>2400</v>
      </c>
      <c r="N842" s="287">
        <v>0</v>
      </c>
      <c r="O842" s="287">
        <v>0</v>
      </c>
      <c r="P842" s="287"/>
      <c r="Q842" s="288" t="s">
        <v>1433</v>
      </c>
      <c r="R842" s="288"/>
      <c r="S842" s="288"/>
      <c r="T842" s="288"/>
      <c r="U842" s="288">
        <v>0</v>
      </c>
      <c r="V842" s="289">
        <v>263.05</v>
      </c>
      <c r="W842" s="289">
        <v>0</v>
      </c>
      <c r="X842" s="288">
        <v>0.10960416666666667</v>
      </c>
      <c r="Y842" s="288">
        <v>0</v>
      </c>
      <c r="Z842" s="288">
        <v>0</v>
      </c>
      <c r="AA842" s="288">
        <v>0</v>
      </c>
      <c r="AB842" s="288">
        <v>0</v>
      </c>
      <c r="AC842" s="289">
        <v>0.10960416666666667</v>
      </c>
      <c r="AD842" s="289">
        <v>0</v>
      </c>
    </row>
    <row r="843" spans="1:30" ht="15" customHeight="1" x14ac:dyDescent="0.25">
      <c r="A843" s="282" t="s">
        <v>581</v>
      </c>
      <c r="B843" s="282" t="s">
        <v>594</v>
      </c>
      <c r="C843" s="282" t="s">
        <v>595</v>
      </c>
      <c r="D843" s="286" t="s">
        <v>1434</v>
      </c>
      <c r="E843" s="404">
        <v>44490</v>
      </c>
      <c r="F843" s="404">
        <v>46316</v>
      </c>
      <c r="G843" s="286" t="s">
        <v>1416</v>
      </c>
      <c r="H843" s="282" t="s">
        <v>1417</v>
      </c>
      <c r="I843" s="282" t="s">
        <v>590</v>
      </c>
      <c r="J843" s="282" t="s">
        <v>156</v>
      </c>
      <c r="K843" s="286" t="s">
        <v>1418</v>
      </c>
      <c r="L843" s="282" t="s">
        <v>574</v>
      </c>
      <c r="M843" s="287">
        <v>2400</v>
      </c>
      <c r="N843" s="287">
        <v>0</v>
      </c>
      <c r="O843" s="287">
        <v>0</v>
      </c>
      <c r="P843" s="287"/>
      <c r="Q843" s="288" t="s">
        <v>1435</v>
      </c>
      <c r="R843" s="288"/>
      <c r="S843" s="288"/>
      <c r="T843" s="288"/>
      <c r="U843" s="288">
        <v>0</v>
      </c>
      <c r="V843" s="289">
        <v>173.65</v>
      </c>
      <c r="W843" s="289">
        <v>0</v>
      </c>
      <c r="X843" s="288">
        <v>7.2354166666666664E-2</v>
      </c>
      <c r="Y843" s="288">
        <v>0</v>
      </c>
      <c r="Z843" s="288">
        <v>0</v>
      </c>
      <c r="AA843" s="288">
        <v>0</v>
      </c>
      <c r="AB843" s="288">
        <v>0</v>
      </c>
      <c r="AC843" s="289">
        <v>7.2354166666666664E-2</v>
      </c>
      <c r="AD843" s="289">
        <v>0</v>
      </c>
    </row>
    <row r="844" spans="1:30" ht="15" customHeight="1" x14ac:dyDescent="0.25">
      <c r="A844" s="282" t="s">
        <v>581</v>
      </c>
      <c r="B844" s="282" t="s">
        <v>594</v>
      </c>
      <c r="C844" s="282" t="s">
        <v>595</v>
      </c>
      <c r="D844" s="286" t="s">
        <v>1436</v>
      </c>
      <c r="E844" s="404">
        <v>44490</v>
      </c>
      <c r="F844" s="404">
        <v>46316</v>
      </c>
      <c r="G844" s="286" t="s">
        <v>1416</v>
      </c>
      <c r="H844" s="282" t="s">
        <v>1417</v>
      </c>
      <c r="I844" s="282" t="s">
        <v>590</v>
      </c>
      <c r="J844" s="282" t="s">
        <v>156</v>
      </c>
      <c r="K844" s="286" t="s">
        <v>1418</v>
      </c>
      <c r="L844" s="282" t="s">
        <v>574</v>
      </c>
      <c r="M844" s="287">
        <v>2400</v>
      </c>
      <c r="N844" s="287">
        <v>0</v>
      </c>
      <c r="O844" s="287">
        <v>0</v>
      </c>
      <c r="P844" s="287"/>
      <c r="Q844" s="288" t="s">
        <v>1437</v>
      </c>
      <c r="R844" s="288"/>
      <c r="S844" s="288"/>
      <c r="T844" s="288"/>
      <c r="U844" s="288">
        <v>0</v>
      </c>
      <c r="V844" s="289">
        <v>175.14</v>
      </c>
      <c r="W844" s="289">
        <v>0</v>
      </c>
      <c r="X844" s="288">
        <v>7.2974999999999998E-2</v>
      </c>
      <c r="Y844" s="288">
        <v>0</v>
      </c>
      <c r="Z844" s="288">
        <v>0</v>
      </c>
      <c r="AA844" s="288">
        <v>0</v>
      </c>
      <c r="AB844" s="288">
        <v>0</v>
      </c>
      <c r="AC844" s="289">
        <v>7.2974999999999998E-2</v>
      </c>
      <c r="AD844" s="289">
        <v>0</v>
      </c>
    </row>
    <row r="845" spans="1:30" ht="15" customHeight="1" x14ac:dyDescent="0.25">
      <c r="A845" s="282" t="s">
        <v>581</v>
      </c>
      <c r="B845" s="282" t="s">
        <v>628</v>
      </c>
      <c r="C845" s="282" t="s">
        <v>629</v>
      </c>
      <c r="D845" s="286" t="s">
        <v>1438</v>
      </c>
      <c r="E845" s="404">
        <v>44490</v>
      </c>
      <c r="F845" s="404">
        <v>46316</v>
      </c>
      <c r="G845" s="286" t="s">
        <v>1416</v>
      </c>
      <c r="H845" s="282" t="s">
        <v>1417</v>
      </c>
      <c r="I845" s="282" t="s">
        <v>590</v>
      </c>
      <c r="J845" s="282" t="s">
        <v>156</v>
      </c>
      <c r="K845" s="286" t="s">
        <v>1418</v>
      </c>
      <c r="L845" s="282" t="s">
        <v>574</v>
      </c>
      <c r="M845" s="287">
        <v>2400</v>
      </c>
      <c r="N845" s="287">
        <v>0</v>
      </c>
      <c r="O845" s="287">
        <v>0</v>
      </c>
      <c r="P845" s="287"/>
      <c r="Q845" s="288" t="s">
        <v>1439</v>
      </c>
      <c r="R845" s="288"/>
      <c r="S845" s="288"/>
      <c r="T845" s="288"/>
      <c r="U845" s="288">
        <v>0</v>
      </c>
      <c r="V845" s="289">
        <v>184.94</v>
      </c>
      <c r="W845" s="289">
        <v>0</v>
      </c>
      <c r="X845" s="288">
        <v>7.7058333333333326E-2</v>
      </c>
      <c r="Y845" s="288">
        <v>0</v>
      </c>
      <c r="Z845" s="288">
        <v>0</v>
      </c>
      <c r="AA845" s="288">
        <v>0</v>
      </c>
      <c r="AB845" s="288">
        <v>0</v>
      </c>
      <c r="AC845" s="289">
        <v>7.7058333333333326E-2</v>
      </c>
      <c r="AD845" s="289">
        <v>0</v>
      </c>
    </row>
    <row r="846" spans="1:30" ht="15" customHeight="1" x14ac:dyDescent="0.25">
      <c r="A846" s="282" t="s">
        <v>581</v>
      </c>
      <c r="B846" s="282" t="s">
        <v>628</v>
      </c>
      <c r="C846" s="282" t="s">
        <v>629</v>
      </c>
      <c r="D846" s="286" t="s">
        <v>1440</v>
      </c>
      <c r="E846" s="404">
        <v>44490</v>
      </c>
      <c r="F846" s="404">
        <v>46316</v>
      </c>
      <c r="G846" s="286" t="s">
        <v>1416</v>
      </c>
      <c r="H846" s="282" t="s">
        <v>1417</v>
      </c>
      <c r="I846" s="282" t="s">
        <v>590</v>
      </c>
      <c r="J846" s="282" t="s">
        <v>156</v>
      </c>
      <c r="K846" s="286" t="s">
        <v>1418</v>
      </c>
      <c r="L846" s="282" t="s">
        <v>574</v>
      </c>
      <c r="M846" s="287">
        <v>2400</v>
      </c>
      <c r="N846" s="287">
        <v>0</v>
      </c>
      <c r="O846" s="287">
        <v>0</v>
      </c>
      <c r="P846" s="287"/>
      <c r="Q846" s="288" t="s">
        <v>1441</v>
      </c>
      <c r="R846" s="288"/>
      <c r="S846" s="288"/>
      <c r="T846" s="288"/>
      <c r="U846" s="288">
        <v>0</v>
      </c>
      <c r="V846" s="289">
        <v>186.54</v>
      </c>
      <c r="W846" s="289">
        <v>0</v>
      </c>
      <c r="X846" s="288">
        <v>7.7725000000000002E-2</v>
      </c>
      <c r="Y846" s="288">
        <v>0</v>
      </c>
      <c r="Z846" s="288">
        <v>0</v>
      </c>
      <c r="AA846" s="288">
        <v>0</v>
      </c>
      <c r="AB846" s="288">
        <v>0</v>
      </c>
      <c r="AC846" s="289">
        <v>7.7725000000000002E-2</v>
      </c>
      <c r="AD846" s="289">
        <v>0</v>
      </c>
    </row>
    <row r="847" spans="1:30" ht="15" customHeight="1" x14ac:dyDescent="0.25">
      <c r="A847" s="282" t="s">
        <v>581</v>
      </c>
      <c r="B847" s="282" t="s">
        <v>611</v>
      </c>
      <c r="C847" s="282" t="s">
        <v>612</v>
      </c>
      <c r="D847" s="286" t="s">
        <v>1442</v>
      </c>
      <c r="E847" s="404">
        <v>44490</v>
      </c>
      <c r="F847" s="404">
        <v>46316</v>
      </c>
      <c r="G847" s="286" t="s">
        <v>1416</v>
      </c>
      <c r="H847" s="282" t="s">
        <v>1417</v>
      </c>
      <c r="I847" s="282" t="s">
        <v>590</v>
      </c>
      <c r="J847" s="282" t="s">
        <v>156</v>
      </c>
      <c r="K847" s="286" t="s">
        <v>1418</v>
      </c>
      <c r="L847" s="282" t="s">
        <v>574</v>
      </c>
      <c r="M847" s="287">
        <v>2400</v>
      </c>
      <c r="N847" s="287">
        <v>0</v>
      </c>
      <c r="O847" s="287">
        <v>0</v>
      </c>
      <c r="P847" s="287"/>
      <c r="Q847" s="288" t="s">
        <v>1443</v>
      </c>
      <c r="R847" s="288"/>
      <c r="S847" s="288"/>
      <c r="T847" s="288"/>
      <c r="U847" s="288">
        <v>0</v>
      </c>
      <c r="V847" s="289">
        <v>217.59</v>
      </c>
      <c r="W847" s="289">
        <v>0</v>
      </c>
      <c r="X847" s="288">
        <v>9.0662500000000007E-2</v>
      </c>
      <c r="Y847" s="288">
        <v>0</v>
      </c>
      <c r="Z847" s="288">
        <v>0</v>
      </c>
      <c r="AA847" s="288">
        <v>0</v>
      </c>
      <c r="AB847" s="288">
        <v>0</v>
      </c>
      <c r="AC847" s="289">
        <v>9.0662500000000007E-2</v>
      </c>
      <c r="AD847" s="289">
        <v>0</v>
      </c>
    </row>
    <row r="848" spans="1:30" ht="15" customHeight="1" x14ac:dyDescent="0.25">
      <c r="A848" s="282" t="s">
        <v>581</v>
      </c>
      <c r="B848" s="282" t="s">
        <v>611</v>
      </c>
      <c r="C848" s="282" t="s">
        <v>612</v>
      </c>
      <c r="D848" s="286" t="s">
        <v>1444</v>
      </c>
      <c r="E848" s="404">
        <v>44490</v>
      </c>
      <c r="F848" s="404">
        <v>46316</v>
      </c>
      <c r="G848" s="286" t="s">
        <v>1416</v>
      </c>
      <c r="H848" s="282" t="s">
        <v>1417</v>
      </c>
      <c r="I848" s="282" t="s">
        <v>590</v>
      </c>
      <c r="J848" s="282" t="s">
        <v>156</v>
      </c>
      <c r="K848" s="286" t="s">
        <v>1418</v>
      </c>
      <c r="L848" s="282" t="s">
        <v>574</v>
      </c>
      <c r="M848" s="287">
        <v>2400</v>
      </c>
      <c r="N848" s="287">
        <v>0</v>
      </c>
      <c r="O848" s="287">
        <v>0</v>
      </c>
      <c r="P848" s="287"/>
      <c r="Q848" s="288" t="s">
        <v>1445</v>
      </c>
      <c r="R848" s="288"/>
      <c r="S848" s="288"/>
      <c r="T848" s="288"/>
      <c r="U848" s="288">
        <v>0</v>
      </c>
      <c r="V848" s="289">
        <v>219.55</v>
      </c>
      <c r="W848" s="289">
        <v>0</v>
      </c>
      <c r="X848" s="288">
        <v>9.1479166666666667E-2</v>
      </c>
      <c r="Y848" s="288">
        <v>0</v>
      </c>
      <c r="Z848" s="288">
        <v>0</v>
      </c>
      <c r="AA848" s="288">
        <v>0</v>
      </c>
      <c r="AB848" s="288">
        <v>0</v>
      </c>
      <c r="AC848" s="289">
        <v>9.1479166666666667E-2</v>
      </c>
      <c r="AD848" s="289">
        <v>0</v>
      </c>
    </row>
    <row r="849" spans="1:30" ht="15" customHeight="1" x14ac:dyDescent="0.25">
      <c r="A849" s="282" t="s">
        <v>581</v>
      </c>
      <c r="B849" s="282" t="s">
        <v>585</v>
      </c>
      <c r="C849" s="282" t="s">
        <v>586</v>
      </c>
      <c r="D849" s="286" t="s">
        <v>1446</v>
      </c>
      <c r="E849" s="404">
        <v>44490</v>
      </c>
      <c r="F849" s="404">
        <v>46316</v>
      </c>
      <c r="G849" s="286" t="s">
        <v>1416</v>
      </c>
      <c r="H849" s="282" t="s">
        <v>1417</v>
      </c>
      <c r="I849" s="282" t="s">
        <v>590</v>
      </c>
      <c r="J849" s="282" t="s">
        <v>156</v>
      </c>
      <c r="K849" s="286" t="s">
        <v>1418</v>
      </c>
      <c r="L849" s="282" t="s">
        <v>574</v>
      </c>
      <c r="M849" s="287">
        <v>2400</v>
      </c>
      <c r="N849" s="287">
        <v>0</v>
      </c>
      <c r="O849" s="287">
        <v>0</v>
      </c>
      <c r="P849" s="287"/>
      <c r="Q849" s="288" t="s">
        <v>1447</v>
      </c>
      <c r="R849" s="288"/>
      <c r="S849" s="288"/>
      <c r="T849" s="288"/>
      <c r="U849" s="288">
        <v>0</v>
      </c>
      <c r="V849" s="289">
        <v>260.86</v>
      </c>
      <c r="W849" s="289">
        <v>0</v>
      </c>
      <c r="X849" s="288">
        <v>0.10869166666666667</v>
      </c>
      <c r="Y849" s="288">
        <v>0</v>
      </c>
      <c r="Z849" s="288">
        <v>0</v>
      </c>
      <c r="AA849" s="288">
        <v>0</v>
      </c>
      <c r="AB849" s="288">
        <v>0</v>
      </c>
      <c r="AC849" s="289">
        <v>0.10869166666666667</v>
      </c>
      <c r="AD849" s="289">
        <v>0</v>
      </c>
    </row>
    <row r="850" spans="1:30" ht="15" customHeight="1" x14ac:dyDescent="0.25">
      <c r="A850" s="282" t="s">
        <v>581</v>
      </c>
      <c r="B850" s="282" t="s">
        <v>585</v>
      </c>
      <c r="C850" s="282" t="s">
        <v>586</v>
      </c>
      <c r="D850" s="286" t="s">
        <v>1448</v>
      </c>
      <c r="E850" s="404">
        <v>44490</v>
      </c>
      <c r="F850" s="404">
        <v>46316</v>
      </c>
      <c r="G850" s="286" t="s">
        <v>1416</v>
      </c>
      <c r="H850" s="282" t="s">
        <v>1417</v>
      </c>
      <c r="I850" s="282" t="s">
        <v>590</v>
      </c>
      <c r="J850" s="282" t="s">
        <v>156</v>
      </c>
      <c r="K850" s="286" t="s">
        <v>1418</v>
      </c>
      <c r="L850" s="282" t="s">
        <v>574</v>
      </c>
      <c r="M850" s="287">
        <v>2400</v>
      </c>
      <c r="N850" s="287">
        <v>0</v>
      </c>
      <c r="O850" s="287">
        <v>0</v>
      </c>
      <c r="P850" s="287"/>
      <c r="Q850" s="288" t="s">
        <v>1449</v>
      </c>
      <c r="R850" s="288"/>
      <c r="S850" s="288"/>
      <c r="T850" s="288"/>
      <c r="U850" s="288">
        <v>0</v>
      </c>
      <c r="V850" s="289">
        <v>263.24</v>
      </c>
      <c r="W850" s="289">
        <v>0</v>
      </c>
      <c r="X850" s="288">
        <v>0.10968333333333334</v>
      </c>
      <c r="Y850" s="288">
        <v>0</v>
      </c>
      <c r="Z850" s="288">
        <v>0</v>
      </c>
      <c r="AA850" s="288">
        <v>0</v>
      </c>
      <c r="AB850" s="288">
        <v>0</v>
      </c>
      <c r="AC850" s="289">
        <v>0.10968333333333334</v>
      </c>
      <c r="AD850" s="289">
        <v>0</v>
      </c>
    </row>
    <row r="851" spans="1:30" ht="15" customHeight="1" x14ac:dyDescent="0.25">
      <c r="A851" s="282" t="s">
        <v>581</v>
      </c>
      <c r="B851" s="282" t="s">
        <v>611</v>
      </c>
      <c r="C851" s="282" t="s">
        <v>612</v>
      </c>
      <c r="D851" s="286" t="s">
        <v>1450</v>
      </c>
      <c r="E851" s="404">
        <v>44412</v>
      </c>
      <c r="F851" s="404">
        <v>46238</v>
      </c>
      <c r="G851" s="286" t="s">
        <v>286</v>
      </c>
      <c r="H851" s="282" t="s">
        <v>1451</v>
      </c>
      <c r="I851" s="282" t="s">
        <v>590</v>
      </c>
      <c r="J851" s="282" t="s">
        <v>156</v>
      </c>
      <c r="K851" s="286" t="s">
        <v>1452</v>
      </c>
      <c r="L851" s="282" t="s">
        <v>574</v>
      </c>
      <c r="M851" s="287">
        <v>2400</v>
      </c>
      <c r="N851" s="287">
        <v>0</v>
      </c>
      <c r="O851" s="287">
        <v>0</v>
      </c>
      <c r="P851" s="287"/>
      <c r="Q851" s="288" t="s">
        <v>1453</v>
      </c>
      <c r="R851" s="288"/>
      <c r="S851" s="288"/>
      <c r="T851" s="288"/>
      <c r="U851" s="288">
        <v>0</v>
      </c>
      <c r="V851" s="289">
        <v>266.20999999999998</v>
      </c>
      <c r="W851" s="289">
        <v>0</v>
      </c>
      <c r="X851" s="288">
        <v>0.11092083333333333</v>
      </c>
      <c r="Y851" s="288">
        <v>0</v>
      </c>
      <c r="Z851" s="288">
        <v>0</v>
      </c>
      <c r="AA851" s="288">
        <v>0</v>
      </c>
      <c r="AB851" s="288">
        <v>0</v>
      </c>
      <c r="AC851" s="289">
        <v>0.11092083333333333</v>
      </c>
      <c r="AD851" s="289">
        <v>0</v>
      </c>
    </row>
    <row r="852" spans="1:30" ht="15" customHeight="1" x14ac:dyDescent="0.25">
      <c r="A852" s="282" t="s">
        <v>581</v>
      </c>
      <c r="B852" s="282" t="s">
        <v>611</v>
      </c>
      <c r="C852" s="282" t="s">
        <v>612</v>
      </c>
      <c r="D852" s="286" t="s">
        <v>1454</v>
      </c>
      <c r="E852" s="404">
        <v>44412</v>
      </c>
      <c r="F852" s="404">
        <v>46238</v>
      </c>
      <c r="G852" s="286" t="s">
        <v>286</v>
      </c>
      <c r="H852" s="282" t="s">
        <v>1451</v>
      </c>
      <c r="I852" s="282" t="s">
        <v>590</v>
      </c>
      <c r="J852" s="282" t="s">
        <v>156</v>
      </c>
      <c r="K852" s="286" t="s">
        <v>1452</v>
      </c>
      <c r="L852" s="282" t="s">
        <v>574</v>
      </c>
      <c r="M852" s="287">
        <v>2400</v>
      </c>
      <c r="N852" s="287">
        <v>0</v>
      </c>
      <c r="O852" s="287">
        <v>0</v>
      </c>
      <c r="P852" s="287"/>
      <c r="Q852" s="288" t="s">
        <v>1455</v>
      </c>
      <c r="R852" s="288"/>
      <c r="S852" s="288"/>
      <c r="T852" s="288"/>
      <c r="U852" s="288">
        <v>0</v>
      </c>
      <c r="V852" s="289">
        <v>324.73</v>
      </c>
      <c r="W852" s="289">
        <v>0</v>
      </c>
      <c r="X852" s="288">
        <v>0.13530416666666667</v>
      </c>
      <c r="Y852" s="288">
        <v>0</v>
      </c>
      <c r="Z852" s="288">
        <v>0</v>
      </c>
      <c r="AA852" s="288">
        <v>0</v>
      </c>
      <c r="AB852" s="288">
        <v>0</v>
      </c>
      <c r="AC852" s="289">
        <v>0.13530416666666667</v>
      </c>
      <c r="AD852" s="289">
        <v>0</v>
      </c>
    </row>
    <row r="853" spans="1:30" ht="15" customHeight="1" x14ac:dyDescent="0.25">
      <c r="A853" s="282" t="s">
        <v>581</v>
      </c>
      <c r="B853" s="282" t="s">
        <v>628</v>
      </c>
      <c r="C853" s="282" t="s">
        <v>629</v>
      </c>
      <c r="D853" s="286" t="s">
        <v>1456</v>
      </c>
      <c r="E853" s="404">
        <v>44412</v>
      </c>
      <c r="F853" s="404">
        <v>46238</v>
      </c>
      <c r="G853" s="286" t="s">
        <v>286</v>
      </c>
      <c r="H853" s="282" t="s">
        <v>1451</v>
      </c>
      <c r="I853" s="282" t="s">
        <v>590</v>
      </c>
      <c r="J853" s="282" t="s">
        <v>156</v>
      </c>
      <c r="K853" s="286" t="s">
        <v>1452</v>
      </c>
      <c r="L853" s="282" t="s">
        <v>574</v>
      </c>
      <c r="M853" s="287">
        <v>2400</v>
      </c>
      <c r="N853" s="287">
        <v>0</v>
      </c>
      <c r="O853" s="287">
        <v>0</v>
      </c>
      <c r="P853" s="287"/>
      <c r="Q853" s="288" t="s">
        <v>1457</v>
      </c>
      <c r="R853" s="288"/>
      <c r="S853" s="288"/>
      <c r="T853" s="288"/>
      <c r="U853" s="288">
        <v>0</v>
      </c>
      <c r="V853" s="289">
        <v>252.5</v>
      </c>
      <c r="W853" s="289">
        <v>0</v>
      </c>
      <c r="X853" s="288">
        <v>0.10520833333333333</v>
      </c>
      <c r="Y853" s="288">
        <v>0</v>
      </c>
      <c r="Z853" s="288">
        <v>0</v>
      </c>
      <c r="AA853" s="288">
        <v>0</v>
      </c>
      <c r="AB853" s="288">
        <v>0</v>
      </c>
      <c r="AC853" s="289">
        <v>0.10520833333333333</v>
      </c>
      <c r="AD853" s="289">
        <v>0</v>
      </c>
    </row>
    <row r="854" spans="1:30" ht="15" customHeight="1" x14ac:dyDescent="0.25">
      <c r="A854" s="282" t="s">
        <v>581</v>
      </c>
      <c r="B854" s="282" t="s">
        <v>628</v>
      </c>
      <c r="C854" s="282" t="s">
        <v>629</v>
      </c>
      <c r="D854" s="286" t="s">
        <v>1458</v>
      </c>
      <c r="E854" s="404">
        <v>44412</v>
      </c>
      <c r="F854" s="404">
        <v>46238</v>
      </c>
      <c r="G854" s="286" t="s">
        <v>286</v>
      </c>
      <c r="H854" s="282" t="s">
        <v>1451</v>
      </c>
      <c r="I854" s="282" t="s">
        <v>590</v>
      </c>
      <c r="J854" s="282" t="s">
        <v>156</v>
      </c>
      <c r="K854" s="286" t="s">
        <v>1452</v>
      </c>
      <c r="L854" s="282" t="s">
        <v>574</v>
      </c>
      <c r="M854" s="287">
        <v>2400</v>
      </c>
      <c r="N854" s="287">
        <v>0</v>
      </c>
      <c r="O854" s="287">
        <v>0</v>
      </c>
      <c r="P854" s="287"/>
      <c r="Q854" s="288" t="s">
        <v>1459</v>
      </c>
      <c r="R854" s="288"/>
      <c r="S854" s="288"/>
      <c r="T854" s="288"/>
      <c r="U854" s="288">
        <v>0</v>
      </c>
      <c r="V854" s="289">
        <v>244.19</v>
      </c>
      <c r="W854" s="289">
        <v>0</v>
      </c>
      <c r="X854" s="288">
        <v>0.10174583333333333</v>
      </c>
      <c r="Y854" s="288">
        <v>0</v>
      </c>
      <c r="Z854" s="288">
        <v>0</v>
      </c>
      <c r="AA854" s="288">
        <v>0</v>
      </c>
      <c r="AB854" s="288">
        <v>0</v>
      </c>
      <c r="AC854" s="289">
        <v>0.10174583333333333</v>
      </c>
      <c r="AD854" s="289">
        <v>0</v>
      </c>
    </row>
    <row r="855" spans="1:30" ht="15" customHeight="1" x14ac:dyDescent="0.25">
      <c r="A855" s="282" t="s">
        <v>581</v>
      </c>
      <c r="B855" s="282" t="s">
        <v>585</v>
      </c>
      <c r="C855" s="282" t="s">
        <v>586</v>
      </c>
      <c r="D855" s="286" t="s">
        <v>1460</v>
      </c>
      <c r="E855" s="404">
        <v>44412</v>
      </c>
      <c r="F855" s="404">
        <v>46238</v>
      </c>
      <c r="G855" s="286" t="s">
        <v>286</v>
      </c>
      <c r="H855" s="282" t="s">
        <v>1451</v>
      </c>
      <c r="I855" s="282" t="s">
        <v>590</v>
      </c>
      <c r="J855" s="282" t="s">
        <v>156</v>
      </c>
      <c r="K855" s="286" t="s">
        <v>1452</v>
      </c>
      <c r="L855" s="282" t="s">
        <v>574</v>
      </c>
      <c r="M855" s="287">
        <v>2400</v>
      </c>
      <c r="N855" s="287">
        <v>0</v>
      </c>
      <c r="O855" s="287">
        <v>0</v>
      </c>
      <c r="P855" s="287"/>
      <c r="Q855" s="288" t="s">
        <v>1461</v>
      </c>
      <c r="R855" s="288"/>
      <c r="S855" s="288"/>
      <c r="T855" s="288"/>
      <c r="U855" s="288">
        <v>0</v>
      </c>
      <c r="V855" s="289">
        <v>451.63</v>
      </c>
      <c r="W855" s="289">
        <v>0</v>
      </c>
      <c r="X855" s="288">
        <v>0.18817916666666668</v>
      </c>
      <c r="Y855" s="288">
        <v>0</v>
      </c>
      <c r="Z855" s="288">
        <v>0</v>
      </c>
      <c r="AA855" s="288">
        <v>0</v>
      </c>
      <c r="AB855" s="288">
        <v>0</v>
      </c>
      <c r="AC855" s="289">
        <v>0.18817916666666668</v>
      </c>
      <c r="AD855" s="289">
        <v>0</v>
      </c>
    </row>
    <row r="856" spans="1:30" ht="15" customHeight="1" x14ac:dyDescent="0.25">
      <c r="A856" s="282" t="s">
        <v>581</v>
      </c>
      <c r="B856" s="282" t="s">
        <v>628</v>
      </c>
      <c r="C856" s="282" t="s">
        <v>629</v>
      </c>
      <c r="D856" s="286" t="s">
        <v>1462</v>
      </c>
      <c r="E856" s="404">
        <v>44412</v>
      </c>
      <c r="F856" s="404">
        <v>46238</v>
      </c>
      <c r="G856" s="286" t="s">
        <v>286</v>
      </c>
      <c r="H856" s="282" t="s">
        <v>1451</v>
      </c>
      <c r="I856" s="282" t="s">
        <v>590</v>
      </c>
      <c r="J856" s="282" t="s">
        <v>156</v>
      </c>
      <c r="K856" s="286" t="s">
        <v>1452</v>
      </c>
      <c r="L856" s="282" t="s">
        <v>574</v>
      </c>
      <c r="M856" s="287">
        <v>2400</v>
      </c>
      <c r="N856" s="287">
        <v>0</v>
      </c>
      <c r="O856" s="287">
        <v>0</v>
      </c>
      <c r="P856" s="287"/>
      <c r="Q856" s="288" t="s">
        <v>1463</v>
      </c>
      <c r="R856" s="288"/>
      <c r="S856" s="288"/>
      <c r="T856" s="288"/>
      <c r="U856" s="288">
        <v>0</v>
      </c>
      <c r="V856" s="289">
        <v>350.41</v>
      </c>
      <c r="W856" s="289">
        <v>0</v>
      </c>
      <c r="X856" s="288">
        <v>0.14600416666666668</v>
      </c>
      <c r="Y856" s="288">
        <v>0</v>
      </c>
      <c r="Z856" s="288">
        <v>0</v>
      </c>
      <c r="AA856" s="288">
        <v>0</v>
      </c>
      <c r="AB856" s="288">
        <v>0</v>
      </c>
      <c r="AC856" s="289">
        <v>0.14600416666666668</v>
      </c>
      <c r="AD856" s="289">
        <v>0</v>
      </c>
    </row>
    <row r="857" spans="1:30" ht="15" customHeight="1" x14ac:dyDescent="0.25">
      <c r="A857" s="282" t="s">
        <v>581</v>
      </c>
      <c r="B857" s="282" t="s">
        <v>628</v>
      </c>
      <c r="C857" s="282" t="s">
        <v>629</v>
      </c>
      <c r="D857" s="286" t="s">
        <v>1464</v>
      </c>
      <c r="E857" s="404">
        <v>44412</v>
      </c>
      <c r="F857" s="404">
        <v>46238</v>
      </c>
      <c r="G857" s="286" t="s">
        <v>286</v>
      </c>
      <c r="H857" s="282" t="s">
        <v>1451</v>
      </c>
      <c r="I857" s="282" t="s">
        <v>590</v>
      </c>
      <c r="J857" s="282" t="s">
        <v>156</v>
      </c>
      <c r="K857" s="286" t="s">
        <v>1452</v>
      </c>
      <c r="L857" s="282" t="s">
        <v>574</v>
      </c>
      <c r="M857" s="287">
        <v>2400</v>
      </c>
      <c r="N857" s="287">
        <v>0</v>
      </c>
      <c r="O857" s="287">
        <v>0</v>
      </c>
      <c r="P857" s="287"/>
      <c r="Q857" s="288" t="s">
        <v>1465</v>
      </c>
      <c r="R857" s="288"/>
      <c r="S857" s="288"/>
      <c r="T857" s="288"/>
      <c r="U857" s="288">
        <v>0</v>
      </c>
      <c r="V857" s="289">
        <v>331.82</v>
      </c>
      <c r="W857" s="289">
        <v>0</v>
      </c>
      <c r="X857" s="288">
        <v>0.13825833333333334</v>
      </c>
      <c r="Y857" s="288">
        <v>0</v>
      </c>
      <c r="Z857" s="288">
        <v>0</v>
      </c>
      <c r="AA857" s="288">
        <v>0</v>
      </c>
      <c r="AB857" s="288">
        <v>0</v>
      </c>
      <c r="AC857" s="289">
        <v>0.13825833333333334</v>
      </c>
      <c r="AD857" s="289">
        <v>0</v>
      </c>
    </row>
    <row r="858" spans="1:30" ht="15" customHeight="1" x14ac:dyDescent="0.25">
      <c r="A858" s="282" t="s">
        <v>581</v>
      </c>
      <c r="B858" s="282" t="s">
        <v>611</v>
      </c>
      <c r="C858" s="282" t="s">
        <v>612</v>
      </c>
      <c r="D858" s="286" t="s">
        <v>1466</v>
      </c>
      <c r="E858" s="404">
        <v>44412</v>
      </c>
      <c r="F858" s="404">
        <v>46238</v>
      </c>
      <c r="G858" s="286" t="s">
        <v>286</v>
      </c>
      <c r="H858" s="282" t="s">
        <v>1451</v>
      </c>
      <c r="I858" s="282" t="s">
        <v>590</v>
      </c>
      <c r="J858" s="282" t="s">
        <v>156</v>
      </c>
      <c r="K858" s="286" t="s">
        <v>1452</v>
      </c>
      <c r="L858" s="282" t="s">
        <v>574</v>
      </c>
      <c r="M858" s="287">
        <v>2400</v>
      </c>
      <c r="N858" s="287">
        <v>0</v>
      </c>
      <c r="O858" s="287">
        <v>0</v>
      </c>
      <c r="P858" s="287"/>
      <c r="Q858" s="288" t="s">
        <v>1467</v>
      </c>
      <c r="R858" s="288"/>
      <c r="S858" s="288"/>
      <c r="T858" s="288"/>
      <c r="U858" s="288">
        <v>0</v>
      </c>
      <c r="V858" s="289">
        <v>275.49</v>
      </c>
      <c r="W858" s="289">
        <v>0</v>
      </c>
      <c r="X858" s="288">
        <v>0.1147875</v>
      </c>
      <c r="Y858" s="288">
        <v>0</v>
      </c>
      <c r="Z858" s="288">
        <v>0</v>
      </c>
      <c r="AA858" s="288">
        <v>0</v>
      </c>
      <c r="AB858" s="288">
        <v>0</v>
      </c>
      <c r="AC858" s="289">
        <v>0.1147875</v>
      </c>
      <c r="AD858" s="289">
        <v>0</v>
      </c>
    </row>
    <row r="859" spans="1:30" ht="15" customHeight="1" x14ac:dyDescent="0.25">
      <c r="A859" s="282" t="s">
        <v>581</v>
      </c>
      <c r="B859" s="282" t="s">
        <v>585</v>
      </c>
      <c r="C859" s="282" t="s">
        <v>586</v>
      </c>
      <c r="D859" s="286" t="s">
        <v>1468</v>
      </c>
      <c r="E859" s="404">
        <v>44412</v>
      </c>
      <c r="F859" s="404">
        <v>46238</v>
      </c>
      <c r="G859" s="286" t="s">
        <v>286</v>
      </c>
      <c r="H859" s="282" t="s">
        <v>1451</v>
      </c>
      <c r="I859" s="282" t="s">
        <v>590</v>
      </c>
      <c r="J859" s="282" t="s">
        <v>156</v>
      </c>
      <c r="K859" s="286" t="s">
        <v>1452</v>
      </c>
      <c r="L859" s="282" t="s">
        <v>574</v>
      </c>
      <c r="M859" s="287">
        <v>2400</v>
      </c>
      <c r="N859" s="287">
        <v>0</v>
      </c>
      <c r="O859" s="287">
        <v>0</v>
      </c>
      <c r="P859" s="287"/>
      <c r="Q859" s="288" t="s">
        <v>1469</v>
      </c>
      <c r="R859" s="288"/>
      <c r="S859" s="288"/>
      <c r="T859" s="288"/>
      <c r="U859" s="288">
        <v>0</v>
      </c>
      <c r="V859" s="289">
        <v>302.33</v>
      </c>
      <c r="W859" s="289">
        <v>0</v>
      </c>
      <c r="X859" s="288">
        <v>0.12597083333333334</v>
      </c>
      <c r="Y859" s="288">
        <v>0</v>
      </c>
      <c r="Z859" s="288">
        <v>0</v>
      </c>
      <c r="AA859" s="288">
        <v>0</v>
      </c>
      <c r="AB859" s="288">
        <v>0</v>
      </c>
      <c r="AC859" s="289">
        <v>0.12597083333333334</v>
      </c>
      <c r="AD859" s="289">
        <v>0</v>
      </c>
    </row>
    <row r="860" spans="1:30" ht="15" customHeight="1" x14ac:dyDescent="0.25">
      <c r="A860" s="282" t="s">
        <v>581</v>
      </c>
      <c r="B860" s="282" t="s">
        <v>616</v>
      </c>
      <c r="C860" s="282" t="s">
        <v>617</v>
      </c>
      <c r="D860" s="286" t="s">
        <v>1470</v>
      </c>
      <c r="E860" s="404">
        <v>44412</v>
      </c>
      <c r="F860" s="404">
        <v>46238</v>
      </c>
      <c r="G860" s="286" t="s">
        <v>286</v>
      </c>
      <c r="H860" s="282" t="s">
        <v>1451</v>
      </c>
      <c r="I860" s="282" t="s">
        <v>590</v>
      </c>
      <c r="J860" s="282" t="s">
        <v>156</v>
      </c>
      <c r="K860" s="286" t="s">
        <v>1452</v>
      </c>
      <c r="L860" s="282" t="s">
        <v>574</v>
      </c>
      <c r="M860" s="287">
        <v>2400</v>
      </c>
      <c r="N860" s="287">
        <v>0</v>
      </c>
      <c r="O860" s="287">
        <v>0</v>
      </c>
      <c r="P860" s="287"/>
      <c r="Q860" s="288" t="s">
        <v>1471</v>
      </c>
      <c r="R860" s="288"/>
      <c r="S860" s="288"/>
      <c r="T860" s="288"/>
      <c r="U860" s="288">
        <v>0</v>
      </c>
      <c r="V860" s="289">
        <v>334.84</v>
      </c>
      <c r="W860" s="289">
        <v>0</v>
      </c>
      <c r="X860" s="288">
        <v>0.13951666666666665</v>
      </c>
      <c r="Y860" s="288">
        <v>0</v>
      </c>
      <c r="Z860" s="288">
        <v>0</v>
      </c>
      <c r="AA860" s="288">
        <v>0</v>
      </c>
      <c r="AB860" s="288">
        <v>0</v>
      </c>
      <c r="AC860" s="289">
        <v>0.13951666666666665</v>
      </c>
      <c r="AD860" s="289">
        <v>0</v>
      </c>
    </row>
    <row r="861" spans="1:30" ht="15" customHeight="1" x14ac:dyDescent="0.25">
      <c r="A861" s="282" t="s">
        <v>581</v>
      </c>
      <c r="B861" s="282" t="s">
        <v>695</v>
      </c>
      <c r="C861" s="282" t="s">
        <v>696</v>
      </c>
      <c r="D861" s="286" t="s">
        <v>1472</v>
      </c>
      <c r="E861" s="404">
        <v>44412</v>
      </c>
      <c r="F861" s="404">
        <v>46238</v>
      </c>
      <c r="G861" s="286" t="s">
        <v>286</v>
      </c>
      <c r="H861" s="282" t="s">
        <v>1451</v>
      </c>
      <c r="I861" s="282" t="s">
        <v>590</v>
      </c>
      <c r="J861" s="282" t="s">
        <v>156</v>
      </c>
      <c r="K861" s="286" t="s">
        <v>1452</v>
      </c>
      <c r="L861" s="282" t="s">
        <v>574</v>
      </c>
      <c r="M861" s="287">
        <v>2400</v>
      </c>
      <c r="N861" s="287">
        <v>0</v>
      </c>
      <c r="O861" s="287">
        <v>0</v>
      </c>
      <c r="P861" s="287"/>
      <c r="Q861" s="288" t="s">
        <v>1473</v>
      </c>
      <c r="R861" s="288"/>
      <c r="S861" s="288"/>
      <c r="T861" s="288"/>
      <c r="U861" s="288">
        <v>0</v>
      </c>
      <c r="V861" s="289">
        <v>409.54</v>
      </c>
      <c r="W861" s="289">
        <v>0</v>
      </c>
      <c r="X861" s="288">
        <v>0.17064166666666666</v>
      </c>
      <c r="Y861" s="288">
        <v>0</v>
      </c>
      <c r="Z861" s="288">
        <v>0</v>
      </c>
      <c r="AA861" s="288">
        <v>0</v>
      </c>
      <c r="AB861" s="288">
        <v>0</v>
      </c>
      <c r="AC861" s="289">
        <v>0.17064166666666666</v>
      </c>
      <c r="AD861" s="289">
        <v>0</v>
      </c>
    </row>
    <row r="862" spans="1:30" ht="15" customHeight="1" x14ac:dyDescent="0.25">
      <c r="A862" s="282" t="s">
        <v>581</v>
      </c>
      <c r="B862" s="282" t="s">
        <v>585</v>
      </c>
      <c r="C862" s="282" t="s">
        <v>586</v>
      </c>
      <c r="D862" s="286" t="s">
        <v>1474</v>
      </c>
      <c r="E862" s="404">
        <v>44412</v>
      </c>
      <c r="F862" s="404">
        <v>46238</v>
      </c>
      <c r="G862" s="286" t="s">
        <v>286</v>
      </c>
      <c r="H862" s="282" t="s">
        <v>1451</v>
      </c>
      <c r="I862" s="282" t="s">
        <v>590</v>
      </c>
      <c r="J862" s="282" t="s">
        <v>156</v>
      </c>
      <c r="K862" s="286" t="s">
        <v>1452</v>
      </c>
      <c r="L862" s="282" t="s">
        <v>574</v>
      </c>
      <c r="M862" s="287">
        <v>2400</v>
      </c>
      <c r="N862" s="287">
        <v>0</v>
      </c>
      <c r="O862" s="287">
        <v>0</v>
      </c>
      <c r="P862" s="287"/>
      <c r="Q862" s="288" t="s">
        <v>1475</v>
      </c>
      <c r="R862" s="287"/>
      <c r="S862" s="288"/>
      <c r="T862" s="288"/>
      <c r="U862" s="288">
        <v>0</v>
      </c>
      <c r="V862" s="289">
        <v>278.68</v>
      </c>
      <c r="W862" s="289">
        <v>0</v>
      </c>
      <c r="X862" s="288">
        <v>0.11611666666666667</v>
      </c>
      <c r="Y862" s="288">
        <v>0</v>
      </c>
      <c r="Z862" s="288">
        <v>0</v>
      </c>
      <c r="AA862" s="288">
        <v>0</v>
      </c>
      <c r="AB862" s="288">
        <v>0</v>
      </c>
      <c r="AC862" s="289">
        <v>0.11611666666666667</v>
      </c>
      <c r="AD862" s="289">
        <v>0</v>
      </c>
    </row>
    <row r="863" spans="1:30" ht="15" customHeight="1" x14ac:dyDescent="0.25">
      <c r="A863" s="282" t="s">
        <v>581</v>
      </c>
      <c r="B863" s="282" t="s">
        <v>616</v>
      </c>
      <c r="C863" s="282" t="s">
        <v>617</v>
      </c>
      <c r="D863" s="286" t="s">
        <v>1476</v>
      </c>
      <c r="E863" s="404">
        <v>44412</v>
      </c>
      <c r="F863" s="404">
        <v>46238</v>
      </c>
      <c r="G863" s="286" t="s">
        <v>286</v>
      </c>
      <c r="H863" s="282" t="s">
        <v>1451</v>
      </c>
      <c r="I863" s="282" t="s">
        <v>590</v>
      </c>
      <c r="J863" s="282" t="s">
        <v>156</v>
      </c>
      <c r="K863" s="286" t="s">
        <v>1452</v>
      </c>
      <c r="L863" s="282" t="s">
        <v>574</v>
      </c>
      <c r="M863" s="287">
        <v>2400</v>
      </c>
      <c r="N863" s="287">
        <v>0</v>
      </c>
      <c r="O863" s="287">
        <v>0</v>
      </c>
      <c r="P863" s="287"/>
      <c r="Q863" s="288" t="s">
        <v>1477</v>
      </c>
      <c r="R863" s="287"/>
      <c r="S863" s="288"/>
      <c r="T863" s="288"/>
      <c r="U863" s="288">
        <v>0</v>
      </c>
      <c r="V863" s="289">
        <v>333.89</v>
      </c>
      <c r="W863" s="289">
        <v>0</v>
      </c>
      <c r="X863" s="288">
        <v>0.13912083333333333</v>
      </c>
      <c r="Y863" s="288">
        <v>0</v>
      </c>
      <c r="Z863" s="288">
        <v>0</v>
      </c>
      <c r="AA863" s="288">
        <v>0</v>
      </c>
      <c r="AB863" s="288">
        <v>0</v>
      </c>
      <c r="AC863" s="289">
        <v>0.13912083333333333</v>
      </c>
      <c r="AD863" s="289">
        <v>0</v>
      </c>
    </row>
    <row r="864" spans="1:30" ht="15" customHeight="1" x14ac:dyDescent="0.25">
      <c r="A864" s="282" t="s">
        <v>581</v>
      </c>
      <c r="B864" s="282" t="s">
        <v>611</v>
      </c>
      <c r="C864" s="282" t="s">
        <v>612</v>
      </c>
      <c r="D864" s="286" t="s">
        <v>1478</v>
      </c>
      <c r="E864" s="404">
        <v>44412</v>
      </c>
      <c r="F864" s="404">
        <v>46238</v>
      </c>
      <c r="G864" s="286" t="s">
        <v>286</v>
      </c>
      <c r="H864" s="282" t="s">
        <v>1451</v>
      </c>
      <c r="I864" s="282" t="s">
        <v>590</v>
      </c>
      <c r="J864" s="282" t="s">
        <v>156</v>
      </c>
      <c r="K864" s="286" t="s">
        <v>1452</v>
      </c>
      <c r="L864" s="282" t="s">
        <v>574</v>
      </c>
      <c r="M864" s="287">
        <v>2400</v>
      </c>
      <c r="N864" s="287">
        <v>0</v>
      </c>
      <c r="O864" s="287">
        <v>0</v>
      </c>
      <c r="P864" s="287"/>
      <c r="Q864" s="288" t="s">
        <v>1479</v>
      </c>
      <c r="R864" s="287"/>
      <c r="S864" s="288"/>
      <c r="T864" s="288"/>
      <c r="U864" s="288">
        <v>0</v>
      </c>
      <c r="V864" s="289">
        <v>249.31</v>
      </c>
      <c r="W864" s="289">
        <v>0</v>
      </c>
      <c r="X864" s="288">
        <v>0.10387916666666666</v>
      </c>
      <c r="Y864" s="288">
        <v>0</v>
      </c>
      <c r="Z864" s="288">
        <v>0</v>
      </c>
      <c r="AA864" s="288">
        <v>0</v>
      </c>
      <c r="AB864" s="288">
        <v>0</v>
      </c>
      <c r="AC864" s="289">
        <v>0.10387916666666666</v>
      </c>
      <c r="AD864" s="289">
        <v>0</v>
      </c>
    </row>
    <row r="865" spans="1:30" ht="15" customHeight="1" x14ac:dyDescent="0.25">
      <c r="A865" s="282" t="s">
        <v>581</v>
      </c>
      <c r="B865" s="282" t="s">
        <v>585</v>
      </c>
      <c r="C865" s="282" t="s">
        <v>586</v>
      </c>
      <c r="D865" s="286" t="s">
        <v>1480</v>
      </c>
      <c r="E865" s="404">
        <v>44412</v>
      </c>
      <c r="F865" s="404">
        <v>46238</v>
      </c>
      <c r="G865" s="286" t="s">
        <v>286</v>
      </c>
      <c r="H865" s="282" t="s">
        <v>1451</v>
      </c>
      <c r="I865" s="282" t="s">
        <v>590</v>
      </c>
      <c r="J865" s="282" t="s">
        <v>156</v>
      </c>
      <c r="K865" s="286" t="s">
        <v>1452</v>
      </c>
      <c r="L865" s="282" t="s">
        <v>574</v>
      </c>
      <c r="M865" s="287">
        <v>2400</v>
      </c>
      <c r="N865" s="287">
        <v>0</v>
      </c>
      <c r="O865" s="287">
        <v>0</v>
      </c>
      <c r="P865" s="287"/>
      <c r="Q865" s="288" t="s">
        <v>1481</v>
      </c>
      <c r="R865" s="287"/>
      <c r="S865" s="288"/>
      <c r="T865" s="288"/>
      <c r="U865" s="288">
        <v>0</v>
      </c>
      <c r="V865" s="289">
        <v>254.7</v>
      </c>
      <c r="W865" s="289">
        <v>0</v>
      </c>
      <c r="X865" s="288">
        <v>0.106125</v>
      </c>
      <c r="Y865" s="288">
        <v>0</v>
      </c>
      <c r="Z865" s="288">
        <v>0</v>
      </c>
      <c r="AA865" s="288">
        <v>0</v>
      </c>
      <c r="AB865" s="288">
        <v>0</v>
      </c>
      <c r="AC865" s="289">
        <v>0.106125</v>
      </c>
      <c r="AD865" s="289">
        <v>0</v>
      </c>
    </row>
    <row r="866" spans="1:30" ht="15" customHeight="1" x14ac:dyDescent="0.25">
      <c r="A866" s="282" t="s">
        <v>581</v>
      </c>
      <c r="B866" s="282" t="s">
        <v>616</v>
      </c>
      <c r="C866" s="282" t="s">
        <v>617</v>
      </c>
      <c r="D866" s="286" t="s">
        <v>1482</v>
      </c>
      <c r="E866" s="404">
        <v>44412</v>
      </c>
      <c r="F866" s="404">
        <v>46238</v>
      </c>
      <c r="G866" s="286" t="s">
        <v>286</v>
      </c>
      <c r="H866" s="282" t="s">
        <v>1451</v>
      </c>
      <c r="I866" s="282" t="s">
        <v>590</v>
      </c>
      <c r="J866" s="282" t="s">
        <v>156</v>
      </c>
      <c r="K866" s="286" t="s">
        <v>1452</v>
      </c>
      <c r="L866" s="282" t="s">
        <v>574</v>
      </c>
      <c r="M866" s="287">
        <v>2400</v>
      </c>
      <c r="N866" s="287">
        <v>0</v>
      </c>
      <c r="O866" s="287">
        <v>0</v>
      </c>
      <c r="P866" s="287"/>
      <c r="Q866" s="288" t="s">
        <v>1483</v>
      </c>
      <c r="R866" s="287"/>
      <c r="S866" s="288"/>
      <c r="T866" s="288"/>
      <c r="U866" s="288">
        <v>0</v>
      </c>
      <c r="V866" s="289">
        <v>286.08</v>
      </c>
      <c r="W866" s="289">
        <v>0</v>
      </c>
      <c r="X866" s="288">
        <v>0.11919999999999999</v>
      </c>
      <c r="Y866" s="288">
        <v>0</v>
      </c>
      <c r="Z866" s="288">
        <v>0</v>
      </c>
      <c r="AA866" s="288">
        <v>0</v>
      </c>
      <c r="AB866" s="288">
        <v>0</v>
      </c>
      <c r="AC866" s="289">
        <v>0.11919999999999999</v>
      </c>
      <c r="AD866" s="289">
        <v>0</v>
      </c>
    </row>
    <row r="867" spans="1:30" ht="15" customHeight="1" x14ac:dyDescent="0.25">
      <c r="A867" s="282" t="s">
        <v>581</v>
      </c>
      <c r="B867" s="282" t="s">
        <v>1155</v>
      </c>
      <c r="C867" s="282" t="s">
        <v>696</v>
      </c>
      <c r="D867" s="286" t="s">
        <v>1484</v>
      </c>
      <c r="E867" s="404">
        <v>44412</v>
      </c>
      <c r="F867" s="404">
        <v>46238</v>
      </c>
      <c r="G867" s="286" t="s">
        <v>286</v>
      </c>
      <c r="H867" s="282" t="s">
        <v>1451</v>
      </c>
      <c r="I867" s="282" t="s">
        <v>590</v>
      </c>
      <c r="J867" s="282" t="s">
        <v>156</v>
      </c>
      <c r="K867" s="286" t="s">
        <v>1452</v>
      </c>
      <c r="L867" s="282" t="s">
        <v>574</v>
      </c>
      <c r="M867" s="287">
        <v>2400</v>
      </c>
      <c r="N867" s="287">
        <v>0</v>
      </c>
      <c r="O867" s="287">
        <v>0</v>
      </c>
      <c r="P867" s="287"/>
      <c r="Q867" s="288" t="s">
        <v>1485</v>
      </c>
      <c r="R867" s="287"/>
      <c r="S867" s="288"/>
      <c r="T867" s="288"/>
      <c r="U867" s="288">
        <v>0</v>
      </c>
      <c r="V867" s="289">
        <v>303.35000000000002</v>
      </c>
      <c r="W867" s="289">
        <v>0</v>
      </c>
      <c r="X867" s="288">
        <v>0.12639583333333335</v>
      </c>
      <c r="Y867" s="288">
        <v>0</v>
      </c>
      <c r="Z867" s="288">
        <v>0</v>
      </c>
      <c r="AA867" s="288">
        <v>0</v>
      </c>
      <c r="AB867" s="288">
        <v>0</v>
      </c>
      <c r="AC867" s="289">
        <v>0.12639583333333335</v>
      </c>
      <c r="AD867" s="289">
        <v>0</v>
      </c>
    </row>
    <row r="868" spans="1:30" ht="15" customHeight="1" x14ac:dyDescent="0.25">
      <c r="A868" s="282" t="s">
        <v>581</v>
      </c>
      <c r="B868" s="282" t="s">
        <v>585</v>
      </c>
      <c r="C868" s="282" t="s">
        <v>586</v>
      </c>
      <c r="D868" s="286" t="s">
        <v>1486</v>
      </c>
      <c r="E868" s="404">
        <v>44412</v>
      </c>
      <c r="F868" s="404">
        <v>46238</v>
      </c>
      <c r="G868" s="286" t="s">
        <v>286</v>
      </c>
      <c r="H868" s="282" t="s">
        <v>1451</v>
      </c>
      <c r="I868" s="282" t="s">
        <v>590</v>
      </c>
      <c r="J868" s="282" t="s">
        <v>156</v>
      </c>
      <c r="K868" s="286" t="s">
        <v>1452</v>
      </c>
      <c r="L868" s="282" t="s">
        <v>574</v>
      </c>
      <c r="M868" s="287">
        <v>2400</v>
      </c>
      <c r="N868" s="287">
        <v>0</v>
      </c>
      <c r="O868" s="287">
        <v>0</v>
      </c>
      <c r="P868" s="287"/>
      <c r="Q868" s="288" t="s">
        <v>1487</v>
      </c>
      <c r="R868" s="287"/>
      <c r="S868" s="288"/>
      <c r="T868" s="288"/>
      <c r="U868" s="288">
        <v>0</v>
      </c>
      <c r="V868" s="289">
        <v>252.32</v>
      </c>
      <c r="W868" s="289">
        <v>0</v>
      </c>
      <c r="X868" s="288">
        <v>0.10513333333333333</v>
      </c>
      <c r="Y868" s="288">
        <v>0</v>
      </c>
      <c r="Z868" s="288">
        <v>0</v>
      </c>
      <c r="AA868" s="288">
        <v>0</v>
      </c>
      <c r="AB868" s="288">
        <v>0</v>
      </c>
      <c r="AC868" s="289">
        <v>0.10513333333333333</v>
      </c>
      <c r="AD868" s="289">
        <v>0</v>
      </c>
    </row>
    <row r="869" spans="1:30" ht="15" customHeight="1" x14ac:dyDescent="0.25">
      <c r="A869" s="282" t="s">
        <v>581</v>
      </c>
      <c r="B869" s="282" t="s">
        <v>1488</v>
      </c>
      <c r="C869" s="282" t="s">
        <v>595</v>
      </c>
      <c r="D869" s="286" t="s">
        <v>1489</v>
      </c>
      <c r="E869" s="404">
        <v>44412</v>
      </c>
      <c r="F869" s="404">
        <v>46238</v>
      </c>
      <c r="G869" s="286" t="s">
        <v>286</v>
      </c>
      <c r="H869" s="282" t="s">
        <v>1451</v>
      </c>
      <c r="I869" s="282" t="s">
        <v>590</v>
      </c>
      <c r="J869" s="282" t="s">
        <v>156</v>
      </c>
      <c r="K869" s="286" t="s">
        <v>1452</v>
      </c>
      <c r="L869" s="282" t="s">
        <v>574</v>
      </c>
      <c r="M869" s="287">
        <v>2400</v>
      </c>
      <c r="N869" s="287">
        <v>0</v>
      </c>
      <c r="O869" s="287">
        <v>0</v>
      </c>
      <c r="P869" s="287"/>
      <c r="Q869" s="288" t="s">
        <v>1490</v>
      </c>
      <c r="R869" s="287"/>
      <c r="S869" s="288"/>
      <c r="T869" s="288"/>
      <c r="U869" s="288">
        <v>0</v>
      </c>
      <c r="V869" s="289">
        <v>158.51</v>
      </c>
      <c r="W869" s="289">
        <v>0</v>
      </c>
      <c r="X869" s="288">
        <v>6.6045833333333331E-2</v>
      </c>
      <c r="Y869" s="288">
        <v>0</v>
      </c>
      <c r="Z869" s="288">
        <v>0</v>
      </c>
      <c r="AA869" s="288">
        <v>0</v>
      </c>
      <c r="AB869" s="288">
        <v>0</v>
      </c>
      <c r="AC869" s="289">
        <v>6.6045833333333331E-2</v>
      </c>
      <c r="AD869" s="289">
        <v>0</v>
      </c>
    </row>
    <row r="870" spans="1:30" ht="15" customHeight="1" x14ac:dyDescent="0.25">
      <c r="A870" s="282" t="s">
        <v>581</v>
      </c>
      <c r="B870" s="282" t="s">
        <v>594</v>
      </c>
      <c r="C870" s="282" t="s">
        <v>595</v>
      </c>
      <c r="D870" s="286" t="s">
        <v>1491</v>
      </c>
      <c r="E870" s="404">
        <v>44412</v>
      </c>
      <c r="F870" s="404">
        <v>46238</v>
      </c>
      <c r="G870" s="286" t="s">
        <v>286</v>
      </c>
      <c r="H870" s="282" t="s">
        <v>1451</v>
      </c>
      <c r="I870" s="282" t="s">
        <v>590</v>
      </c>
      <c r="J870" s="282" t="s">
        <v>156</v>
      </c>
      <c r="K870" s="286" t="s">
        <v>1452</v>
      </c>
      <c r="L870" s="282" t="s">
        <v>574</v>
      </c>
      <c r="M870" s="287">
        <v>2400</v>
      </c>
      <c r="N870" s="287">
        <v>0</v>
      </c>
      <c r="O870" s="287">
        <v>0</v>
      </c>
      <c r="P870" s="287"/>
      <c r="Q870" s="288" t="s">
        <v>1492</v>
      </c>
      <c r="R870" s="287"/>
      <c r="S870" s="288"/>
      <c r="T870" s="288"/>
      <c r="U870" s="288">
        <v>0</v>
      </c>
      <c r="V870" s="289">
        <v>168.75</v>
      </c>
      <c r="W870" s="289">
        <v>0</v>
      </c>
      <c r="X870" s="288">
        <v>7.03125E-2</v>
      </c>
      <c r="Y870" s="288">
        <v>0</v>
      </c>
      <c r="Z870" s="288">
        <v>0</v>
      </c>
      <c r="AA870" s="288">
        <v>0</v>
      </c>
      <c r="AB870" s="288">
        <v>0</v>
      </c>
      <c r="AC870" s="289">
        <v>7.03125E-2</v>
      </c>
      <c r="AD870" s="289">
        <v>0</v>
      </c>
    </row>
    <row r="871" spans="1:30" ht="15" customHeight="1" x14ac:dyDescent="0.25">
      <c r="A871" s="282" t="s">
        <v>581</v>
      </c>
      <c r="B871" s="282" t="s">
        <v>628</v>
      </c>
      <c r="C871" s="282" t="s">
        <v>629</v>
      </c>
      <c r="D871" s="286" t="s">
        <v>1493</v>
      </c>
      <c r="E871" s="404">
        <v>44412</v>
      </c>
      <c r="F871" s="404">
        <v>46238</v>
      </c>
      <c r="G871" s="286" t="s">
        <v>286</v>
      </c>
      <c r="H871" s="282" t="s">
        <v>1451</v>
      </c>
      <c r="I871" s="282" t="s">
        <v>590</v>
      </c>
      <c r="J871" s="282" t="s">
        <v>156</v>
      </c>
      <c r="K871" s="286" t="s">
        <v>1452</v>
      </c>
      <c r="L871" s="282" t="s">
        <v>574</v>
      </c>
      <c r="M871" s="287">
        <v>2400</v>
      </c>
      <c r="N871" s="287">
        <v>0</v>
      </c>
      <c r="O871" s="287">
        <v>0</v>
      </c>
      <c r="P871" s="287"/>
      <c r="Q871" s="288" t="s">
        <v>1494</v>
      </c>
      <c r="R871" s="287"/>
      <c r="S871" s="288"/>
      <c r="T871" s="288"/>
      <c r="U871" s="288">
        <v>0</v>
      </c>
      <c r="V871" s="289">
        <v>185.25</v>
      </c>
      <c r="W871" s="289">
        <v>0</v>
      </c>
      <c r="X871" s="288">
        <v>7.7187500000000006E-2</v>
      </c>
      <c r="Y871" s="288">
        <v>0</v>
      </c>
      <c r="Z871" s="288">
        <v>0</v>
      </c>
      <c r="AA871" s="288">
        <v>0</v>
      </c>
      <c r="AB871" s="288">
        <v>0</v>
      </c>
      <c r="AC871" s="289">
        <v>7.7187500000000006E-2</v>
      </c>
      <c r="AD871" s="289">
        <v>0</v>
      </c>
    </row>
    <row r="872" spans="1:30" ht="15" customHeight="1" x14ac:dyDescent="0.25">
      <c r="A872" s="282" t="s">
        <v>581</v>
      </c>
      <c r="B872" s="282" t="s">
        <v>611</v>
      </c>
      <c r="C872" s="282" t="s">
        <v>612</v>
      </c>
      <c r="D872" s="286" t="s">
        <v>1495</v>
      </c>
      <c r="E872" s="404">
        <v>44412</v>
      </c>
      <c r="F872" s="404">
        <v>46238</v>
      </c>
      <c r="G872" s="286" t="s">
        <v>286</v>
      </c>
      <c r="H872" s="282" t="s">
        <v>1451</v>
      </c>
      <c r="I872" s="282" t="s">
        <v>590</v>
      </c>
      <c r="J872" s="282" t="s">
        <v>156</v>
      </c>
      <c r="K872" s="286" t="s">
        <v>1452</v>
      </c>
      <c r="L872" s="282" t="s">
        <v>574</v>
      </c>
      <c r="M872" s="287">
        <v>2400</v>
      </c>
      <c r="N872" s="287">
        <v>0</v>
      </c>
      <c r="O872" s="287">
        <v>0</v>
      </c>
      <c r="P872" s="287"/>
      <c r="Q872" s="288" t="s">
        <v>1496</v>
      </c>
      <c r="R872" s="287"/>
      <c r="S872" s="288"/>
      <c r="T872" s="288"/>
      <c r="U872" s="288">
        <v>0</v>
      </c>
      <c r="V872" s="289">
        <v>203.16</v>
      </c>
      <c r="W872" s="289">
        <v>0</v>
      </c>
      <c r="X872" s="288">
        <v>8.4650000000000003E-2</v>
      </c>
      <c r="Y872" s="288">
        <v>0</v>
      </c>
      <c r="Z872" s="288">
        <v>0</v>
      </c>
      <c r="AA872" s="288">
        <v>0</v>
      </c>
      <c r="AB872" s="288">
        <v>0</v>
      </c>
      <c r="AC872" s="289">
        <v>8.4650000000000003E-2</v>
      </c>
      <c r="AD872" s="289">
        <v>0</v>
      </c>
    </row>
    <row r="873" spans="1:30" ht="15" customHeight="1" x14ac:dyDescent="0.25">
      <c r="A873" s="282" t="s">
        <v>581</v>
      </c>
      <c r="B873" s="282" t="s">
        <v>585</v>
      </c>
      <c r="C873" s="282" t="s">
        <v>586</v>
      </c>
      <c r="D873" s="286" t="s">
        <v>1497</v>
      </c>
      <c r="E873" s="404">
        <v>44294</v>
      </c>
      <c r="F873" s="404">
        <v>46120</v>
      </c>
      <c r="G873" s="286" t="s">
        <v>1498</v>
      </c>
      <c r="H873" s="282" t="s">
        <v>800</v>
      </c>
      <c r="I873" s="282" t="s">
        <v>590</v>
      </c>
      <c r="J873" s="282" t="s">
        <v>156</v>
      </c>
      <c r="K873" s="286" t="s">
        <v>1499</v>
      </c>
      <c r="L873" s="282" t="s">
        <v>574</v>
      </c>
      <c r="M873" s="287">
        <v>2400</v>
      </c>
      <c r="N873" s="287">
        <v>0</v>
      </c>
      <c r="O873" s="287">
        <v>0</v>
      </c>
      <c r="P873" s="287"/>
      <c r="Q873" s="287" t="s">
        <v>1500</v>
      </c>
      <c r="R873" s="287" t="s">
        <v>1500</v>
      </c>
      <c r="S873" s="288"/>
      <c r="T873" s="288"/>
      <c r="U873" s="288">
        <v>0</v>
      </c>
      <c r="V873" s="289">
        <v>424.99</v>
      </c>
      <c r="W873" s="289">
        <v>0</v>
      </c>
      <c r="X873" s="288">
        <v>0.17707916666666668</v>
      </c>
      <c r="Y873" s="288">
        <v>0.17707916666666668</v>
      </c>
      <c r="Z873" s="288">
        <v>0</v>
      </c>
      <c r="AA873" s="288">
        <v>0</v>
      </c>
      <c r="AB873" s="288">
        <v>0</v>
      </c>
      <c r="AC873" s="289">
        <v>0.17707916666666668</v>
      </c>
      <c r="AD873" s="289">
        <v>0</v>
      </c>
    </row>
    <row r="874" spans="1:30" ht="15" customHeight="1" x14ac:dyDescent="0.25">
      <c r="A874" s="282" t="s">
        <v>581</v>
      </c>
      <c r="B874" s="282" t="s">
        <v>585</v>
      </c>
      <c r="C874" s="282" t="s">
        <v>586</v>
      </c>
      <c r="D874" s="286" t="s">
        <v>1501</v>
      </c>
      <c r="E874" s="404">
        <v>44294</v>
      </c>
      <c r="F874" s="404">
        <v>46120</v>
      </c>
      <c r="G874" s="286" t="s">
        <v>1498</v>
      </c>
      <c r="H874" s="282" t="s">
        <v>800</v>
      </c>
      <c r="I874" s="282" t="s">
        <v>590</v>
      </c>
      <c r="J874" s="282" t="s">
        <v>156</v>
      </c>
      <c r="K874" s="286" t="s">
        <v>1499</v>
      </c>
      <c r="L874" s="282" t="s">
        <v>574</v>
      </c>
      <c r="M874" s="287">
        <v>2400</v>
      </c>
      <c r="N874" s="287">
        <v>0</v>
      </c>
      <c r="O874" s="287">
        <v>0</v>
      </c>
      <c r="P874" s="287"/>
      <c r="Q874" s="287" t="s">
        <v>1502</v>
      </c>
      <c r="R874" s="287" t="s">
        <v>1502</v>
      </c>
      <c r="S874" s="288"/>
      <c r="T874" s="288"/>
      <c r="U874" s="288">
        <v>0</v>
      </c>
      <c r="V874" s="289">
        <v>426.26</v>
      </c>
      <c r="W874" s="289">
        <v>0</v>
      </c>
      <c r="X874" s="288">
        <v>0.17760833333333334</v>
      </c>
      <c r="Y874" s="288">
        <v>0.17760833333333334</v>
      </c>
      <c r="Z874" s="288">
        <v>0</v>
      </c>
      <c r="AA874" s="288">
        <v>0</v>
      </c>
      <c r="AB874" s="288">
        <v>0</v>
      </c>
      <c r="AC874" s="289">
        <v>0.17760833333333334</v>
      </c>
      <c r="AD874" s="289">
        <v>0</v>
      </c>
    </row>
    <row r="875" spans="1:30" ht="15" customHeight="1" x14ac:dyDescent="0.25">
      <c r="A875" s="282" t="s">
        <v>581</v>
      </c>
      <c r="B875" s="282" t="s">
        <v>616</v>
      </c>
      <c r="C875" s="282" t="s">
        <v>617</v>
      </c>
      <c r="D875" s="286" t="s">
        <v>1503</v>
      </c>
      <c r="E875" s="404">
        <v>44294</v>
      </c>
      <c r="F875" s="404">
        <v>46120</v>
      </c>
      <c r="G875" s="286" t="s">
        <v>1498</v>
      </c>
      <c r="H875" s="282" t="s">
        <v>800</v>
      </c>
      <c r="I875" s="282" t="s">
        <v>590</v>
      </c>
      <c r="J875" s="282" t="s">
        <v>156</v>
      </c>
      <c r="K875" s="286" t="s">
        <v>1499</v>
      </c>
      <c r="L875" s="282" t="s">
        <v>574</v>
      </c>
      <c r="M875" s="287">
        <v>2400</v>
      </c>
      <c r="N875" s="287">
        <v>0</v>
      </c>
      <c r="O875" s="287">
        <v>0</v>
      </c>
      <c r="P875" s="287"/>
      <c r="Q875" s="287" t="s">
        <v>1504</v>
      </c>
      <c r="R875" s="287" t="s">
        <v>1504</v>
      </c>
      <c r="S875" s="288"/>
      <c r="T875" s="288"/>
      <c r="U875" s="288">
        <v>0</v>
      </c>
      <c r="V875" s="289">
        <v>381.9</v>
      </c>
      <c r="W875" s="289">
        <v>0</v>
      </c>
      <c r="X875" s="288">
        <v>0.15912499999999999</v>
      </c>
      <c r="Y875" s="288">
        <v>0.15912499999999999</v>
      </c>
      <c r="Z875" s="288">
        <v>0</v>
      </c>
      <c r="AA875" s="288">
        <v>0</v>
      </c>
      <c r="AB875" s="288">
        <v>0</v>
      </c>
      <c r="AC875" s="289">
        <v>0.15912499999999999</v>
      </c>
      <c r="AD875" s="289">
        <v>0</v>
      </c>
    </row>
    <row r="876" spans="1:30" ht="15" customHeight="1" x14ac:dyDescent="0.25">
      <c r="A876" s="282" t="s">
        <v>581</v>
      </c>
      <c r="B876" s="282" t="s">
        <v>616</v>
      </c>
      <c r="C876" s="282" t="s">
        <v>617</v>
      </c>
      <c r="D876" s="286" t="s">
        <v>1505</v>
      </c>
      <c r="E876" s="404">
        <v>44294</v>
      </c>
      <c r="F876" s="404">
        <v>46120</v>
      </c>
      <c r="G876" s="286" t="s">
        <v>1498</v>
      </c>
      <c r="H876" s="282" t="s">
        <v>800</v>
      </c>
      <c r="I876" s="282" t="s">
        <v>590</v>
      </c>
      <c r="J876" s="282" t="s">
        <v>156</v>
      </c>
      <c r="K876" s="286" t="s">
        <v>1499</v>
      </c>
      <c r="L876" s="282" t="s">
        <v>574</v>
      </c>
      <c r="M876" s="287">
        <v>2400</v>
      </c>
      <c r="N876" s="287">
        <v>0</v>
      </c>
      <c r="O876" s="287">
        <v>0</v>
      </c>
      <c r="P876" s="287"/>
      <c r="Q876" s="287" t="s">
        <v>1506</v>
      </c>
      <c r="R876" s="287" t="s">
        <v>1506</v>
      </c>
      <c r="S876" s="288"/>
      <c r="T876" s="288"/>
      <c r="U876" s="288">
        <v>0</v>
      </c>
      <c r="V876" s="289">
        <v>436.45</v>
      </c>
      <c r="W876" s="289">
        <v>0</v>
      </c>
      <c r="X876" s="288">
        <v>0.18185416666666665</v>
      </c>
      <c r="Y876" s="288">
        <v>0.18185416666666665</v>
      </c>
      <c r="Z876" s="288">
        <v>0</v>
      </c>
      <c r="AA876" s="288">
        <v>0</v>
      </c>
      <c r="AB876" s="288">
        <v>0</v>
      </c>
      <c r="AC876" s="289">
        <v>0.18185416666666665</v>
      </c>
      <c r="AD876" s="289">
        <v>0</v>
      </c>
    </row>
    <row r="877" spans="1:30" ht="15" customHeight="1" x14ac:dyDescent="0.25">
      <c r="A877" s="282" t="s">
        <v>581</v>
      </c>
      <c r="B877" s="282" t="s">
        <v>585</v>
      </c>
      <c r="C877" s="282" t="s">
        <v>586</v>
      </c>
      <c r="D877" s="286" t="s">
        <v>1507</v>
      </c>
      <c r="E877" s="404">
        <v>44294</v>
      </c>
      <c r="F877" s="404">
        <v>46120</v>
      </c>
      <c r="G877" s="286" t="s">
        <v>1498</v>
      </c>
      <c r="H877" s="282" t="s">
        <v>800</v>
      </c>
      <c r="I877" s="282" t="s">
        <v>590</v>
      </c>
      <c r="J877" s="282" t="s">
        <v>156</v>
      </c>
      <c r="K877" s="286" t="s">
        <v>1499</v>
      </c>
      <c r="L877" s="282" t="s">
        <v>574</v>
      </c>
      <c r="M877" s="287">
        <v>2400</v>
      </c>
      <c r="N877" s="287">
        <v>0</v>
      </c>
      <c r="O877" s="287">
        <v>0</v>
      </c>
      <c r="P877" s="287"/>
      <c r="Q877" s="287" t="s">
        <v>1508</v>
      </c>
      <c r="R877" s="287" t="s">
        <v>1508</v>
      </c>
      <c r="S877" s="288"/>
      <c r="T877" s="288"/>
      <c r="U877" s="288">
        <v>0</v>
      </c>
      <c r="V877" s="289">
        <v>407.83</v>
      </c>
      <c r="W877" s="289">
        <v>0</v>
      </c>
      <c r="X877" s="288">
        <v>0.16992916666666666</v>
      </c>
      <c r="Y877" s="288">
        <v>0.16992916666666666</v>
      </c>
      <c r="Z877" s="288">
        <v>0</v>
      </c>
      <c r="AA877" s="288">
        <v>0</v>
      </c>
      <c r="AB877" s="288">
        <v>0</v>
      </c>
      <c r="AC877" s="289">
        <v>0.16992916666666666</v>
      </c>
      <c r="AD877" s="289">
        <v>0</v>
      </c>
    </row>
    <row r="878" spans="1:30" ht="15" customHeight="1" x14ac:dyDescent="0.25">
      <c r="A878" s="282" t="s">
        <v>581</v>
      </c>
      <c r="B878" s="282" t="s">
        <v>585</v>
      </c>
      <c r="C878" s="282" t="s">
        <v>586</v>
      </c>
      <c r="D878" s="286" t="s">
        <v>1509</v>
      </c>
      <c r="E878" s="404">
        <v>44294</v>
      </c>
      <c r="F878" s="404">
        <v>46120</v>
      </c>
      <c r="G878" s="286" t="s">
        <v>1498</v>
      </c>
      <c r="H878" s="282" t="s">
        <v>800</v>
      </c>
      <c r="I878" s="282" t="s">
        <v>590</v>
      </c>
      <c r="J878" s="282" t="s">
        <v>156</v>
      </c>
      <c r="K878" s="286" t="s">
        <v>1499</v>
      </c>
      <c r="L878" s="282" t="s">
        <v>574</v>
      </c>
      <c r="M878" s="287">
        <v>2400</v>
      </c>
      <c r="N878" s="287">
        <v>0</v>
      </c>
      <c r="O878" s="287">
        <v>0</v>
      </c>
      <c r="P878" s="287"/>
      <c r="Q878" s="287" t="s">
        <v>1510</v>
      </c>
      <c r="R878" s="287" t="s">
        <v>1510</v>
      </c>
      <c r="S878" s="288"/>
      <c r="T878" s="288"/>
      <c r="U878" s="288">
        <v>0</v>
      </c>
      <c r="V878" s="289">
        <v>379.5</v>
      </c>
      <c r="W878" s="289">
        <v>0</v>
      </c>
      <c r="X878" s="288">
        <v>0.15812499999999999</v>
      </c>
      <c r="Y878" s="288">
        <v>0.15812499999999999</v>
      </c>
      <c r="Z878" s="288">
        <v>0</v>
      </c>
      <c r="AA878" s="288">
        <v>0</v>
      </c>
      <c r="AB878" s="288">
        <v>0</v>
      </c>
      <c r="AC878" s="289">
        <v>0.15812499999999999</v>
      </c>
      <c r="AD878" s="289">
        <v>0</v>
      </c>
    </row>
    <row r="879" spans="1:30" ht="15" customHeight="1" x14ac:dyDescent="0.25">
      <c r="A879" s="282" t="s">
        <v>581</v>
      </c>
      <c r="B879" s="282" t="s">
        <v>616</v>
      </c>
      <c r="C879" s="282" t="s">
        <v>617</v>
      </c>
      <c r="D879" s="286" t="s">
        <v>1511</v>
      </c>
      <c r="E879" s="404">
        <v>44294</v>
      </c>
      <c r="F879" s="404">
        <v>46120</v>
      </c>
      <c r="G879" s="286" t="s">
        <v>1498</v>
      </c>
      <c r="H879" s="282" t="s">
        <v>800</v>
      </c>
      <c r="I879" s="282" t="s">
        <v>590</v>
      </c>
      <c r="J879" s="282" t="s">
        <v>156</v>
      </c>
      <c r="K879" s="286" t="s">
        <v>1499</v>
      </c>
      <c r="L879" s="282" t="s">
        <v>574</v>
      </c>
      <c r="M879" s="287">
        <v>2400</v>
      </c>
      <c r="N879" s="287">
        <v>0</v>
      </c>
      <c r="O879" s="287">
        <v>0</v>
      </c>
      <c r="P879" s="287"/>
      <c r="Q879" s="287" t="s">
        <v>1512</v>
      </c>
      <c r="R879" s="287" t="s">
        <v>1512</v>
      </c>
      <c r="S879" s="288"/>
      <c r="T879" s="288"/>
      <c r="U879" s="288">
        <v>0</v>
      </c>
      <c r="V879" s="289">
        <v>408.02</v>
      </c>
      <c r="W879" s="289">
        <v>0</v>
      </c>
      <c r="X879" s="288">
        <v>0.17000833333333332</v>
      </c>
      <c r="Y879" s="288">
        <v>0.17000833333333332</v>
      </c>
      <c r="Z879" s="288">
        <v>0</v>
      </c>
      <c r="AA879" s="288">
        <v>0</v>
      </c>
      <c r="AB879" s="288">
        <v>0</v>
      </c>
      <c r="AC879" s="289">
        <v>0.17000833333333332</v>
      </c>
      <c r="AD879" s="289">
        <v>0</v>
      </c>
    </row>
    <row r="880" spans="1:30" ht="15" customHeight="1" x14ac:dyDescent="0.25">
      <c r="A880" s="282" t="s">
        <v>581</v>
      </c>
      <c r="B880" s="282" t="s">
        <v>616</v>
      </c>
      <c r="C880" s="282" t="s">
        <v>617</v>
      </c>
      <c r="D880" s="286" t="s">
        <v>1513</v>
      </c>
      <c r="E880" s="404">
        <v>44294</v>
      </c>
      <c r="F880" s="404">
        <v>46120</v>
      </c>
      <c r="G880" s="286" t="s">
        <v>1498</v>
      </c>
      <c r="H880" s="282" t="s">
        <v>800</v>
      </c>
      <c r="I880" s="282" t="s">
        <v>590</v>
      </c>
      <c r="J880" s="282" t="s">
        <v>156</v>
      </c>
      <c r="K880" s="286" t="s">
        <v>1499</v>
      </c>
      <c r="L880" s="282" t="s">
        <v>574</v>
      </c>
      <c r="M880" s="287">
        <v>2400</v>
      </c>
      <c r="N880" s="287">
        <v>0</v>
      </c>
      <c r="O880" s="287">
        <v>0</v>
      </c>
      <c r="P880" s="287"/>
      <c r="Q880" s="287" t="s">
        <v>1514</v>
      </c>
      <c r="R880" s="287" t="s">
        <v>1514</v>
      </c>
      <c r="S880" s="288"/>
      <c r="T880" s="288"/>
      <c r="U880" s="288">
        <v>0</v>
      </c>
      <c r="V880" s="289">
        <v>395.24</v>
      </c>
      <c r="W880" s="289">
        <v>0</v>
      </c>
      <c r="X880" s="288">
        <v>0.16468333333333335</v>
      </c>
      <c r="Y880" s="288">
        <v>0.16468333333333335</v>
      </c>
      <c r="Z880" s="288">
        <v>0</v>
      </c>
      <c r="AA880" s="288">
        <v>0</v>
      </c>
      <c r="AB880" s="288">
        <v>0</v>
      </c>
      <c r="AC880" s="289">
        <v>0.16468333333333335</v>
      </c>
      <c r="AD880" s="289">
        <v>0</v>
      </c>
    </row>
    <row r="881" spans="1:30" ht="15" customHeight="1" x14ac:dyDescent="0.25">
      <c r="A881" s="282" t="s">
        <v>581</v>
      </c>
      <c r="B881" s="282" t="s">
        <v>616</v>
      </c>
      <c r="C881" s="282" t="s">
        <v>617</v>
      </c>
      <c r="D881" s="286" t="s">
        <v>1515</v>
      </c>
      <c r="E881" s="404">
        <v>44294</v>
      </c>
      <c r="F881" s="404">
        <v>46120</v>
      </c>
      <c r="G881" s="286" t="s">
        <v>1498</v>
      </c>
      <c r="H881" s="282" t="s">
        <v>800</v>
      </c>
      <c r="I881" s="282" t="s">
        <v>590</v>
      </c>
      <c r="J881" s="282" t="s">
        <v>156</v>
      </c>
      <c r="K881" s="286" t="s">
        <v>1499</v>
      </c>
      <c r="L881" s="282" t="s">
        <v>574</v>
      </c>
      <c r="M881" s="287">
        <v>2400</v>
      </c>
      <c r="N881" s="287">
        <v>0</v>
      </c>
      <c r="O881" s="287">
        <v>0</v>
      </c>
      <c r="P881" s="287"/>
      <c r="Q881" s="287" t="s">
        <v>1516</v>
      </c>
      <c r="R881" s="287" t="s">
        <v>1516</v>
      </c>
      <c r="S881" s="288"/>
      <c r="T881" s="288"/>
      <c r="U881" s="288">
        <v>0</v>
      </c>
      <c r="V881" s="289">
        <v>408.58</v>
      </c>
      <c r="W881" s="289">
        <v>0</v>
      </c>
      <c r="X881" s="288">
        <v>0.17024166666666665</v>
      </c>
      <c r="Y881" s="288">
        <v>0.17024166666666665</v>
      </c>
      <c r="Z881" s="288">
        <v>0</v>
      </c>
      <c r="AA881" s="288">
        <v>0</v>
      </c>
      <c r="AB881" s="288">
        <v>0</v>
      </c>
      <c r="AC881" s="289">
        <v>0.17024166666666665</v>
      </c>
      <c r="AD881" s="289">
        <v>0</v>
      </c>
    </row>
    <row r="882" spans="1:30" ht="15" customHeight="1" x14ac:dyDescent="0.25">
      <c r="A882" s="282" t="s">
        <v>581</v>
      </c>
      <c r="B882" s="282" t="s">
        <v>594</v>
      </c>
      <c r="C882" s="282" t="s">
        <v>595</v>
      </c>
      <c r="D882" s="286" t="s">
        <v>1517</v>
      </c>
      <c r="E882" s="404">
        <v>44539</v>
      </c>
      <c r="F882" s="404">
        <v>46365</v>
      </c>
      <c r="G882" s="286" t="s">
        <v>1518</v>
      </c>
      <c r="H882" s="282" t="s">
        <v>1519</v>
      </c>
      <c r="I882" s="282" t="s">
        <v>590</v>
      </c>
      <c r="J882" s="282" t="s">
        <v>156</v>
      </c>
      <c r="K882" s="286" t="s">
        <v>1520</v>
      </c>
      <c r="L882" s="282" t="s">
        <v>574</v>
      </c>
      <c r="M882" s="287">
        <v>2400</v>
      </c>
      <c r="N882" s="287">
        <v>0</v>
      </c>
      <c r="O882" s="287">
        <v>0</v>
      </c>
      <c r="P882" s="287"/>
      <c r="Q882" s="288" t="s">
        <v>1521</v>
      </c>
      <c r="R882" s="288" t="s">
        <v>1521</v>
      </c>
      <c r="S882" s="288"/>
      <c r="T882" s="288"/>
      <c r="U882" s="288">
        <v>0</v>
      </c>
      <c r="V882" s="289">
        <v>197.24</v>
      </c>
      <c r="W882" s="289">
        <v>0</v>
      </c>
      <c r="X882" s="288">
        <v>8.218333333333333E-2</v>
      </c>
      <c r="Y882" s="288">
        <v>8.218333333333333E-2</v>
      </c>
      <c r="Z882" s="288">
        <v>0</v>
      </c>
      <c r="AA882" s="288">
        <v>0</v>
      </c>
      <c r="AB882" s="288">
        <v>0</v>
      </c>
      <c r="AC882" s="289">
        <v>8.218333333333333E-2</v>
      </c>
      <c r="AD882" s="289">
        <v>0</v>
      </c>
    </row>
    <row r="883" spans="1:30" ht="15" customHeight="1" x14ac:dyDescent="0.25">
      <c r="A883" s="282" t="s">
        <v>581</v>
      </c>
      <c r="B883" s="282" t="s">
        <v>594</v>
      </c>
      <c r="C883" s="282" t="s">
        <v>595</v>
      </c>
      <c r="D883" s="286" t="s">
        <v>1522</v>
      </c>
      <c r="E883" s="404">
        <v>44539</v>
      </c>
      <c r="F883" s="404">
        <v>46365</v>
      </c>
      <c r="G883" s="286" t="s">
        <v>1518</v>
      </c>
      <c r="H883" s="282" t="s">
        <v>1519</v>
      </c>
      <c r="I883" s="282" t="s">
        <v>590</v>
      </c>
      <c r="J883" s="282" t="s">
        <v>156</v>
      </c>
      <c r="K883" s="286" t="s">
        <v>1520</v>
      </c>
      <c r="L883" s="282" t="s">
        <v>574</v>
      </c>
      <c r="M883" s="287">
        <v>2400</v>
      </c>
      <c r="N883" s="287">
        <v>0</v>
      </c>
      <c r="O883" s="287">
        <v>0</v>
      </c>
      <c r="P883" s="287"/>
      <c r="Q883" s="288" t="s">
        <v>1523</v>
      </c>
      <c r="R883" s="288" t="s">
        <v>1523</v>
      </c>
      <c r="S883" s="288"/>
      <c r="T883" s="288"/>
      <c r="U883" s="288">
        <v>0</v>
      </c>
      <c r="V883" s="289">
        <v>197.49</v>
      </c>
      <c r="W883" s="289">
        <v>0</v>
      </c>
      <c r="X883" s="288">
        <v>8.22875E-2</v>
      </c>
      <c r="Y883" s="288">
        <v>8.22875E-2</v>
      </c>
      <c r="Z883" s="288">
        <v>0</v>
      </c>
      <c r="AA883" s="288">
        <v>0</v>
      </c>
      <c r="AB883" s="288">
        <v>0</v>
      </c>
      <c r="AC883" s="289">
        <v>8.22875E-2</v>
      </c>
      <c r="AD883" s="289">
        <v>0</v>
      </c>
    </row>
    <row r="884" spans="1:30" ht="15" customHeight="1" x14ac:dyDescent="0.25">
      <c r="A884" s="282" t="s">
        <v>581</v>
      </c>
      <c r="B884" s="282" t="s">
        <v>628</v>
      </c>
      <c r="C884" s="282" t="s">
        <v>629</v>
      </c>
      <c r="D884" s="286" t="s">
        <v>1524</v>
      </c>
      <c r="E884" s="404">
        <v>44539</v>
      </c>
      <c r="F884" s="404">
        <v>46365</v>
      </c>
      <c r="G884" s="286" t="s">
        <v>1518</v>
      </c>
      <c r="H884" s="282" t="s">
        <v>1519</v>
      </c>
      <c r="I884" s="282" t="s">
        <v>590</v>
      </c>
      <c r="J884" s="282" t="s">
        <v>156</v>
      </c>
      <c r="K884" s="286" t="s">
        <v>1520</v>
      </c>
      <c r="L884" s="282" t="s">
        <v>574</v>
      </c>
      <c r="M884" s="287">
        <v>2400</v>
      </c>
      <c r="N884" s="287">
        <v>0</v>
      </c>
      <c r="O884" s="287">
        <v>0</v>
      </c>
      <c r="P884" s="287"/>
      <c r="Q884" s="288" t="s">
        <v>1525</v>
      </c>
      <c r="R884" s="288" t="s">
        <v>1525</v>
      </c>
      <c r="S884" s="288"/>
      <c r="T884" s="288"/>
      <c r="U884" s="288">
        <v>0</v>
      </c>
      <c r="V884" s="289">
        <v>209.71</v>
      </c>
      <c r="W884" s="289">
        <v>0</v>
      </c>
      <c r="X884" s="288">
        <v>8.7379166666666674E-2</v>
      </c>
      <c r="Y884" s="288">
        <v>8.7379166666666674E-2</v>
      </c>
      <c r="Z884" s="288">
        <v>0</v>
      </c>
      <c r="AA884" s="288">
        <v>0</v>
      </c>
      <c r="AB884" s="288">
        <v>0</v>
      </c>
      <c r="AC884" s="289">
        <v>8.7379166666666674E-2</v>
      </c>
      <c r="AD884" s="289">
        <v>0</v>
      </c>
    </row>
    <row r="885" spans="1:30" ht="15" customHeight="1" x14ac:dyDescent="0.25">
      <c r="A885" s="282" t="s">
        <v>581</v>
      </c>
      <c r="B885" s="282" t="s">
        <v>628</v>
      </c>
      <c r="C885" s="282" t="s">
        <v>629</v>
      </c>
      <c r="D885" s="286" t="s">
        <v>1526</v>
      </c>
      <c r="E885" s="404">
        <v>44539</v>
      </c>
      <c r="F885" s="404">
        <v>46365</v>
      </c>
      <c r="G885" s="286" t="s">
        <v>1518</v>
      </c>
      <c r="H885" s="282" t="s">
        <v>1519</v>
      </c>
      <c r="I885" s="282" t="s">
        <v>590</v>
      </c>
      <c r="J885" s="282" t="s">
        <v>156</v>
      </c>
      <c r="K885" s="286" t="s">
        <v>1520</v>
      </c>
      <c r="L885" s="282" t="s">
        <v>574</v>
      </c>
      <c r="M885" s="287">
        <v>2400</v>
      </c>
      <c r="N885" s="287">
        <v>0</v>
      </c>
      <c r="O885" s="287">
        <v>0</v>
      </c>
      <c r="P885" s="287"/>
      <c r="Q885" s="288" t="s">
        <v>1527</v>
      </c>
      <c r="R885" s="288" t="s">
        <v>1527</v>
      </c>
      <c r="S885" s="288"/>
      <c r="T885" s="288"/>
      <c r="U885" s="288">
        <v>0</v>
      </c>
      <c r="V885" s="289">
        <v>209.99</v>
      </c>
      <c r="W885" s="289">
        <v>0</v>
      </c>
      <c r="X885" s="288">
        <v>8.7495833333333342E-2</v>
      </c>
      <c r="Y885" s="288">
        <v>8.7495833333333342E-2</v>
      </c>
      <c r="Z885" s="288">
        <v>0</v>
      </c>
      <c r="AA885" s="288">
        <v>0</v>
      </c>
      <c r="AB885" s="288">
        <v>0</v>
      </c>
      <c r="AC885" s="289">
        <v>8.7495833333333342E-2</v>
      </c>
      <c r="AD885" s="289">
        <v>0</v>
      </c>
    </row>
    <row r="886" spans="1:30" ht="15" customHeight="1" x14ac:dyDescent="0.25">
      <c r="A886" s="282" t="s">
        <v>581</v>
      </c>
      <c r="B886" s="282" t="s">
        <v>628</v>
      </c>
      <c r="C886" s="282" t="s">
        <v>629</v>
      </c>
      <c r="D886" s="286" t="s">
        <v>1528</v>
      </c>
      <c r="E886" s="404">
        <v>44539</v>
      </c>
      <c r="F886" s="404">
        <v>46365</v>
      </c>
      <c r="G886" s="286" t="s">
        <v>1518</v>
      </c>
      <c r="H886" s="282" t="s">
        <v>1519</v>
      </c>
      <c r="I886" s="282" t="s">
        <v>590</v>
      </c>
      <c r="J886" s="282" t="s">
        <v>156</v>
      </c>
      <c r="K886" s="286" t="s">
        <v>1520</v>
      </c>
      <c r="L886" s="282" t="s">
        <v>574</v>
      </c>
      <c r="M886" s="287">
        <v>2400</v>
      </c>
      <c r="N886" s="287">
        <v>0</v>
      </c>
      <c r="O886" s="287">
        <v>0</v>
      </c>
      <c r="P886" s="287"/>
      <c r="Q886" s="288" t="s">
        <v>1529</v>
      </c>
      <c r="R886" s="288" t="s">
        <v>1529</v>
      </c>
      <c r="S886" s="288"/>
      <c r="T886" s="288"/>
      <c r="U886" s="288">
        <v>0</v>
      </c>
      <c r="V886" s="289">
        <v>213.51</v>
      </c>
      <c r="W886" s="289">
        <v>0</v>
      </c>
      <c r="X886" s="288">
        <v>8.89625E-2</v>
      </c>
      <c r="Y886" s="288">
        <v>8.89625E-2</v>
      </c>
      <c r="Z886" s="288">
        <v>0</v>
      </c>
      <c r="AA886" s="288">
        <v>0</v>
      </c>
      <c r="AB886" s="288">
        <v>0</v>
      </c>
      <c r="AC886" s="289">
        <v>8.89625E-2</v>
      </c>
      <c r="AD886" s="289">
        <v>0</v>
      </c>
    </row>
    <row r="887" spans="1:30" ht="15" customHeight="1" x14ac:dyDescent="0.25">
      <c r="A887" s="282" t="s">
        <v>581</v>
      </c>
      <c r="B887" s="282" t="s">
        <v>611</v>
      </c>
      <c r="C887" s="282" t="s">
        <v>612</v>
      </c>
      <c r="D887" s="286" t="s">
        <v>1530</v>
      </c>
      <c r="E887" s="404">
        <v>44539</v>
      </c>
      <c r="F887" s="404">
        <v>46365</v>
      </c>
      <c r="G887" s="286" t="s">
        <v>1518</v>
      </c>
      <c r="H887" s="282" t="s">
        <v>1519</v>
      </c>
      <c r="I887" s="282" t="s">
        <v>590</v>
      </c>
      <c r="J887" s="282" t="s">
        <v>156</v>
      </c>
      <c r="K887" s="286" t="s">
        <v>1520</v>
      </c>
      <c r="L887" s="282" t="s">
        <v>574</v>
      </c>
      <c r="M887" s="287">
        <v>2400</v>
      </c>
      <c r="N887" s="287">
        <v>0</v>
      </c>
      <c r="O887" s="287">
        <v>0</v>
      </c>
      <c r="P887" s="287"/>
      <c r="Q887" s="288" t="s">
        <v>1531</v>
      </c>
      <c r="R887" s="288" t="s">
        <v>1531</v>
      </c>
      <c r="S887" s="288"/>
      <c r="T887" s="288"/>
      <c r="U887" s="288">
        <v>0</v>
      </c>
      <c r="V887" s="289">
        <v>237.22</v>
      </c>
      <c r="W887" s="289">
        <v>0</v>
      </c>
      <c r="X887" s="288">
        <v>9.8841666666666661E-2</v>
      </c>
      <c r="Y887" s="288">
        <v>9.8841666666666661E-2</v>
      </c>
      <c r="Z887" s="288">
        <v>0</v>
      </c>
      <c r="AA887" s="288">
        <v>0</v>
      </c>
      <c r="AB887" s="288">
        <v>0</v>
      </c>
      <c r="AC887" s="289">
        <v>9.8841666666666661E-2</v>
      </c>
      <c r="AD887" s="289">
        <v>0</v>
      </c>
    </row>
    <row r="888" spans="1:30" ht="15" customHeight="1" x14ac:dyDescent="0.25">
      <c r="A888" s="282" t="s">
        <v>581</v>
      </c>
      <c r="B888" s="282" t="s">
        <v>611</v>
      </c>
      <c r="C888" s="282" t="s">
        <v>612</v>
      </c>
      <c r="D888" s="286" t="s">
        <v>1532</v>
      </c>
      <c r="E888" s="404">
        <v>44539</v>
      </c>
      <c r="F888" s="404">
        <v>46365</v>
      </c>
      <c r="G888" s="286" t="s">
        <v>1518</v>
      </c>
      <c r="H888" s="282" t="s">
        <v>1519</v>
      </c>
      <c r="I888" s="282" t="s">
        <v>590</v>
      </c>
      <c r="J888" s="282" t="s">
        <v>156</v>
      </c>
      <c r="K888" s="286" t="s">
        <v>1520</v>
      </c>
      <c r="L888" s="282" t="s">
        <v>574</v>
      </c>
      <c r="M888" s="287">
        <v>2400</v>
      </c>
      <c r="N888" s="287">
        <v>0</v>
      </c>
      <c r="O888" s="287">
        <v>0</v>
      </c>
      <c r="P888" s="287"/>
      <c r="Q888" s="288" t="s">
        <v>1533</v>
      </c>
      <c r="R888" s="288" t="s">
        <v>1533</v>
      </c>
      <c r="S888" s="288"/>
      <c r="T888" s="288"/>
      <c r="U888" s="288">
        <v>0</v>
      </c>
      <c r="V888" s="289">
        <v>237.71</v>
      </c>
      <c r="W888" s="289">
        <v>0</v>
      </c>
      <c r="X888" s="288">
        <v>9.9045833333333333E-2</v>
      </c>
      <c r="Y888" s="288">
        <v>9.9045833333333333E-2</v>
      </c>
      <c r="Z888" s="288">
        <v>0</v>
      </c>
      <c r="AA888" s="288">
        <v>0</v>
      </c>
      <c r="AB888" s="288">
        <v>0</v>
      </c>
      <c r="AC888" s="289">
        <v>9.9045833333333333E-2</v>
      </c>
      <c r="AD888" s="289">
        <v>0</v>
      </c>
    </row>
    <row r="889" spans="1:30" ht="15" customHeight="1" x14ac:dyDescent="0.25">
      <c r="A889" s="282" t="s">
        <v>581</v>
      </c>
      <c r="B889" s="282" t="s">
        <v>585</v>
      </c>
      <c r="C889" s="282" t="s">
        <v>586</v>
      </c>
      <c r="D889" s="286" t="s">
        <v>1534</v>
      </c>
      <c r="E889" s="404">
        <v>44539</v>
      </c>
      <c r="F889" s="404">
        <v>46365</v>
      </c>
      <c r="G889" s="286" t="s">
        <v>1518</v>
      </c>
      <c r="H889" s="282" t="s">
        <v>1519</v>
      </c>
      <c r="I889" s="282" t="s">
        <v>590</v>
      </c>
      <c r="J889" s="282" t="s">
        <v>156</v>
      </c>
      <c r="K889" s="286" t="s">
        <v>1520</v>
      </c>
      <c r="L889" s="282" t="s">
        <v>574</v>
      </c>
      <c r="M889" s="287">
        <v>2400</v>
      </c>
      <c r="N889" s="287">
        <v>0</v>
      </c>
      <c r="O889" s="287">
        <v>0</v>
      </c>
      <c r="P889" s="287"/>
      <c r="Q889" s="288" t="s">
        <v>1535</v>
      </c>
      <c r="R889" s="288" t="s">
        <v>1535</v>
      </c>
      <c r="S889" s="288"/>
      <c r="T889" s="288"/>
      <c r="U889" s="288">
        <v>0</v>
      </c>
      <c r="V889" s="289">
        <v>286.14</v>
      </c>
      <c r="W889" s="289">
        <v>0</v>
      </c>
      <c r="X889" s="288">
        <v>0.119225</v>
      </c>
      <c r="Y889" s="288">
        <v>0.119225</v>
      </c>
      <c r="Z889" s="288">
        <v>0</v>
      </c>
      <c r="AA889" s="288">
        <v>0</v>
      </c>
      <c r="AB889" s="288">
        <v>0</v>
      </c>
      <c r="AC889" s="289">
        <v>0.119225</v>
      </c>
      <c r="AD889" s="289">
        <v>0</v>
      </c>
    </row>
    <row r="890" spans="1:30" ht="15" customHeight="1" x14ac:dyDescent="0.25">
      <c r="A890" s="282" t="s">
        <v>581</v>
      </c>
      <c r="B890" s="282" t="s">
        <v>585</v>
      </c>
      <c r="C890" s="282" t="s">
        <v>586</v>
      </c>
      <c r="D890" s="286" t="s">
        <v>1536</v>
      </c>
      <c r="E890" s="404">
        <v>44539</v>
      </c>
      <c r="F890" s="404">
        <v>46365</v>
      </c>
      <c r="G890" s="286" t="s">
        <v>1518</v>
      </c>
      <c r="H890" s="282" t="s">
        <v>1519</v>
      </c>
      <c r="I890" s="282" t="s">
        <v>590</v>
      </c>
      <c r="J890" s="282" t="s">
        <v>156</v>
      </c>
      <c r="K890" s="286" t="s">
        <v>1520</v>
      </c>
      <c r="L890" s="282" t="s">
        <v>574</v>
      </c>
      <c r="M890" s="287">
        <v>2400</v>
      </c>
      <c r="N890" s="287">
        <v>0</v>
      </c>
      <c r="O890" s="287">
        <v>0</v>
      </c>
      <c r="P890" s="287"/>
      <c r="Q890" s="288" t="s">
        <v>1537</v>
      </c>
      <c r="R890" s="288" t="s">
        <v>1537</v>
      </c>
      <c r="S890" s="288"/>
      <c r="T890" s="288"/>
      <c r="U890" s="288">
        <v>0</v>
      </c>
      <c r="V890" s="289">
        <v>286.95</v>
      </c>
      <c r="W890" s="289">
        <v>0</v>
      </c>
      <c r="X890" s="288">
        <v>0.1195625</v>
      </c>
      <c r="Y890" s="288">
        <v>0.1195625</v>
      </c>
      <c r="Z890" s="288">
        <v>0</v>
      </c>
      <c r="AA890" s="288">
        <v>0</v>
      </c>
      <c r="AB890" s="288">
        <v>0</v>
      </c>
      <c r="AC890" s="289">
        <v>0.1195625</v>
      </c>
      <c r="AD890" s="289">
        <v>0</v>
      </c>
    </row>
    <row r="891" spans="1:30" ht="15" customHeight="1" x14ac:dyDescent="0.25">
      <c r="A891" s="282" t="s">
        <v>581</v>
      </c>
      <c r="B891" s="282" t="s">
        <v>616</v>
      </c>
      <c r="C891" s="282" t="s">
        <v>617</v>
      </c>
      <c r="D891" s="286" t="s">
        <v>1538</v>
      </c>
      <c r="E891" s="404">
        <v>44539</v>
      </c>
      <c r="F891" s="404">
        <v>46365</v>
      </c>
      <c r="G891" s="286" t="s">
        <v>1518</v>
      </c>
      <c r="H891" s="282" t="s">
        <v>1519</v>
      </c>
      <c r="I891" s="282" t="s">
        <v>590</v>
      </c>
      <c r="J891" s="282" t="s">
        <v>156</v>
      </c>
      <c r="K891" s="286" t="s">
        <v>1520</v>
      </c>
      <c r="L891" s="282" t="s">
        <v>574</v>
      </c>
      <c r="M891" s="287">
        <v>2400</v>
      </c>
      <c r="N891" s="287">
        <v>0</v>
      </c>
      <c r="O891" s="287">
        <v>0</v>
      </c>
      <c r="P891" s="287"/>
      <c r="Q891" s="288" t="s">
        <v>1539</v>
      </c>
      <c r="R891" s="288" t="s">
        <v>1539</v>
      </c>
      <c r="S891" s="288"/>
      <c r="T891" s="288"/>
      <c r="U891" s="288">
        <v>0</v>
      </c>
      <c r="V891" s="289">
        <v>360.54</v>
      </c>
      <c r="W891" s="289">
        <v>0</v>
      </c>
      <c r="X891" s="288">
        <v>0.150225</v>
      </c>
      <c r="Y891" s="288">
        <v>0.150225</v>
      </c>
      <c r="Z891" s="288">
        <v>0</v>
      </c>
      <c r="AA891" s="288">
        <v>0</v>
      </c>
      <c r="AB891" s="288">
        <v>0</v>
      </c>
      <c r="AC891" s="289">
        <v>0.150225</v>
      </c>
      <c r="AD891" s="289">
        <v>0</v>
      </c>
    </row>
    <row r="892" spans="1:30" ht="15" customHeight="1" x14ac:dyDescent="0.25">
      <c r="A892" s="282" t="s">
        <v>581</v>
      </c>
      <c r="B892" s="282" t="s">
        <v>616</v>
      </c>
      <c r="C892" s="282" t="s">
        <v>617</v>
      </c>
      <c r="D892" s="286" t="s">
        <v>1540</v>
      </c>
      <c r="E892" s="404">
        <v>44539</v>
      </c>
      <c r="F892" s="404">
        <v>46365</v>
      </c>
      <c r="G892" s="286" t="s">
        <v>1518</v>
      </c>
      <c r="H892" s="282" t="s">
        <v>1519</v>
      </c>
      <c r="I892" s="282" t="s">
        <v>590</v>
      </c>
      <c r="J892" s="282" t="s">
        <v>156</v>
      </c>
      <c r="K892" s="286" t="s">
        <v>1520</v>
      </c>
      <c r="L892" s="282" t="s">
        <v>574</v>
      </c>
      <c r="M892" s="287">
        <v>2400</v>
      </c>
      <c r="N892" s="287">
        <v>0</v>
      </c>
      <c r="O892" s="287">
        <v>0</v>
      </c>
      <c r="P892" s="287"/>
      <c r="Q892" s="288" t="s">
        <v>1541</v>
      </c>
      <c r="R892" s="288" t="s">
        <v>1541</v>
      </c>
      <c r="S892" s="288"/>
      <c r="T892" s="288"/>
      <c r="U892" s="288">
        <v>0</v>
      </c>
      <c r="V892" s="289">
        <v>362.11</v>
      </c>
      <c r="W892" s="289">
        <v>0</v>
      </c>
      <c r="X892" s="288">
        <v>0.15087916666666668</v>
      </c>
      <c r="Y892" s="288">
        <v>0.15087916666666668</v>
      </c>
      <c r="Z892" s="288">
        <v>0</v>
      </c>
      <c r="AA892" s="288">
        <v>0</v>
      </c>
      <c r="AB892" s="288">
        <v>0</v>
      </c>
      <c r="AC892" s="289">
        <v>0.15087916666666668</v>
      </c>
      <c r="AD892" s="289">
        <v>0</v>
      </c>
    </row>
    <row r="893" spans="1:30" ht="15" customHeight="1" x14ac:dyDescent="0.25">
      <c r="A893" s="282" t="s">
        <v>581</v>
      </c>
      <c r="B893" s="282" t="s">
        <v>594</v>
      </c>
      <c r="C893" s="282" t="s">
        <v>595</v>
      </c>
      <c r="D893" s="286" t="s">
        <v>1542</v>
      </c>
      <c r="E893" s="404">
        <v>44539</v>
      </c>
      <c r="F893" s="404">
        <v>46365</v>
      </c>
      <c r="G893" s="286" t="s">
        <v>1518</v>
      </c>
      <c r="H893" s="282" t="s">
        <v>1519</v>
      </c>
      <c r="I893" s="282" t="s">
        <v>590</v>
      </c>
      <c r="J893" s="282" t="s">
        <v>156</v>
      </c>
      <c r="K893" s="286" t="s">
        <v>1520</v>
      </c>
      <c r="L893" s="282" t="s">
        <v>574</v>
      </c>
      <c r="M893" s="287">
        <v>2400</v>
      </c>
      <c r="N893" s="287">
        <v>0</v>
      </c>
      <c r="O893" s="287">
        <v>0</v>
      </c>
      <c r="P893" s="287"/>
      <c r="Q893" s="288" t="s">
        <v>1543</v>
      </c>
      <c r="R893" s="288" t="s">
        <v>1543</v>
      </c>
      <c r="S893" s="288"/>
      <c r="T893" s="288"/>
      <c r="U893" s="288">
        <v>0</v>
      </c>
      <c r="V893" s="289">
        <v>202.72</v>
      </c>
      <c r="W893" s="289">
        <v>0</v>
      </c>
      <c r="X893" s="288">
        <v>8.4466666666666662E-2</v>
      </c>
      <c r="Y893" s="288">
        <v>8.4466666666666662E-2</v>
      </c>
      <c r="Z893" s="288">
        <v>0</v>
      </c>
      <c r="AA893" s="288">
        <v>0</v>
      </c>
      <c r="AB893" s="288">
        <v>0</v>
      </c>
      <c r="AC893" s="289">
        <v>8.4466666666666662E-2</v>
      </c>
      <c r="AD893" s="289">
        <v>0</v>
      </c>
    </row>
    <row r="894" spans="1:30" ht="15" customHeight="1" x14ac:dyDescent="0.25">
      <c r="A894" s="282" t="s">
        <v>581</v>
      </c>
      <c r="B894" s="282" t="s">
        <v>594</v>
      </c>
      <c r="C894" s="282" t="s">
        <v>595</v>
      </c>
      <c r="D894" s="286" t="s">
        <v>1544</v>
      </c>
      <c r="E894" s="404">
        <v>44539</v>
      </c>
      <c r="F894" s="404">
        <v>46365</v>
      </c>
      <c r="G894" s="286" t="s">
        <v>1518</v>
      </c>
      <c r="H894" s="282" t="s">
        <v>1519</v>
      </c>
      <c r="I894" s="282" t="s">
        <v>590</v>
      </c>
      <c r="J894" s="282" t="s">
        <v>156</v>
      </c>
      <c r="K894" s="286" t="s">
        <v>1520</v>
      </c>
      <c r="L894" s="282" t="s">
        <v>574</v>
      </c>
      <c r="M894" s="287">
        <v>2400</v>
      </c>
      <c r="N894" s="287">
        <v>0</v>
      </c>
      <c r="O894" s="287">
        <v>0</v>
      </c>
      <c r="P894" s="287"/>
      <c r="Q894" s="288" t="s">
        <v>1545</v>
      </c>
      <c r="R894" s="288" t="s">
        <v>1545</v>
      </c>
      <c r="S894" s="288"/>
      <c r="T894" s="288"/>
      <c r="U894" s="288">
        <v>0</v>
      </c>
      <c r="V894" s="289">
        <v>202.99</v>
      </c>
      <c r="W894" s="289">
        <v>0</v>
      </c>
      <c r="X894" s="288">
        <v>8.4579166666666664E-2</v>
      </c>
      <c r="Y894" s="288">
        <v>8.4579166666666664E-2</v>
      </c>
      <c r="Z894" s="288">
        <v>0</v>
      </c>
      <c r="AA894" s="288">
        <v>0</v>
      </c>
      <c r="AB894" s="288">
        <v>0</v>
      </c>
      <c r="AC894" s="289">
        <v>8.4579166666666664E-2</v>
      </c>
      <c r="AD894" s="289">
        <v>0</v>
      </c>
    </row>
    <row r="895" spans="1:30" ht="15" customHeight="1" x14ac:dyDescent="0.25">
      <c r="A895" s="282" t="s">
        <v>581</v>
      </c>
      <c r="B895" s="282" t="s">
        <v>628</v>
      </c>
      <c r="C895" s="282" t="s">
        <v>629</v>
      </c>
      <c r="D895" s="286" t="s">
        <v>1546</v>
      </c>
      <c r="E895" s="404">
        <v>44539</v>
      </c>
      <c r="F895" s="404">
        <v>46365</v>
      </c>
      <c r="G895" s="286" t="s">
        <v>1518</v>
      </c>
      <c r="H895" s="282" t="s">
        <v>1519</v>
      </c>
      <c r="I895" s="282" t="s">
        <v>590</v>
      </c>
      <c r="J895" s="282" t="s">
        <v>156</v>
      </c>
      <c r="K895" s="286" t="s">
        <v>1520</v>
      </c>
      <c r="L895" s="282" t="s">
        <v>574</v>
      </c>
      <c r="M895" s="287">
        <v>2400</v>
      </c>
      <c r="N895" s="287">
        <v>0</v>
      </c>
      <c r="O895" s="287">
        <v>0</v>
      </c>
      <c r="P895" s="287"/>
      <c r="Q895" s="288" t="s">
        <v>1547</v>
      </c>
      <c r="R895" s="288" t="s">
        <v>1547</v>
      </c>
      <c r="S895" s="288"/>
      <c r="T895" s="288"/>
      <c r="U895" s="288">
        <v>0</v>
      </c>
      <c r="V895" s="289">
        <v>214.63</v>
      </c>
      <c r="W895" s="289">
        <v>0</v>
      </c>
      <c r="X895" s="288">
        <v>8.9429166666666671E-2</v>
      </c>
      <c r="Y895" s="288">
        <v>8.9429166666666671E-2</v>
      </c>
      <c r="Z895" s="288">
        <v>0</v>
      </c>
      <c r="AA895" s="288">
        <v>0</v>
      </c>
      <c r="AB895" s="288">
        <v>0</v>
      </c>
      <c r="AC895" s="289">
        <v>8.9429166666666671E-2</v>
      </c>
      <c r="AD895" s="289">
        <v>0</v>
      </c>
    </row>
    <row r="896" spans="1:30" ht="15" customHeight="1" x14ac:dyDescent="0.25">
      <c r="A896" s="282" t="s">
        <v>581</v>
      </c>
      <c r="B896" s="282" t="s">
        <v>628</v>
      </c>
      <c r="C896" s="282" t="s">
        <v>629</v>
      </c>
      <c r="D896" s="286" t="s">
        <v>1548</v>
      </c>
      <c r="E896" s="404">
        <v>44539</v>
      </c>
      <c r="F896" s="404">
        <v>46365</v>
      </c>
      <c r="G896" s="286" t="s">
        <v>1518</v>
      </c>
      <c r="H896" s="282" t="s">
        <v>1519</v>
      </c>
      <c r="I896" s="282" t="s">
        <v>590</v>
      </c>
      <c r="J896" s="282" t="s">
        <v>156</v>
      </c>
      <c r="K896" s="286" t="s">
        <v>1520</v>
      </c>
      <c r="L896" s="282" t="s">
        <v>574</v>
      </c>
      <c r="M896" s="287">
        <v>2400</v>
      </c>
      <c r="N896" s="287">
        <v>0</v>
      </c>
      <c r="O896" s="287">
        <v>0</v>
      </c>
      <c r="P896" s="287"/>
      <c r="Q896" s="288" t="s">
        <v>1549</v>
      </c>
      <c r="R896" s="288" t="s">
        <v>1549</v>
      </c>
      <c r="S896" s="288"/>
      <c r="T896" s="288"/>
      <c r="U896" s="288">
        <v>0</v>
      </c>
      <c r="V896" s="289">
        <v>215.19</v>
      </c>
      <c r="W896" s="289">
        <v>0</v>
      </c>
      <c r="X896" s="288">
        <v>8.9662499999999992E-2</v>
      </c>
      <c r="Y896" s="288">
        <v>8.9662499999999992E-2</v>
      </c>
      <c r="Z896" s="288">
        <v>0</v>
      </c>
      <c r="AA896" s="288">
        <v>0</v>
      </c>
      <c r="AB896" s="288">
        <v>0</v>
      </c>
      <c r="AC896" s="289">
        <v>8.9662499999999992E-2</v>
      </c>
      <c r="AD896" s="289">
        <v>0</v>
      </c>
    </row>
    <row r="897" spans="1:30" ht="15" customHeight="1" x14ac:dyDescent="0.25">
      <c r="A897" s="282" t="s">
        <v>581</v>
      </c>
      <c r="B897" s="282" t="s">
        <v>611</v>
      </c>
      <c r="C897" s="282" t="s">
        <v>612</v>
      </c>
      <c r="D897" s="286" t="s">
        <v>1550</v>
      </c>
      <c r="E897" s="404">
        <v>44539</v>
      </c>
      <c r="F897" s="404">
        <v>46365</v>
      </c>
      <c r="G897" s="286" t="s">
        <v>1518</v>
      </c>
      <c r="H897" s="282" t="s">
        <v>1519</v>
      </c>
      <c r="I897" s="282" t="s">
        <v>590</v>
      </c>
      <c r="J897" s="282" t="s">
        <v>156</v>
      </c>
      <c r="K897" s="286" t="s">
        <v>1520</v>
      </c>
      <c r="L897" s="282" t="s">
        <v>574</v>
      </c>
      <c r="M897" s="287">
        <v>2400</v>
      </c>
      <c r="N897" s="287">
        <v>0</v>
      </c>
      <c r="O897" s="287">
        <v>0</v>
      </c>
      <c r="P897" s="287"/>
      <c r="Q897" s="288" t="s">
        <v>1551</v>
      </c>
      <c r="R897" s="288" t="s">
        <v>1551</v>
      </c>
      <c r="S897" s="288"/>
      <c r="T897" s="288"/>
      <c r="U897" s="288">
        <v>0</v>
      </c>
      <c r="V897" s="289">
        <v>245.84</v>
      </c>
      <c r="W897" s="289">
        <v>0</v>
      </c>
      <c r="X897" s="288">
        <v>0.10243333333333333</v>
      </c>
      <c r="Y897" s="288">
        <v>0.10243333333333333</v>
      </c>
      <c r="Z897" s="288">
        <v>0</v>
      </c>
      <c r="AA897" s="288">
        <v>0</v>
      </c>
      <c r="AB897" s="288">
        <v>0</v>
      </c>
      <c r="AC897" s="289">
        <v>0.10243333333333333</v>
      </c>
      <c r="AD897" s="289">
        <v>0</v>
      </c>
    </row>
    <row r="898" spans="1:30" ht="15" customHeight="1" x14ac:dyDescent="0.25">
      <c r="A898" s="282" t="s">
        <v>581</v>
      </c>
      <c r="B898" s="282" t="s">
        <v>611</v>
      </c>
      <c r="C898" s="282" t="s">
        <v>612</v>
      </c>
      <c r="D898" s="286" t="s">
        <v>1552</v>
      </c>
      <c r="E898" s="404">
        <v>44539</v>
      </c>
      <c r="F898" s="404">
        <v>46365</v>
      </c>
      <c r="G898" s="286" t="s">
        <v>1518</v>
      </c>
      <c r="H898" s="282" t="s">
        <v>1519</v>
      </c>
      <c r="I898" s="282" t="s">
        <v>590</v>
      </c>
      <c r="J898" s="282" t="s">
        <v>156</v>
      </c>
      <c r="K898" s="286" t="s">
        <v>1520</v>
      </c>
      <c r="L898" s="282" t="s">
        <v>574</v>
      </c>
      <c r="M898" s="287">
        <v>2400</v>
      </c>
      <c r="N898" s="287">
        <v>0</v>
      </c>
      <c r="O898" s="287">
        <v>0</v>
      </c>
      <c r="P898" s="287"/>
      <c r="Q898" s="288" t="s">
        <v>1553</v>
      </c>
      <c r="R898" s="288" t="s">
        <v>1553</v>
      </c>
      <c r="S898" s="288"/>
      <c r="T898" s="288"/>
      <c r="U898" s="288">
        <v>0</v>
      </c>
      <c r="V898" s="289">
        <v>246.17</v>
      </c>
      <c r="W898" s="289">
        <v>0</v>
      </c>
      <c r="X898" s="288">
        <v>0.10257083333333333</v>
      </c>
      <c r="Y898" s="288">
        <v>0.10257083333333333</v>
      </c>
      <c r="Z898" s="288">
        <v>0</v>
      </c>
      <c r="AA898" s="288">
        <v>0</v>
      </c>
      <c r="AB898" s="288">
        <v>0</v>
      </c>
      <c r="AC898" s="289">
        <v>0.10257083333333333</v>
      </c>
      <c r="AD898" s="289">
        <v>0</v>
      </c>
    </row>
    <row r="899" spans="1:30" ht="15" customHeight="1" x14ac:dyDescent="0.25">
      <c r="A899" s="282" t="s">
        <v>581</v>
      </c>
      <c r="B899" s="282" t="s">
        <v>585</v>
      </c>
      <c r="C899" s="282" t="s">
        <v>586</v>
      </c>
      <c r="D899" s="286" t="s">
        <v>1554</v>
      </c>
      <c r="E899" s="404">
        <v>44539</v>
      </c>
      <c r="F899" s="404">
        <v>46365</v>
      </c>
      <c r="G899" s="286" t="s">
        <v>1518</v>
      </c>
      <c r="H899" s="282" t="s">
        <v>1519</v>
      </c>
      <c r="I899" s="282" t="s">
        <v>590</v>
      </c>
      <c r="J899" s="282" t="s">
        <v>156</v>
      </c>
      <c r="K899" s="286" t="s">
        <v>1520</v>
      </c>
      <c r="L899" s="282" t="s">
        <v>574</v>
      </c>
      <c r="M899" s="287">
        <v>2400</v>
      </c>
      <c r="N899" s="287">
        <v>0</v>
      </c>
      <c r="O899" s="287">
        <v>0</v>
      </c>
      <c r="P899" s="287"/>
      <c r="Q899" s="288" t="s">
        <v>1555</v>
      </c>
      <c r="R899" s="288" t="s">
        <v>1555</v>
      </c>
      <c r="S899" s="288"/>
      <c r="T899" s="288"/>
      <c r="U899" s="288">
        <v>0</v>
      </c>
      <c r="V899" s="289">
        <v>292.06</v>
      </c>
      <c r="W899" s="289">
        <v>0</v>
      </c>
      <c r="X899" s="288">
        <v>0.12169166666666667</v>
      </c>
      <c r="Y899" s="288">
        <v>0.12169166666666667</v>
      </c>
      <c r="Z899" s="288">
        <v>0</v>
      </c>
      <c r="AA899" s="288">
        <v>0</v>
      </c>
      <c r="AB899" s="288">
        <v>0</v>
      </c>
      <c r="AC899" s="289">
        <v>0.12169166666666667</v>
      </c>
      <c r="AD899" s="289">
        <v>0</v>
      </c>
    </row>
    <row r="900" spans="1:30" ht="15" customHeight="1" x14ac:dyDescent="0.25">
      <c r="A900" s="282" t="s">
        <v>581</v>
      </c>
      <c r="B900" s="282" t="s">
        <v>585</v>
      </c>
      <c r="C900" s="282" t="s">
        <v>586</v>
      </c>
      <c r="D900" s="286" t="s">
        <v>1556</v>
      </c>
      <c r="E900" s="404">
        <v>44539</v>
      </c>
      <c r="F900" s="404">
        <v>46365</v>
      </c>
      <c r="G900" s="286" t="s">
        <v>1518</v>
      </c>
      <c r="H900" s="282" t="s">
        <v>1519</v>
      </c>
      <c r="I900" s="282" t="s">
        <v>590</v>
      </c>
      <c r="J900" s="282" t="s">
        <v>156</v>
      </c>
      <c r="K900" s="286" t="s">
        <v>1520</v>
      </c>
      <c r="L900" s="282" t="s">
        <v>574</v>
      </c>
      <c r="M900" s="287">
        <v>2400</v>
      </c>
      <c r="N900" s="287">
        <v>0</v>
      </c>
      <c r="O900" s="287">
        <v>0</v>
      </c>
      <c r="P900" s="287"/>
      <c r="Q900" s="288" t="s">
        <v>1557</v>
      </c>
      <c r="R900" s="288" t="s">
        <v>1557</v>
      </c>
      <c r="S900" s="288"/>
      <c r="T900" s="288"/>
      <c r="U900" s="288">
        <v>0</v>
      </c>
      <c r="V900" s="289">
        <v>292.68</v>
      </c>
      <c r="W900" s="289">
        <v>0</v>
      </c>
      <c r="X900" s="288">
        <v>0.12195</v>
      </c>
      <c r="Y900" s="288">
        <v>0.12195</v>
      </c>
      <c r="Z900" s="288">
        <v>0</v>
      </c>
      <c r="AA900" s="288">
        <v>0</v>
      </c>
      <c r="AB900" s="288">
        <v>0</v>
      </c>
      <c r="AC900" s="289">
        <v>0.12195</v>
      </c>
      <c r="AD900" s="289">
        <v>0</v>
      </c>
    </row>
    <row r="901" spans="1:30" ht="15" customHeight="1" x14ac:dyDescent="0.25">
      <c r="A901" s="282" t="s">
        <v>581</v>
      </c>
      <c r="B901" s="282" t="s">
        <v>616</v>
      </c>
      <c r="C901" s="282" t="s">
        <v>617</v>
      </c>
      <c r="D901" s="286" t="s">
        <v>1558</v>
      </c>
      <c r="E901" s="404">
        <v>44539</v>
      </c>
      <c r="F901" s="404">
        <v>46365</v>
      </c>
      <c r="G901" s="286" t="s">
        <v>1518</v>
      </c>
      <c r="H901" s="282" t="s">
        <v>1519</v>
      </c>
      <c r="I901" s="282" t="s">
        <v>590</v>
      </c>
      <c r="J901" s="282" t="s">
        <v>156</v>
      </c>
      <c r="K901" s="286" t="s">
        <v>1520</v>
      </c>
      <c r="L901" s="282" t="s">
        <v>574</v>
      </c>
      <c r="M901" s="287">
        <v>2400</v>
      </c>
      <c r="N901" s="287">
        <v>0</v>
      </c>
      <c r="O901" s="287">
        <v>0</v>
      </c>
      <c r="P901" s="287"/>
      <c r="Q901" s="288" t="s">
        <v>1559</v>
      </c>
      <c r="R901" s="288" t="s">
        <v>1559</v>
      </c>
      <c r="S901" s="288"/>
      <c r="T901" s="288"/>
      <c r="U901" s="288">
        <v>0</v>
      </c>
      <c r="V901" s="289">
        <v>365.28</v>
      </c>
      <c r="W901" s="289">
        <v>0</v>
      </c>
      <c r="X901" s="288">
        <v>0.1522</v>
      </c>
      <c r="Y901" s="288">
        <v>0.1522</v>
      </c>
      <c r="Z901" s="288">
        <v>0</v>
      </c>
      <c r="AA901" s="288">
        <v>0</v>
      </c>
      <c r="AB901" s="288">
        <v>0</v>
      </c>
      <c r="AC901" s="289">
        <v>0.1522</v>
      </c>
      <c r="AD901" s="289">
        <v>0</v>
      </c>
    </row>
    <row r="902" spans="1:30" ht="15" customHeight="1" x14ac:dyDescent="0.25">
      <c r="A902" s="282" t="s">
        <v>581</v>
      </c>
      <c r="B902" s="282" t="s">
        <v>616</v>
      </c>
      <c r="C902" s="282" t="s">
        <v>617</v>
      </c>
      <c r="D902" s="286" t="s">
        <v>1560</v>
      </c>
      <c r="E902" s="404">
        <v>44539</v>
      </c>
      <c r="F902" s="404">
        <v>46365</v>
      </c>
      <c r="G902" s="286" t="s">
        <v>1518</v>
      </c>
      <c r="H902" s="282" t="s">
        <v>1519</v>
      </c>
      <c r="I902" s="282" t="s">
        <v>590</v>
      </c>
      <c r="J902" s="282" t="s">
        <v>156</v>
      </c>
      <c r="K902" s="286" t="s">
        <v>1520</v>
      </c>
      <c r="L902" s="282" t="s">
        <v>574</v>
      </c>
      <c r="M902" s="287">
        <v>2400</v>
      </c>
      <c r="N902" s="287">
        <v>0</v>
      </c>
      <c r="O902" s="287">
        <v>0</v>
      </c>
      <c r="P902" s="287"/>
      <c r="Q902" s="288" t="s">
        <v>1561</v>
      </c>
      <c r="R902" s="288" t="s">
        <v>1561</v>
      </c>
      <c r="S902" s="288"/>
      <c r="T902" s="288"/>
      <c r="U902" s="288">
        <v>0</v>
      </c>
      <c r="V902" s="289">
        <v>366.34</v>
      </c>
      <c r="W902" s="289">
        <v>0</v>
      </c>
      <c r="X902" s="288">
        <v>0.15264166666666665</v>
      </c>
      <c r="Y902" s="288">
        <v>0.15264166666666665</v>
      </c>
      <c r="Z902" s="288">
        <v>0</v>
      </c>
      <c r="AA902" s="288">
        <v>0</v>
      </c>
      <c r="AB902" s="288">
        <v>0</v>
      </c>
      <c r="AC902" s="289">
        <v>0.15264166666666665</v>
      </c>
      <c r="AD902" s="289">
        <v>0</v>
      </c>
    </row>
    <row r="903" spans="1:30" ht="15" customHeight="1" x14ac:dyDescent="0.25">
      <c r="A903" s="282" t="s">
        <v>581</v>
      </c>
      <c r="B903" s="282" t="s">
        <v>594</v>
      </c>
      <c r="C903" s="282" t="s">
        <v>595</v>
      </c>
      <c r="D903" s="286" t="s">
        <v>1562</v>
      </c>
      <c r="E903" s="404">
        <v>44539</v>
      </c>
      <c r="F903" s="404">
        <v>46365</v>
      </c>
      <c r="G903" s="286" t="s">
        <v>1518</v>
      </c>
      <c r="H903" s="282" t="s">
        <v>1519</v>
      </c>
      <c r="I903" s="282" t="s">
        <v>590</v>
      </c>
      <c r="J903" s="282" t="s">
        <v>156</v>
      </c>
      <c r="K903" s="286" t="s">
        <v>1520</v>
      </c>
      <c r="L903" s="282" t="s">
        <v>574</v>
      </c>
      <c r="M903" s="287">
        <v>2400</v>
      </c>
      <c r="N903" s="287">
        <v>0</v>
      </c>
      <c r="O903" s="287">
        <v>0</v>
      </c>
      <c r="P903" s="287"/>
      <c r="Q903" s="288" t="s">
        <v>1563</v>
      </c>
      <c r="R903" s="288" t="s">
        <v>1563</v>
      </c>
      <c r="S903" s="288"/>
      <c r="T903" s="288"/>
      <c r="U903" s="288">
        <v>0</v>
      </c>
      <c r="V903" s="289">
        <v>221.6</v>
      </c>
      <c r="W903" s="289">
        <v>0</v>
      </c>
      <c r="X903" s="288">
        <v>9.2333333333333337E-2</v>
      </c>
      <c r="Y903" s="288">
        <v>9.2333333333333337E-2</v>
      </c>
      <c r="Z903" s="288">
        <v>0</v>
      </c>
      <c r="AA903" s="288">
        <v>0</v>
      </c>
      <c r="AB903" s="288">
        <v>0</v>
      </c>
      <c r="AC903" s="289">
        <v>9.2333333333333337E-2</v>
      </c>
      <c r="AD903" s="289">
        <v>0</v>
      </c>
    </row>
    <row r="904" spans="1:30" ht="15" customHeight="1" x14ac:dyDescent="0.25">
      <c r="A904" s="282" t="s">
        <v>581</v>
      </c>
      <c r="B904" s="282" t="s">
        <v>628</v>
      </c>
      <c r="C904" s="282" t="s">
        <v>629</v>
      </c>
      <c r="D904" s="286" t="s">
        <v>1564</v>
      </c>
      <c r="E904" s="404">
        <v>44539</v>
      </c>
      <c r="F904" s="404">
        <v>46365</v>
      </c>
      <c r="G904" s="286" t="s">
        <v>1518</v>
      </c>
      <c r="H904" s="282" t="s">
        <v>1519</v>
      </c>
      <c r="I904" s="282" t="s">
        <v>590</v>
      </c>
      <c r="J904" s="282" t="s">
        <v>156</v>
      </c>
      <c r="K904" s="286" t="s">
        <v>1520</v>
      </c>
      <c r="L904" s="282" t="s">
        <v>574</v>
      </c>
      <c r="M904" s="287">
        <v>2400</v>
      </c>
      <c r="N904" s="287">
        <v>0</v>
      </c>
      <c r="O904" s="287">
        <v>0</v>
      </c>
      <c r="P904" s="287"/>
      <c r="Q904" s="288" t="s">
        <v>1565</v>
      </c>
      <c r="R904" s="288" t="s">
        <v>1565</v>
      </c>
      <c r="S904" s="288"/>
      <c r="T904" s="288"/>
      <c r="U904" s="288">
        <v>0</v>
      </c>
      <c r="V904" s="289">
        <v>240.97</v>
      </c>
      <c r="W904" s="289">
        <v>0</v>
      </c>
      <c r="X904" s="288">
        <v>0.10040416666666667</v>
      </c>
      <c r="Y904" s="288">
        <v>0.10040416666666667</v>
      </c>
      <c r="Z904" s="288">
        <v>0</v>
      </c>
      <c r="AA904" s="288">
        <v>0</v>
      </c>
      <c r="AB904" s="288">
        <v>0</v>
      </c>
      <c r="AC904" s="289">
        <v>0.10040416666666667</v>
      </c>
      <c r="AD904" s="289">
        <v>0</v>
      </c>
    </row>
    <row r="905" spans="1:30" ht="15" customHeight="1" x14ac:dyDescent="0.25">
      <c r="A905" s="282" t="s">
        <v>581</v>
      </c>
      <c r="B905" s="282" t="s">
        <v>616</v>
      </c>
      <c r="C905" s="282" t="s">
        <v>617</v>
      </c>
      <c r="D905" s="286" t="s">
        <v>1566</v>
      </c>
      <c r="E905" s="404">
        <v>44539</v>
      </c>
      <c r="F905" s="404">
        <v>46365</v>
      </c>
      <c r="G905" s="286" t="s">
        <v>1518</v>
      </c>
      <c r="H905" s="282" t="s">
        <v>1519</v>
      </c>
      <c r="I905" s="282" t="s">
        <v>590</v>
      </c>
      <c r="J905" s="282" t="s">
        <v>156</v>
      </c>
      <c r="K905" s="286" t="s">
        <v>1520</v>
      </c>
      <c r="L905" s="282" t="s">
        <v>574</v>
      </c>
      <c r="M905" s="287">
        <v>2400</v>
      </c>
      <c r="N905" s="287">
        <v>0</v>
      </c>
      <c r="O905" s="287">
        <v>0</v>
      </c>
      <c r="P905" s="287"/>
      <c r="Q905" s="288" t="s">
        <v>1567</v>
      </c>
      <c r="R905" s="288" t="s">
        <v>1567</v>
      </c>
      <c r="S905" s="288"/>
      <c r="T905" s="288"/>
      <c r="U905" s="288">
        <v>0</v>
      </c>
      <c r="V905" s="289">
        <v>395.6</v>
      </c>
      <c r="W905" s="289">
        <v>0</v>
      </c>
      <c r="X905" s="288">
        <v>0.16483333333333333</v>
      </c>
      <c r="Y905" s="288">
        <v>0.16483333333333333</v>
      </c>
      <c r="Z905" s="288">
        <v>0</v>
      </c>
      <c r="AA905" s="288">
        <v>0</v>
      </c>
      <c r="AB905" s="288">
        <v>0</v>
      </c>
      <c r="AC905" s="289">
        <v>0.16483333333333333</v>
      </c>
      <c r="AD905" s="289">
        <v>0</v>
      </c>
    </row>
    <row r="906" spans="1:30" ht="15" customHeight="1" x14ac:dyDescent="0.25">
      <c r="A906" s="282" t="s">
        <v>581</v>
      </c>
      <c r="B906" s="282" t="s">
        <v>628</v>
      </c>
      <c r="C906" s="282" t="s">
        <v>629</v>
      </c>
      <c r="D906" s="283" t="s">
        <v>1568</v>
      </c>
      <c r="E906" s="404">
        <v>45016</v>
      </c>
      <c r="F906" s="404">
        <v>46843</v>
      </c>
      <c r="G906" s="286" t="s">
        <v>316</v>
      </c>
      <c r="H906" s="282" t="s">
        <v>1227</v>
      </c>
      <c r="I906" s="282" t="s">
        <v>590</v>
      </c>
      <c r="J906" s="282" t="s">
        <v>156</v>
      </c>
      <c r="K906" s="286" t="s">
        <v>1228</v>
      </c>
      <c r="L906" s="282" t="s">
        <v>574</v>
      </c>
      <c r="M906" s="287">
        <v>2400</v>
      </c>
      <c r="N906" s="287">
        <v>0</v>
      </c>
      <c r="O906" s="287">
        <v>0</v>
      </c>
      <c r="P906" s="287"/>
      <c r="Q906" s="288">
        <v>220.53</v>
      </c>
      <c r="R906" s="288">
        <v>220.49</v>
      </c>
      <c r="S906" s="288">
        <v>0.04</v>
      </c>
      <c r="T906" s="288"/>
      <c r="U906" s="288">
        <v>0</v>
      </c>
      <c r="V906" s="289">
        <v>220.53</v>
      </c>
      <c r="W906" s="289">
        <v>0</v>
      </c>
      <c r="X906" s="288">
        <v>9.1887499999999997E-2</v>
      </c>
      <c r="Y906" s="288">
        <v>9.1870833333333332E-2</v>
      </c>
      <c r="Z906" s="288">
        <v>1.6666666666666667E-5</v>
      </c>
      <c r="AA906" s="288">
        <v>0</v>
      </c>
      <c r="AB906" s="288">
        <v>0</v>
      </c>
      <c r="AC906" s="289">
        <v>9.1887499999999997E-2</v>
      </c>
      <c r="AD906" s="289">
        <v>0</v>
      </c>
    </row>
    <row r="907" spans="1:30" ht="15" customHeight="1" x14ac:dyDescent="0.25">
      <c r="A907" s="282" t="s">
        <v>581</v>
      </c>
      <c r="B907" s="282" t="s">
        <v>616</v>
      </c>
      <c r="C907" s="282" t="s">
        <v>617</v>
      </c>
      <c r="D907" s="283" t="s">
        <v>1569</v>
      </c>
      <c r="E907" s="404">
        <v>45016</v>
      </c>
      <c r="F907" s="404">
        <v>46843</v>
      </c>
      <c r="G907" s="286" t="s">
        <v>316</v>
      </c>
      <c r="H907" s="282" t="s">
        <v>1227</v>
      </c>
      <c r="I907" s="282" t="s">
        <v>590</v>
      </c>
      <c r="J907" s="282" t="s">
        <v>156</v>
      </c>
      <c r="K907" s="286" t="s">
        <v>1228</v>
      </c>
      <c r="L907" s="282" t="s">
        <v>574</v>
      </c>
      <c r="M907" s="287">
        <v>2400</v>
      </c>
      <c r="N907" s="287">
        <v>0</v>
      </c>
      <c r="O907" s="287">
        <v>0</v>
      </c>
      <c r="P907" s="287"/>
      <c r="Q907" s="288">
        <v>389.23</v>
      </c>
      <c r="R907" s="288">
        <v>389.16</v>
      </c>
      <c r="S907" s="288">
        <v>7.0000000000000007E-2</v>
      </c>
      <c r="T907" s="288"/>
      <c r="U907" s="288">
        <v>0</v>
      </c>
      <c r="V907" s="289">
        <v>389.23</v>
      </c>
      <c r="W907" s="289">
        <v>0</v>
      </c>
      <c r="X907" s="288">
        <v>0.16217916666666668</v>
      </c>
      <c r="Y907" s="288">
        <v>0.16215000000000002</v>
      </c>
      <c r="Z907" s="288">
        <v>2.916666666666667E-5</v>
      </c>
      <c r="AA907" s="288">
        <v>0</v>
      </c>
      <c r="AB907" s="288">
        <v>0</v>
      </c>
      <c r="AC907" s="289">
        <v>0.16217916666666668</v>
      </c>
      <c r="AD907" s="289">
        <v>0</v>
      </c>
    </row>
    <row r="908" spans="1:30" ht="15" customHeight="1" x14ac:dyDescent="0.25">
      <c r="A908" s="282" t="s">
        <v>581</v>
      </c>
      <c r="B908" s="282" t="s">
        <v>585</v>
      </c>
      <c r="C908" s="282" t="s">
        <v>586</v>
      </c>
      <c r="D908" s="283" t="s">
        <v>1570</v>
      </c>
      <c r="E908" s="404">
        <v>45016</v>
      </c>
      <c r="F908" s="404">
        <v>46843</v>
      </c>
      <c r="G908" s="286" t="s">
        <v>316</v>
      </c>
      <c r="H908" s="282" t="s">
        <v>1227</v>
      </c>
      <c r="I908" s="282" t="s">
        <v>590</v>
      </c>
      <c r="J908" s="282" t="s">
        <v>156</v>
      </c>
      <c r="K908" s="286" t="s">
        <v>1228</v>
      </c>
      <c r="L908" s="282" t="s">
        <v>574</v>
      </c>
      <c r="M908" s="287">
        <v>2400</v>
      </c>
      <c r="N908" s="287">
        <v>0</v>
      </c>
      <c r="O908" s="287">
        <v>0</v>
      </c>
      <c r="P908" s="287"/>
      <c r="Q908" s="288">
        <v>227.06</v>
      </c>
      <c r="R908" s="288">
        <v>226.99</v>
      </c>
      <c r="S908" s="288">
        <v>7.0000000000000007E-2</v>
      </c>
      <c r="T908" s="288"/>
      <c r="U908" s="288">
        <v>0</v>
      </c>
      <c r="V908" s="289">
        <v>227.06</v>
      </c>
      <c r="W908" s="289">
        <v>0</v>
      </c>
      <c r="X908" s="288">
        <v>9.4608333333333336E-2</v>
      </c>
      <c r="Y908" s="288">
        <v>9.4579166666666672E-2</v>
      </c>
      <c r="Z908" s="288">
        <v>2.916666666666667E-5</v>
      </c>
      <c r="AA908" s="288">
        <v>0</v>
      </c>
      <c r="AB908" s="288">
        <v>0</v>
      </c>
      <c r="AC908" s="289">
        <v>9.4608333333333336E-2</v>
      </c>
      <c r="AD908" s="289">
        <v>0</v>
      </c>
    </row>
    <row r="909" spans="1:30" ht="15" customHeight="1" x14ac:dyDescent="0.25">
      <c r="A909" s="282" t="s">
        <v>581</v>
      </c>
      <c r="B909" s="282" t="s">
        <v>616</v>
      </c>
      <c r="C909" s="282" t="s">
        <v>617</v>
      </c>
      <c r="D909" s="283" t="s">
        <v>1571</v>
      </c>
      <c r="E909" s="404">
        <v>45016</v>
      </c>
      <c r="F909" s="404">
        <v>46843</v>
      </c>
      <c r="G909" s="286" t="s">
        <v>316</v>
      </c>
      <c r="H909" s="282" t="s">
        <v>1227</v>
      </c>
      <c r="I909" s="282" t="s">
        <v>590</v>
      </c>
      <c r="J909" s="282" t="s">
        <v>156</v>
      </c>
      <c r="K909" s="286" t="s">
        <v>1228</v>
      </c>
      <c r="L909" s="282" t="s">
        <v>574</v>
      </c>
      <c r="M909" s="287">
        <v>2400</v>
      </c>
      <c r="N909" s="287">
        <v>0</v>
      </c>
      <c r="O909" s="287">
        <v>0</v>
      </c>
      <c r="P909" s="287"/>
      <c r="Q909" s="288">
        <v>299.49</v>
      </c>
      <c r="R909" s="288">
        <v>299.37</v>
      </c>
      <c r="S909" s="288">
        <v>0.12</v>
      </c>
      <c r="T909" s="288"/>
      <c r="U909" s="288">
        <v>0</v>
      </c>
      <c r="V909" s="289">
        <v>299.49</v>
      </c>
      <c r="W909" s="289">
        <v>0</v>
      </c>
      <c r="X909" s="288">
        <v>0.12478750000000001</v>
      </c>
      <c r="Y909" s="288">
        <v>0.1247375</v>
      </c>
      <c r="Z909" s="288">
        <v>4.9999999999999996E-5</v>
      </c>
      <c r="AA909" s="288">
        <v>0</v>
      </c>
      <c r="AB909" s="288">
        <v>0</v>
      </c>
      <c r="AC909" s="289">
        <v>0.1247875</v>
      </c>
      <c r="AD909" s="289">
        <v>0</v>
      </c>
    </row>
    <row r="910" spans="1:30" ht="15" customHeight="1" x14ac:dyDescent="0.25">
      <c r="A910" s="282" t="s">
        <v>581</v>
      </c>
      <c r="B910" s="282" t="s">
        <v>585</v>
      </c>
      <c r="C910" s="282" t="s">
        <v>586</v>
      </c>
      <c r="D910" s="283" t="s">
        <v>1572</v>
      </c>
      <c r="E910" s="404">
        <v>45016</v>
      </c>
      <c r="F910" s="404">
        <v>46843</v>
      </c>
      <c r="G910" s="286" t="s">
        <v>316</v>
      </c>
      <c r="H910" s="282" t="s">
        <v>1227</v>
      </c>
      <c r="I910" s="282" t="s">
        <v>590</v>
      </c>
      <c r="J910" s="282" t="s">
        <v>156</v>
      </c>
      <c r="K910" s="286" t="s">
        <v>1228</v>
      </c>
      <c r="L910" s="282" t="s">
        <v>574</v>
      </c>
      <c r="M910" s="287">
        <v>2400</v>
      </c>
      <c r="N910" s="287">
        <v>0</v>
      </c>
      <c r="O910" s="287">
        <v>0</v>
      </c>
      <c r="P910" s="287"/>
      <c r="Q910" s="288">
        <v>233.63</v>
      </c>
      <c r="R910" s="288">
        <v>233.57</v>
      </c>
      <c r="S910" s="288">
        <v>0.06</v>
      </c>
      <c r="T910" s="288"/>
      <c r="U910" s="288">
        <v>0</v>
      </c>
      <c r="V910" s="289">
        <v>233.63</v>
      </c>
      <c r="W910" s="289">
        <v>0</v>
      </c>
      <c r="X910" s="288">
        <v>9.7345833333333326E-2</v>
      </c>
      <c r="Y910" s="288">
        <v>9.7320833333333329E-2</v>
      </c>
      <c r="Z910" s="288">
        <v>2.4999999999999998E-5</v>
      </c>
      <c r="AA910" s="288">
        <v>0</v>
      </c>
      <c r="AB910" s="288">
        <v>0</v>
      </c>
      <c r="AC910" s="289">
        <v>9.7345833333333326E-2</v>
      </c>
      <c r="AD910" s="289">
        <v>0</v>
      </c>
    </row>
    <row r="911" spans="1:30" ht="15" customHeight="1" x14ac:dyDescent="0.25">
      <c r="A911" s="282" t="s">
        <v>581</v>
      </c>
      <c r="B911" s="282" t="s">
        <v>616</v>
      </c>
      <c r="C911" s="282" t="s">
        <v>617</v>
      </c>
      <c r="D911" s="283" t="s">
        <v>1573</v>
      </c>
      <c r="E911" s="404">
        <v>45016</v>
      </c>
      <c r="F911" s="404">
        <v>46843</v>
      </c>
      <c r="G911" s="286" t="s">
        <v>316</v>
      </c>
      <c r="H911" s="282" t="s">
        <v>1227</v>
      </c>
      <c r="I911" s="282" t="s">
        <v>590</v>
      </c>
      <c r="J911" s="282" t="s">
        <v>156</v>
      </c>
      <c r="K911" s="286" t="s">
        <v>1228</v>
      </c>
      <c r="L911" s="282" t="s">
        <v>574</v>
      </c>
      <c r="M911" s="287">
        <v>2400</v>
      </c>
      <c r="N911" s="287">
        <v>0</v>
      </c>
      <c r="O911" s="287">
        <v>0</v>
      </c>
      <c r="P911" s="287"/>
      <c r="Q911" s="288">
        <v>311.22000000000003</v>
      </c>
      <c r="R911" s="288">
        <v>311.17</v>
      </c>
      <c r="S911" s="288">
        <v>0.05</v>
      </c>
      <c r="T911" s="288"/>
      <c r="U911" s="288">
        <v>0</v>
      </c>
      <c r="V911" s="289">
        <v>311.22000000000003</v>
      </c>
      <c r="W911" s="289">
        <v>0</v>
      </c>
      <c r="X911" s="288">
        <v>0.12967500000000001</v>
      </c>
      <c r="Y911" s="288">
        <v>0.12965416666666668</v>
      </c>
      <c r="Z911" s="288">
        <v>2.0833333333333336E-5</v>
      </c>
      <c r="AA911" s="288">
        <v>0</v>
      </c>
      <c r="AB911" s="288">
        <v>0</v>
      </c>
      <c r="AC911" s="289">
        <v>0.12967500000000001</v>
      </c>
      <c r="AD911" s="289">
        <v>0</v>
      </c>
    </row>
    <row r="912" spans="1:30" ht="15" customHeight="1" x14ac:dyDescent="0.25">
      <c r="A912" s="282" t="s">
        <v>581</v>
      </c>
      <c r="B912" s="282" t="s">
        <v>611</v>
      </c>
      <c r="C912" s="282" t="s">
        <v>612</v>
      </c>
      <c r="D912" s="283" t="s">
        <v>1574</v>
      </c>
      <c r="E912" s="404">
        <v>45016</v>
      </c>
      <c r="F912" s="404">
        <v>46843</v>
      </c>
      <c r="G912" s="286" t="s">
        <v>316</v>
      </c>
      <c r="H912" s="282" t="s">
        <v>1227</v>
      </c>
      <c r="I912" s="282" t="s">
        <v>590</v>
      </c>
      <c r="J912" s="282" t="s">
        <v>156</v>
      </c>
      <c r="K912" s="286" t="s">
        <v>1228</v>
      </c>
      <c r="L912" s="282" t="s">
        <v>574</v>
      </c>
      <c r="M912" s="287">
        <v>2400</v>
      </c>
      <c r="N912" s="287">
        <v>0</v>
      </c>
      <c r="O912" s="287">
        <v>0</v>
      </c>
      <c r="P912" s="287"/>
      <c r="Q912" s="288">
        <v>194.77</v>
      </c>
      <c r="R912" s="288">
        <v>194.72</v>
      </c>
      <c r="S912" s="288">
        <v>0.05</v>
      </c>
      <c r="T912" s="288"/>
      <c r="U912" s="288">
        <v>0</v>
      </c>
      <c r="V912" s="289">
        <v>194.77</v>
      </c>
      <c r="W912" s="289">
        <v>0</v>
      </c>
      <c r="X912" s="288">
        <v>8.1154166666666666E-2</v>
      </c>
      <c r="Y912" s="288">
        <v>8.1133333333333335E-2</v>
      </c>
      <c r="Z912" s="288">
        <v>2.0833333333333336E-5</v>
      </c>
      <c r="AA912" s="288">
        <v>0</v>
      </c>
      <c r="AB912" s="288">
        <v>0</v>
      </c>
      <c r="AC912" s="289">
        <v>8.1154166666666666E-2</v>
      </c>
      <c r="AD912" s="289">
        <v>0</v>
      </c>
    </row>
    <row r="913" spans="1:30" ht="15" customHeight="1" x14ac:dyDescent="0.25">
      <c r="A913" s="282" t="s">
        <v>581</v>
      </c>
      <c r="B913" s="282" t="s">
        <v>585</v>
      </c>
      <c r="C913" s="282" t="s">
        <v>586</v>
      </c>
      <c r="D913" s="283" t="s">
        <v>1575</v>
      </c>
      <c r="E913" s="404">
        <v>45016</v>
      </c>
      <c r="F913" s="404">
        <v>46843</v>
      </c>
      <c r="G913" s="286" t="s">
        <v>316</v>
      </c>
      <c r="H913" s="282" t="s">
        <v>1227</v>
      </c>
      <c r="I913" s="282" t="s">
        <v>590</v>
      </c>
      <c r="J913" s="282" t="s">
        <v>156</v>
      </c>
      <c r="K913" s="286" t="s">
        <v>1228</v>
      </c>
      <c r="L913" s="282" t="s">
        <v>574</v>
      </c>
      <c r="M913" s="287">
        <v>2400</v>
      </c>
      <c r="N913" s="287">
        <v>0</v>
      </c>
      <c r="O913" s="287">
        <v>0</v>
      </c>
      <c r="P913" s="287"/>
      <c r="Q913" s="288">
        <v>225.98</v>
      </c>
      <c r="R913" s="288">
        <v>225.92</v>
      </c>
      <c r="S913" s="288">
        <v>0.06</v>
      </c>
      <c r="T913" s="288"/>
      <c r="U913" s="288">
        <v>0</v>
      </c>
      <c r="V913" s="289">
        <v>225.98</v>
      </c>
      <c r="W913" s="289">
        <v>0</v>
      </c>
      <c r="X913" s="288">
        <v>9.415833333333333E-2</v>
      </c>
      <c r="Y913" s="288">
        <v>9.4133333333333333E-2</v>
      </c>
      <c r="Z913" s="288">
        <v>2.4999999999999998E-5</v>
      </c>
      <c r="AA913" s="288">
        <v>0</v>
      </c>
      <c r="AB913" s="288">
        <v>0</v>
      </c>
      <c r="AC913" s="289">
        <v>9.415833333333333E-2</v>
      </c>
      <c r="AD913" s="289">
        <v>0</v>
      </c>
    </row>
    <row r="914" spans="1:30" ht="15" customHeight="1" x14ac:dyDescent="0.25">
      <c r="A914" s="282" t="s">
        <v>581</v>
      </c>
      <c r="B914" s="282" t="s">
        <v>611</v>
      </c>
      <c r="C914" s="282" t="s">
        <v>612</v>
      </c>
      <c r="D914" s="283" t="s">
        <v>1576</v>
      </c>
      <c r="E914" s="404">
        <v>45016</v>
      </c>
      <c r="F914" s="404">
        <v>46843</v>
      </c>
      <c r="G914" s="286" t="s">
        <v>264</v>
      </c>
      <c r="H914" s="282" t="s">
        <v>1222</v>
      </c>
      <c r="I914" s="282" t="s">
        <v>590</v>
      </c>
      <c r="J914" s="282" t="s">
        <v>156</v>
      </c>
      <c r="K914" s="286" t="s">
        <v>1223</v>
      </c>
      <c r="L914" s="282" t="s">
        <v>574</v>
      </c>
      <c r="M914" s="287">
        <v>2400</v>
      </c>
      <c r="N914" s="287">
        <v>0</v>
      </c>
      <c r="O914" s="287">
        <v>0</v>
      </c>
      <c r="P914" s="287"/>
      <c r="Q914" s="288">
        <v>335.12</v>
      </c>
      <c r="R914" s="288">
        <v>335.12</v>
      </c>
      <c r="S914" s="288">
        <v>-5.1900000000000002E-3</v>
      </c>
      <c r="T914" s="288"/>
      <c r="U914" s="288">
        <v>0</v>
      </c>
      <c r="V914" s="289">
        <v>335.12</v>
      </c>
      <c r="W914" s="289">
        <v>0</v>
      </c>
      <c r="X914" s="288">
        <v>0.13963333333333333</v>
      </c>
      <c r="Y914" s="288">
        <v>0.13963333333333333</v>
      </c>
      <c r="Z914" s="288">
        <v>-2.1625E-6</v>
      </c>
      <c r="AA914" s="288">
        <v>0</v>
      </c>
      <c r="AB914" s="288">
        <v>0</v>
      </c>
      <c r="AC914" s="289">
        <v>0.13963333333333333</v>
      </c>
      <c r="AD914" s="289">
        <v>0</v>
      </c>
    </row>
    <row r="915" spans="1:30" ht="15" customHeight="1" x14ac:dyDescent="0.25">
      <c r="A915" s="282" t="s">
        <v>581</v>
      </c>
      <c r="B915" s="282" t="s">
        <v>594</v>
      </c>
      <c r="C915" s="282" t="s">
        <v>595</v>
      </c>
      <c r="D915" s="283" t="s">
        <v>1577</v>
      </c>
      <c r="E915" s="404">
        <v>45016</v>
      </c>
      <c r="F915" s="404">
        <v>46843</v>
      </c>
      <c r="G915" s="286" t="s">
        <v>264</v>
      </c>
      <c r="H915" s="282" t="s">
        <v>1222</v>
      </c>
      <c r="I915" s="282" t="s">
        <v>590</v>
      </c>
      <c r="J915" s="282" t="s">
        <v>156</v>
      </c>
      <c r="K915" s="286" t="s">
        <v>1223</v>
      </c>
      <c r="L915" s="282" t="s">
        <v>574</v>
      </c>
      <c r="M915" s="287">
        <v>2400</v>
      </c>
      <c r="N915" s="287">
        <v>0</v>
      </c>
      <c r="O915" s="287">
        <v>0</v>
      </c>
      <c r="P915" s="287"/>
      <c r="Q915" s="288">
        <v>253.87</v>
      </c>
      <c r="R915" s="288">
        <v>253.87</v>
      </c>
      <c r="S915" s="288">
        <v>-3.8899999999999998E-3</v>
      </c>
      <c r="T915" s="288"/>
      <c r="U915" s="288">
        <v>0</v>
      </c>
      <c r="V915" s="289">
        <v>253.87</v>
      </c>
      <c r="W915" s="289">
        <v>0</v>
      </c>
      <c r="X915" s="288">
        <v>0.10577916666666667</v>
      </c>
      <c r="Y915" s="288">
        <v>0.10577916666666667</v>
      </c>
      <c r="Z915" s="288">
        <v>-1.6208333333333332E-6</v>
      </c>
      <c r="AA915" s="288">
        <v>0</v>
      </c>
      <c r="AB915" s="288">
        <v>0</v>
      </c>
      <c r="AC915" s="289">
        <v>0.10577916666666667</v>
      </c>
      <c r="AD915" s="289">
        <v>0</v>
      </c>
    </row>
    <row r="916" spans="1:30" ht="15" customHeight="1" x14ac:dyDescent="0.25">
      <c r="A916" s="282" t="s">
        <v>581</v>
      </c>
      <c r="B916" s="282" t="s">
        <v>628</v>
      </c>
      <c r="C916" s="282" t="s">
        <v>629</v>
      </c>
      <c r="D916" s="283" t="s">
        <v>1578</v>
      </c>
      <c r="E916" s="404">
        <v>45016</v>
      </c>
      <c r="F916" s="404">
        <v>46843</v>
      </c>
      <c r="G916" s="286" t="s">
        <v>264</v>
      </c>
      <c r="H916" s="282" t="s">
        <v>1222</v>
      </c>
      <c r="I916" s="282" t="s">
        <v>590</v>
      </c>
      <c r="J916" s="282" t="s">
        <v>156</v>
      </c>
      <c r="K916" s="286" t="s">
        <v>1223</v>
      </c>
      <c r="L916" s="282" t="s">
        <v>574</v>
      </c>
      <c r="M916" s="287">
        <v>2400</v>
      </c>
      <c r="N916" s="287">
        <v>0</v>
      </c>
      <c r="O916" s="287">
        <v>0</v>
      </c>
      <c r="P916" s="287"/>
      <c r="Q916" s="288">
        <v>278.45</v>
      </c>
      <c r="R916" s="288">
        <v>278.45</v>
      </c>
      <c r="S916" s="288">
        <v>-4.9500000000000004E-3</v>
      </c>
      <c r="T916" s="288"/>
      <c r="U916" s="288">
        <v>0</v>
      </c>
      <c r="V916" s="289">
        <v>278.45</v>
      </c>
      <c r="W916" s="289">
        <v>0</v>
      </c>
      <c r="X916" s="288">
        <v>0.11602083333333332</v>
      </c>
      <c r="Y916" s="288">
        <v>0.11602083333333332</v>
      </c>
      <c r="Z916" s="288">
        <v>-2.0625000000000002E-6</v>
      </c>
      <c r="AA916" s="288">
        <v>0</v>
      </c>
      <c r="AB916" s="288">
        <v>0</v>
      </c>
      <c r="AC916" s="289">
        <v>0.11602083333333332</v>
      </c>
      <c r="AD916" s="289">
        <v>0</v>
      </c>
    </row>
    <row r="917" spans="1:30" ht="15" customHeight="1" x14ac:dyDescent="0.25">
      <c r="A917" s="282" t="s">
        <v>581</v>
      </c>
      <c r="B917" s="282" t="s">
        <v>611</v>
      </c>
      <c r="C917" s="282" t="s">
        <v>612</v>
      </c>
      <c r="D917" s="283" t="s">
        <v>1579</v>
      </c>
      <c r="E917" s="404">
        <v>45016</v>
      </c>
      <c r="F917" s="404">
        <v>46843</v>
      </c>
      <c r="G917" s="286" t="s">
        <v>264</v>
      </c>
      <c r="H917" s="282" t="s">
        <v>1222</v>
      </c>
      <c r="I917" s="282" t="s">
        <v>590</v>
      </c>
      <c r="J917" s="282" t="s">
        <v>156</v>
      </c>
      <c r="K917" s="286" t="s">
        <v>1223</v>
      </c>
      <c r="L917" s="282" t="s">
        <v>574</v>
      </c>
      <c r="M917" s="287">
        <v>2400</v>
      </c>
      <c r="N917" s="287">
        <v>0</v>
      </c>
      <c r="O917" s="287">
        <v>0</v>
      </c>
      <c r="P917" s="287"/>
      <c r="Q917" s="288">
        <v>295.48</v>
      </c>
      <c r="R917" s="288">
        <v>295.48</v>
      </c>
      <c r="S917" s="288">
        <v>-2.8600000000000001E-3</v>
      </c>
      <c r="T917" s="288"/>
      <c r="U917" s="288">
        <v>0</v>
      </c>
      <c r="V917" s="289">
        <v>295.48</v>
      </c>
      <c r="W917" s="289">
        <v>0</v>
      </c>
      <c r="X917" s="288">
        <v>0.12311666666666668</v>
      </c>
      <c r="Y917" s="288">
        <v>0.12311666666666668</v>
      </c>
      <c r="Z917" s="288">
        <v>-1.1916666666666668E-6</v>
      </c>
      <c r="AA917" s="288">
        <v>0</v>
      </c>
      <c r="AB917" s="288">
        <v>0</v>
      </c>
      <c r="AC917" s="289">
        <v>0.12311666666666668</v>
      </c>
      <c r="AD917" s="289">
        <v>0</v>
      </c>
    </row>
    <row r="918" spans="1:30" ht="15" customHeight="1" x14ac:dyDescent="0.25">
      <c r="A918" s="282" t="s">
        <v>581</v>
      </c>
      <c r="B918" s="282" t="s">
        <v>628</v>
      </c>
      <c r="C918" s="282" t="s">
        <v>629</v>
      </c>
      <c r="D918" s="283" t="s">
        <v>1580</v>
      </c>
      <c r="E918" s="404">
        <v>45016</v>
      </c>
      <c r="F918" s="404">
        <v>46843</v>
      </c>
      <c r="G918" s="286" t="s">
        <v>264</v>
      </c>
      <c r="H918" s="282" t="s">
        <v>1222</v>
      </c>
      <c r="I918" s="282" t="s">
        <v>590</v>
      </c>
      <c r="J918" s="282" t="s">
        <v>156</v>
      </c>
      <c r="K918" s="286" t="s">
        <v>1223</v>
      </c>
      <c r="L918" s="282" t="s">
        <v>574</v>
      </c>
      <c r="M918" s="287">
        <v>2400</v>
      </c>
      <c r="N918" s="287">
        <v>0</v>
      </c>
      <c r="O918" s="287">
        <v>0</v>
      </c>
      <c r="P918" s="287"/>
      <c r="Q918" s="288">
        <v>285.07</v>
      </c>
      <c r="R918" s="288">
        <v>285.07</v>
      </c>
      <c r="S918" s="288">
        <v>-1.0999999999999999E-2</v>
      </c>
      <c r="T918" s="288"/>
      <c r="U918" s="288">
        <v>0</v>
      </c>
      <c r="V918" s="289">
        <v>285.07</v>
      </c>
      <c r="W918" s="289">
        <v>0</v>
      </c>
      <c r="X918" s="288">
        <v>0.11877916666666666</v>
      </c>
      <c r="Y918" s="288">
        <v>0.11877916666666666</v>
      </c>
      <c r="Z918" s="288">
        <v>-4.5833333333333332E-6</v>
      </c>
      <c r="AA918" s="288">
        <v>0</v>
      </c>
      <c r="AB918" s="288">
        <v>0</v>
      </c>
      <c r="AC918" s="289">
        <v>0.11877916666666666</v>
      </c>
      <c r="AD918" s="289">
        <v>0</v>
      </c>
    </row>
    <row r="919" spans="1:30" ht="15" customHeight="1" x14ac:dyDescent="0.25">
      <c r="A919" s="282" t="s">
        <v>581</v>
      </c>
      <c r="B919" s="282" t="s">
        <v>611</v>
      </c>
      <c r="C919" s="282" t="s">
        <v>612</v>
      </c>
      <c r="D919" s="283" t="s">
        <v>1581</v>
      </c>
      <c r="E919" s="404">
        <v>45016</v>
      </c>
      <c r="F919" s="404">
        <v>46843</v>
      </c>
      <c r="G919" s="286" t="s">
        <v>264</v>
      </c>
      <c r="H919" s="282" t="s">
        <v>1222</v>
      </c>
      <c r="I919" s="282" t="s">
        <v>590</v>
      </c>
      <c r="J919" s="282" t="s">
        <v>156</v>
      </c>
      <c r="K919" s="286" t="s">
        <v>1223</v>
      </c>
      <c r="L919" s="282" t="s">
        <v>574</v>
      </c>
      <c r="M919" s="287">
        <v>2400</v>
      </c>
      <c r="N919" s="287">
        <v>0</v>
      </c>
      <c r="O919" s="287">
        <v>0</v>
      </c>
      <c r="P919" s="287"/>
      <c r="Q919" s="288">
        <v>358.56</v>
      </c>
      <c r="R919" s="288">
        <v>358.56</v>
      </c>
      <c r="S919" s="288">
        <v>-6.7999999999999996E-3</v>
      </c>
      <c r="T919" s="288"/>
      <c r="U919" s="288">
        <v>0</v>
      </c>
      <c r="V919" s="289">
        <v>358.56</v>
      </c>
      <c r="W919" s="289">
        <v>0</v>
      </c>
      <c r="X919" s="288">
        <v>0.14940000000000001</v>
      </c>
      <c r="Y919" s="288">
        <v>0.14940000000000001</v>
      </c>
      <c r="Z919" s="288">
        <v>-2.833333333333333E-6</v>
      </c>
      <c r="AA919" s="288">
        <v>0</v>
      </c>
      <c r="AB919" s="288">
        <v>0</v>
      </c>
      <c r="AC919" s="289">
        <v>0.14940000000000001</v>
      </c>
      <c r="AD919" s="289">
        <v>0</v>
      </c>
    </row>
    <row r="920" spans="1:30" ht="15" customHeight="1" x14ac:dyDescent="0.25">
      <c r="A920" s="282" t="s">
        <v>581</v>
      </c>
      <c r="B920" s="282" t="s">
        <v>611</v>
      </c>
      <c r="C920" s="282" t="s">
        <v>612</v>
      </c>
      <c r="D920" s="283" t="s">
        <v>1582</v>
      </c>
      <c r="E920" s="404">
        <v>45016</v>
      </c>
      <c r="F920" s="404">
        <v>46843</v>
      </c>
      <c r="G920" s="286" t="s">
        <v>264</v>
      </c>
      <c r="H920" s="282" t="s">
        <v>1222</v>
      </c>
      <c r="I920" s="282" t="s">
        <v>590</v>
      </c>
      <c r="J920" s="282" t="s">
        <v>156</v>
      </c>
      <c r="K920" s="286" t="s">
        <v>1223</v>
      </c>
      <c r="L920" s="282" t="s">
        <v>574</v>
      </c>
      <c r="M920" s="287">
        <v>2400</v>
      </c>
      <c r="N920" s="287">
        <v>0</v>
      </c>
      <c r="O920" s="287">
        <v>0</v>
      </c>
      <c r="P920" s="287"/>
      <c r="Q920" s="288">
        <v>307.26</v>
      </c>
      <c r="R920" s="288">
        <v>307.26</v>
      </c>
      <c r="S920" s="288">
        <v>-1.9300000000000001E-3</v>
      </c>
      <c r="T920" s="288"/>
      <c r="U920" s="288">
        <v>0</v>
      </c>
      <c r="V920" s="289">
        <v>307.26</v>
      </c>
      <c r="W920" s="289">
        <v>0</v>
      </c>
      <c r="X920" s="288">
        <v>0.128025</v>
      </c>
      <c r="Y920" s="288">
        <v>0.128025</v>
      </c>
      <c r="Z920" s="288">
        <v>-8.0416666666666666E-7</v>
      </c>
      <c r="AA920" s="288">
        <v>0</v>
      </c>
      <c r="AB920" s="288">
        <v>0</v>
      </c>
      <c r="AC920" s="289">
        <v>0.128025</v>
      </c>
      <c r="AD920" s="289">
        <v>0</v>
      </c>
    </row>
    <row r="921" spans="1:30" ht="15" customHeight="1" x14ac:dyDescent="0.25">
      <c r="A921" s="282" t="s">
        <v>581</v>
      </c>
      <c r="B921" s="282" t="s">
        <v>611</v>
      </c>
      <c r="C921" s="282" t="s">
        <v>612</v>
      </c>
      <c r="D921" s="283" t="s">
        <v>1583</v>
      </c>
      <c r="E921" s="404">
        <v>45016</v>
      </c>
      <c r="F921" s="404">
        <v>46843</v>
      </c>
      <c r="G921" s="286" t="s">
        <v>264</v>
      </c>
      <c r="H921" s="282" t="s">
        <v>1222</v>
      </c>
      <c r="I921" s="282" t="s">
        <v>590</v>
      </c>
      <c r="J921" s="282" t="s">
        <v>156</v>
      </c>
      <c r="K921" s="286" t="s">
        <v>1223</v>
      </c>
      <c r="L921" s="282" t="s">
        <v>574</v>
      </c>
      <c r="M921" s="287">
        <v>2400</v>
      </c>
      <c r="N921" s="287">
        <v>0</v>
      </c>
      <c r="O921" s="287">
        <v>0</v>
      </c>
      <c r="P921" s="287"/>
      <c r="Q921" s="288">
        <v>347.94</v>
      </c>
      <c r="R921" s="288">
        <v>347.94</v>
      </c>
      <c r="S921" s="288">
        <v>-6.3099999999999996E-3</v>
      </c>
      <c r="T921" s="288"/>
      <c r="U921" s="288">
        <v>0</v>
      </c>
      <c r="V921" s="289">
        <v>347.94</v>
      </c>
      <c r="W921" s="289">
        <v>0</v>
      </c>
      <c r="X921" s="288">
        <v>0.14497499999999999</v>
      </c>
      <c r="Y921" s="288">
        <v>0.14497499999999999</v>
      </c>
      <c r="Z921" s="288">
        <v>-2.6291666666666663E-6</v>
      </c>
      <c r="AA921" s="288">
        <v>0</v>
      </c>
      <c r="AB921" s="288">
        <v>0</v>
      </c>
      <c r="AC921" s="289">
        <v>0.14497499999999999</v>
      </c>
      <c r="AD921" s="289">
        <v>0</v>
      </c>
    </row>
    <row r="922" spans="1:30" ht="15" customHeight="1" x14ac:dyDescent="0.25">
      <c r="A922" s="282" t="s">
        <v>581</v>
      </c>
      <c r="B922" s="282" t="s">
        <v>1220</v>
      </c>
      <c r="C922" s="282" t="s">
        <v>586</v>
      </c>
      <c r="D922" s="283" t="s">
        <v>1584</v>
      </c>
      <c r="E922" s="404">
        <v>45016</v>
      </c>
      <c r="F922" s="404">
        <v>46843</v>
      </c>
      <c r="G922" s="286" t="s">
        <v>264</v>
      </c>
      <c r="H922" s="282" t="s">
        <v>1222</v>
      </c>
      <c r="I922" s="282" t="s">
        <v>590</v>
      </c>
      <c r="J922" s="282" t="s">
        <v>156</v>
      </c>
      <c r="K922" s="286" t="s">
        <v>1223</v>
      </c>
      <c r="L922" s="282" t="s">
        <v>574</v>
      </c>
      <c r="M922" s="287">
        <v>2400</v>
      </c>
      <c r="N922" s="287">
        <v>0</v>
      </c>
      <c r="O922" s="287">
        <v>0</v>
      </c>
      <c r="P922" s="287"/>
      <c r="Q922" s="288">
        <v>338.84</v>
      </c>
      <c r="R922" s="288">
        <v>338.84</v>
      </c>
      <c r="S922" s="288">
        <v>-4.4200000000000003E-3</v>
      </c>
      <c r="T922" s="288"/>
      <c r="U922" s="288">
        <v>0</v>
      </c>
      <c r="V922" s="289">
        <v>338.84</v>
      </c>
      <c r="W922" s="289">
        <v>0</v>
      </c>
      <c r="X922" s="288">
        <v>0.14118333333333333</v>
      </c>
      <c r="Y922" s="288">
        <v>0.14118333333333333</v>
      </c>
      <c r="Z922" s="288">
        <v>-1.8416666666666669E-6</v>
      </c>
      <c r="AA922" s="288">
        <v>0</v>
      </c>
      <c r="AB922" s="288">
        <v>0</v>
      </c>
      <c r="AC922" s="289">
        <v>0.14118333333333333</v>
      </c>
      <c r="AD922" s="289">
        <v>0</v>
      </c>
    </row>
    <row r="923" spans="1:30" ht="15" customHeight="1" x14ac:dyDescent="0.25">
      <c r="A923" s="282" t="s">
        <v>581</v>
      </c>
      <c r="B923" s="282" t="s">
        <v>585</v>
      </c>
      <c r="C923" s="282" t="s">
        <v>586</v>
      </c>
      <c r="D923" s="283" t="s">
        <v>1585</v>
      </c>
      <c r="E923" s="404">
        <v>45016</v>
      </c>
      <c r="F923" s="404">
        <v>46843</v>
      </c>
      <c r="G923" s="286" t="s">
        <v>264</v>
      </c>
      <c r="H923" s="282" t="s">
        <v>1222</v>
      </c>
      <c r="I923" s="282" t="s">
        <v>590</v>
      </c>
      <c r="J923" s="282" t="s">
        <v>156</v>
      </c>
      <c r="K923" s="286" t="s">
        <v>1223</v>
      </c>
      <c r="L923" s="282" t="s">
        <v>574</v>
      </c>
      <c r="M923" s="287">
        <v>2400</v>
      </c>
      <c r="N923" s="287">
        <v>0</v>
      </c>
      <c r="O923" s="287">
        <v>0</v>
      </c>
      <c r="P923" s="287"/>
      <c r="Q923" s="288">
        <v>360.88</v>
      </c>
      <c r="R923" s="288">
        <v>360.88</v>
      </c>
      <c r="S923" s="288">
        <v>-7.2300000000000003E-3</v>
      </c>
      <c r="T923" s="288"/>
      <c r="U923" s="288">
        <v>0</v>
      </c>
      <c r="V923" s="289">
        <v>360.88</v>
      </c>
      <c r="W923" s="289">
        <v>0</v>
      </c>
      <c r="X923" s="288">
        <v>0.15036666666666668</v>
      </c>
      <c r="Y923" s="288">
        <v>0.15036666666666668</v>
      </c>
      <c r="Z923" s="288">
        <v>-3.0125E-6</v>
      </c>
      <c r="AA923" s="288">
        <v>0</v>
      </c>
      <c r="AB923" s="288">
        <v>0</v>
      </c>
      <c r="AC923" s="289">
        <v>0.15036666666666668</v>
      </c>
      <c r="AD923" s="289">
        <v>0</v>
      </c>
    </row>
    <row r="924" spans="1:30" ht="15" customHeight="1" x14ac:dyDescent="0.25">
      <c r="A924" s="282" t="s">
        <v>581</v>
      </c>
      <c r="B924" s="282" t="s">
        <v>585</v>
      </c>
      <c r="C924" s="282" t="s">
        <v>586</v>
      </c>
      <c r="D924" s="283" t="s">
        <v>1586</v>
      </c>
      <c r="E924" s="404">
        <v>45016</v>
      </c>
      <c r="F924" s="404">
        <v>46843</v>
      </c>
      <c r="G924" s="286" t="s">
        <v>264</v>
      </c>
      <c r="H924" s="282" t="s">
        <v>1222</v>
      </c>
      <c r="I924" s="282" t="s">
        <v>590</v>
      </c>
      <c r="J924" s="282" t="s">
        <v>156</v>
      </c>
      <c r="K924" s="286" t="s">
        <v>1223</v>
      </c>
      <c r="L924" s="282" t="s">
        <v>574</v>
      </c>
      <c r="M924" s="287">
        <v>2400</v>
      </c>
      <c r="N924" s="287">
        <v>0</v>
      </c>
      <c r="O924" s="287">
        <v>0</v>
      </c>
      <c r="P924" s="287"/>
      <c r="Q924" s="288">
        <v>415.12</v>
      </c>
      <c r="R924" s="288">
        <v>415.12</v>
      </c>
      <c r="S924" s="288">
        <v>-9.6500000000000006E-3</v>
      </c>
      <c r="T924" s="288"/>
      <c r="U924" s="288">
        <v>0</v>
      </c>
      <c r="V924" s="289">
        <v>415.12</v>
      </c>
      <c r="W924" s="289">
        <v>0</v>
      </c>
      <c r="X924" s="288">
        <v>0.17296666666666666</v>
      </c>
      <c r="Y924" s="288">
        <v>0.17296666666666666</v>
      </c>
      <c r="Z924" s="288">
        <v>-4.0208333333333339E-6</v>
      </c>
      <c r="AA924" s="288">
        <v>0</v>
      </c>
      <c r="AB924" s="288">
        <v>0</v>
      </c>
      <c r="AC924" s="289">
        <v>0.17296666666666666</v>
      </c>
      <c r="AD924" s="289">
        <v>0</v>
      </c>
    </row>
    <row r="925" spans="1:30" ht="15" customHeight="1" x14ac:dyDescent="0.25">
      <c r="A925" s="282" t="s">
        <v>581</v>
      </c>
      <c r="B925" s="282" t="s">
        <v>585</v>
      </c>
      <c r="C925" s="282" t="s">
        <v>586</v>
      </c>
      <c r="D925" s="283" t="s">
        <v>1587</v>
      </c>
      <c r="E925" s="404">
        <v>45016</v>
      </c>
      <c r="F925" s="404">
        <v>46843</v>
      </c>
      <c r="G925" s="286" t="s">
        <v>264</v>
      </c>
      <c r="H925" s="282" t="s">
        <v>1222</v>
      </c>
      <c r="I925" s="282" t="s">
        <v>590</v>
      </c>
      <c r="J925" s="282" t="s">
        <v>156</v>
      </c>
      <c r="K925" s="286" t="s">
        <v>1223</v>
      </c>
      <c r="L925" s="282" t="s">
        <v>574</v>
      </c>
      <c r="M925" s="287">
        <v>2400</v>
      </c>
      <c r="N925" s="287">
        <v>0</v>
      </c>
      <c r="O925" s="287">
        <v>0</v>
      </c>
      <c r="P925" s="287"/>
      <c r="Q925" s="288">
        <v>415.12</v>
      </c>
      <c r="R925" s="288">
        <v>415.12</v>
      </c>
      <c r="S925" s="288">
        <v>-9.6500000000000006E-3</v>
      </c>
      <c r="T925" s="288"/>
      <c r="U925" s="288">
        <v>0</v>
      </c>
      <c r="V925" s="289">
        <v>415.12</v>
      </c>
      <c r="W925" s="289">
        <v>0</v>
      </c>
      <c r="X925" s="288">
        <v>0.17296666666666666</v>
      </c>
      <c r="Y925" s="288">
        <v>0.17296666666666666</v>
      </c>
      <c r="Z925" s="288">
        <v>-4.0208333333333339E-6</v>
      </c>
      <c r="AA925" s="288">
        <v>0</v>
      </c>
      <c r="AB925" s="288">
        <v>0</v>
      </c>
      <c r="AC925" s="289">
        <v>0.17296666666666666</v>
      </c>
      <c r="AD925" s="289">
        <v>0</v>
      </c>
    </row>
    <row r="926" spans="1:30" ht="15" customHeight="1" x14ac:dyDescent="0.25">
      <c r="A926" s="282" t="s">
        <v>581</v>
      </c>
      <c r="B926" s="282" t="s">
        <v>606</v>
      </c>
      <c r="C926" s="282" t="s">
        <v>260</v>
      </c>
      <c r="D926" s="283" t="s">
        <v>1588</v>
      </c>
      <c r="E926" s="404">
        <v>45016</v>
      </c>
      <c r="F926" s="404">
        <v>46843</v>
      </c>
      <c r="G926" s="286" t="s">
        <v>264</v>
      </c>
      <c r="H926" s="282" t="s">
        <v>1222</v>
      </c>
      <c r="I926" s="282" t="s">
        <v>590</v>
      </c>
      <c r="J926" s="282" t="s">
        <v>156</v>
      </c>
      <c r="K926" s="286" t="s">
        <v>1223</v>
      </c>
      <c r="L926" s="282" t="s">
        <v>574</v>
      </c>
      <c r="M926" s="287">
        <v>2400</v>
      </c>
      <c r="N926" s="287">
        <v>0</v>
      </c>
      <c r="O926" s="287">
        <v>0</v>
      </c>
      <c r="P926" s="287"/>
      <c r="Q926" s="288">
        <v>105.88</v>
      </c>
      <c r="R926" s="288">
        <v>105.88</v>
      </c>
      <c r="S926" s="288">
        <v>-1.5200000000000001E-3</v>
      </c>
      <c r="T926" s="288"/>
      <c r="U926" s="288">
        <v>0</v>
      </c>
      <c r="V926" s="289">
        <v>105.88</v>
      </c>
      <c r="W926" s="289">
        <v>0</v>
      </c>
      <c r="X926" s="288">
        <v>4.4116666666666665E-2</v>
      </c>
      <c r="Y926" s="288">
        <v>4.4116666666666665E-2</v>
      </c>
      <c r="Z926" s="288">
        <v>-6.3333333333333334E-7</v>
      </c>
      <c r="AA926" s="288">
        <v>0</v>
      </c>
      <c r="AB926" s="288">
        <v>0</v>
      </c>
      <c r="AC926" s="289">
        <v>4.4116666666666665E-2</v>
      </c>
      <c r="AD926" s="289">
        <v>0</v>
      </c>
    </row>
    <row r="927" spans="1:30" ht="15" customHeight="1" x14ac:dyDescent="0.25">
      <c r="A927" s="282" t="s">
        <v>581</v>
      </c>
      <c r="B927" s="282" t="s">
        <v>594</v>
      </c>
      <c r="C927" s="282" t="s">
        <v>595</v>
      </c>
      <c r="D927" s="283" t="s">
        <v>1589</v>
      </c>
      <c r="E927" s="404">
        <v>45056</v>
      </c>
      <c r="F927" s="404">
        <v>46883</v>
      </c>
      <c r="G927" s="286" t="s">
        <v>286</v>
      </c>
      <c r="H927" s="282" t="s">
        <v>759</v>
      </c>
      <c r="I927" s="282" t="s">
        <v>590</v>
      </c>
      <c r="J927" s="282" t="s">
        <v>156</v>
      </c>
      <c r="K927" s="286" t="s">
        <v>760</v>
      </c>
      <c r="L927" s="282" t="s">
        <v>574</v>
      </c>
      <c r="M927" s="287">
        <v>2400</v>
      </c>
      <c r="N927" s="287">
        <v>0</v>
      </c>
      <c r="O927" s="287">
        <v>0</v>
      </c>
      <c r="P927" s="287"/>
      <c r="Q927" s="288">
        <v>167</v>
      </c>
      <c r="R927" s="288" t="s">
        <v>863</v>
      </c>
      <c r="S927" s="288">
        <v>-3.4199999999999999E-3</v>
      </c>
      <c r="T927" s="288"/>
      <c r="U927" s="288">
        <v>0</v>
      </c>
      <c r="V927" s="289">
        <v>167</v>
      </c>
      <c r="W927" s="289">
        <v>0</v>
      </c>
      <c r="X927" s="288">
        <v>6.958333333333333E-2</v>
      </c>
      <c r="Y927" s="288">
        <v>6.958333333333333E-2</v>
      </c>
      <c r="Z927" s="288">
        <v>-1.4249999999999999E-6</v>
      </c>
      <c r="AA927" s="288">
        <v>0</v>
      </c>
      <c r="AB927" s="288">
        <v>0</v>
      </c>
      <c r="AC927" s="289">
        <v>6.958333333333333E-2</v>
      </c>
      <c r="AD927" s="289">
        <v>0</v>
      </c>
    </row>
    <row r="928" spans="1:30" ht="15" customHeight="1" x14ac:dyDescent="0.25">
      <c r="A928" s="282" t="s">
        <v>581</v>
      </c>
      <c r="B928" s="282" t="s">
        <v>611</v>
      </c>
      <c r="C928" s="282" t="s">
        <v>612</v>
      </c>
      <c r="D928" s="283" t="s">
        <v>1590</v>
      </c>
      <c r="E928" s="404">
        <v>45056</v>
      </c>
      <c r="F928" s="404">
        <v>46883</v>
      </c>
      <c r="G928" s="286" t="s">
        <v>286</v>
      </c>
      <c r="H928" s="282" t="s">
        <v>759</v>
      </c>
      <c r="I928" s="282" t="s">
        <v>590</v>
      </c>
      <c r="J928" s="282" t="s">
        <v>156</v>
      </c>
      <c r="K928" s="286" t="s">
        <v>760</v>
      </c>
      <c r="L928" s="282" t="s">
        <v>574</v>
      </c>
      <c r="M928" s="287">
        <v>2400</v>
      </c>
      <c r="N928" s="287">
        <v>0</v>
      </c>
      <c r="O928" s="287">
        <v>0</v>
      </c>
      <c r="P928" s="287"/>
      <c r="Q928" s="288">
        <v>260</v>
      </c>
      <c r="R928" s="288" t="s">
        <v>1591</v>
      </c>
      <c r="S928" s="288">
        <v>-2.0200000000000001E-3</v>
      </c>
      <c r="T928" s="288"/>
      <c r="U928" s="288">
        <v>0</v>
      </c>
      <c r="V928" s="289">
        <v>260</v>
      </c>
      <c r="W928" s="289">
        <v>0</v>
      </c>
      <c r="X928" s="288">
        <v>0.10833333333333334</v>
      </c>
      <c r="Y928" s="288">
        <v>0.10833333333333334</v>
      </c>
      <c r="Z928" s="288">
        <v>-8.4166666666666673E-7</v>
      </c>
      <c r="AA928" s="288">
        <v>0</v>
      </c>
      <c r="AB928" s="288">
        <v>0</v>
      </c>
      <c r="AC928" s="289">
        <v>0.10833333333333334</v>
      </c>
      <c r="AD928" s="289">
        <v>0</v>
      </c>
    </row>
    <row r="929" spans="1:30" ht="15" customHeight="1" x14ac:dyDescent="0.25">
      <c r="A929" s="282" t="s">
        <v>581</v>
      </c>
      <c r="B929" s="282" t="s">
        <v>585</v>
      </c>
      <c r="C929" s="282" t="s">
        <v>586</v>
      </c>
      <c r="D929" s="283" t="s">
        <v>1592</v>
      </c>
      <c r="E929" s="404">
        <v>45056</v>
      </c>
      <c r="F929" s="404">
        <v>46883</v>
      </c>
      <c r="G929" s="286" t="s">
        <v>286</v>
      </c>
      <c r="H929" s="282" t="s">
        <v>759</v>
      </c>
      <c r="I929" s="282" t="s">
        <v>590</v>
      </c>
      <c r="J929" s="282" t="s">
        <v>156</v>
      </c>
      <c r="K929" s="286" t="s">
        <v>760</v>
      </c>
      <c r="L929" s="282" t="s">
        <v>574</v>
      </c>
      <c r="M929" s="287">
        <v>2400</v>
      </c>
      <c r="N929" s="287">
        <v>0</v>
      </c>
      <c r="O929" s="287">
        <v>0</v>
      </c>
      <c r="P929" s="287"/>
      <c r="Q929" s="288">
        <v>291</v>
      </c>
      <c r="R929" s="288" t="s">
        <v>666</v>
      </c>
      <c r="S929" s="288">
        <v>-0.02</v>
      </c>
      <c r="T929" s="288"/>
      <c r="U929" s="288">
        <v>0</v>
      </c>
      <c r="V929" s="289">
        <v>291</v>
      </c>
      <c r="W929" s="289">
        <v>0</v>
      </c>
      <c r="X929" s="288">
        <v>0.12125</v>
      </c>
      <c r="Y929" s="288">
        <v>0.12125</v>
      </c>
      <c r="Z929" s="288">
        <v>-8.3333333333333337E-6</v>
      </c>
      <c r="AA929" s="288">
        <v>0</v>
      </c>
      <c r="AB929" s="288">
        <v>0</v>
      </c>
      <c r="AC929" s="289">
        <v>0.12125</v>
      </c>
      <c r="AD929" s="289">
        <v>0</v>
      </c>
    </row>
    <row r="930" spans="1:30" ht="15" customHeight="1" x14ac:dyDescent="0.25">
      <c r="A930" s="282" t="s">
        <v>581</v>
      </c>
      <c r="B930" s="282" t="s">
        <v>585</v>
      </c>
      <c r="C930" s="282" t="s">
        <v>586</v>
      </c>
      <c r="D930" s="283" t="s">
        <v>1593</v>
      </c>
      <c r="E930" s="404">
        <v>45056</v>
      </c>
      <c r="F930" s="404">
        <v>46883</v>
      </c>
      <c r="G930" s="286" t="s">
        <v>286</v>
      </c>
      <c r="H930" s="282" t="s">
        <v>759</v>
      </c>
      <c r="I930" s="282" t="s">
        <v>590</v>
      </c>
      <c r="J930" s="282" t="s">
        <v>156</v>
      </c>
      <c r="K930" s="286" t="s">
        <v>760</v>
      </c>
      <c r="L930" s="282" t="s">
        <v>574</v>
      </c>
      <c r="M930" s="287">
        <v>2400</v>
      </c>
      <c r="N930" s="287">
        <v>0</v>
      </c>
      <c r="O930" s="287">
        <v>0</v>
      </c>
      <c r="P930" s="287"/>
      <c r="Q930" s="288">
        <v>277</v>
      </c>
      <c r="R930" s="288" t="s">
        <v>1594</v>
      </c>
      <c r="S930" s="288">
        <v>-2.8799999999999999E-2</v>
      </c>
      <c r="T930" s="288"/>
      <c r="U930" s="288">
        <v>0</v>
      </c>
      <c r="V930" s="289">
        <v>277</v>
      </c>
      <c r="W930" s="289">
        <v>0</v>
      </c>
      <c r="X930" s="288">
        <v>0.11541666666666667</v>
      </c>
      <c r="Y930" s="288">
        <v>0.11541666666666667</v>
      </c>
      <c r="Z930" s="288">
        <v>-1.2E-5</v>
      </c>
      <c r="AA930" s="288">
        <v>0</v>
      </c>
      <c r="AB930" s="288">
        <v>0</v>
      </c>
      <c r="AC930" s="289">
        <v>0.11541666666666667</v>
      </c>
      <c r="AD930" s="289">
        <v>0</v>
      </c>
    </row>
    <row r="931" spans="1:30" ht="15" customHeight="1" x14ac:dyDescent="0.25">
      <c r="A931" s="282" t="s">
        <v>581</v>
      </c>
      <c r="B931" s="282" t="s">
        <v>611</v>
      </c>
      <c r="C931" s="282" t="s">
        <v>612</v>
      </c>
      <c r="D931" s="283" t="s">
        <v>1595</v>
      </c>
      <c r="E931" s="404">
        <v>45056</v>
      </c>
      <c r="F931" s="404">
        <v>46883</v>
      </c>
      <c r="G931" s="286" t="s">
        <v>286</v>
      </c>
      <c r="H931" s="282" t="s">
        <v>759</v>
      </c>
      <c r="I931" s="282" t="s">
        <v>590</v>
      </c>
      <c r="J931" s="282" t="s">
        <v>156</v>
      </c>
      <c r="K931" s="286" t="s">
        <v>760</v>
      </c>
      <c r="L931" s="282" t="s">
        <v>574</v>
      </c>
      <c r="M931" s="287">
        <v>2400</v>
      </c>
      <c r="N931" s="287">
        <v>0</v>
      </c>
      <c r="O931" s="287">
        <v>0</v>
      </c>
      <c r="P931" s="287"/>
      <c r="Q931" s="288">
        <v>234</v>
      </c>
      <c r="R931" s="288" t="s">
        <v>942</v>
      </c>
      <c r="S931" s="288">
        <v>-1.61E-2</v>
      </c>
      <c r="T931" s="288"/>
      <c r="U931" s="288">
        <v>0</v>
      </c>
      <c r="V931" s="289">
        <v>234</v>
      </c>
      <c r="W931" s="289">
        <v>0</v>
      </c>
      <c r="X931" s="288">
        <v>9.7500000000000003E-2</v>
      </c>
      <c r="Y931" s="288">
        <v>9.7500000000000003E-2</v>
      </c>
      <c r="Z931" s="288">
        <v>-6.7083333333333332E-6</v>
      </c>
      <c r="AA931" s="288">
        <v>0</v>
      </c>
      <c r="AB931" s="288">
        <v>0</v>
      </c>
      <c r="AC931" s="289">
        <v>9.7500000000000003E-2</v>
      </c>
      <c r="AD931" s="289">
        <v>0</v>
      </c>
    </row>
    <row r="932" spans="1:30" ht="15" customHeight="1" x14ac:dyDescent="0.25">
      <c r="A932" s="282" t="s">
        <v>581</v>
      </c>
      <c r="B932" s="282" t="s">
        <v>611</v>
      </c>
      <c r="C932" s="282" t="s">
        <v>612</v>
      </c>
      <c r="D932" s="283" t="s">
        <v>1596</v>
      </c>
      <c r="E932" s="404">
        <v>45056</v>
      </c>
      <c r="F932" s="404">
        <v>46883</v>
      </c>
      <c r="G932" s="286" t="s">
        <v>286</v>
      </c>
      <c r="H932" s="282" t="s">
        <v>759</v>
      </c>
      <c r="I932" s="282" t="s">
        <v>590</v>
      </c>
      <c r="J932" s="282" t="s">
        <v>156</v>
      </c>
      <c r="K932" s="286" t="s">
        <v>760</v>
      </c>
      <c r="L932" s="282" t="s">
        <v>574</v>
      </c>
      <c r="M932" s="287">
        <v>2400</v>
      </c>
      <c r="N932" s="287">
        <v>0</v>
      </c>
      <c r="O932" s="287">
        <v>0</v>
      </c>
      <c r="P932" s="287"/>
      <c r="Q932" s="288">
        <v>248</v>
      </c>
      <c r="R932" s="288" t="s">
        <v>836</v>
      </c>
      <c r="S932" s="288">
        <v>-1.01E-2</v>
      </c>
      <c r="T932" s="288"/>
      <c r="U932" s="288">
        <v>0</v>
      </c>
      <c r="V932" s="289">
        <v>248</v>
      </c>
      <c r="W932" s="289">
        <v>0</v>
      </c>
      <c r="X932" s="288">
        <v>0.10333333333333333</v>
      </c>
      <c r="Y932" s="288">
        <v>0.10333333333333333</v>
      </c>
      <c r="Z932" s="288">
        <v>-4.2083333333333334E-6</v>
      </c>
      <c r="AA932" s="288">
        <v>0</v>
      </c>
      <c r="AB932" s="288">
        <v>0</v>
      </c>
      <c r="AC932" s="289">
        <v>0.10333333333333333</v>
      </c>
      <c r="AD932" s="289">
        <v>0</v>
      </c>
    </row>
    <row r="933" spans="1:30" ht="15" customHeight="1" x14ac:dyDescent="0.25">
      <c r="A933" s="282" t="s">
        <v>581</v>
      </c>
      <c r="B933" s="282" t="s">
        <v>585</v>
      </c>
      <c r="C933" s="282" t="s">
        <v>586</v>
      </c>
      <c r="D933" s="283" t="s">
        <v>1597</v>
      </c>
      <c r="E933" s="404">
        <v>45056</v>
      </c>
      <c r="F933" s="404">
        <v>46883</v>
      </c>
      <c r="G933" s="286" t="s">
        <v>286</v>
      </c>
      <c r="H933" s="282" t="s">
        <v>759</v>
      </c>
      <c r="I933" s="282" t="s">
        <v>590</v>
      </c>
      <c r="J933" s="282" t="s">
        <v>156</v>
      </c>
      <c r="K933" s="286" t="s">
        <v>760</v>
      </c>
      <c r="L933" s="282" t="s">
        <v>574</v>
      </c>
      <c r="M933" s="287">
        <v>2400</v>
      </c>
      <c r="N933" s="287">
        <v>0</v>
      </c>
      <c r="O933" s="287">
        <v>0</v>
      </c>
      <c r="P933" s="287"/>
      <c r="Q933" s="288">
        <v>258</v>
      </c>
      <c r="R933" s="288" t="s">
        <v>931</v>
      </c>
      <c r="S933" s="288">
        <v>-8.4399999999999996E-3</v>
      </c>
      <c r="T933" s="288"/>
      <c r="U933" s="288">
        <v>0</v>
      </c>
      <c r="V933" s="289">
        <v>258</v>
      </c>
      <c r="W933" s="289">
        <v>0</v>
      </c>
      <c r="X933" s="288">
        <v>0.1075</v>
      </c>
      <c r="Y933" s="288">
        <v>0.1075</v>
      </c>
      <c r="Z933" s="288">
        <v>-3.5166666666666663E-6</v>
      </c>
      <c r="AA933" s="288">
        <v>0</v>
      </c>
      <c r="AB933" s="288">
        <v>0</v>
      </c>
      <c r="AC933" s="289">
        <v>0.1075</v>
      </c>
      <c r="AD933" s="289">
        <v>0</v>
      </c>
    </row>
    <row r="934" spans="1:30" ht="15" customHeight="1" x14ac:dyDescent="0.25">
      <c r="A934" s="282" t="s">
        <v>581</v>
      </c>
      <c r="B934" s="282" t="s">
        <v>628</v>
      </c>
      <c r="C934" s="282" t="s">
        <v>629</v>
      </c>
      <c r="D934" s="283" t="s">
        <v>1598</v>
      </c>
      <c r="E934" s="404">
        <v>44788</v>
      </c>
      <c r="F934" s="404">
        <v>46113</v>
      </c>
      <c r="G934" s="286" t="s">
        <v>1416</v>
      </c>
      <c r="H934" s="282" t="s">
        <v>1599</v>
      </c>
      <c r="I934" s="282" t="s">
        <v>1600</v>
      </c>
      <c r="J934" s="282" t="s">
        <v>156</v>
      </c>
      <c r="K934" s="286" t="s">
        <v>1601</v>
      </c>
      <c r="L934" s="282" t="s">
        <v>574</v>
      </c>
      <c r="M934" s="287">
        <v>2400</v>
      </c>
      <c r="N934" s="287"/>
      <c r="O934" s="287"/>
      <c r="P934" s="287"/>
      <c r="Q934" s="288">
        <v>288</v>
      </c>
      <c r="R934" s="288"/>
      <c r="S934" s="288"/>
      <c r="T934" s="288"/>
      <c r="U934" s="288">
        <v>0</v>
      </c>
      <c r="V934" s="289">
        <v>288</v>
      </c>
      <c r="W934" s="289">
        <v>0</v>
      </c>
      <c r="X934" s="288">
        <v>0.12</v>
      </c>
      <c r="Y934" s="288">
        <v>0</v>
      </c>
      <c r="Z934" s="288">
        <v>0</v>
      </c>
      <c r="AA934" s="288">
        <v>0</v>
      </c>
      <c r="AB934" s="288">
        <v>0</v>
      </c>
      <c r="AC934" s="289">
        <v>0.12</v>
      </c>
      <c r="AD934" s="289">
        <v>0</v>
      </c>
    </row>
    <row r="935" spans="1:30" ht="15" customHeight="1" x14ac:dyDescent="0.25">
      <c r="A935" s="282" t="s">
        <v>581</v>
      </c>
      <c r="B935" s="282" t="s">
        <v>611</v>
      </c>
      <c r="C935" s="282" t="s">
        <v>612</v>
      </c>
      <c r="D935" s="283" t="s">
        <v>1602</v>
      </c>
      <c r="E935" s="404">
        <v>44788</v>
      </c>
      <c r="F935" s="404">
        <v>46113</v>
      </c>
      <c r="G935" s="286" t="s">
        <v>1416</v>
      </c>
      <c r="H935" s="282" t="s">
        <v>1599</v>
      </c>
      <c r="I935" s="282" t="s">
        <v>1600</v>
      </c>
      <c r="J935" s="282" t="s">
        <v>156</v>
      </c>
      <c r="K935" s="286" t="s">
        <v>1601</v>
      </c>
      <c r="L935" s="282" t="s">
        <v>574</v>
      </c>
      <c r="M935" s="287">
        <v>2400</v>
      </c>
      <c r="N935" s="287"/>
      <c r="O935" s="287"/>
      <c r="P935" s="287"/>
      <c r="Q935" s="288">
        <v>314</v>
      </c>
      <c r="R935" s="288"/>
      <c r="S935" s="288"/>
      <c r="T935" s="288"/>
      <c r="U935" s="288">
        <v>0</v>
      </c>
      <c r="V935" s="289">
        <v>314</v>
      </c>
      <c r="W935" s="289">
        <v>0</v>
      </c>
      <c r="X935" s="288">
        <v>0.13083333333333333</v>
      </c>
      <c r="Y935" s="288">
        <v>0</v>
      </c>
      <c r="Z935" s="288">
        <v>0</v>
      </c>
      <c r="AA935" s="288">
        <v>0</v>
      </c>
      <c r="AB935" s="288">
        <v>0</v>
      </c>
      <c r="AC935" s="289">
        <v>0.13083333333333333</v>
      </c>
      <c r="AD935" s="289">
        <v>0</v>
      </c>
    </row>
    <row r="936" spans="1:30" ht="15" customHeight="1" x14ac:dyDescent="0.25">
      <c r="A936" s="282" t="s">
        <v>581</v>
      </c>
      <c r="B936" s="282" t="s">
        <v>585</v>
      </c>
      <c r="C936" s="282" t="s">
        <v>586</v>
      </c>
      <c r="D936" s="283" t="s">
        <v>1603</v>
      </c>
      <c r="E936" s="404">
        <v>44788</v>
      </c>
      <c r="F936" s="404">
        <v>46113</v>
      </c>
      <c r="G936" s="286" t="s">
        <v>1416</v>
      </c>
      <c r="H936" s="282" t="s">
        <v>1599</v>
      </c>
      <c r="I936" s="282" t="s">
        <v>1600</v>
      </c>
      <c r="J936" s="282" t="s">
        <v>156</v>
      </c>
      <c r="K936" s="286" t="s">
        <v>1601</v>
      </c>
      <c r="L936" s="282" t="s">
        <v>574</v>
      </c>
      <c r="M936" s="287">
        <v>2400</v>
      </c>
      <c r="N936" s="287"/>
      <c r="O936" s="287"/>
      <c r="P936" s="287"/>
      <c r="Q936" s="288">
        <v>358</v>
      </c>
      <c r="R936" s="288"/>
      <c r="S936" s="288"/>
      <c r="T936" s="288"/>
      <c r="U936" s="288">
        <v>0</v>
      </c>
      <c r="V936" s="289">
        <v>358</v>
      </c>
      <c r="W936" s="289">
        <v>0</v>
      </c>
      <c r="X936" s="288">
        <v>0.14916666666666667</v>
      </c>
      <c r="Y936" s="288">
        <v>0</v>
      </c>
      <c r="Z936" s="288">
        <v>0</v>
      </c>
      <c r="AA936" s="288">
        <v>0</v>
      </c>
      <c r="AB936" s="288">
        <v>0</v>
      </c>
      <c r="AC936" s="289">
        <v>0.14916666666666667</v>
      </c>
      <c r="AD936" s="289">
        <v>0</v>
      </c>
    </row>
    <row r="937" spans="1:30" ht="15" customHeight="1" x14ac:dyDescent="0.25">
      <c r="A937" s="282" t="s">
        <v>581</v>
      </c>
      <c r="B937" s="282" t="s">
        <v>616</v>
      </c>
      <c r="C937" s="282" t="s">
        <v>617</v>
      </c>
      <c r="D937" s="283" t="s">
        <v>1604</v>
      </c>
      <c r="E937" s="404">
        <v>44788</v>
      </c>
      <c r="F937" s="404">
        <v>46113</v>
      </c>
      <c r="G937" s="286" t="s">
        <v>1416</v>
      </c>
      <c r="H937" s="282" t="s">
        <v>1599</v>
      </c>
      <c r="I937" s="282" t="s">
        <v>1600</v>
      </c>
      <c r="J937" s="282" t="s">
        <v>156</v>
      </c>
      <c r="K937" s="286" t="s">
        <v>1601</v>
      </c>
      <c r="L937" s="282" t="s">
        <v>574</v>
      </c>
      <c r="M937" s="287">
        <v>2400</v>
      </c>
      <c r="N937" s="287"/>
      <c r="O937" s="287"/>
      <c r="P937" s="287"/>
      <c r="Q937" s="288">
        <v>454</v>
      </c>
      <c r="R937" s="288"/>
      <c r="S937" s="288"/>
      <c r="T937" s="288"/>
      <c r="U937" s="288">
        <v>0</v>
      </c>
      <c r="V937" s="289">
        <v>454</v>
      </c>
      <c r="W937" s="289">
        <v>0</v>
      </c>
      <c r="X937" s="288">
        <v>0.18916666666666668</v>
      </c>
      <c r="Y937" s="288">
        <v>0</v>
      </c>
      <c r="Z937" s="288">
        <v>0</v>
      </c>
      <c r="AA937" s="288">
        <v>0</v>
      </c>
      <c r="AB937" s="288">
        <v>0</v>
      </c>
      <c r="AC937" s="289">
        <v>0.18916666666666668</v>
      </c>
      <c r="AD937" s="289">
        <v>0</v>
      </c>
    </row>
    <row r="938" spans="1:30" ht="15" customHeight="1" x14ac:dyDescent="0.25">
      <c r="A938" s="282" t="s">
        <v>581</v>
      </c>
      <c r="B938" s="282" t="s">
        <v>594</v>
      </c>
      <c r="C938" s="282" t="s">
        <v>595</v>
      </c>
      <c r="D938" s="283" t="s">
        <v>1605</v>
      </c>
      <c r="E938" s="404">
        <v>44788</v>
      </c>
      <c r="F938" s="404">
        <v>46113</v>
      </c>
      <c r="G938" s="286" t="s">
        <v>1416</v>
      </c>
      <c r="H938" s="282" t="s">
        <v>1599</v>
      </c>
      <c r="I938" s="282" t="s">
        <v>1600</v>
      </c>
      <c r="J938" s="282" t="s">
        <v>156</v>
      </c>
      <c r="K938" s="286" t="s">
        <v>1601</v>
      </c>
      <c r="L938" s="282" t="s">
        <v>574</v>
      </c>
      <c r="M938" s="287">
        <v>2400</v>
      </c>
      <c r="N938" s="287"/>
      <c r="O938" s="287"/>
      <c r="P938" s="287"/>
      <c r="Q938" s="288">
        <v>210</v>
      </c>
      <c r="R938" s="288"/>
      <c r="S938" s="288"/>
      <c r="T938" s="288"/>
      <c r="U938" s="288">
        <v>0</v>
      </c>
      <c r="V938" s="289">
        <v>210</v>
      </c>
      <c r="W938" s="289">
        <v>0</v>
      </c>
      <c r="X938" s="288">
        <v>8.7499999999999994E-2</v>
      </c>
      <c r="Y938" s="288">
        <v>0</v>
      </c>
      <c r="Z938" s="288">
        <v>0</v>
      </c>
      <c r="AA938" s="288">
        <v>0</v>
      </c>
      <c r="AB938" s="288">
        <v>0</v>
      </c>
      <c r="AC938" s="289">
        <v>8.7499999999999994E-2</v>
      </c>
      <c r="AD938" s="289">
        <v>0</v>
      </c>
    </row>
    <row r="939" spans="1:30" ht="15" customHeight="1" x14ac:dyDescent="0.25">
      <c r="A939" s="282" t="s">
        <v>581</v>
      </c>
      <c r="B939" s="282" t="s">
        <v>628</v>
      </c>
      <c r="C939" s="282" t="s">
        <v>629</v>
      </c>
      <c r="D939" s="283" t="s">
        <v>1606</v>
      </c>
      <c r="E939" s="404">
        <v>44788</v>
      </c>
      <c r="F939" s="404">
        <v>46113</v>
      </c>
      <c r="G939" s="286" t="s">
        <v>1416</v>
      </c>
      <c r="H939" s="282" t="s">
        <v>1599</v>
      </c>
      <c r="I939" s="282" t="s">
        <v>1600</v>
      </c>
      <c r="J939" s="282" t="s">
        <v>156</v>
      </c>
      <c r="K939" s="286" t="s">
        <v>1601</v>
      </c>
      <c r="L939" s="282" t="s">
        <v>574</v>
      </c>
      <c r="M939" s="287">
        <v>2400</v>
      </c>
      <c r="N939" s="287"/>
      <c r="O939" s="287"/>
      <c r="P939" s="287"/>
      <c r="Q939" s="288">
        <v>231</v>
      </c>
      <c r="R939" s="288"/>
      <c r="S939" s="288"/>
      <c r="T939" s="288"/>
      <c r="U939" s="288">
        <v>0</v>
      </c>
      <c r="V939" s="289">
        <v>231</v>
      </c>
      <c r="W939" s="289">
        <v>0</v>
      </c>
      <c r="X939" s="288">
        <v>9.6250000000000002E-2</v>
      </c>
      <c r="Y939" s="288">
        <v>0</v>
      </c>
      <c r="Z939" s="288">
        <v>0</v>
      </c>
      <c r="AA939" s="288">
        <v>0</v>
      </c>
      <c r="AB939" s="288">
        <v>0</v>
      </c>
      <c r="AC939" s="289">
        <v>9.6250000000000002E-2</v>
      </c>
      <c r="AD939" s="289">
        <v>0</v>
      </c>
    </row>
    <row r="940" spans="1:30" ht="15" customHeight="1" x14ac:dyDescent="0.25">
      <c r="A940" s="282" t="s">
        <v>581</v>
      </c>
      <c r="B940" s="282" t="s">
        <v>611</v>
      </c>
      <c r="C940" s="282" t="s">
        <v>612</v>
      </c>
      <c r="D940" s="283" t="s">
        <v>1607</v>
      </c>
      <c r="E940" s="404">
        <v>44788</v>
      </c>
      <c r="F940" s="404">
        <v>46113</v>
      </c>
      <c r="G940" s="286" t="s">
        <v>1416</v>
      </c>
      <c r="H940" s="282" t="s">
        <v>1599</v>
      </c>
      <c r="I940" s="282" t="s">
        <v>1600</v>
      </c>
      <c r="J940" s="282" t="s">
        <v>156</v>
      </c>
      <c r="K940" s="286" t="s">
        <v>1601</v>
      </c>
      <c r="L940" s="282" t="s">
        <v>574</v>
      </c>
      <c r="M940" s="287">
        <v>2400</v>
      </c>
      <c r="N940" s="287"/>
      <c r="O940" s="287"/>
      <c r="P940" s="287"/>
      <c r="Q940" s="288">
        <v>262</v>
      </c>
      <c r="R940" s="288"/>
      <c r="S940" s="288"/>
      <c r="T940" s="288"/>
      <c r="U940" s="288">
        <v>0</v>
      </c>
      <c r="V940" s="289">
        <v>262</v>
      </c>
      <c r="W940" s="289">
        <v>0</v>
      </c>
      <c r="X940" s="288">
        <v>0.10916666666666666</v>
      </c>
      <c r="Y940" s="288">
        <v>0</v>
      </c>
      <c r="Z940" s="288">
        <v>0</v>
      </c>
      <c r="AA940" s="288">
        <v>0</v>
      </c>
      <c r="AB940" s="288">
        <v>0</v>
      </c>
      <c r="AC940" s="289">
        <v>0.10916666666666666</v>
      </c>
      <c r="AD940" s="289">
        <v>0</v>
      </c>
    </row>
    <row r="941" spans="1:30" ht="15" customHeight="1" x14ac:dyDescent="0.25">
      <c r="A941" s="282" t="s">
        <v>581</v>
      </c>
      <c r="B941" s="282" t="s">
        <v>585</v>
      </c>
      <c r="C941" s="282" t="s">
        <v>586</v>
      </c>
      <c r="D941" s="283" t="s">
        <v>1608</v>
      </c>
      <c r="E941" s="404">
        <v>44788</v>
      </c>
      <c r="F941" s="404">
        <v>46113</v>
      </c>
      <c r="G941" s="286" t="s">
        <v>1416</v>
      </c>
      <c r="H941" s="282" t="s">
        <v>1599</v>
      </c>
      <c r="I941" s="282" t="s">
        <v>1600</v>
      </c>
      <c r="J941" s="282" t="s">
        <v>156</v>
      </c>
      <c r="K941" s="286" t="s">
        <v>1601</v>
      </c>
      <c r="L941" s="282" t="s">
        <v>574</v>
      </c>
      <c r="M941" s="287">
        <v>2400</v>
      </c>
      <c r="N941" s="287"/>
      <c r="O941" s="287"/>
      <c r="P941" s="287"/>
      <c r="Q941" s="288">
        <v>336</v>
      </c>
      <c r="R941" s="288"/>
      <c r="S941" s="288"/>
      <c r="T941" s="288"/>
      <c r="U941" s="288">
        <v>0</v>
      </c>
      <c r="V941" s="289">
        <v>336</v>
      </c>
      <c r="W941" s="289">
        <v>0</v>
      </c>
      <c r="X941" s="288">
        <v>0.14000000000000001</v>
      </c>
      <c r="Y941" s="288">
        <v>0</v>
      </c>
      <c r="Z941" s="288">
        <v>0</v>
      </c>
      <c r="AA941" s="288">
        <v>0</v>
      </c>
      <c r="AB941" s="288">
        <v>0</v>
      </c>
      <c r="AC941" s="289">
        <v>0.14000000000000001</v>
      </c>
      <c r="AD941" s="289">
        <v>0</v>
      </c>
    </row>
    <row r="942" spans="1:30" ht="15" customHeight="1" x14ac:dyDescent="0.25">
      <c r="A942" s="282" t="s">
        <v>581</v>
      </c>
      <c r="B942" s="282" t="s">
        <v>616</v>
      </c>
      <c r="C942" s="282" t="s">
        <v>617</v>
      </c>
      <c r="D942" s="283" t="s">
        <v>1609</v>
      </c>
      <c r="E942" s="404">
        <v>44788</v>
      </c>
      <c r="F942" s="404">
        <v>46113</v>
      </c>
      <c r="G942" s="286" t="s">
        <v>1416</v>
      </c>
      <c r="H942" s="282" t="s">
        <v>1599</v>
      </c>
      <c r="I942" s="282" t="s">
        <v>1600</v>
      </c>
      <c r="J942" s="282" t="s">
        <v>156</v>
      </c>
      <c r="K942" s="286" t="s">
        <v>1601</v>
      </c>
      <c r="L942" s="282" t="s">
        <v>574</v>
      </c>
      <c r="M942" s="287">
        <v>2400</v>
      </c>
      <c r="N942" s="287"/>
      <c r="O942" s="287"/>
      <c r="P942" s="287"/>
      <c r="Q942" s="288">
        <v>424</v>
      </c>
      <c r="R942" s="288"/>
      <c r="S942" s="288"/>
      <c r="T942" s="288"/>
      <c r="U942" s="288">
        <v>0</v>
      </c>
      <c r="V942" s="289">
        <v>424</v>
      </c>
      <c r="W942" s="289">
        <v>0</v>
      </c>
      <c r="X942" s="288">
        <v>0.17666666666666667</v>
      </c>
      <c r="Y942" s="288">
        <v>0</v>
      </c>
      <c r="Z942" s="288">
        <v>0</v>
      </c>
      <c r="AA942" s="288">
        <v>0</v>
      </c>
      <c r="AB942" s="288">
        <v>0</v>
      </c>
      <c r="AC942" s="289">
        <v>0.17666666666666667</v>
      </c>
      <c r="AD942" s="289">
        <v>0</v>
      </c>
    </row>
    <row r="943" spans="1:30" ht="15" customHeight="1" x14ac:dyDescent="0.25">
      <c r="A943" s="282" t="s">
        <v>581</v>
      </c>
      <c r="B943" s="282" t="s">
        <v>594</v>
      </c>
      <c r="C943" s="282" t="s">
        <v>595</v>
      </c>
      <c r="D943" s="283" t="s">
        <v>1610</v>
      </c>
      <c r="E943" s="404">
        <v>44788</v>
      </c>
      <c r="F943" s="404">
        <v>46113</v>
      </c>
      <c r="G943" s="286" t="s">
        <v>1416</v>
      </c>
      <c r="H943" s="282" t="s">
        <v>1599</v>
      </c>
      <c r="I943" s="282" t="s">
        <v>1600</v>
      </c>
      <c r="J943" s="282" t="s">
        <v>156</v>
      </c>
      <c r="K943" s="286" t="s">
        <v>1601</v>
      </c>
      <c r="L943" s="282" t="s">
        <v>574</v>
      </c>
      <c r="M943" s="287">
        <v>2400</v>
      </c>
      <c r="N943" s="287"/>
      <c r="O943" s="287"/>
      <c r="P943" s="287"/>
      <c r="Q943" s="288">
        <v>194</v>
      </c>
      <c r="R943" s="288"/>
      <c r="S943" s="288"/>
      <c r="T943" s="288"/>
      <c r="U943" s="288">
        <v>0</v>
      </c>
      <c r="V943" s="289">
        <v>194</v>
      </c>
      <c r="W943" s="289">
        <v>0</v>
      </c>
      <c r="X943" s="288">
        <v>8.0833333333333326E-2</v>
      </c>
      <c r="Y943" s="288">
        <v>0</v>
      </c>
      <c r="Z943" s="288">
        <v>0</v>
      </c>
      <c r="AA943" s="288">
        <v>0</v>
      </c>
      <c r="AB943" s="288">
        <v>0</v>
      </c>
      <c r="AC943" s="289">
        <v>8.0833333333333326E-2</v>
      </c>
      <c r="AD943" s="289">
        <v>0</v>
      </c>
    </row>
    <row r="944" spans="1:30" ht="15" customHeight="1" x14ac:dyDescent="0.25">
      <c r="A944" s="282" t="s">
        <v>581</v>
      </c>
      <c r="B944" s="282" t="s">
        <v>628</v>
      </c>
      <c r="C944" s="282" t="s">
        <v>629</v>
      </c>
      <c r="D944" s="283" t="s">
        <v>1611</v>
      </c>
      <c r="E944" s="404">
        <v>44788</v>
      </c>
      <c r="F944" s="404">
        <v>46113</v>
      </c>
      <c r="G944" s="286" t="s">
        <v>1416</v>
      </c>
      <c r="H944" s="282" t="s">
        <v>1599</v>
      </c>
      <c r="I944" s="282" t="s">
        <v>1600</v>
      </c>
      <c r="J944" s="282" t="s">
        <v>156</v>
      </c>
      <c r="K944" s="286" t="s">
        <v>1601</v>
      </c>
      <c r="L944" s="282" t="s">
        <v>574</v>
      </c>
      <c r="M944" s="287">
        <v>2400</v>
      </c>
      <c r="N944" s="287"/>
      <c r="O944" s="287"/>
      <c r="P944" s="287"/>
      <c r="Q944" s="288">
        <v>206</v>
      </c>
      <c r="R944" s="288"/>
      <c r="S944" s="288"/>
      <c r="T944" s="288"/>
      <c r="U944" s="288">
        <v>0</v>
      </c>
      <c r="V944" s="289">
        <v>206</v>
      </c>
      <c r="W944" s="289">
        <v>0</v>
      </c>
      <c r="X944" s="288">
        <v>8.5833333333333331E-2</v>
      </c>
      <c r="Y944" s="288">
        <v>0</v>
      </c>
      <c r="Z944" s="288">
        <v>0</v>
      </c>
      <c r="AA944" s="288">
        <v>0</v>
      </c>
      <c r="AB944" s="288">
        <v>0</v>
      </c>
      <c r="AC944" s="289">
        <v>8.5833333333333331E-2</v>
      </c>
      <c r="AD944" s="289">
        <v>0</v>
      </c>
    </row>
    <row r="945" spans="1:30" ht="15" customHeight="1" x14ac:dyDescent="0.25">
      <c r="A945" s="282" t="s">
        <v>581</v>
      </c>
      <c r="B945" s="282" t="s">
        <v>611</v>
      </c>
      <c r="C945" s="282" t="s">
        <v>612</v>
      </c>
      <c r="D945" s="283" t="s">
        <v>1612</v>
      </c>
      <c r="E945" s="404">
        <v>44788</v>
      </c>
      <c r="F945" s="404">
        <v>46113</v>
      </c>
      <c r="G945" s="286" t="s">
        <v>1416</v>
      </c>
      <c r="H945" s="282" t="s">
        <v>1599</v>
      </c>
      <c r="I945" s="282" t="s">
        <v>1600</v>
      </c>
      <c r="J945" s="282" t="s">
        <v>156</v>
      </c>
      <c r="K945" s="286" t="s">
        <v>1601</v>
      </c>
      <c r="L945" s="282" t="s">
        <v>574</v>
      </c>
      <c r="M945" s="287">
        <v>2400</v>
      </c>
      <c r="N945" s="287"/>
      <c r="O945" s="287"/>
      <c r="P945" s="287"/>
      <c r="Q945" s="288">
        <v>224</v>
      </c>
      <c r="R945" s="288"/>
      <c r="S945" s="288"/>
      <c r="T945" s="288"/>
      <c r="U945" s="288">
        <v>0</v>
      </c>
      <c r="V945" s="289">
        <v>224</v>
      </c>
      <c r="W945" s="289">
        <v>0</v>
      </c>
      <c r="X945" s="288">
        <v>9.3333333333333338E-2</v>
      </c>
      <c r="Y945" s="288">
        <v>0</v>
      </c>
      <c r="Z945" s="288">
        <v>0</v>
      </c>
      <c r="AA945" s="288">
        <v>0</v>
      </c>
      <c r="AB945" s="288">
        <v>0</v>
      </c>
      <c r="AC945" s="289">
        <v>9.3333333333333338E-2</v>
      </c>
      <c r="AD945" s="289">
        <v>0</v>
      </c>
    </row>
    <row r="946" spans="1:30" ht="15" customHeight="1" x14ac:dyDescent="0.25">
      <c r="A946" s="282" t="s">
        <v>581</v>
      </c>
      <c r="B946" s="282" t="s">
        <v>585</v>
      </c>
      <c r="C946" s="282" t="s">
        <v>586</v>
      </c>
      <c r="D946" s="283" t="s">
        <v>1613</v>
      </c>
      <c r="E946" s="404">
        <v>44788</v>
      </c>
      <c r="F946" s="404">
        <v>46113</v>
      </c>
      <c r="G946" s="286" t="s">
        <v>1416</v>
      </c>
      <c r="H946" s="282" t="s">
        <v>1599</v>
      </c>
      <c r="I946" s="282" t="s">
        <v>1600</v>
      </c>
      <c r="J946" s="282" t="s">
        <v>156</v>
      </c>
      <c r="K946" s="286" t="s">
        <v>1601</v>
      </c>
      <c r="L946" s="282" t="s">
        <v>574</v>
      </c>
      <c r="M946" s="287">
        <v>2400</v>
      </c>
      <c r="N946" s="287"/>
      <c r="O946" s="287"/>
      <c r="P946" s="287"/>
      <c r="Q946" s="288">
        <v>254</v>
      </c>
      <c r="R946" s="288"/>
      <c r="S946" s="288"/>
      <c r="T946" s="288"/>
      <c r="U946" s="288">
        <v>0</v>
      </c>
      <c r="V946" s="289">
        <v>254</v>
      </c>
      <c r="W946" s="289">
        <v>0</v>
      </c>
      <c r="X946" s="288">
        <v>0.10583333333333333</v>
      </c>
      <c r="Y946" s="288">
        <v>0</v>
      </c>
      <c r="Z946" s="288">
        <v>0</v>
      </c>
      <c r="AA946" s="288">
        <v>0</v>
      </c>
      <c r="AB946" s="288">
        <v>0</v>
      </c>
      <c r="AC946" s="289">
        <v>0.10583333333333333</v>
      </c>
      <c r="AD946" s="289">
        <v>0</v>
      </c>
    </row>
    <row r="947" spans="1:30" ht="15" customHeight="1" x14ac:dyDescent="0.25">
      <c r="A947" s="282" t="s">
        <v>581</v>
      </c>
      <c r="B947" s="282" t="s">
        <v>616</v>
      </c>
      <c r="C947" s="282" t="s">
        <v>617</v>
      </c>
      <c r="D947" s="283" t="s">
        <v>1614</v>
      </c>
      <c r="E947" s="404">
        <v>44788</v>
      </c>
      <c r="F947" s="404">
        <v>46113</v>
      </c>
      <c r="G947" s="286" t="s">
        <v>1416</v>
      </c>
      <c r="H947" s="282" t="s">
        <v>1599</v>
      </c>
      <c r="I947" s="282" t="s">
        <v>1600</v>
      </c>
      <c r="J947" s="282" t="s">
        <v>156</v>
      </c>
      <c r="K947" s="286" t="s">
        <v>1601</v>
      </c>
      <c r="L947" s="282" t="s">
        <v>574</v>
      </c>
      <c r="M947" s="287">
        <v>2400</v>
      </c>
      <c r="N947" s="287"/>
      <c r="O947" s="287"/>
      <c r="P947" s="287"/>
      <c r="Q947" s="288">
        <v>321</v>
      </c>
      <c r="R947" s="288"/>
      <c r="S947" s="288"/>
      <c r="T947" s="288"/>
      <c r="U947" s="288">
        <v>0</v>
      </c>
      <c r="V947" s="289">
        <v>321</v>
      </c>
      <c r="W947" s="289">
        <v>0</v>
      </c>
      <c r="X947" s="288">
        <v>0.13375000000000001</v>
      </c>
      <c r="Y947" s="288">
        <v>0</v>
      </c>
      <c r="Z947" s="288">
        <v>0</v>
      </c>
      <c r="AA947" s="288">
        <v>0</v>
      </c>
      <c r="AB947" s="288">
        <v>0</v>
      </c>
      <c r="AC947" s="289">
        <v>0.13375000000000001</v>
      </c>
      <c r="AD947" s="289">
        <v>0</v>
      </c>
    </row>
    <row r="948" spans="1:30" ht="15" customHeight="1" x14ac:dyDescent="0.25">
      <c r="A948" s="282" t="s">
        <v>581</v>
      </c>
      <c r="B948" s="282" t="s">
        <v>594</v>
      </c>
      <c r="C948" s="282" t="s">
        <v>595</v>
      </c>
      <c r="D948" s="283" t="s">
        <v>1615</v>
      </c>
      <c r="E948" s="404">
        <v>44788</v>
      </c>
      <c r="F948" s="404">
        <v>46113</v>
      </c>
      <c r="G948" s="286" t="s">
        <v>1416</v>
      </c>
      <c r="H948" s="282" t="s">
        <v>1599</v>
      </c>
      <c r="I948" s="282" t="s">
        <v>1600</v>
      </c>
      <c r="J948" s="282" t="s">
        <v>156</v>
      </c>
      <c r="K948" s="286" t="s">
        <v>1601</v>
      </c>
      <c r="L948" s="282" t="s">
        <v>574</v>
      </c>
      <c r="M948" s="287">
        <v>2400</v>
      </c>
      <c r="N948" s="287"/>
      <c r="O948" s="287"/>
      <c r="P948" s="287"/>
      <c r="Q948" s="288">
        <v>210</v>
      </c>
      <c r="R948" s="288"/>
      <c r="S948" s="288"/>
      <c r="T948" s="288"/>
      <c r="U948" s="288">
        <v>0</v>
      </c>
      <c r="V948" s="289">
        <v>210</v>
      </c>
      <c r="W948" s="289">
        <v>0</v>
      </c>
      <c r="X948" s="288">
        <v>8.7499999999999994E-2</v>
      </c>
      <c r="Y948" s="288">
        <v>0</v>
      </c>
      <c r="Z948" s="288">
        <v>0</v>
      </c>
      <c r="AA948" s="288">
        <v>0</v>
      </c>
      <c r="AB948" s="288">
        <v>0</v>
      </c>
      <c r="AC948" s="289">
        <v>8.7499999999999994E-2</v>
      </c>
      <c r="AD948" s="289">
        <v>0</v>
      </c>
    </row>
    <row r="949" spans="1:30" ht="15" customHeight="1" x14ac:dyDescent="0.25">
      <c r="A949" s="282" t="s">
        <v>581</v>
      </c>
      <c r="B949" s="282" t="s">
        <v>628</v>
      </c>
      <c r="C949" s="282" t="s">
        <v>629</v>
      </c>
      <c r="D949" s="283" t="s">
        <v>1616</v>
      </c>
      <c r="E949" s="404">
        <v>44788</v>
      </c>
      <c r="F949" s="404">
        <v>46113</v>
      </c>
      <c r="G949" s="286" t="s">
        <v>1416</v>
      </c>
      <c r="H949" s="282" t="s">
        <v>1599</v>
      </c>
      <c r="I949" s="282" t="s">
        <v>1600</v>
      </c>
      <c r="J949" s="282" t="s">
        <v>156</v>
      </c>
      <c r="K949" s="286" t="s">
        <v>1601</v>
      </c>
      <c r="L949" s="282" t="s">
        <v>574</v>
      </c>
      <c r="M949" s="287">
        <v>2400</v>
      </c>
      <c r="N949" s="287"/>
      <c r="O949" s="287"/>
      <c r="P949" s="287"/>
      <c r="Q949" s="288">
        <v>231</v>
      </c>
      <c r="R949" s="288"/>
      <c r="S949" s="288"/>
      <c r="T949" s="288"/>
      <c r="U949" s="288">
        <v>0</v>
      </c>
      <c r="V949" s="289">
        <v>231</v>
      </c>
      <c r="W949" s="289">
        <v>0</v>
      </c>
      <c r="X949" s="288">
        <v>9.6250000000000002E-2</v>
      </c>
      <c r="Y949" s="288">
        <v>0</v>
      </c>
      <c r="Z949" s="288">
        <v>0</v>
      </c>
      <c r="AA949" s="288">
        <v>0</v>
      </c>
      <c r="AB949" s="288">
        <v>0</v>
      </c>
      <c r="AC949" s="289">
        <v>9.6250000000000002E-2</v>
      </c>
      <c r="AD949" s="289">
        <v>0</v>
      </c>
    </row>
    <row r="950" spans="1:30" ht="15" customHeight="1" x14ac:dyDescent="0.25">
      <c r="A950" s="282" t="s">
        <v>581</v>
      </c>
      <c r="B950" s="282" t="s">
        <v>611</v>
      </c>
      <c r="C950" s="282" t="s">
        <v>612</v>
      </c>
      <c r="D950" s="283" t="s">
        <v>1617</v>
      </c>
      <c r="E950" s="404">
        <v>44788</v>
      </c>
      <c r="F950" s="404">
        <v>46113</v>
      </c>
      <c r="G950" s="286" t="s">
        <v>1416</v>
      </c>
      <c r="H950" s="282" t="s">
        <v>1599</v>
      </c>
      <c r="I950" s="282" t="s">
        <v>1600</v>
      </c>
      <c r="J950" s="282" t="s">
        <v>156</v>
      </c>
      <c r="K950" s="286" t="s">
        <v>1601</v>
      </c>
      <c r="L950" s="282" t="s">
        <v>574</v>
      </c>
      <c r="M950" s="287">
        <v>2400</v>
      </c>
      <c r="N950" s="287"/>
      <c r="O950" s="287"/>
      <c r="P950" s="287"/>
      <c r="Q950" s="288">
        <v>262</v>
      </c>
      <c r="R950" s="288"/>
      <c r="S950" s="288"/>
      <c r="T950" s="288"/>
      <c r="U950" s="288">
        <v>0</v>
      </c>
      <c r="V950" s="289">
        <v>262</v>
      </c>
      <c r="W950" s="289">
        <v>0</v>
      </c>
      <c r="X950" s="288">
        <v>0.10916666666666666</v>
      </c>
      <c r="Y950" s="288">
        <v>0</v>
      </c>
      <c r="Z950" s="288">
        <v>0</v>
      </c>
      <c r="AA950" s="288">
        <v>0</v>
      </c>
      <c r="AB950" s="288">
        <v>0</v>
      </c>
      <c r="AC950" s="289">
        <v>0.10916666666666666</v>
      </c>
      <c r="AD950" s="289">
        <v>0</v>
      </c>
    </row>
    <row r="951" spans="1:30" ht="15" customHeight="1" x14ac:dyDescent="0.25">
      <c r="A951" s="282" t="s">
        <v>581</v>
      </c>
      <c r="B951" s="282" t="s">
        <v>585</v>
      </c>
      <c r="C951" s="282" t="s">
        <v>586</v>
      </c>
      <c r="D951" s="283" t="s">
        <v>1618</v>
      </c>
      <c r="E951" s="404">
        <v>44788</v>
      </c>
      <c r="F951" s="404">
        <v>46113</v>
      </c>
      <c r="G951" s="286" t="s">
        <v>1416</v>
      </c>
      <c r="H951" s="282" t="s">
        <v>1599</v>
      </c>
      <c r="I951" s="282" t="s">
        <v>1600</v>
      </c>
      <c r="J951" s="282" t="s">
        <v>156</v>
      </c>
      <c r="K951" s="286" t="s">
        <v>1601</v>
      </c>
      <c r="L951" s="282" t="s">
        <v>574</v>
      </c>
      <c r="M951" s="287">
        <v>2400</v>
      </c>
      <c r="N951" s="287"/>
      <c r="O951" s="287"/>
      <c r="P951" s="287"/>
      <c r="Q951" s="288">
        <v>316</v>
      </c>
      <c r="R951" s="288"/>
      <c r="S951" s="288"/>
      <c r="T951" s="288"/>
      <c r="U951" s="288">
        <v>0</v>
      </c>
      <c r="V951" s="289">
        <v>316</v>
      </c>
      <c r="W951" s="289">
        <v>0</v>
      </c>
      <c r="X951" s="288">
        <v>0.13166666666666665</v>
      </c>
      <c r="Y951" s="288">
        <v>0</v>
      </c>
      <c r="Z951" s="288">
        <v>0</v>
      </c>
      <c r="AA951" s="288">
        <v>0</v>
      </c>
      <c r="AB951" s="288">
        <v>0</v>
      </c>
      <c r="AC951" s="289">
        <v>0.13166666666666665</v>
      </c>
      <c r="AD951" s="289">
        <v>0</v>
      </c>
    </row>
    <row r="952" spans="1:30" ht="15" customHeight="1" x14ac:dyDescent="0.25">
      <c r="A952" s="282" t="s">
        <v>581</v>
      </c>
      <c r="B952" s="282" t="s">
        <v>616</v>
      </c>
      <c r="C952" s="282" t="s">
        <v>617</v>
      </c>
      <c r="D952" s="283" t="s">
        <v>1619</v>
      </c>
      <c r="E952" s="404">
        <v>44788</v>
      </c>
      <c r="F952" s="404">
        <v>46113</v>
      </c>
      <c r="G952" s="286" t="s">
        <v>1416</v>
      </c>
      <c r="H952" s="282" t="s">
        <v>1599</v>
      </c>
      <c r="I952" s="282" t="s">
        <v>1600</v>
      </c>
      <c r="J952" s="282" t="s">
        <v>156</v>
      </c>
      <c r="K952" s="286" t="s">
        <v>1601</v>
      </c>
      <c r="L952" s="282" t="s">
        <v>574</v>
      </c>
      <c r="M952" s="287">
        <v>2400</v>
      </c>
      <c r="N952" s="287"/>
      <c r="O952" s="287"/>
      <c r="P952" s="287"/>
      <c r="Q952" s="288">
        <v>397</v>
      </c>
      <c r="R952" s="288"/>
      <c r="S952" s="288"/>
      <c r="T952" s="288"/>
      <c r="U952" s="288">
        <v>0</v>
      </c>
      <c r="V952" s="289">
        <v>397</v>
      </c>
      <c r="W952" s="289">
        <v>0</v>
      </c>
      <c r="X952" s="288">
        <v>0.16541666666666666</v>
      </c>
      <c r="Y952" s="288">
        <v>0</v>
      </c>
      <c r="Z952" s="288">
        <v>0</v>
      </c>
      <c r="AA952" s="288">
        <v>0</v>
      </c>
      <c r="AB952" s="288">
        <v>0</v>
      </c>
      <c r="AC952" s="289">
        <v>0.16541666666666666</v>
      </c>
      <c r="AD952" s="289">
        <v>0</v>
      </c>
    </row>
    <row r="953" spans="1:30" ht="15" customHeight="1" x14ac:dyDescent="0.25">
      <c r="A953" s="282" t="s">
        <v>581</v>
      </c>
      <c r="B953" s="282" t="s">
        <v>594</v>
      </c>
      <c r="C953" s="282" t="s">
        <v>595</v>
      </c>
      <c r="D953" s="283" t="s">
        <v>1620</v>
      </c>
      <c r="E953" s="404">
        <v>44788</v>
      </c>
      <c r="F953" s="404">
        <v>46113</v>
      </c>
      <c r="G953" s="286" t="s">
        <v>1416</v>
      </c>
      <c r="H953" s="282" t="s">
        <v>1599</v>
      </c>
      <c r="I953" s="282" t="s">
        <v>1600</v>
      </c>
      <c r="J953" s="282" t="s">
        <v>156</v>
      </c>
      <c r="K953" s="286" t="s">
        <v>1601</v>
      </c>
      <c r="L953" s="282" t="s">
        <v>574</v>
      </c>
      <c r="M953" s="287">
        <v>2400</v>
      </c>
      <c r="N953" s="287"/>
      <c r="O953" s="287"/>
      <c r="P953" s="287"/>
      <c r="Q953" s="288">
        <v>193</v>
      </c>
      <c r="R953" s="288"/>
      <c r="S953" s="288"/>
      <c r="T953" s="288"/>
      <c r="U953" s="288">
        <v>0</v>
      </c>
      <c r="V953" s="289">
        <v>193</v>
      </c>
      <c r="W953" s="289">
        <v>0</v>
      </c>
      <c r="X953" s="288">
        <v>8.0416666666666664E-2</v>
      </c>
      <c r="Y953" s="288">
        <v>0</v>
      </c>
      <c r="Z953" s="288">
        <v>0</v>
      </c>
      <c r="AA953" s="288">
        <v>0</v>
      </c>
      <c r="AB953" s="288">
        <v>0</v>
      </c>
      <c r="AC953" s="289">
        <v>8.0416666666666664E-2</v>
      </c>
      <c r="AD953" s="289">
        <v>0</v>
      </c>
    </row>
    <row r="954" spans="1:30" ht="15" customHeight="1" x14ac:dyDescent="0.25">
      <c r="A954" s="282" t="s">
        <v>581</v>
      </c>
      <c r="B954" s="282" t="s">
        <v>628</v>
      </c>
      <c r="C954" s="282" t="s">
        <v>629</v>
      </c>
      <c r="D954" s="283" t="s">
        <v>1621</v>
      </c>
      <c r="E954" s="404">
        <v>44788</v>
      </c>
      <c r="F954" s="404">
        <v>46113</v>
      </c>
      <c r="G954" s="286" t="s">
        <v>1416</v>
      </c>
      <c r="H954" s="282" t="s">
        <v>1599</v>
      </c>
      <c r="I954" s="282" t="s">
        <v>1600</v>
      </c>
      <c r="J954" s="282" t="s">
        <v>156</v>
      </c>
      <c r="K954" s="286" t="s">
        <v>1601</v>
      </c>
      <c r="L954" s="282" t="s">
        <v>574</v>
      </c>
      <c r="M954" s="287">
        <v>2400</v>
      </c>
      <c r="N954" s="287"/>
      <c r="O954" s="287"/>
      <c r="P954" s="287"/>
      <c r="Q954" s="288">
        <v>210</v>
      </c>
      <c r="R954" s="288"/>
      <c r="S954" s="288"/>
      <c r="T954" s="288"/>
      <c r="U954" s="288">
        <v>0</v>
      </c>
      <c r="V954" s="289">
        <v>210</v>
      </c>
      <c r="W954" s="289">
        <v>0</v>
      </c>
      <c r="X954" s="288">
        <v>8.7499999999999994E-2</v>
      </c>
      <c r="Y954" s="288">
        <v>0</v>
      </c>
      <c r="Z954" s="288">
        <v>0</v>
      </c>
      <c r="AA954" s="288">
        <v>0</v>
      </c>
      <c r="AB954" s="288">
        <v>0</v>
      </c>
      <c r="AC954" s="289">
        <v>8.7499999999999994E-2</v>
      </c>
      <c r="AD954" s="289">
        <v>0</v>
      </c>
    </row>
    <row r="955" spans="1:30" ht="15" customHeight="1" x14ac:dyDescent="0.25">
      <c r="A955" s="282" t="s">
        <v>581</v>
      </c>
      <c r="B955" s="282" t="s">
        <v>611</v>
      </c>
      <c r="C955" s="282" t="s">
        <v>612</v>
      </c>
      <c r="D955" s="283" t="s">
        <v>1622</v>
      </c>
      <c r="E955" s="404">
        <v>44788</v>
      </c>
      <c r="F955" s="404">
        <v>46113</v>
      </c>
      <c r="G955" s="286" t="s">
        <v>1416</v>
      </c>
      <c r="H955" s="282" t="s">
        <v>1599</v>
      </c>
      <c r="I955" s="282" t="s">
        <v>1600</v>
      </c>
      <c r="J955" s="282" t="s">
        <v>156</v>
      </c>
      <c r="K955" s="286" t="s">
        <v>1601</v>
      </c>
      <c r="L955" s="282" t="s">
        <v>574</v>
      </c>
      <c r="M955" s="287">
        <v>2400</v>
      </c>
      <c r="N955" s="287"/>
      <c r="O955" s="287"/>
      <c r="P955" s="287"/>
      <c r="Q955" s="288">
        <v>240</v>
      </c>
      <c r="R955" s="288"/>
      <c r="S955" s="288"/>
      <c r="T955" s="288"/>
      <c r="U955" s="288">
        <v>0</v>
      </c>
      <c r="V955" s="289">
        <v>240</v>
      </c>
      <c r="W955" s="289">
        <v>0</v>
      </c>
      <c r="X955" s="288">
        <v>0.1</v>
      </c>
      <c r="Y955" s="288">
        <v>0</v>
      </c>
      <c r="Z955" s="288">
        <v>0</v>
      </c>
      <c r="AA955" s="288">
        <v>0</v>
      </c>
      <c r="AB955" s="288">
        <v>0</v>
      </c>
      <c r="AC955" s="289">
        <v>0.1</v>
      </c>
      <c r="AD955" s="289">
        <v>0</v>
      </c>
    </row>
    <row r="956" spans="1:30" ht="15" customHeight="1" x14ac:dyDescent="0.25">
      <c r="A956" s="282" t="s">
        <v>581</v>
      </c>
      <c r="B956" s="282" t="s">
        <v>839</v>
      </c>
      <c r="C956" s="282" t="s">
        <v>840</v>
      </c>
      <c r="D956" s="283" t="s">
        <v>1623</v>
      </c>
      <c r="E956" s="404">
        <v>44788</v>
      </c>
      <c r="F956" s="404">
        <v>46113</v>
      </c>
      <c r="G956" s="286" t="s">
        <v>1416</v>
      </c>
      <c r="H956" s="282" t="s">
        <v>1599</v>
      </c>
      <c r="I956" s="282" t="s">
        <v>1600</v>
      </c>
      <c r="J956" s="282" t="s">
        <v>156</v>
      </c>
      <c r="K956" s="286" t="s">
        <v>1601</v>
      </c>
      <c r="L956" s="282" t="s">
        <v>574</v>
      </c>
      <c r="M956" s="287">
        <v>2400</v>
      </c>
      <c r="N956" s="287"/>
      <c r="O956" s="287"/>
      <c r="P956" s="287"/>
      <c r="Q956" s="288">
        <v>433</v>
      </c>
      <c r="R956" s="288"/>
      <c r="S956" s="288"/>
      <c r="T956" s="288"/>
      <c r="U956" s="288">
        <v>0</v>
      </c>
      <c r="V956" s="289">
        <v>433</v>
      </c>
      <c r="W956" s="289">
        <v>0</v>
      </c>
      <c r="X956" s="288">
        <v>0.18041666666666667</v>
      </c>
      <c r="Y956" s="288">
        <v>0</v>
      </c>
      <c r="Z956" s="288">
        <v>0</v>
      </c>
      <c r="AA956" s="288">
        <v>0</v>
      </c>
      <c r="AB956" s="288">
        <v>0</v>
      </c>
      <c r="AC956" s="289">
        <v>0.18041666666666667</v>
      </c>
      <c r="AD956" s="289">
        <v>0</v>
      </c>
    </row>
    <row r="957" spans="1:30" ht="15" customHeight="1" x14ac:dyDescent="0.25">
      <c r="A957" s="282" t="s">
        <v>581</v>
      </c>
      <c r="B957" s="282" t="s">
        <v>585</v>
      </c>
      <c r="C957" s="282" t="s">
        <v>586</v>
      </c>
      <c r="D957" s="283" t="s">
        <v>1624</v>
      </c>
      <c r="E957" s="404">
        <v>44788</v>
      </c>
      <c r="F957" s="404">
        <v>46113</v>
      </c>
      <c r="G957" s="286" t="s">
        <v>1416</v>
      </c>
      <c r="H957" s="282" t="s">
        <v>1599</v>
      </c>
      <c r="I957" s="282" t="s">
        <v>1600</v>
      </c>
      <c r="J957" s="282" t="s">
        <v>156</v>
      </c>
      <c r="K957" s="286" t="s">
        <v>1601</v>
      </c>
      <c r="L957" s="282" t="s">
        <v>574</v>
      </c>
      <c r="M957" s="287">
        <v>2400</v>
      </c>
      <c r="N957" s="287"/>
      <c r="O957" s="287"/>
      <c r="P957" s="287"/>
      <c r="Q957" s="288">
        <v>373</v>
      </c>
      <c r="R957" s="288"/>
      <c r="S957" s="288"/>
      <c r="T957" s="288"/>
      <c r="U957" s="288">
        <v>0</v>
      </c>
      <c r="V957" s="289">
        <v>373</v>
      </c>
      <c r="W957" s="289">
        <v>0</v>
      </c>
      <c r="X957" s="288">
        <v>0.15541666666666668</v>
      </c>
      <c r="Y957" s="288">
        <v>0</v>
      </c>
      <c r="Z957" s="288">
        <v>0</v>
      </c>
      <c r="AA957" s="288">
        <v>0</v>
      </c>
      <c r="AB957" s="288">
        <v>0</v>
      </c>
      <c r="AC957" s="289">
        <v>0.15541666666666668</v>
      </c>
      <c r="AD957" s="289">
        <v>0</v>
      </c>
    </row>
    <row r="958" spans="1:30" ht="15" customHeight="1" x14ac:dyDescent="0.25">
      <c r="A958" s="282" t="s">
        <v>581</v>
      </c>
      <c r="B958" s="282" t="s">
        <v>585</v>
      </c>
      <c r="C958" s="282" t="s">
        <v>586</v>
      </c>
      <c r="D958" s="283" t="s">
        <v>1625</v>
      </c>
      <c r="E958" s="404">
        <v>44788</v>
      </c>
      <c r="F958" s="404">
        <v>46113</v>
      </c>
      <c r="G958" s="286" t="s">
        <v>1416</v>
      </c>
      <c r="H958" s="282" t="s">
        <v>1599</v>
      </c>
      <c r="I958" s="282" t="s">
        <v>1600</v>
      </c>
      <c r="J958" s="282" t="s">
        <v>156</v>
      </c>
      <c r="K958" s="286" t="s">
        <v>1601</v>
      </c>
      <c r="L958" s="282" t="s">
        <v>574</v>
      </c>
      <c r="M958" s="287">
        <v>2400</v>
      </c>
      <c r="N958" s="287"/>
      <c r="O958" s="287"/>
      <c r="P958" s="287"/>
      <c r="Q958" s="288">
        <v>286</v>
      </c>
      <c r="R958" s="288"/>
      <c r="S958" s="288"/>
      <c r="T958" s="288"/>
      <c r="U958" s="288">
        <v>0</v>
      </c>
      <c r="V958" s="289">
        <v>286</v>
      </c>
      <c r="W958" s="289">
        <v>0</v>
      </c>
      <c r="X958" s="288">
        <v>0.11916666666666667</v>
      </c>
      <c r="Y958" s="288">
        <v>0</v>
      </c>
      <c r="Z958" s="288">
        <v>0</v>
      </c>
      <c r="AA958" s="288">
        <v>0</v>
      </c>
      <c r="AB958" s="288">
        <v>0</v>
      </c>
      <c r="AC958" s="289">
        <v>0.11916666666666667</v>
      </c>
      <c r="AD958" s="289">
        <v>0</v>
      </c>
    </row>
    <row r="959" spans="1:30" ht="15" customHeight="1" x14ac:dyDescent="0.25">
      <c r="A959" s="282" t="s">
        <v>581</v>
      </c>
      <c r="B959" s="282" t="s">
        <v>616</v>
      </c>
      <c r="C959" s="282" t="s">
        <v>617</v>
      </c>
      <c r="D959" s="283" t="s">
        <v>1626</v>
      </c>
      <c r="E959" s="404">
        <v>44788</v>
      </c>
      <c r="F959" s="404">
        <v>46113</v>
      </c>
      <c r="G959" s="286" t="s">
        <v>1416</v>
      </c>
      <c r="H959" s="282" t="s">
        <v>1599</v>
      </c>
      <c r="I959" s="282" t="s">
        <v>1600</v>
      </c>
      <c r="J959" s="282" t="s">
        <v>156</v>
      </c>
      <c r="K959" s="286" t="s">
        <v>1601</v>
      </c>
      <c r="L959" s="282" t="s">
        <v>574</v>
      </c>
      <c r="M959" s="287">
        <v>2400</v>
      </c>
      <c r="N959" s="287"/>
      <c r="O959" s="287"/>
      <c r="P959" s="287"/>
      <c r="Q959" s="288">
        <v>355</v>
      </c>
      <c r="R959" s="288"/>
      <c r="S959" s="288"/>
      <c r="T959" s="288"/>
      <c r="U959" s="288">
        <v>0</v>
      </c>
      <c r="V959" s="289">
        <v>355</v>
      </c>
      <c r="W959" s="289">
        <v>0</v>
      </c>
      <c r="X959" s="288">
        <v>0.14791666666666667</v>
      </c>
      <c r="Y959" s="288">
        <v>0</v>
      </c>
      <c r="Z959" s="288">
        <v>0</v>
      </c>
      <c r="AA959" s="288">
        <v>0</v>
      </c>
      <c r="AB959" s="288">
        <v>0</v>
      </c>
      <c r="AC959" s="289">
        <v>0.14791666666666667</v>
      </c>
      <c r="AD959" s="289">
        <v>0</v>
      </c>
    </row>
    <row r="960" spans="1:30" ht="15" customHeight="1" x14ac:dyDescent="0.25">
      <c r="A960" s="282" t="s">
        <v>581</v>
      </c>
      <c r="B960" s="282" t="s">
        <v>594</v>
      </c>
      <c r="C960" s="282" t="s">
        <v>595</v>
      </c>
      <c r="D960" s="283" t="s">
        <v>1627</v>
      </c>
      <c r="E960" s="404">
        <v>44788</v>
      </c>
      <c r="F960" s="404">
        <v>46113</v>
      </c>
      <c r="G960" s="286" t="s">
        <v>1416</v>
      </c>
      <c r="H960" s="282" t="s">
        <v>1599</v>
      </c>
      <c r="I960" s="282" t="s">
        <v>1600</v>
      </c>
      <c r="J960" s="282" t="s">
        <v>156</v>
      </c>
      <c r="K960" s="286" t="s">
        <v>1601</v>
      </c>
      <c r="L960" s="282" t="s">
        <v>574</v>
      </c>
      <c r="M960" s="287">
        <v>2400</v>
      </c>
      <c r="N960" s="287"/>
      <c r="O960" s="287"/>
      <c r="P960" s="287"/>
      <c r="Q960" s="288">
        <v>186</v>
      </c>
      <c r="R960" s="288"/>
      <c r="S960" s="288"/>
      <c r="T960" s="288"/>
      <c r="U960" s="288">
        <v>0</v>
      </c>
      <c r="V960" s="289">
        <v>186</v>
      </c>
      <c r="W960" s="289">
        <v>0</v>
      </c>
      <c r="X960" s="288">
        <v>7.7499999999999999E-2</v>
      </c>
      <c r="Y960" s="288">
        <v>0</v>
      </c>
      <c r="Z960" s="288">
        <v>0</v>
      </c>
      <c r="AA960" s="288">
        <v>0</v>
      </c>
      <c r="AB960" s="288">
        <v>0</v>
      </c>
      <c r="AC960" s="289">
        <v>7.7499999999999999E-2</v>
      </c>
      <c r="AD960" s="289">
        <v>0</v>
      </c>
    </row>
    <row r="961" spans="1:30" ht="15" customHeight="1" x14ac:dyDescent="0.25">
      <c r="A961" s="282" t="s">
        <v>581</v>
      </c>
      <c r="B961" s="282" t="s">
        <v>628</v>
      </c>
      <c r="C961" s="282" t="s">
        <v>629</v>
      </c>
      <c r="D961" s="283" t="s">
        <v>1628</v>
      </c>
      <c r="E961" s="404">
        <v>44788</v>
      </c>
      <c r="F961" s="404">
        <v>46113</v>
      </c>
      <c r="G961" s="286" t="s">
        <v>1416</v>
      </c>
      <c r="H961" s="282" t="s">
        <v>1599</v>
      </c>
      <c r="I961" s="282" t="s">
        <v>1600</v>
      </c>
      <c r="J961" s="282" t="s">
        <v>156</v>
      </c>
      <c r="K961" s="286" t="s">
        <v>1601</v>
      </c>
      <c r="L961" s="282" t="s">
        <v>574</v>
      </c>
      <c r="M961" s="287">
        <v>2400</v>
      </c>
      <c r="N961" s="287"/>
      <c r="O961" s="287"/>
      <c r="P961" s="287"/>
      <c r="Q961" s="288">
        <v>202</v>
      </c>
      <c r="R961" s="288"/>
      <c r="S961" s="288"/>
      <c r="T961" s="288"/>
      <c r="U961" s="288">
        <v>0</v>
      </c>
      <c r="V961" s="289">
        <v>202</v>
      </c>
      <c r="W961" s="289">
        <v>0</v>
      </c>
      <c r="X961" s="288">
        <v>8.4166666666666667E-2</v>
      </c>
      <c r="Y961" s="288">
        <v>0</v>
      </c>
      <c r="Z961" s="288">
        <v>0</v>
      </c>
      <c r="AA961" s="288">
        <v>0</v>
      </c>
      <c r="AB961" s="288">
        <v>0</v>
      </c>
      <c r="AC961" s="289">
        <v>8.4166666666666667E-2</v>
      </c>
      <c r="AD961" s="289">
        <v>0</v>
      </c>
    </row>
    <row r="962" spans="1:30" ht="15" customHeight="1" x14ac:dyDescent="0.25">
      <c r="A962" s="282" t="s">
        <v>581</v>
      </c>
      <c r="B962" s="282" t="s">
        <v>611</v>
      </c>
      <c r="C962" s="282" t="s">
        <v>612</v>
      </c>
      <c r="D962" s="283" t="s">
        <v>1629</v>
      </c>
      <c r="E962" s="404">
        <v>44788</v>
      </c>
      <c r="F962" s="404">
        <v>46113</v>
      </c>
      <c r="G962" s="286" t="s">
        <v>1416</v>
      </c>
      <c r="H962" s="282" t="s">
        <v>1599</v>
      </c>
      <c r="I962" s="282" t="s">
        <v>1600</v>
      </c>
      <c r="J962" s="282" t="s">
        <v>156</v>
      </c>
      <c r="K962" s="286" t="s">
        <v>1601</v>
      </c>
      <c r="L962" s="282" t="s">
        <v>574</v>
      </c>
      <c r="M962" s="287">
        <v>2400</v>
      </c>
      <c r="N962" s="287"/>
      <c r="O962" s="287"/>
      <c r="P962" s="287"/>
      <c r="Q962" s="288">
        <v>228</v>
      </c>
      <c r="R962" s="288"/>
      <c r="S962" s="288"/>
      <c r="T962" s="288"/>
      <c r="U962" s="288">
        <v>0</v>
      </c>
      <c r="V962" s="289">
        <v>228</v>
      </c>
      <c r="W962" s="289">
        <v>0</v>
      </c>
      <c r="X962" s="288">
        <v>9.5000000000000001E-2</v>
      </c>
      <c r="Y962" s="288">
        <v>0</v>
      </c>
      <c r="Z962" s="288">
        <v>0</v>
      </c>
      <c r="AA962" s="288">
        <v>0</v>
      </c>
      <c r="AB962" s="288">
        <v>0</v>
      </c>
      <c r="AC962" s="289">
        <v>9.5000000000000001E-2</v>
      </c>
      <c r="AD962" s="289">
        <v>0</v>
      </c>
    </row>
    <row r="963" spans="1:30" ht="15" customHeight="1" x14ac:dyDescent="0.25">
      <c r="A963" s="282" t="s">
        <v>581</v>
      </c>
      <c r="B963" s="282" t="s">
        <v>585</v>
      </c>
      <c r="C963" s="282" t="s">
        <v>586</v>
      </c>
      <c r="D963" s="283" t="s">
        <v>1630</v>
      </c>
      <c r="E963" s="404">
        <v>44788</v>
      </c>
      <c r="F963" s="404">
        <v>46113</v>
      </c>
      <c r="G963" s="286" t="s">
        <v>1416</v>
      </c>
      <c r="H963" s="282" t="s">
        <v>1599</v>
      </c>
      <c r="I963" s="282" t="s">
        <v>1600</v>
      </c>
      <c r="J963" s="282" t="s">
        <v>156</v>
      </c>
      <c r="K963" s="286" t="s">
        <v>1601</v>
      </c>
      <c r="L963" s="282" t="s">
        <v>574</v>
      </c>
      <c r="M963" s="287">
        <v>2400</v>
      </c>
      <c r="N963" s="287"/>
      <c r="O963" s="287"/>
      <c r="P963" s="287"/>
      <c r="Q963" s="288">
        <v>271</v>
      </c>
      <c r="R963" s="288"/>
      <c r="S963" s="288"/>
      <c r="T963" s="288"/>
      <c r="U963" s="288">
        <v>0</v>
      </c>
      <c r="V963" s="289">
        <v>271</v>
      </c>
      <c r="W963" s="289">
        <v>0</v>
      </c>
      <c r="X963" s="288">
        <v>0.11291666666666667</v>
      </c>
      <c r="Y963" s="288">
        <v>0</v>
      </c>
      <c r="Z963" s="288">
        <v>0</v>
      </c>
      <c r="AA963" s="288">
        <v>0</v>
      </c>
      <c r="AB963" s="288">
        <v>0</v>
      </c>
      <c r="AC963" s="289">
        <v>0.11291666666666667</v>
      </c>
      <c r="AD963" s="289">
        <v>0</v>
      </c>
    </row>
    <row r="964" spans="1:30" ht="15" customHeight="1" x14ac:dyDescent="0.25">
      <c r="A964" s="282" t="s">
        <v>581</v>
      </c>
      <c r="B964" s="282" t="s">
        <v>616</v>
      </c>
      <c r="C964" s="282" t="s">
        <v>617</v>
      </c>
      <c r="D964" s="283" t="s">
        <v>1631</v>
      </c>
      <c r="E964" s="404">
        <v>44788</v>
      </c>
      <c r="F964" s="404">
        <v>46113</v>
      </c>
      <c r="G964" s="286" t="s">
        <v>1416</v>
      </c>
      <c r="H964" s="282" t="s">
        <v>1599</v>
      </c>
      <c r="I964" s="282" t="s">
        <v>1600</v>
      </c>
      <c r="J964" s="282" t="s">
        <v>156</v>
      </c>
      <c r="K964" s="286" t="s">
        <v>1601</v>
      </c>
      <c r="L964" s="282" t="s">
        <v>574</v>
      </c>
      <c r="M964" s="287">
        <v>2400</v>
      </c>
      <c r="N964" s="287"/>
      <c r="O964" s="287"/>
      <c r="P964" s="287"/>
      <c r="Q964" s="288">
        <v>341</v>
      </c>
      <c r="R964" s="288"/>
      <c r="S964" s="288"/>
      <c r="T964" s="288"/>
      <c r="U964" s="288">
        <v>0</v>
      </c>
      <c r="V964" s="289">
        <v>341</v>
      </c>
      <c r="W964" s="289">
        <v>0</v>
      </c>
      <c r="X964" s="288">
        <v>0.14208333333333334</v>
      </c>
      <c r="Y964" s="288">
        <v>0</v>
      </c>
      <c r="Z964" s="288">
        <v>0</v>
      </c>
      <c r="AA964" s="288">
        <v>0</v>
      </c>
      <c r="AB964" s="288">
        <v>0</v>
      </c>
      <c r="AC964" s="289">
        <v>0.14208333333333334</v>
      </c>
      <c r="AD964" s="289">
        <v>0</v>
      </c>
    </row>
    <row r="965" spans="1:30" ht="15" customHeight="1" x14ac:dyDescent="0.25">
      <c r="A965" s="282" t="s">
        <v>581</v>
      </c>
      <c r="B965" s="282" t="s">
        <v>594</v>
      </c>
      <c r="C965" s="282" t="s">
        <v>595</v>
      </c>
      <c r="D965" s="283" t="s">
        <v>1632</v>
      </c>
      <c r="E965" s="404">
        <v>44788</v>
      </c>
      <c r="F965" s="404">
        <v>46113</v>
      </c>
      <c r="G965" s="286" t="s">
        <v>1416</v>
      </c>
      <c r="H965" s="282" t="s">
        <v>1599</v>
      </c>
      <c r="I965" s="282" t="s">
        <v>1600</v>
      </c>
      <c r="J965" s="282" t="s">
        <v>156</v>
      </c>
      <c r="K965" s="286" t="s">
        <v>1601</v>
      </c>
      <c r="L965" s="282" t="s">
        <v>574</v>
      </c>
      <c r="M965" s="287">
        <v>2400</v>
      </c>
      <c r="N965" s="287"/>
      <c r="O965" s="287"/>
      <c r="P965" s="287"/>
      <c r="Q965" s="288">
        <v>177</v>
      </c>
      <c r="R965" s="288"/>
      <c r="S965" s="288"/>
      <c r="T965" s="288"/>
      <c r="U965" s="288">
        <v>0</v>
      </c>
      <c r="V965" s="289">
        <v>177</v>
      </c>
      <c r="W965" s="289">
        <v>0</v>
      </c>
      <c r="X965" s="288">
        <v>7.3749999999999996E-2</v>
      </c>
      <c r="Y965" s="288">
        <v>0</v>
      </c>
      <c r="Z965" s="288">
        <v>0</v>
      </c>
      <c r="AA965" s="288">
        <v>0</v>
      </c>
      <c r="AB965" s="288">
        <v>0</v>
      </c>
      <c r="AC965" s="289">
        <v>7.3749999999999996E-2</v>
      </c>
      <c r="AD965" s="289">
        <v>0</v>
      </c>
    </row>
    <row r="966" spans="1:30" ht="15" customHeight="1" x14ac:dyDescent="0.25">
      <c r="A966" s="282" t="s">
        <v>581</v>
      </c>
      <c r="B966" s="282" t="s">
        <v>628</v>
      </c>
      <c r="C966" s="282" t="s">
        <v>629</v>
      </c>
      <c r="D966" s="283" t="s">
        <v>1633</v>
      </c>
      <c r="E966" s="404">
        <v>44788</v>
      </c>
      <c r="F966" s="404">
        <v>46113</v>
      </c>
      <c r="G966" s="286" t="s">
        <v>1416</v>
      </c>
      <c r="H966" s="282" t="s">
        <v>1599</v>
      </c>
      <c r="I966" s="282" t="s">
        <v>1600</v>
      </c>
      <c r="J966" s="282" t="s">
        <v>156</v>
      </c>
      <c r="K966" s="286" t="s">
        <v>1601</v>
      </c>
      <c r="L966" s="282" t="s">
        <v>574</v>
      </c>
      <c r="M966" s="287">
        <v>2400</v>
      </c>
      <c r="N966" s="287"/>
      <c r="O966" s="287"/>
      <c r="P966" s="287"/>
      <c r="Q966" s="288">
        <v>184</v>
      </c>
      <c r="R966" s="288"/>
      <c r="S966" s="288"/>
      <c r="T966" s="288"/>
      <c r="U966" s="288">
        <v>0</v>
      </c>
      <c r="V966" s="289">
        <v>184</v>
      </c>
      <c r="W966" s="289">
        <v>0</v>
      </c>
      <c r="X966" s="288">
        <v>7.6666666666666661E-2</v>
      </c>
      <c r="Y966" s="288">
        <v>0</v>
      </c>
      <c r="Z966" s="288">
        <v>0</v>
      </c>
      <c r="AA966" s="288">
        <v>0</v>
      </c>
      <c r="AB966" s="288">
        <v>0</v>
      </c>
      <c r="AC966" s="289">
        <v>7.6666666666666661E-2</v>
      </c>
      <c r="AD966" s="289">
        <v>0</v>
      </c>
    </row>
    <row r="967" spans="1:30" ht="15" customHeight="1" x14ac:dyDescent="0.25">
      <c r="A967" s="282" t="s">
        <v>581</v>
      </c>
      <c r="B967" s="282" t="s">
        <v>585</v>
      </c>
      <c r="C967" s="282" t="s">
        <v>586</v>
      </c>
      <c r="D967" s="283" t="s">
        <v>1634</v>
      </c>
      <c r="E967" s="404">
        <v>44788</v>
      </c>
      <c r="F967" s="404">
        <v>46113</v>
      </c>
      <c r="G967" s="286" t="s">
        <v>1416</v>
      </c>
      <c r="H967" s="282" t="s">
        <v>1599</v>
      </c>
      <c r="I967" s="282" t="s">
        <v>1600</v>
      </c>
      <c r="J967" s="282" t="s">
        <v>156</v>
      </c>
      <c r="K967" s="286" t="s">
        <v>1601</v>
      </c>
      <c r="L967" s="282" t="s">
        <v>574</v>
      </c>
      <c r="M967" s="287">
        <v>2400</v>
      </c>
      <c r="N967" s="287"/>
      <c r="O967" s="287"/>
      <c r="P967" s="287"/>
      <c r="Q967" s="288">
        <v>371</v>
      </c>
      <c r="R967" s="288"/>
      <c r="S967" s="288"/>
      <c r="T967" s="288"/>
      <c r="U967" s="288">
        <v>0</v>
      </c>
      <c r="V967" s="289">
        <v>371</v>
      </c>
      <c r="W967" s="289">
        <v>0</v>
      </c>
      <c r="X967" s="288">
        <v>0.15458333333333332</v>
      </c>
      <c r="Y967" s="288">
        <v>0</v>
      </c>
      <c r="Z967" s="288">
        <v>0</v>
      </c>
      <c r="AA967" s="288">
        <v>0</v>
      </c>
      <c r="AB967" s="288">
        <v>0</v>
      </c>
      <c r="AC967" s="289">
        <v>0.15458333333333332</v>
      </c>
      <c r="AD967" s="289">
        <v>0</v>
      </c>
    </row>
    <row r="968" spans="1:30" ht="15" customHeight="1" x14ac:dyDescent="0.25">
      <c r="A968" s="282" t="s">
        <v>581</v>
      </c>
      <c r="B968" s="282" t="s">
        <v>585</v>
      </c>
      <c r="C968" s="282" t="s">
        <v>586</v>
      </c>
      <c r="D968" s="283" t="s">
        <v>1635</v>
      </c>
      <c r="E968" s="404">
        <v>44788</v>
      </c>
      <c r="F968" s="404">
        <v>46113</v>
      </c>
      <c r="G968" s="286" t="s">
        <v>1416</v>
      </c>
      <c r="H968" s="282" t="s">
        <v>1599</v>
      </c>
      <c r="I968" s="282" t="s">
        <v>1600</v>
      </c>
      <c r="J968" s="282" t="s">
        <v>156</v>
      </c>
      <c r="K968" s="286" t="s">
        <v>1601</v>
      </c>
      <c r="L968" s="282" t="s">
        <v>574</v>
      </c>
      <c r="M968" s="287">
        <v>2400</v>
      </c>
      <c r="N968" s="287"/>
      <c r="O968" s="287"/>
      <c r="P968" s="287"/>
      <c r="Q968" s="288">
        <v>372</v>
      </c>
      <c r="R968" s="288"/>
      <c r="S968" s="288"/>
      <c r="T968" s="288"/>
      <c r="U968" s="288">
        <v>0</v>
      </c>
      <c r="V968" s="289">
        <v>372</v>
      </c>
      <c r="W968" s="289">
        <v>0</v>
      </c>
      <c r="X968" s="288">
        <v>0.155</v>
      </c>
      <c r="Y968" s="288">
        <v>0</v>
      </c>
      <c r="Z968" s="288">
        <v>0</v>
      </c>
      <c r="AA968" s="288">
        <v>0</v>
      </c>
      <c r="AB968" s="288">
        <v>0</v>
      </c>
      <c r="AC968" s="289">
        <v>0.155</v>
      </c>
      <c r="AD968" s="289">
        <v>0</v>
      </c>
    </row>
    <row r="969" spans="1:30" ht="15" customHeight="1" x14ac:dyDescent="0.25">
      <c r="A969" s="282" t="s">
        <v>581</v>
      </c>
      <c r="B969" s="282" t="s">
        <v>616</v>
      </c>
      <c r="C969" s="282" t="s">
        <v>617</v>
      </c>
      <c r="D969" s="283" t="s">
        <v>1636</v>
      </c>
      <c r="E969" s="404">
        <v>44788</v>
      </c>
      <c r="F969" s="404">
        <v>46113</v>
      </c>
      <c r="G969" s="286" t="s">
        <v>1416</v>
      </c>
      <c r="H969" s="282" t="s">
        <v>1599</v>
      </c>
      <c r="I969" s="282" t="s">
        <v>1600</v>
      </c>
      <c r="J969" s="282" t="s">
        <v>156</v>
      </c>
      <c r="K969" s="286" t="s">
        <v>1601</v>
      </c>
      <c r="L969" s="282" t="s">
        <v>574</v>
      </c>
      <c r="M969" s="287">
        <v>2400</v>
      </c>
      <c r="N969" s="287"/>
      <c r="O969" s="287"/>
      <c r="P969" s="287"/>
      <c r="Q969" s="288">
        <v>436</v>
      </c>
      <c r="R969" s="288"/>
      <c r="S969" s="288"/>
      <c r="T969" s="288"/>
      <c r="U969" s="288">
        <v>0</v>
      </c>
      <c r="V969" s="289">
        <v>436</v>
      </c>
      <c r="W969" s="289">
        <v>0</v>
      </c>
      <c r="X969" s="288">
        <v>0.18166666666666667</v>
      </c>
      <c r="Y969" s="288">
        <v>0</v>
      </c>
      <c r="Z969" s="288">
        <v>0</v>
      </c>
      <c r="AA969" s="288">
        <v>0</v>
      </c>
      <c r="AB969" s="288">
        <v>0</v>
      </c>
      <c r="AC969" s="289">
        <v>0.18166666666666667</v>
      </c>
      <c r="AD969" s="289">
        <v>0</v>
      </c>
    </row>
    <row r="970" spans="1:30" ht="15" customHeight="1" x14ac:dyDescent="0.25">
      <c r="A970" s="282" t="s">
        <v>581</v>
      </c>
      <c r="B970" s="282" t="s">
        <v>695</v>
      </c>
      <c r="C970" s="282" t="s">
        <v>696</v>
      </c>
      <c r="D970" s="283" t="s">
        <v>1637</v>
      </c>
      <c r="E970" s="404">
        <v>44788</v>
      </c>
      <c r="F970" s="404">
        <v>46113</v>
      </c>
      <c r="G970" s="286" t="s">
        <v>1416</v>
      </c>
      <c r="H970" s="282" t="s">
        <v>1599</v>
      </c>
      <c r="I970" s="282" t="s">
        <v>1600</v>
      </c>
      <c r="J970" s="282" t="s">
        <v>156</v>
      </c>
      <c r="K970" s="286" t="s">
        <v>1601</v>
      </c>
      <c r="L970" s="282" t="s">
        <v>574</v>
      </c>
      <c r="M970" s="287">
        <v>2400</v>
      </c>
      <c r="N970" s="287"/>
      <c r="O970" s="287"/>
      <c r="P970" s="287"/>
      <c r="Q970" s="288">
        <v>492</v>
      </c>
      <c r="R970" s="288"/>
      <c r="S970" s="288"/>
      <c r="T970" s="288"/>
      <c r="U970" s="288">
        <v>0</v>
      </c>
      <c r="V970" s="289">
        <v>492</v>
      </c>
      <c r="W970" s="289">
        <v>0</v>
      </c>
      <c r="X970" s="288">
        <v>0.20499999999999999</v>
      </c>
      <c r="Y970" s="288">
        <v>0</v>
      </c>
      <c r="Z970" s="288">
        <v>0</v>
      </c>
      <c r="AA970" s="288">
        <v>0</v>
      </c>
      <c r="AB970" s="288">
        <v>0</v>
      </c>
      <c r="AC970" s="289">
        <v>0.20499999999999999</v>
      </c>
      <c r="AD970" s="289">
        <v>0</v>
      </c>
    </row>
    <row r="971" spans="1:30" ht="15" customHeight="1" x14ac:dyDescent="0.25">
      <c r="A971" s="282" t="s">
        <v>581</v>
      </c>
      <c r="B971" s="282" t="s">
        <v>611</v>
      </c>
      <c r="C971" s="282" t="s">
        <v>612</v>
      </c>
      <c r="D971" s="283" t="s">
        <v>1638</v>
      </c>
      <c r="E971" s="404">
        <v>44788</v>
      </c>
      <c r="F971" s="404">
        <v>46113</v>
      </c>
      <c r="G971" s="286" t="s">
        <v>1416</v>
      </c>
      <c r="H971" s="282" t="s">
        <v>1599</v>
      </c>
      <c r="I971" s="282" t="s">
        <v>1600</v>
      </c>
      <c r="J971" s="282" t="s">
        <v>156</v>
      </c>
      <c r="K971" s="286" t="s">
        <v>1601</v>
      </c>
      <c r="L971" s="282" t="s">
        <v>574</v>
      </c>
      <c r="M971" s="287">
        <v>2400</v>
      </c>
      <c r="N971" s="287"/>
      <c r="O971" s="287"/>
      <c r="P971" s="287"/>
      <c r="Q971" s="288">
        <v>197</v>
      </c>
      <c r="R971" s="288"/>
      <c r="S971" s="288"/>
      <c r="T971" s="288"/>
      <c r="U971" s="288">
        <v>0</v>
      </c>
      <c r="V971" s="289">
        <v>197</v>
      </c>
      <c r="W971" s="289">
        <v>0</v>
      </c>
      <c r="X971" s="288">
        <v>8.2083333333333328E-2</v>
      </c>
      <c r="Y971" s="288">
        <v>0</v>
      </c>
      <c r="Z971" s="288">
        <v>0</v>
      </c>
      <c r="AA971" s="288">
        <v>0</v>
      </c>
      <c r="AB971" s="288">
        <v>0</v>
      </c>
      <c r="AC971" s="289">
        <v>8.2083333333333328E-2</v>
      </c>
      <c r="AD971" s="289">
        <v>0</v>
      </c>
    </row>
    <row r="972" spans="1:30" ht="15" customHeight="1" x14ac:dyDescent="0.25">
      <c r="A972" s="282" t="s">
        <v>581</v>
      </c>
      <c r="B972" s="282" t="s">
        <v>585</v>
      </c>
      <c r="C972" s="282" t="s">
        <v>586</v>
      </c>
      <c r="D972" s="283" t="s">
        <v>1639</v>
      </c>
      <c r="E972" s="404">
        <v>44788</v>
      </c>
      <c r="F972" s="404">
        <v>46113</v>
      </c>
      <c r="G972" s="286" t="s">
        <v>1416</v>
      </c>
      <c r="H972" s="282" t="s">
        <v>1599</v>
      </c>
      <c r="I972" s="282" t="s">
        <v>1600</v>
      </c>
      <c r="J972" s="282" t="s">
        <v>156</v>
      </c>
      <c r="K972" s="286" t="s">
        <v>1601</v>
      </c>
      <c r="L972" s="282" t="s">
        <v>574</v>
      </c>
      <c r="M972" s="287">
        <v>2400</v>
      </c>
      <c r="N972" s="287"/>
      <c r="O972" s="287"/>
      <c r="P972" s="287"/>
      <c r="Q972" s="288">
        <v>251</v>
      </c>
      <c r="R972" s="288"/>
      <c r="S972" s="288"/>
      <c r="T972" s="288"/>
      <c r="U972" s="288">
        <v>0</v>
      </c>
      <c r="V972" s="289">
        <v>251</v>
      </c>
      <c r="W972" s="289">
        <v>0</v>
      </c>
      <c r="X972" s="288">
        <v>0.10458333333333333</v>
      </c>
      <c r="Y972" s="288">
        <v>0</v>
      </c>
      <c r="Z972" s="288">
        <v>0</v>
      </c>
      <c r="AA972" s="288">
        <v>0</v>
      </c>
      <c r="AB972" s="288">
        <v>0</v>
      </c>
      <c r="AC972" s="289">
        <v>0.10458333333333333</v>
      </c>
      <c r="AD972" s="289">
        <v>0</v>
      </c>
    </row>
    <row r="973" spans="1:30" ht="15" customHeight="1" x14ac:dyDescent="0.25">
      <c r="A973" s="282" t="s">
        <v>581</v>
      </c>
      <c r="B973" s="282" t="s">
        <v>616</v>
      </c>
      <c r="C973" s="282" t="s">
        <v>617</v>
      </c>
      <c r="D973" s="283" t="s">
        <v>1640</v>
      </c>
      <c r="E973" s="404">
        <v>44788</v>
      </c>
      <c r="F973" s="404">
        <v>46113</v>
      </c>
      <c r="G973" s="286" t="s">
        <v>1416</v>
      </c>
      <c r="H973" s="282" t="s">
        <v>1599</v>
      </c>
      <c r="I973" s="282" t="s">
        <v>1600</v>
      </c>
      <c r="J973" s="282" t="s">
        <v>156</v>
      </c>
      <c r="K973" s="286" t="s">
        <v>1601</v>
      </c>
      <c r="L973" s="282" t="s">
        <v>574</v>
      </c>
      <c r="M973" s="287">
        <v>2400</v>
      </c>
      <c r="N973" s="287"/>
      <c r="O973" s="287"/>
      <c r="P973" s="287"/>
      <c r="Q973" s="288">
        <v>327</v>
      </c>
      <c r="R973" s="288"/>
      <c r="S973" s="288"/>
      <c r="T973" s="288"/>
      <c r="U973" s="288">
        <v>0</v>
      </c>
      <c r="V973" s="289">
        <v>327</v>
      </c>
      <c r="W973" s="289">
        <v>0</v>
      </c>
      <c r="X973" s="288">
        <v>0.13625000000000001</v>
      </c>
      <c r="Y973" s="288">
        <v>0</v>
      </c>
      <c r="Z973" s="288">
        <v>0</v>
      </c>
      <c r="AA973" s="288">
        <v>0</v>
      </c>
      <c r="AB973" s="288">
        <v>0</v>
      </c>
      <c r="AC973" s="289">
        <v>0.13625000000000001</v>
      </c>
      <c r="AD973" s="289">
        <v>0</v>
      </c>
    </row>
    <row r="974" spans="1:30" ht="15" customHeight="1" x14ac:dyDescent="0.25">
      <c r="A974" s="282" t="s">
        <v>581</v>
      </c>
      <c r="B974" s="282" t="s">
        <v>695</v>
      </c>
      <c r="C974" s="282" t="s">
        <v>696</v>
      </c>
      <c r="D974" s="283" t="s">
        <v>1641</v>
      </c>
      <c r="E974" s="404">
        <v>44788</v>
      </c>
      <c r="F974" s="404">
        <v>46113</v>
      </c>
      <c r="G974" s="286" t="s">
        <v>1416</v>
      </c>
      <c r="H974" s="282" t="s">
        <v>1599</v>
      </c>
      <c r="I974" s="282" t="s">
        <v>1600</v>
      </c>
      <c r="J974" s="282" t="s">
        <v>156</v>
      </c>
      <c r="K974" s="286" t="s">
        <v>1601</v>
      </c>
      <c r="L974" s="282" t="s">
        <v>574</v>
      </c>
      <c r="M974" s="287">
        <v>2400</v>
      </c>
      <c r="N974" s="287"/>
      <c r="O974" s="287"/>
      <c r="P974" s="287"/>
      <c r="Q974" s="288">
        <v>333</v>
      </c>
      <c r="R974" s="288"/>
      <c r="S974" s="288"/>
      <c r="T974" s="288"/>
      <c r="U974" s="288">
        <v>0</v>
      </c>
      <c r="V974" s="289">
        <v>333</v>
      </c>
      <c r="W974" s="289">
        <v>0</v>
      </c>
      <c r="X974" s="288">
        <v>0.13875000000000001</v>
      </c>
      <c r="Y974" s="288">
        <v>0</v>
      </c>
      <c r="Z974" s="288">
        <v>0</v>
      </c>
      <c r="AA974" s="288">
        <v>0</v>
      </c>
      <c r="AB974" s="288">
        <v>0</v>
      </c>
      <c r="AC974" s="289">
        <v>0.13875000000000001</v>
      </c>
      <c r="AD974" s="289">
        <v>0</v>
      </c>
    </row>
    <row r="975" spans="1:30" ht="15" customHeight="1" x14ac:dyDescent="0.25">
      <c r="A975" s="282" t="s">
        <v>581</v>
      </c>
      <c r="B975" s="282" t="s">
        <v>839</v>
      </c>
      <c r="C975" s="282" t="s">
        <v>840</v>
      </c>
      <c r="D975" s="283" t="s">
        <v>1642</v>
      </c>
      <c r="E975" s="404">
        <v>44788</v>
      </c>
      <c r="F975" s="404">
        <v>46113</v>
      </c>
      <c r="G975" s="286" t="s">
        <v>1416</v>
      </c>
      <c r="H975" s="282" t="s">
        <v>1599</v>
      </c>
      <c r="I975" s="282" t="s">
        <v>1600</v>
      </c>
      <c r="J975" s="282" t="s">
        <v>156</v>
      </c>
      <c r="K975" s="286" t="s">
        <v>1601</v>
      </c>
      <c r="L975" s="282" t="s">
        <v>574</v>
      </c>
      <c r="M975" s="287">
        <v>2400</v>
      </c>
      <c r="N975" s="287"/>
      <c r="O975" s="287"/>
      <c r="P975" s="287"/>
      <c r="Q975" s="288">
        <v>520</v>
      </c>
      <c r="R975" s="288"/>
      <c r="S975" s="288"/>
      <c r="T975" s="288"/>
      <c r="U975" s="288">
        <v>0</v>
      </c>
      <c r="V975" s="289">
        <v>520</v>
      </c>
      <c r="W975" s="289">
        <v>0</v>
      </c>
      <c r="X975" s="288">
        <v>0.21666666666666667</v>
      </c>
      <c r="Y975" s="288">
        <v>0</v>
      </c>
      <c r="Z975" s="288">
        <v>0</v>
      </c>
      <c r="AA975" s="288">
        <v>0</v>
      </c>
      <c r="AB975" s="288">
        <v>0</v>
      </c>
      <c r="AC975" s="289">
        <v>0.21666666666666667</v>
      </c>
      <c r="AD975" s="289">
        <v>0</v>
      </c>
    </row>
    <row r="976" spans="1:30" ht="15" customHeight="1" x14ac:dyDescent="0.25">
      <c r="A976" s="282" t="s">
        <v>581</v>
      </c>
      <c r="B976" s="282" t="s">
        <v>585</v>
      </c>
      <c r="C976" s="282" t="s">
        <v>586</v>
      </c>
      <c r="D976" s="283" t="s">
        <v>1643</v>
      </c>
      <c r="E976" s="404">
        <v>44788</v>
      </c>
      <c r="F976" s="404">
        <v>46113</v>
      </c>
      <c r="G976" s="286" t="s">
        <v>1416</v>
      </c>
      <c r="H976" s="282" t="s">
        <v>1599</v>
      </c>
      <c r="I976" s="282" t="s">
        <v>1600</v>
      </c>
      <c r="J976" s="282" t="s">
        <v>156</v>
      </c>
      <c r="K976" s="286" t="s">
        <v>1601</v>
      </c>
      <c r="L976" s="282" t="s">
        <v>574</v>
      </c>
      <c r="M976" s="287">
        <v>2400</v>
      </c>
      <c r="N976" s="287"/>
      <c r="O976" s="287"/>
      <c r="P976" s="287"/>
      <c r="Q976" s="288">
        <v>314</v>
      </c>
      <c r="R976" s="288"/>
      <c r="S976" s="288"/>
      <c r="T976" s="288"/>
      <c r="U976" s="288">
        <v>0</v>
      </c>
      <c r="V976" s="289">
        <v>314</v>
      </c>
      <c r="W976" s="289">
        <v>0</v>
      </c>
      <c r="X976" s="288">
        <v>0.13083333333333333</v>
      </c>
      <c r="Y976" s="288">
        <v>0</v>
      </c>
      <c r="Z976" s="288">
        <v>0</v>
      </c>
      <c r="AA976" s="288">
        <v>0</v>
      </c>
      <c r="AB976" s="288">
        <v>0</v>
      </c>
      <c r="AC976" s="289">
        <v>0.13083333333333333</v>
      </c>
      <c r="AD976" s="289">
        <v>0</v>
      </c>
    </row>
    <row r="977" spans="1:30" ht="15" customHeight="1" x14ac:dyDescent="0.25">
      <c r="A977" s="282" t="s">
        <v>581</v>
      </c>
      <c r="B977" s="282" t="s">
        <v>616</v>
      </c>
      <c r="C977" s="282" t="s">
        <v>617</v>
      </c>
      <c r="D977" s="283" t="s">
        <v>1644</v>
      </c>
      <c r="E977" s="404">
        <v>44788</v>
      </c>
      <c r="F977" s="404">
        <v>46113</v>
      </c>
      <c r="G977" s="286" t="s">
        <v>1416</v>
      </c>
      <c r="H977" s="282" t="s">
        <v>1599</v>
      </c>
      <c r="I977" s="282" t="s">
        <v>1600</v>
      </c>
      <c r="J977" s="282" t="s">
        <v>156</v>
      </c>
      <c r="K977" s="286" t="s">
        <v>1601</v>
      </c>
      <c r="L977" s="282" t="s">
        <v>574</v>
      </c>
      <c r="M977" s="287">
        <v>2400</v>
      </c>
      <c r="N977" s="287"/>
      <c r="O977" s="287"/>
      <c r="P977" s="287"/>
      <c r="Q977" s="288">
        <v>387</v>
      </c>
      <c r="R977" s="288"/>
      <c r="S977" s="288"/>
      <c r="T977" s="288"/>
      <c r="U977" s="288">
        <v>0</v>
      </c>
      <c r="V977" s="289">
        <v>387</v>
      </c>
      <c r="W977" s="289">
        <v>0</v>
      </c>
      <c r="X977" s="288">
        <v>0.16125</v>
      </c>
      <c r="Y977" s="288">
        <v>0</v>
      </c>
      <c r="Z977" s="288">
        <v>0</v>
      </c>
      <c r="AA977" s="288">
        <v>0</v>
      </c>
      <c r="AB977" s="288">
        <v>0</v>
      </c>
      <c r="AC977" s="289">
        <v>0.16125</v>
      </c>
      <c r="AD977" s="289">
        <v>0</v>
      </c>
    </row>
    <row r="978" spans="1:30" ht="15" customHeight="1" x14ac:dyDescent="0.25">
      <c r="A978" s="282" t="s">
        <v>581</v>
      </c>
      <c r="B978" s="282" t="s">
        <v>695</v>
      </c>
      <c r="C978" s="282" t="s">
        <v>696</v>
      </c>
      <c r="D978" s="283" t="s">
        <v>1645</v>
      </c>
      <c r="E978" s="404">
        <v>44788</v>
      </c>
      <c r="F978" s="404">
        <v>46113</v>
      </c>
      <c r="G978" s="286" t="s">
        <v>1416</v>
      </c>
      <c r="H978" s="282" t="s">
        <v>1599</v>
      </c>
      <c r="I978" s="282" t="s">
        <v>1600</v>
      </c>
      <c r="J978" s="282" t="s">
        <v>156</v>
      </c>
      <c r="K978" s="286" t="s">
        <v>1601</v>
      </c>
      <c r="L978" s="282" t="s">
        <v>574</v>
      </c>
      <c r="M978" s="287">
        <v>2400</v>
      </c>
      <c r="N978" s="287"/>
      <c r="O978" s="287"/>
      <c r="P978" s="287"/>
      <c r="Q978" s="288">
        <v>477</v>
      </c>
      <c r="R978" s="288"/>
      <c r="S978" s="288"/>
      <c r="T978" s="288"/>
      <c r="U978" s="288">
        <v>0</v>
      </c>
      <c r="V978" s="289">
        <v>477</v>
      </c>
      <c r="W978" s="289">
        <v>0</v>
      </c>
      <c r="X978" s="288">
        <v>0.19875000000000001</v>
      </c>
      <c r="Y978" s="288">
        <v>0</v>
      </c>
      <c r="Z978" s="288">
        <v>0</v>
      </c>
      <c r="AA978" s="288">
        <v>0</v>
      </c>
      <c r="AB978" s="288">
        <v>0</v>
      </c>
      <c r="AC978" s="289">
        <v>0.19875000000000001</v>
      </c>
      <c r="AD978" s="289">
        <v>0</v>
      </c>
    </row>
    <row r="979" spans="1:30" ht="15" customHeight="1" x14ac:dyDescent="0.25">
      <c r="A979" s="282" t="s">
        <v>581</v>
      </c>
      <c r="B979" s="282" t="s">
        <v>585</v>
      </c>
      <c r="C979" s="282" t="s">
        <v>586</v>
      </c>
      <c r="D979" s="283" t="s">
        <v>1646</v>
      </c>
      <c r="E979" s="404">
        <v>44788</v>
      </c>
      <c r="F979" s="404">
        <v>46113</v>
      </c>
      <c r="G979" s="286" t="s">
        <v>1416</v>
      </c>
      <c r="H979" s="282" t="s">
        <v>1599</v>
      </c>
      <c r="I979" s="282" t="s">
        <v>1600</v>
      </c>
      <c r="J979" s="282" t="s">
        <v>156</v>
      </c>
      <c r="K979" s="286" t="s">
        <v>1601</v>
      </c>
      <c r="L979" s="282" t="s">
        <v>574</v>
      </c>
      <c r="M979" s="287">
        <v>2400</v>
      </c>
      <c r="N979" s="287"/>
      <c r="O979" s="287"/>
      <c r="P979" s="287"/>
      <c r="Q979" s="288">
        <v>363</v>
      </c>
      <c r="R979" s="288"/>
      <c r="S979" s="288"/>
      <c r="T979" s="288"/>
      <c r="U979" s="288">
        <v>0</v>
      </c>
      <c r="V979" s="289">
        <v>363</v>
      </c>
      <c r="W979" s="289">
        <v>0</v>
      </c>
      <c r="X979" s="288">
        <v>0.15125</v>
      </c>
      <c r="Y979" s="288">
        <v>0</v>
      </c>
      <c r="Z979" s="288">
        <v>0</v>
      </c>
      <c r="AA979" s="288">
        <v>0</v>
      </c>
      <c r="AB979" s="288">
        <v>0</v>
      </c>
      <c r="AC979" s="289">
        <v>0.15125</v>
      </c>
      <c r="AD979" s="289">
        <v>0</v>
      </c>
    </row>
    <row r="980" spans="1:30" ht="15" customHeight="1" x14ac:dyDescent="0.25">
      <c r="A980" s="282" t="s">
        <v>581</v>
      </c>
      <c r="B980" s="282" t="s">
        <v>628</v>
      </c>
      <c r="C980" s="282" t="s">
        <v>629</v>
      </c>
      <c r="D980" s="283" t="s">
        <v>1647</v>
      </c>
      <c r="E980" s="404">
        <v>44788</v>
      </c>
      <c r="F980" s="404">
        <v>46113</v>
      </c>
      <c r="G980" s="286" t="s">
        <v>1416</v>
      </c>
      <c r="H980" s="282" t="s">
        <v>1599</v>
      </c>
      <c r="I980" s="282" t="s">
        <v>1600</v>
      </c>
      <c r="J980" s="282" t="s">
        <v>156</v>
      </c>
      <c r="K980" s="286" t="s">
        <v>1601</v>
      </c>
      <c r="L980" s="282" t="s">
        <v>574</v>
      </c>
      <c r="M980" s="287">
        <v>2400</v>
      </c>
      <c r="N980" s="287"/>
      <c r="O980" s="287"/>
      <c r="P980" s="287"/>
      <c r="Q980" s="288">
        <v>259</v>
      </c>
      <c r="R980" s="288"/>
      <c r="S980" s="288"/>
      <c r="T980" s="288"/>
      <c r="U980" s="288">
        <v>0</v>
      </c>
      <c r="V980" s="289">
        <v>259</v>
      </c>
      <c r="W980" s="289">
        <v>0</v>
      </c>
      <c r="X980" s="288">
        <v>0.10791666666666666</v>
      </c>
      <c r="Y980" s="288">
        <v>0</v>
      </c>
      <c r="Z980" s="288">
        <v>0</v>
      </c>
      <c r="AA980" s="288">
        <v>0</v>
      </c>
      <c r="AB980" s="288">
        <v>0</v>
      </c>
      <c r="AC980" s="289">
        <v>0.10791666666666666</v>
      </c>
      <c r="AD980" s="289">
        <v>0</v>
      </c>
    </row>
    <row r="981" spans="1:30" ht="15" customHeight="1" x14ac:dyDescent="0.25">
      <c r="A981" s="282" t="s">
        <v>581</v>
      </c>
      <c r="B981" s="282" t="s">
        <v>611</v>
      </c>
      <c r="C981" s="282" t="s">
        <v>612</v>
      </c>
      <c r="D981" s="283" t="s">
        <v>1648</v>
      </c>
      <c r="E981" s="404">
        <v>44788</v>
      </c>
      <c r="F981" s="404">
        <v>46113</v>
      </c>
      <c r="G981" s="286" t="s">
        <v>1416</v>
      </c>
      <c r="H981" s="282" t="s">
        <v>1599</v>
      </c>
      <c r="I981" s="282" t="s">
        <v>1600</v>
      </c>
      <c r="J981" s="282" t="s">
        <v>156</v>
      </c>
      <c r="K981" s="286" t="s">
        <v>1601</v>
      </c>
      <c r="L981" s="282" t="s">
        <v>574</v>
      </c>
      <c r="M981" s="287">
        <v>2400</v>
      </c>
      <c r="N981" s="287"/>
      <c r="O981" s="287"/>
      <c r="P981" s="287"/>
      <c r="Q981" s="288">
        <v>295</v>
      </c>
      <c r="R981" s="288"/>
      <c r="S981" s="288"/>
      <c r="T981" s="288"/>
      <c r="U981" s="288">
        <v>0</v>
      </c>
      <c r="V981" s="289">
        <v>295</v>
      </c>
      <c r="W981" s="289">
        <v>0</v>
      </c>
      <c r="X981" s="288">
        <v>0.12291666666666666</v>
      </c>
      <c r="Y981" s="288">
        <v>0</v>
      </c>
      <c r="Z981" s="288">
        <v>0</v>
      </c>
      <c r="AA981" s="288">
        <v>0</v>
      </c>
      <c r="AB981" s="288">
        <v>0</v>
      </c>
      <c r="AC981" s="289">
        <v>0.12291666666666666</v>
      </c>
      <c r="AD981" s="289">
        <v>0</v>
      </c>
    </row>
    <row r="982" spans="1:30" ht="15" customHeight="1" x14ac:dyDescent="0.25">
      <c r="A982" s="282" t="s">
        <v>581</v>
      </c>
      <c r="B982" s="282" t="s">
        <v>606</v>
      </c>
      <c r="C982" s="282" t="s">
        <v>260</v>
      </c>
      <c r="D982" s="283" t="s">
        <v>1649</v>
      </c>
      <c r="E982" s="404">
        <v>44788</v>
      </c>
      <c r="F982" s="404">
        <v>46113</v>
      </c>
      <c r="G982" s="286" t="s">
        <v>1416</v>
      </c>
      <c r="H982" s="282" t="s">
        <v>1599</v>
      </c>
      <c r="I982" s="282" t="s">
        <v>1600</v>
      </c>
      <c r="J982" s="282" t="s">
        <v>156</v>
      </c>
      <c r="K982" s="286" t="s">
        <v>1601</v>
      </c>
      <c r="L982" s="282" t="s">
        <v>574</v>
      </c>
      <c r="M982" s="287">
        <v>2400</v>
      </c>
      <c r="N982" s="287"/>
      <c r="O982" s="287"/>
      <c r="P982" s="287"/>
      <c r="Q982" s="288">
        <v>237</v>
      </c>
      <c r="R982" s="288"/>
      <c r="S982" s="288"/>
      <c r="T982" s="288"/>
      <c r="U982" s="288">
        <v>0</v>
      </c>
      <c r="V982" s="289">
        <v>237</v>
      </c>
      <c r="W982" s="289">
        <v>0</v>
      </c>
      <c r="X982" s="288">
        <v>9.8750000000000004E-2</v>
      </c>
      <c r="Y982" s="288">
        <v>0</v>
      </c>
      <c r="Z982" s="288">
        <v>0</v>
      </c>
      <c r="AA982" s="288">
        <v>0</v>
      </c>
      <c r="AB982" s="288">
        <v>0</v>
      </c>
      <c r="AC982" s="289">
        <v>9.8750000000000004E-2</v>
      </c>
      <c r="AD982" s="289">
        <v>0</v>
      </c>
    </row>
    <row r="983" spans="1:30" ht="15" customHeight="1" x14ac:dyDescent="0.25">
      <c r="A983" s="282" t="s">
        <v>581</v>
      </c>
      <c r="B983" s="282" t="s">
        <v>977</v>
      </c>
      <c r="C983" s="282" t="s">
        <v>978</v>
      </c>
      <c r="D983" s="283" t="s">
        <v>1650</v>
      </c>
      <c r="E983" s="404">
        <v>44788</v>
      </c>
      <c r="F983" s="404">
        <v>46113</v>
      </c>
      <c r="G983" s="286" t="s">
        <v>1416</v>
      </c>
      <c r="H983" s="282" t="s">
        <v>1599</v>
      </c>
      <c r="I983" s="282" t="s">
        <v>1600</v>
      </c>
      <c r="J983" s="282" t="s">
        <v>156</v>
      </c>
      <c r="K983" s="286" t="s">
        <v>1601</v>
      </c>
      <c r="L983" s="282" t="s">
        <v>574</v>
      </c>
      <c r="M983" s="287">
        <v>1750</v>
      </c>
      <c r="N983" s="287"/>
      <c r="O983" s="287"/>
      <c r="P983" s="287"/>
      <c r="Q983" s="288">
        <v>117</v>
      </c>
      <c r="R983" s="288"/>
      <c r="S983" s="288"/>
      <c r="T983" s="288"/>
      <c r="U983" s="288">
        <v>0</v>
      </c>
      <c r="V983" s="289">
        <v>117</v>
      </c>
      <c r="W983" s="289">
        <v>0</v>
      </c>
      <c r="X983" s="288">
        <v>6.6857142857142851E-2</v>
      </c>
      <c r="Y983" s="288">
        <v>0</v>
      </c>
      <c r="Z983" s="288">
        <v>0</v>
      </c>
      <c r="AA983" s="288">
        <v>0</v>
      </c>
      <c r="AB983" s="288">
        <v>0</v>
      </c>
      <c r="AC983" s="289">
        <v>6.6857142857142851E-2</v>
      </c>
      <c r="AD983" s="289">
        <v>0</v>
      </c>
    </row>
    <row r="984" spans="1:30" ht="15" customHeight="1" x14ac:dyDescent="0.25">
      <c r="A984" s="282" t="s">
        <v>581</v>
      </c>
      <c r="B984" s="282" t="s">
        <v>977</v>
      </c>
      <c r="C984" s="282" t="s">
        <v>978</v>
      </c>
      <c r="D984" s="283" t="s">
        <v>1651</v>
      </c>
      <c r="E984" s="404">
        <v>44788</v>
      </c>
      <c r="F984" s="404">
        <v>46113</v>
      </c>
      <c r="G984" s="286" t="s">
        <v>1416</v>
      </c>
      <c r="H984" s="282" t="s">
        <v>1599</v>
      </c>
      <c r="I984" s="282" t="s">
        <v>1600</v>
      </c>
      <c r="J984" s="282" t="s">
        <v>156</v>
      </c>
      <c r="K984" s="286" t="s">
        <v>1601</v>
      </c>
      <c r="L984" s="282" t="s">
        <v>574</v>
      </c>
      <c r="M984" s="287">
        <v>1750</v>
      </c>
      <c r="N984" s="287"/>
      <c r="O984" s="287"/>
      <c r="P984" s="287"/>
      <c r="Q984" s="288">
        <v>188</v>
      </c>
      <c r="R984" s="288"/>
      <c r="S984" s="288"/>
      <c r="T984" s="288"/>
      <c r="U984" s="288">
        <v>0</v>
      </c>
      <c r="V984" s="289">
        <v>188</v>
      </c>
      <c r="W984" s="289">
        <v>0</v>
      </c>
      <c r="X984" s="288">
        <v>0.10742857142857143</v>
      </c>
      <c r="Y984" s="288">
        <v>0</v>
      </c>
      <c r="Z984" s="288">
        <v>0</v>
      </c>
      <c r="AA984" s="288">
        <v>0</v>
      </c>
      <c r="AB984" s="288">
        <v>0</v>
      </c>
      <c r="AC984" s="289">
        <v>0.10742857142857143</v>
      </c>
      <c r="AD984" s="289">
        <v>0</v>
      </c>
    </row>
    <row r="985" spans="1:30" ht="15" customHeight="1" x14ac:dyDescent="0.25">
      <c r="A985" s="282" t="s">
        <v>581</v>
      </c>
      <c r="B985" s="282" t="s">
        <v>977</v>
      </c>
      <c r="C985" s="282" t="s">
        <v>978</v>
      </c>
      <c r="D985" s="283" t="s">
        <v>1652</v>
      </c>
      <c r="E985" s="404">
        <v>44788</v>
      </c>
      <c r="F985" s="404">
        <v>46113</v>
      </c>
      <c r="G985" s="286" t="s">
        <v>1416</v>
      </c>
      <c r="H985" s="282" t="s">
        <v>1599</v>
      </c>
      <c r="I985" s="282" t="s">
        <v>1600</v>
      </c>
      <c r="J985" s="282" t="s">
        <v>156</v>
      </c>
      <c r="K985" s="286" t="s">
        <v>1601</v>
      </c>
      <c r="L985" s="282" t="s">
        <v>574</v>
      </c>
      <c r="M985" s="287">
        <v>1750</v>
      </c>
      <c r="N985" s="287"/>
      <c r="O985" s="287"/>
      <c r="P985" s="287"/>
      <c r="Q985" s="288">
        <v>318</v>
      </c>
      <c r="R985" s="288"/>
      <c r="S985" s="288"/>
      <c r="T985" s="288"/>
      <c r="U985" s="288">
        <v>0</v>
      </c>
      <c r="V985" s="289">
        <v>318</v>
      </c>
      <c r="W985" s="289">
        <v>0</v>
      </c>
      <c r="X985" s="288">
        <v>0.18171428571428572</v>
      </c>
      <c r="Y985" s="288">
        <v>0</v>
      </c>
      <c r="Z985" s="288">
        <v>0</v>
      </c>
      <c r="AA985" s="288">
        <v>0</v>
      </c>
      <c r="AB985" s="288">
        <v>0</v>
      </c>
      <c r="AC985" s="289">
        <v>0.18171428571428572</v>
      </c>
      <c r="AD985" s="289">
        <v>0</v>
      </c>
    </row>
    <row r="986" spans="1:30" ht="15" customHeight="1" x14ac:dyDescent="0.25">
      <c r="A986" s="282" t="s">
        <v>581</v>
      </c>
      <c r="B986" s="282" t="s">
        <v>585</v>
      </c>
      <c r="C986" s="282" t="s">
        <v>586</v>
      </c>
      <c r="D986" s="283" t="s">
        <v>1653</v>
      </c>
      <c r="E986" s="404">
        <v>44788</v>
      </c>
      <c r="F986" s="404">
        <v>46113</v>
      </c>
      <c r="G986" s="286" t="s">
        <v>1416</v>
      </c>
      <c r="H986" s="282" t="s">
        <v>1599</v>
      </c>
      <c r="I986" s="282" t="s">
        <v>1600</v>
      </c>
      <c r="J986" s="282" t="s">
        <v>156</v>
      </c>
      <c r="K986" s="286" t="s">
        <v>1601</v>
      </c>
      <c r="L986" s="282" t="s">
        <v>574</v>
      </c>
      <c r="M986" s="287">
        <v>2400</v>
      </c>
      <c r="N986" s="287"/>
      <c r="O986" s="287"/>
      <c r="P986" s="287"/>
      <c r="Q986" s="288">
        <v>320</v>
      </c>
      <c r="R986" s="288"/>
      <c r="S986" s="288"/>
      <c r="T986" s="288"/>
      <c r="U986" s="288">
        <v>0</v>
      </c>
      <c r="V986" s="289">
        <v>320</v>
      </c>
      <c r="W986" s="289">
        <v>0</v>
      </c>
      <c r="X986" s="288">
        <v>0.13333333333333333</v>
      </c>
      <c r="Y986" s="288">
        <v>0</v>
      </c>
      <c r="Z986" s="288">
        <v>0</v>
      </c>
      <c r="AA986" s="288">
        <v>0</v>
      </c>
      <c r="AB986" s="288">
        <v>0</v>
      </c>
      <c r="AC986" s="289">
        <v>0.13333333333333333</v>
      </c>
      <c r="AD986" s="289">
        <v>0</v>
      </c>
    </row>
    <row r="987" spans="1:30" ht="15" customHeight="1" x14ac:dyDescent="0.25">
      <c r="A987" s="282" t="s">
        <v>581</v>
      </c>
      <c r="B987" s="282" t="s">
        <v>585</v>
      </c>
      <c r="C987" s="282" t="s">
        <v>586</v>
      </c>
      <c r="D987" s="283" t="s">
        <v>1654</v>
      </c>
      <c r="E987" s="404">
        <v>44788</v>
      </c>
      <c r="F987" s="404">
        <v>46113</v>
      </c>
      <c r="G987" s="286" t="s">
        <v>1416</v>
      </c>
      <c r="H987" s="282" t="s">
        <v>1599</v>
      </c>
      <c r="I987" s="282" t="s">
        <v>1600</v>
      </c>
      <c r="J987" s="282" t="s">
        <v>156</v>
      </c>
      <c r="K987" s="286" t="s">
        <v>1601</v>
      </c>
      <c r="L987" s="282" t="s">
        <v>574</v>
      </c>
      <c r="M987" s="287">
        <v>2400</v>
      </c>
      <c r="N987" s="287"/>
      <c r="O987" s="287"/>
      <c r="P987" s="287"/>
      <c r="Q987" s="288">
        <v>327</v>
      </c>
      <c r="R987" s="288"/>
      <c r="S987" s="288"/>
      <c r="T987" s="288"/>
      <c r="U987" s="288">
        <v>0</v>
      </c>
      <c r="V987" s="289">
        <v>327</v>
      </c>
      <c r="W987" s="289">
        <v>0</v>
      </c>
      <c r="X987" s="288">
        <v>0.13625000000000001</v>
      </c>
      <c r="Y987" s="288">
        <v>0</v>
      </c>
      <c r="Z987" s="288">
        <v>0</v>
      </c>
      <c r="AA987" s="288">
        <v>0</v>
      </c>
      <c r="AB987" s="288">
        <v>0</v>
      </c>
      <c r="AC987" s="289">
        <v>0.13625000000000001</v>
      </c>
      <c r="AD987" s="289">
        <v>0</v>
      </c>
    </row>
    <row r="988" spans="1:30" ht="15" customHeight="1" x14ac:dyDescent="0.25">
      <c r="A988" s="282" t="s">
        <v>581</v>
      </c>
      <c r="B988" s="282" t="s">
        <v>585</v>
      </c>
      <c r="C988" s="282" t="s">
        <v>586</v>
      </c>
      <c r="D988" s="283" t="s">
        <v>1655</v>
      </c>
      <c r="E988" s="404">
        <v>44788</v>
      </c>
      <c r="F988" s="404">
        <v>46113</v>
      </c>
      <c r="G988" s="286" t="s">
        <v>1416</v>
      </c>
      <c r="H988" s="282" t="s">
        <v>1599</v>
      </c>
      <c r="I988" s="282" t="s">
        <v>1600</v>
      </c>
      <c r="J988" s="282" t="s">
        <v>156</v>
      </c>
      <c r="K988" s="286" t="s">
        <v>1601</v>
      </c>
      <c r="L988" s="282" t="s">
        <v>574</v>
      </c>
      <c r="M988" s="287">
        <v>2400</v>
      </c>
      <c r="N988" s="287"/>
      <c r="O988" s="287"/>
      <c r="P988" s="287"/>
      <c r="Q988" s="288">
        <v>336</v>
      </c>
      <c r="R988" s="288"/>
      <c r="S988" s="288"/>
      <c r="T988" s="288"/>
      <c r="U988" s="288">
        <v>0</v>
      </c>
      <c r="V988" s="289">
        <v>336</v>
      </c>
      <c r="W988" s="289">
        <v>0</v>
      </c>
      <c r="X988" s="288">
        <v>0.14000000000000001</v>
      </c>
      <c r="Y988" s="288">
        <v>0</v>
      </c>
      <c r="Z988" s="288">
        <v>0</v>
      </c>
      <c r="AA988" s="288">
        <v>0</v>
      </c>
      <c r="AB988" s="288">
        <v>0</v>
      </c>
      <c r="AC988" s="289">
        <v>0.14000000000000001</v>
      </c>
      <c r="AD988" s="289">
        <v>0</v>
      </c>
    </row>
    <row r="989" spans="1:30" ht="15" customHeight="1" x14ac:dyDescent="0.25">
      <c r="A989" s="282" t="s">
        <v>581</v>
      </c>
      <c r="B989" s="282" t="s">
        <v>616</v>
      </c>
      <c r="C989" s="282" t="s">
        <v>617</v>
      </c>
      <c r="D989" s="283" t="s">
        <v>1656</v>
      </c>
      <c r="E989" s="404">
        <v>44788</v>
      </c>
      <c r="F989" s="404">
        <v>46113</v>
      </c>
      <c r="G989" s="286" t="s">
        <v>1416</v>
      </c>
      <c r="H989" s="282" t="s">
        <v>1599</v>
      </c>
      <c r="I989" s="282" t="s">
        <v>1600</v>
      </c>
      <c r="J989" s="282" t="s">
        <v>156</v>
      </c>
      <c r="K989" s="286" t="s">
        <v>1601</v>
      </c>
      <c r="L989" s="282" t="s">
        <v>574</v>
      </c>
      <c r="M989" s="287">
        <v>2400</v>
      </c>
      <c r="N989" s="287"/>
      <c r="O989" s="287"/>
      <c r="P989" s="287"/>
      <c r="Q989" s="288">
        <v>358</v>
      </c>
      <c r="R989" s="288"/>
      <c r="S989" s="288"/>
      <c r="T989" s="288"/>
      <c r="U989" s="288">
        <v>0</v>
      </c>
      <c r="V989" s="289">
        <v>358</v>
      </c>
      <c r="W989" s="289">
        <v>0</v>
      </c>
      <c r="X989" s="288">
        <v>0.14916666666666667</v>
      </c>
      <c r="Y989" s="288">
        <v>0</v>
      </c>
      <c r="Z989" s="288">
        <v>0</v>
      </c>
      <c r="AA989" s="288">
        <v>0</v>
      </c>
      <c r="AB989" s="288">
        <v>0</v>
      </c>
      <c r="AC989" s="289">
        <v>0.14916666666666667</v>
      </c>
      <c r="AD989" s="289">
        <v>0</v>
      </c>
    </row>
    <row r="990" spans="1:30" ht="15" customHeight="1" x14ac:dyDescent="0.25">
      <c r="A990" s="282" t="s">
        <v>581</v>
      </c>
      <c r="B990" s="282" t="s">
        <v>616</v>
      </c>
      <c r="C990" s="282" t="s">
        <v>617</v>
      </c>
      <c r="D990" s="283" t="s">
        <v>1657</v>
      </c>
      <c r="E990" s="404">
        <v>44788</v>
      </c>
      <c r="F990" s="404">
        <v>46113</v>
      </c>
      <c r="G990" s="286" t="s">
        <v>1416</v>
      </c>
      <c r="H990" s="282" t="s">
        <v>1599</v>
      </c>
      <c r="I990" s="282" t="s">
        <v>1600</v>
      </c>
      <c r="J990" s="282" t="s">
        <v>156</v>
      </c>
      <c r="K990" s="286" t="s">
        <v>1601</v>
      </c>
      <c r="L990" s="282" t="s">
        <v>574</v>
      </c>
      <c r="M990" s="287">
        <v>2400</v>
      </c>
      <c r="N990" s="287"/>
      <c r="O990" s="287"/>
      <c r="P990" s="287"/>
      <c r="Q990" s="288">
        <v>415</v>
      </c>
      <c r="R990" s="288"/>
      <c r="S990" s="288"/>
      <c r="T990" s="288"/>
      <c r="U990" s="288">
        <v>0</v>
      </c>
      <c r="V990" s="289">
        <v>415</v>
      </c>
      <c r="W990" s="289">
        <v>0</v>
      </c>
      <c r="X990" s="288">
        <v>0.17291666666666666</v>
      </c>
      <c r="Y990" s="288">
        <v>0</v>
      </c>
      <c r="Z990" s="288">
        <v>0</v>
      </c>
      <c r="AA990" s="288">
        <v>0</v>
      </c>
      <c r="AB990" s="288">
        <v>0</v>
      </c>
      <c r="AC990" s="289">
        <v>0.17291666666666666</v>
      </c>
      <c r="AD990" s="289">
        <v>0</v>
      </c>
    </row>
    <row r="991" spans="1:30" ht="15" customHeight="1" x14ac:dyDescent="0.25">
      <c r="A991" s="282" t="s">
        <v>581</v>
      </c>
      <c r="B991" s="282" t="s">
        <v>1220</v>
      </c>
      <c r="C991" s="282" t="s">
        <v>586</v>
      </c>
      <c r="D991" s="283" t="s">
        <v>1658</v>
      </c>
      <c r="E991" s="404">
        <v>44788</v>
      </c>
      <c r="F991" s="404">
        <v>46113</v>
      </c>
      <c r="G991" s="286" t="s">
        <v>1416</v>
      </c>
      <c r="H991" s="282" t="s">
        <v>1599</v>
      </c>
      <c r="I991" s="282" t="s">
        <v>1600</v>
      </c>
      <c r="J991" s="282" t="s">
        <v>156</v>
      </c>
      <c r="K991" s="286" t="s">
        <v>1601</v>
      </c>
      <c r="L991" s="282" t="s">
        <v>574</v>
      </c>
      <c r="M991" s="287">
        <v>2400</v>
      </c>
      <c r="N991" s="287"/>
      <c r="O991" s="287"/>
      <c r="P991" s="287"/>
      <c r="Q991" s="288">
        <v>294</v>
      </c>
      <c r="R991" s="288"/>
      <c r="S991" s="288"/>
      <c r="T991" s="288"/>
      <c r="U991" s="288">
        <v>0</v>
      </c>
      <c r="V991" s="289">
        <v>294</v>
      </c>
      <c r="W991" s="289">
        <v>0</v>
      </c>
      <c r="X991" s="288">
        <v>0.1225</v>
      </c>
      <c r="Y991" s="288">
        <v>0</v>
      </c>
      <c r="Z991" s="288">
        <v>0</v>
      </c>
      <c r="AA991" s="288">
        <v>0</v>
      </c>
      <c r="AB991" s="288">
        <v>0</v>
      </c>
      <c r="AC991" s="289">
        <v>0.1225</v>
      </c>
      <c r="AD991" s="289">
        <v>0</v>
      </c>
    </row>
    <row r="992" spans="1:30" ht="15" customHeight="1" x14ac:dyDescent="0.25">
      <c r="A992" s="282" t="s">
        <v>581</v>
      </c>
      <c r="B992" s="282" t="s">
        <v>594</v>
      </c>
      <c r="C992" s="282" t="s">
        <v>595</v>
      </c>
      <c r="D992" s="283" t="s">
        <v>1659</v>
      </c>
      <c r="E992" s="404">
        <v>44788</v>
      </c>
      <c r="F992" s="404">
        <v>46113</v>
      </c>
      <c r="G992" s="286" t="s">
        <v>1416</v>
      </c>
      <c r="H992" s="282" t="s">
        <v>1599</v>
      </c>
      <c r="I992" s="282" t="s">
        <v>1600</v>
      </c>
      <c r="J992" s="282" t="s">
        <v>156</v>
      </c>
      <c r="K992" s="286" t="s">
        <v>1601</v>
      </c>
      <c r="L992" s="282" t="s">
        <v>574</v>
      </c>
      <c r="M992" s="287">
        <v>2400</v>
      </c>
      <c r="N992" s="287"/>
      <c r="O992" s="287"/>
      <c r="P992" s="287"/>
      <c r="Q992" s="288">
        <v>270</v>
      </c>
      <c r="R992" s="288"/>
      <c r="S992" s="288"/>
      <c r="T992" s="288"/>
      <c r="U992" s="288">
        <v>0</v>
      </c>
      <c r="V992" s="289">
        <v>270</v>
      </c>
      <c r="W992" s="289">
        <v>0</v>
      </c>
      <c r="X992" s="288">
        <v>0.1125</v>
      </c>
      <c r="Y992" s="288">
        <v>0</v>
      </c>
      <c r="Z992" s="288">
        <v>0</v>
      </c>
      <c r="AA992" s="288">
        <v>0</v>
      </c>
      <c r="AB992" s="288">
        <v>0</v>
      </c>
      <c r="AC992" s="289">
        <v>0.1125</v>
      </c>
      <c r="AD992" s="289">
        <v>0</v>
      </c>
    </row>
    <row r="993" spans="1:30" ht="15" customHeight="1" x14ac:dyDescent="0.25">
      <c r="A993" s="282" t="s">
        <v>581</v>
      </c>
      <c r="B993" s="282" t="s">
        <v>628</v>
      </c>
      <c r="C993" s="282" t="s">
        <v>629</v>
      </c>
      <c r="D993" s="283" t="s">
        <v>1660</v>
      </c>
      <c r="E993" s="404">
        <v>44788</v>
      </c>
      <c r="F993" s="404">
        <v>46113</v>
      </c>
      <c r="G993" s="286" t="s">
        <v>1661</v>
      </c>
      <c r="H993" s="282" t="s">
        <v>1599</v>
      </c>
      <c r="I993" s="282" t="s">
        <v>1600</v>
      </c>
      <c r="J993" s="282" t="s">
        <v>156</v>
      </c>
      <c r="K993" s="286" t="s">
        <v>1601</v>
      </c>
      <c r="L993" s="282" t="s">
        <v>574</v>
      </c>
      <c r="M993" s="287">
        <v>2400</v>
      </c>
      <c r="N993" s="287"/>
      <c r="O993" s="287"/>
      <c r="P993" s="287"/>
      <c r="Q993" s="288">
        <v>288</v>
      </c>
      <c r="R993" s="288"/>
      <c r="S993" s="288"/>
      <c r="T993" s="288"/>
      <c r="U993" s="288">
        <v>0</v>
      </c>
      <c r="V993" s="289">
        <v>288</v>
      </c>
      <c r="W993" s="289">
        <v>0</v>
      </c>
      <c r="X993" s="288">
        <v>0.12</v>
      </c>
      <c r="Y993" s="288">
        <v>0</v>
      </c>
      <c r="Z993" s="288">
        <v>0</v>
      </c>
      <c r="AA993" s="288">
        <v>0</v>
      </c>
      <c r="AB993" s="288">
        <v>0</v>
      </c>
      <c r="AC993" s="289">
        <v>0.12</v>
      </c>
      <c r="AD993" s="289">
        <v>0</v>
      </c>
    </row>
    <row r="994" spans="1:30" ht="15" customHeight="1" x14ac:dyDescent="0.25">
      <c r="A994" s="282" t="s">
        <v>581</v>
      </c>
      <c r="B994" s="282" t="s">
        <v>628</v>
      </c>
      <c r="C994" s="282" t="s">
        <v>629</v>
      </c>
      <c r="D994" s="283" t="s">
        <v>1660</v>
      </c>
      <c r="E994" s="404">
        <v>44788</v>
      </c>
      <c r="F994" s="404">
        <v>46113</v>
      </c>
      <c r="G994" s="286" t="s">
        <v>1661</v>
      </c>
      <c r="H994" s="282" t="s">
        <v>1599</v>
      </c>
      <c r="I994" s="282" t="s">
        <v>1600</v>
      </c>
      <c r="J994" s="282" t="s">
        <v>156</v>
      </c>
      <c r="K994" s="286" t="s">
        <v>1601</v>
      </c>
      <c r="L994" s="282" t="s">
        <v>574</v>
      </c>
      <c r="M994" s="287">
        <v>2400</v>
      </c>
      <c r="N994" s="287"/>
      <c r="O994" s="287"/>
      <c r="P994" s="287"/>
      <c r="Q994" s="288">
        <v>280</v>
      </c>
      <c r="R994" s="288"/>
      <c r="S994" s="288"/>
      <c r="T994" s="288"/>
      <c r="U994" s="288">
        <v>0</v>
      </c>
      <c r="V994" s="289">
        <v>280</v>
      </c>
      <c r="W994" s="289">
        <v>0</v>
      </c>
      <c r="X994" s="288">
        <v>0.11666666666666667</v>
      </c>
      <c r="Y994" s="288">
        <v>0</v>
      </c>
      <c r="Z994" s="288">
        <v>0</v>
      </c>
      <c r="AA994" s="288">
        <v>0</v>
      </c>
      <c r="AB994" s="288">
        <v>0</v>
      </c>
      <c r="AC994" s="289">
        <v>0.11666666666666667</v>
      </c>
      <c r="AD994" s="289">
        <v>0</v>
      </c>
    </row>
    <row r="995" spans="1:30" ht="15" customHeight="1" x14ac:dyDescent="0.25">
      <c r="A995" s="282" t="s">
        <v>581</v>
      </c>
      <c r="B995" s="282" t="s">
        <v>611</v>
      </c>
      <c r="C995" s="282" t="s">
        <v>612</v>
      </c>
      <c r="D995" s="283" t="s">
        <v>1662</v>
      </c>
      <c r="E995" s="404">
        <v>44788</v>
      </c>
      <c r="F995" s="404">
        <v>46113</v>
      </c>
      <c r="G995" s="286" t="s">
        <v>1661</v>
      </c>
      <c r="H995" s="282" t="s">
        <v>1599</v>
      </c>
      <c r="I995" s="282" t="s">
        <v>1600</v>
      </c>
      <c r="J995" s="282" t="s">
        <v>156</v>
      </c>
      <c r="K995" s="286" t="s">
        <v>1601</v>
      </c>
      <c r="L995" s="282" t="s">
        <v>574</v>
      </c>
      <c r="M995" s="287">
        <v>2400</v>
      </c>
      <c r="N995" s="287"/>
      <c r="O995" s="287"/>
      <c r="P995" s="287"/>
      <c r="Q995" s="288">
        <v>306</v>
      </c>
      <c r="R995" s="288"/>
      <c r="S995" s="288"/>
      <c r="T995" s="288"/>
      <c r="U995" s="288">
        <v>0</v>
      </c>
      <c r="V995" s="289">
        <v>306</v>
      </c>
      <c r="W995" s="289">
        <v>0</v>
      </c>
      <c r="X995" s="288">
        <v>0.1275</v>
      </c>
      <c r="Y995" s="288">
        <v>0</v>
      </c>
      <c r="Z995" s="288">
        <v>0</v>
      </c>
      <c r="AA995" s="288">
        <v>0</v>
      </c>
      <c r="AB995" s="288">
        <v>0</v>
      </c>
      <c r="AC995" s="289">
        <v>0.1275</v>
      </c>
      <c r="AD995" s="289">
        <v>0</v>
      </c>
    </row>
    <row r="996" spans="1:30" ht="15" customHeight="1" x14ac:dyDescent="0.25">
      <c r="A996" s="282" t="s">
        <v>581</v>
      </c>
      <c r="B996" s="282" t="s">
        <v>585</v>
      </c>
      <c r="C996" s="282" t="s">
        <v>586</v>
      </c>
      <c r="D996" s="283" t="s">
        <v>1663</v>
      </c>
      <c r="E996" s="404">
        <v>44788</v>
      </c>
      <c r="F996" s="404">
        <v>46113</v>
      </c>
      <c r="G996" s="286" t="s">
        <v>1661</v>
      </c>
      <c r="H996" s="282" t="s">
        <v>1599</v>
      </c>
      <c r="I996" s="282" t="s">
        <v>1600</v>
      </c>
      <c r="J996" s="282" t="s">
        <v>156</v>
      </c>
      <c r="K996" s="286" t="s">
        <v>1601</v>
      </c>
      <c r="L996" s="282" t="s">
        <v>574</v>
      </c>
      <c r="M996" s="287">
        <v>2400</v>
      </c>
      <c r="N996" s="287"/>
      <c r="O996" s="287"/>
      <c r="P996" s="287"/>
      <c r="Q996" s="288">
        <v>349</v>
      </c>
      <c r="R996" s="288"/>
      <c r="S996" s="288"/>
      <c r="T996" s="288"/>
      <c r="U996" s="288">
        <v>0</v>
      </c>
      <c r="V996" s="289">
        <v>349</v>
      </c>
      <c r="W996" s="289">
        <v>0</v>
      </c>
      <c r="X996" s="288">
        <v>0.14541666666666667</v>
      </c>
      <c r="Y996" s="288">
        <v>0</v>
      </c>
      <c r="Z996" s="288">
        <v>0</v>
      </c>
      <c r="AA996" s="288">
        <v>0</v>
      </c>
      <c r="AB996" s="288">
        <v>0</v>
      </c>
      <c r="AC996" s="289">
        <v>0.14541666666666667</v>
      </c>
      <c r="AD996" s="289">
        <v>0</v>
      </c>
    </row>
    <row r="997" spans="1:30" ht="15" customHeight="1" x14ac:dyDescent="0.25">
      <c r="A997" s="282" t="s">
        <v>581</v>
      </c>
      <c r="B997" s="282" t="s">
        <v>616</v>
      </c>
      <c r="C997" s="282" t="s">
        <v>617</v>
      </c>
      <c r="D997" s="283" t="s">
        <v>1664</v>
      </c>
      <c r="E997" s="404">
        <v>44788</v>
      </c>
      <c r="F997" s="404">
        <v>46113</v>
      </c>
      <c r="G997" s="286" t="s">
        <v>1661</v>
      </c>
      <c r="H997" s="282" t="s">
        <v>1599</v>
      </c>
      <c r="I997" s="282" t="s">
        <v>1600</v>
      </c>
      <c r="J997" s="282" t="s">
        <v>156</v>
      </c>
      <c r="K997" s="286" t="s">
        <v>1601</v>
      </c>
      <c r="L997" s="282" t="s">
        <v>574</v>
      </c>
      <c r="M997" s="287">
        <v>2400</v>
      </c>
      <c r="N997" s="287"/>
      <c r="O997" s="287"/>
      <c r="P997" s="287"/>
      <c r="Q997" s="288">
        <v>444</v>
      </c>
      <c r="R997" s="288"/>
      <c r="S997" s="288"/>
      <c r="T997" s="288"/>
      <c r="U997" s="288">
        <v>0</v>
      </c>
      <c r="V997" s="289">
        <v>444</v>
      </c>
      <c r="W997" s="289">
        <v>0</v>
      </c>
      <c r="X997" s="288">
        <v>0.185</v>
      </c>
      <c r="Y997" s="288">
        <v>0</v>
      </c>
      <c r="Z997" s="288">
        <v>0</v>
      </c>
      <c r="AA997" s="288">
        <v>0</v>
      </c>
      <c r="AB997" s="288">
        <v>0</v>
      </c>
      <c r="AC997" s="289">
        <v>0.185</v>
      </c>
      <c r="AD997" s="289">
        <v>0</v>
      </c>
    </row>
    <row r="998" spans="1:30" ht="15" customHeight="1" x14ac:dyDescent="0.25">
      <c r="A998" s="282" t="s">
        <v>581</v>
      </c>
      <c r="B998" s="282" t="s">
        <v>594</v>
      </c>
      <c r="C998" s="282" t="s">
        <v>595</v>
      </c>
      <c r="D998" s="283" t="s">
        <v>1665</v>
      </c>
      <c r="E998" s="404">
        <v>44788</v>
      </c>
      <c r="F998" s="404">
        <v>46113</v>
      </c>
      <c r="G998" s="286" t="s">
        <v>1661</v>
      </c>
      <c r="H998" s="282" t="s">
        <v>1599</v>
      </c>
      <c r="I998" s="282" t="s">
        <v>1600</v>
      </c>
      <c r="J998" s="282" t="s">
        <v>156</v>
      </c>
      <c r="K998" s="286" t="s">
        <v>1601</v>
      </c>
      <c r="L998" s="282" t="s">
        <v>574</v>
      </c>
      <c r="M998" s="287">
        <v>2400</v>
      </c>
      <c r="N998" s="287"/>
      <c r="O998" s="287"/>
      <c r="P998" s="287"/>
      <c r="Q998" s="288">
        <v>199</v>
      </c>
      <c r="R998" s="288"/>
      <c r="S998" s="288"/>
      <c r="T998" s="288"/>
      <c r="U998" s="288">
        <v>0</v>
      </c>
      <c r="V998" s="289">
        <v>199</v>
      </c>
      <c r="W998" s="289">
        <v>0</v>
      </c>
      <c r="X998" s="288">
        <v>8.2916666666666666E-2</v>
      </c>
      <c r="Y998" s="288">
        <v>0</v>
      </c>
      <c r="Z998" s="288">
        <v>0</v>
      </c>
      <c r="AA998" s="288">
        <v>0</v>
      </c>
      <c r="AB998" s="288">
        <v>0</v>
      </c>
      <c r="AC998" s="289">
        <v>8.2916666666666666E-2</v>
      </c>
      <c r="AD998" s="289">
        <v>0</v>
      </c>
    </row>
    <row r="999" spans="1:30" ht="15" customHeight="1" x14ac:dyDescent="0.25">
      <c r="A999" s="282" t="s">
        <v>581</v>
      </c>
      <c r="B999" s="282" t="s">
        <v>628</v>
      </c>
      <c r="C999" s="282" t="s">
        <v>629</v>
      </c>
      <c r="D999" s="283" t="s">
        <v>1666</v>
      </c>
      <c r="E999" s="404">
        <v>44788</v>
      </c>
      <c r="F999" s="404">
        <v>46113</v>
      </c>
      <c r="G999" s="286" t="s">
        <v>1661</v>
      </c>
      <c r="H999" s="282" t="s">
        <v>1599</v>
      </c>
      <c r="I999" s="282" t="s">
        <v>1600</v>
      </c>
      <c r="J999" s="282" t="s">
        <v>156</v>
      </c>
      <c r="K999" s="286" t="s">
        <v>1601</v>
      </c>
      <c r="L999" s="282" t="s">
        <v>574</v>
      </c>
      <c r="M999" s="287">
        <v>2400</v>
      </c>
      <c r="N999" s="287"/>
      <c r="O999" s="287"/>
      <c r="P999" s="287"/>
      <c r="Q999" s="288">
        <v>220</v>
      </c>
      <c r="R999" s="288"/>
      <c r="S999" s="288"/>
      <c r="T999" s="288"/>
      <c r="U999" s="288">
        <v>0</v>
      </c>
      <c r="V999" s="289">
        <v>220</v>
      </c>
      <c r="W999" s="289">
        <v>0</v>
      </c>
      <c r="X999" s="288">
        <v>9.166666666666666E-2</v>
      </c>
      <c r="Y999" s="288">
        <v>0</v>
      </c>
      <c r="Z999" s="288">
        <v>0</v>
      </c>
      <c r="AA999" s="288">
        <v>0</v>
      </c>
      <c r="AB999" s="288">
        <v>0</v>
      </c>
      <c r="AC999" s="289">
        <v>9.166666666666666E-2</v>
      </c>
      <c r="AD999" s="289">
        <v>0</v>
      </c>
    </row>
    <row r="1000" spans="1:30" ht="15" customHeight="1" x14ac:dyDescent="0.25">
      <c r="A1000" s="282" t="s">
        <v>581</v>
      </c>
      <c r="B1000" s="282" t="s">
        <v>611</v>
      </c>
      <c r="C1000" s="282" t="s">
        <v>612</v>
      </c>
      <c r="D1000" s="283" t="s">
        <v>1667</v>
      </c>
      <c r="E1000" s="404">
        <v>44788</v>
      </c>
      <c r="F1000" s="404">
        <v>46113</v>
      </c>
      <c r="G1000" s="286" t="s">
        <v>1661</v>
      </c>
      <c r="H1000" s="282" t="s">
        <v>1599</v>
      </c>
      <c r="I1000" s="282" t="s">
        <v>1600</v>
      </c>
      <c r="J1000" s="282" t="s">
        <v>156</v>
      </c>
      <c r="K1000" s="286" t="s">
        <v>1601</v>
      </c>
      <c r="L1000" s="282" t="s">
        <v>574</v>
      </c>
      <c r="M1000" s="287">
        <v>2400</v>
      </c>
      <c r="N1000" s="287"/>
      <c r="O1000" s="287"/>
      <c r="P1000" s="287"/>
      <c r="Q1000" s="288">
        <v>250</v>
      </c>
      <c r="R1000" s="288"/>
      <c r="S1000" s="288"/>
      <c r="T1000" s="288"/>
      <c r="U1000" s="288">
        <v>0</v>
      </c>
      <c r="V1000" s="289">
        <v>250</v>
      </c>
      <c r="W1000" s="289">
        <v>0</v>
      </c>
      <c r="X1000" s="288">
        <v>0.10416666666666667</v>
      </c>
      <c r="Y1000" s="288">
        <v>0</v>
      </c>
      <c r="Z1000" s="288">
        <v>0</v>
      </c>
      <c r="AA1000" s="288">
        <v>0</v>
      </c>
      <c r="AB1000" s="288">
        <v>0</v>
      </c>
      <c r="AC1000" s="289">
        <v>0.10416666666666667</v>
      </c>
      <c r="AD1000" s="289">
        <v>0</v>
      </c>
    </row>
    <row r="1001" spans="1:30" ht="15" customHeight="1" x14ac:dyDescent="0.25">
      <c r="A1001" s="282" t="s">
        <v>581</v>
      </c>
      <c r="B1001" s="282" t="s">
        <v>585</v>
      </c>
      <c r="C1001" s="282" t="s">
        <v>586</v>
      </c>
      <c r="D1001" s="283" t="s">
        <v>1668</v>
      </c>
      <c r="E1001" s="404">
        <v>44788</v>
      </c>
      <c r="F1001" s="404">
        <v>46113</v>
      </c>
      <c r="G1001" s="286" t="s">
        <v>1661</v>
      </c>
      <c r="H1001" s="282" t="s">
        <v>1599</v>
      </c>
      <c r="I1001" s="282" t="s">
        <v>1600</v>
      </c>
      <c r="J1001" s="282" t="s">
        <v>156</v>
      </c>
      <c r="K1001" s="286" t="s">
        <v>1601</v>
      </c>
      <c r="L1001" s="282" t="s">
        <v>574</v>
      </c>
      <c r="M1001" s="287">
        <v>2400</v>
      </c>
      <c r="N1001" s="287"/>
      <c r="O1001" s="287"/>
      <c r="P1001" s="287"/>
      <c r="Q1001" s="288">
        <v>324</v>
      </c>
      <c r="R1001" s="288"/>
      <c r="S1001" s="288"/>
      <c r="T1001" s="288"/>
      <c r="U1001" s="288">
        <v>0</v>
      </c>
      <c r="V1001" s="289">
        <v>324</v>
      </c>
      <c r="W1001" s="289">
        <v>0</v>
      </c>
      <c r="X1001" s="288">
        <v>0.13500000000000001</v>
      </c>
      <c r="Y1001" s="288">
        <v>0</v>
      </c>
      <c r="Z1001" s="288">
        <v>0</v>
      </c>
      <c r="AA1001" s="288">
        <v>0</v>
      </c>
      <c r="AB1001" s="288">
        <v>0</v>
      </c>
      <c r="AC1001" s="289">
        <v>0.13500000000000001</v>
      </c>
      <c r="AD1001" s="289">
        <v>0</v>
      </c>
    </row>
    <row r="1002" spans="1:30" ht="15" customHeight="1" x14ac:dyDescent="0.25">
      <c r="A1002" s="282" t="s">
        <v>581</v>
      </c>
      <c r="B1002" s="282" t="s">
        <v>594</v>
      </c>
      <c r="C1002" s="282" t="s">
        <v>595</v>
      </c>
      <c r="D1002" s="283" t="s">
        <v>1669</v>
      </c>
      <c r="E1002" s="404">
        <v>44788</v>
      </c>
      <c r="F1002" s="404">
        <v>46113</v>
      </c>
      <c r="G1002" s="286" t="s">
        <v>1661</v>
      </c>
      <c r="H1002" s="282" t="s">
        <v>1599</v>
      </c>
      <c r="I1002" s="282" t="s">
        <v>1600</v>
      </c>
      <c r="J1002" s="282" t="s">
        <v>156</v>
      </c>
      <c r="K1002" s="286" t="s">
        <v>1601</v>
      </c>
      <c r="L1002" s="282" t="s">
        <v>574</v>
      </c>
      <c r="M1002" s="287">
        <v>2400</v>
      </c>
      <c r="N1002" s="287"/>
      <c r="O1002" s="287"/>
      <c r="P1002" s="287"/>
      <c r="Q1002" s="288">
        <v>199</v>
      </c>
      <c r="R1002" s="288"/>
      <c r="S1002" s="288"/>
      <c r="T1002" s="288"/>
      <c r="U1002" s="288">
        <v>0</v>
      </c>
      <c r="V1002" s="289">
        <v>199</v>
      </c>
      <c r="W1002" s="289">
        <v>0</v>
      </c>
      <c r="X1002" s="288">
        <v>8.2916666666666666E-2</v>
      </c>
      <c r="Y1002" s="288">
        <v>0</v>
      </c>
      <c r="Z1002" s="288">
        <v>0</v>
      </c>
      <c r="AA1002" s="288">
        <v>0</v>
      </c>
      <c r="AB1002" s="288">
        <v>0</v>
      </c>
      <c r="AC1002" s="289">
        <v>8.2916666666666666E-2</v>
      </c>
      <c r="AD1002" s="289">
        <v>0</v>
      </c>
    </row>
    <row r="1003" spans="1:30" ht="15" customHeight="1" x14ac:dyDescent="0.25">
      <c r="A1003" s="282" t="s">
        <v>581</v>
      </c>
      <c r="B1003" s="282" t="s">
        <v>616</v>
      </c>
      <c r="C1003" s="282" t="s">
        <v>617</v>
      </c>
      <c r="D1003" s="283" t="s">
        <v>1670</v>
      </c>
      <c r="E1003" s="404">
        <v>44788</v>
      </c>
      <c r="F1003" s="404">
        <v>46113</v>
      </c>
      <c r="G1003" s="286" t="s">
        <v>1661</v>
      </c>
      <c r="H1003" s="282" t="s">
        <v>1599</v>
      </c>
      <c r="I1003" s="282" t="s">
        <v>1600</v>
      </c>
      <c r="J1003" s="282" t="s">
        <v>156</v>
      </c>
      <c r="K1003" s="286" t="s">
        <v>1601</v>
      </c>
      <c r="L1003" s="282" t="s">
        <v>574</v>
      </c>
      <c r="M1003" s="287">
        <v>2400</v>
      </c>
      <c r="N1003" s="287"/>
      <c r="O1003" s="287"/>
      <c r="P1003" s="287"/>
      <c r="Q1003" s="288">
        <v>410</v>
      </c>
      <c r="R1003" s="288"/>
      <c r="S1003" s="288"/>
      <c r="T1003" s="288"/>
      <c r="U1003" s="288">
        <v>0</v>
      </c>
      <c r="V1003" s="289">
        <v>410</v>
      </c>
      <c r="W1003" s="289">
        <v>0</v>
      </c>
      <c r="X1003" s="288">
        <v>0.17083333333333334</v>
      </c>
      <c r="Y1003" s="288">
        <v>0</v>
      </c>
      <c r="Z1003" s="288">
        <v>0</v>
      </c>
      <c r="AA1003" s="288">
        <v>0</v>
      </c>
      <c r="AB1003" s="288">
        <v>0</v>
      </c>
      <c r="AC1003" s="289">
        <v>0.17083333333333334</v>
      </c>
      <c r="AD1003" s="289">
        <v>0</v>
      </c>
    </row>
    <row r="1004" spans="1:30" ht="15" customHeight="1" x14ac:dyDescent="0.25">
      <c r="A1004" s="282" t="s">
        <v>581</v>
      </c>
      <c r="B1004" s="282" t="s">
        <v>594</v>
      </c>
      <c r="C1004" s="282" t="s">
        <v>595</v>
      </c>
      <c r="D1004" s="283" t="s">
        <v>1671</v>
      </c>
      <c r="E1004" s="404">
        <v>44788</v>
      </c>
      <c r="F1004" s="404">
        <v>46113</v>
      </c>
      <c r="G1004" s="286" t="s">
        <v>1661</v>
      </c>
      <c r="H1004" s="282" t="s">
        <v>1599</v>
      </c>
      <c r="I1004" s="282" t="s">
        <v>1600</v>
      </c>
      <c r="J1004" s="282" t="s">
        <v>156</v>
      </c>
      <c r="K1004" s="286" t="s">
        <v>1601</v>
      </c>
      <c r="L1004" s="282" t="s">
        <v>574</v>
      </c>
      <c r="M1004" s="287">
        <v>2400</v>
      </c>
      <c r="N1004" s="287"/>
      <c r="O1004" s="287"/>
      <c r="P1004" s="287"/>
      <c r="Q1004" s="288">
        <v>188</v>
      </c>
      <c r="R1004" s="288"/>
      <c r="S1004" s="288"/>
      <c r="T1004" s="288"/>
      <c r="U1004" s="288">
        <v>0</v>
      </c>
      <c r="V1004" s="289">
        <v>188</v>
      </c>
      <c r="W1004" s="289">
        <v>0</v>
      </c>
      <c r="X1004" s="288">
        <v>7.8333333333333338E-2</v>
      </c>
      <c r="Y1004" s="288">
        <v>0</v>
      </c>
      <c r="Z1004" s="288">
        <v>0</v>
      </c>
      <c r="AA1004" s="288">
        <v>0</v>
      </c>
      <c r="AB1004" s="288">
        <v>0</v>
      </c>
      <c r="AC1004" s="289">
        <v>7.8333333333333338E-2</v>
      </c>
      <c r="AD1004" s="289">
        <v>0</v>
      </c>
    </row>
    <row r="1005" spans="1:30" ht="15" customHeight="1" x14ac:dyDescent="0.25">
      <c r="A1005" s="282" t="s">
        <v>581</v>
      </c>
      <c r="B1005" s="282" t="s">
        <v>628</v>
      </c>
      <c r="C1005" s="282" t="s">
        <v>629</v>
      </c>
      <c r="D1005" s="283" t="s">
        <v>1672</v>
      </c>
      <c r="E1005" s="404">
        <v>44788</v>
      </c>
      <c r="F1005" s="404">
        <v>46113</v>
      </c>
      <c r="G1005" s="286" t="s">
        <v>1661</v>
      </c>
      <c r="H1005" s="282" t="s">
        <v>1599</v>
      </c>
      <c r="I1005" s="282" t="s">
        <v>1600</v>
      </c>
      <c r="J1005" s="282" t="s">
        <v>156</v>
      </c>
      <c r="K1005" s="286" t="s">
        <v>1601</v>
      </c>
      <c r="L1005" s="282" t="s">
        <v>574</v>
      </c>
      <c r="M1005" s="287">
        <v>2400</v>
      </c>
      <c r="N1005" s="287"/>
      <c r="O1005" s="287"/>
      <c r="P1005" s="287"/>
      <c r="Q1005" s="288">
        <v>200</v>
      </c>
      <c r="R1005" s="288"/>
      <c r="S1005" s="288"/>
      <c r="T1005" s="288"/>
      <c r="U1005" s="288">
        <v>0</v>
      </c>
      <c r="V1005" s="289">
        <v>200</v>
      </c>
      <c r="W1005" s="289">
        <v>0</v>
      </c>
      <c r="X1005" s="288">
        <v>8.3333333333333329E-2</v>
      </c>
      <c r="Y1005" s="288">
        <v>0</v>
      </c>
      <c r="Z1005" s="288">
        <v>0</v>
      </c>
      <c r="AA1005" s="288">
        <v>0</v>
      </c>
      <c r="AB1005" s="288">
        <v>0</v>
      </c>
      <c r="AC1005" s="289">
        <v>8.3333333333333329E-2</v>
      </c>
      <c r="AD1005" s="289">
        <v>0</v>
      </c>
    </row>
    <row r="1006" spans="1:30" ht="15" customHeight="1" x14ac:dyDescent="0.25">
      <c r="A1006" s="282" t="s">
        <v>581</v>
      </c>
      <c r="B1006" s="282" t="s">
        <v>628</v>
      </c>
      <c r="C1006" s="282" t="s">
        <v>629</v>
      </c>
      <c r="D1006" s="283" t="s">
        <v>1673</v>
      </c>
      <c r="E1006" s="404">
        <v>44788</v>
      </c>
      <c r="F1006" s="404">
        <v>46113</v>
      </c>
      <c r="G1006" s="286" t="s">
        <v>1661</v>
      </c>
      <c r="H1006" s="282" t="s">
        <v>1599</v>
      </c>
      <c r="I1006" s="282" t="s">
        <v>1600</v>
      </c>
      <c r="J1006" s="282" t="s">
        <v>156</v>
      </c>
      <c r="K1006" s="286" t="s">
        <v>1601</v>
      </c>
      <c r="L1006" s="282" t="s">
        <v>574</v>
      </c>
      <c r="M1006" s="287">
        <v>2400</v>
      </c>
      <c r="N1006" s="287"/>
      <c r="O1006" s="287"/>
      <c r="P1006" s="287"/>
      <c r="Q1006" s="288">
        <v>220</v>
      </c>
      <c r="R1006" s="288"/>
      <c r="S1006" s="288"/>
      <c r="T1006" s="288"/>
      <c r="U1006" s="288">
        <v>0</v>
      </c>
      <c r="V1006" s="289">
        <v>220</v>
      </c>
      <c r="W1006" s="289">
        <v>0</v>
      </c>
      <c r="X1006" s="288">
        <v>9.166666666666666E-2</v>
      </c>
      <c r="Y1006" s="288">
        <v>0</v>
      </c>
      <c r="Z1006" s="288">
        <v>0</v>
      </c>
      <c r="AA1006" s="288">
        <v>0</v>
      </c>
      <c r="AB1006" s="288">
        <v>0</v>
      </c>
      <c r="AC1006" s="289">
        <v>9.166666666666666E-2</v>
      </c>
      <c r="AD1006" s="289">
        <v>0</v>
      </c>
    </row>
    <row r="1007" spans="1:30" ht="15" customHeight="1" x14ac:dyDescent="0.25">
      <c r="A1007" s="282" t="s">
        <v>581</v>
      </c>
      <c r="B1007" s="282" t="s">
        <v>611</v>
      </c>
      <c r="C1007" s="282" t="s">
        <v>612</v>
      </c>
      <c r="D1007" s="283" t="s">
        <v>1674</v>
      </c>
      <c r="E1007" s="404">
        <v>44788</v>
      </c>
      <c r="F1007" s="404">
        <v>46113</v>
      </c>
      <c r="G1007" s="286" t="s">
        <v>1661</v>
      </c>
      <c r="H1007" s="282" t="s">
        <v>1599</v>
      </c>
      <c r="I1007" s="282" t="s">
        <v>1600</v>
      </c>
      <c r="J1007" s="282" t="s">
        <v>156</v>
      </c>
      <c r="K1007" s="286" t="s">
        <v>1601</v>
      </c>
      <c r="L1007" s="282" t="s">
        <v>574</v>
      </c>
      <c r="M1007" s="287">
        <v>2400</v>
      </c>
      <c r="N1007" s="287"/>
      <c r="O1007" s="287"/>
      <c r="P1007" s="287"/>
      <c r="Q1007" s="288">
        <v>250</v>
      </c>
      <c r="R1007" s="288"/>
      <c r="S1007" s="288"/>
      <c r="T1007" s="288"/>
      <c r="U1007" s="288">
        <v>0</v>
      </c>
      <c r="V1007" s="289">
        <v>250</v>
      </c>
      <c r="W1007" s="289">
        <v>0</v>
      </c>
      <c r="X1007" s="288">
        <v>0.10416666666666667</v>
      </c>
      <c r="Y1007" s="288">
        <v>0</v>
      </c>
      <c r="Z1007" s="288">
        <v>0</v>
      </c>
      <c r="AA1007" s="288">
        <v>0</v>
      </c>
      <c r="AB1007" s="288">
        <v>0</v>
      </c>
      <c r="AC1007" s="289">
        <v>0.10416666666666667</v>
      </c>
      <c r="AD1007" s="289">
        <v>0</v>
      </c>
    </row>
    <row r="1008" spans="1:30" ht="15" customHeight="1" x14ac:dyDescent="0.25">
      <c r="A1008" s="282" t="s">
        <v>581</v>
      </c>
      <c r="B1008" s="282" t="s">
        <v>585</v>
      </c>
      <c r="C1008" s="282" t="s">
        <v>586</v>
      </c>
      <c r="D1008" s="283" t="s">
        <v>1675</v>
      </c>
      <c r="E1008" s="404">
        <v>44788</v>
      </c>
      <c r="F1008" s="404">
        <v>46113</v>
      </c>
      <c r="G1008" s="286" t="s">
        <v>1661</v>
      </c>
      <c r="H1008" s="282" t="s">
        <v>1599</v>
      </c>
      <c r="I1008" s="282" t="s">
        <v>1600</v>
      </c>
      <c r="J1008" s="282" t="s">
        <v>156</v>
      </c>
      <c r="K1008" s="286" t="s">
        <v>1601</v>
      </c>
      <c r="L1008" s="282" t="s">
        <v>574</v>
      </c>
      <c r="M1008" s="287">
        <v>2400</v>
      </c>
      <c r="N1008" s="287"/>
      <c r="O1008" s="287"/>
      <c r="P1008" s="287"/>
      <c r="Q1008" s="288">
        <v>304</v>
      </c>
      <c r="R1008" s="288"/>
      <c r="S1008" s="288"/>
      <c r="T1008" s="288"/>
      <c r="U1008" s="288">
        <v>0</v>
      </c>
      <c r="V1008" s="289">
        <v>304</v>
      </c>
      <c r="W1008" s="289">
        <v>0</v>
      </c>
      <c r="X1008" s="288">
        <v>0.12666666666666668</v>
      </c>
      <c r="Y1008" s="288">
        <v>0</v>
      </c>
      <c r="Z1008" s="288">
        <v>0</v>
      </c>
      <c r="AA1008" s="288">
        <v>0</v>
      </c>
      <c r="AB1008" s="288">
        <v>0</v>
      </c>
      <c r="AC1008" s="289">
        <v>0.12666666666666668</v>
      </c>
      <c r="AD1008" s="289">
        <v>0</v>
      </c>
    </row>
    <row r="1009" spans="1:30" ht="15" customHeight="1" x14ac:dyDescent="0.25">
      <c r="A1009" s="282" t="s">
        <v>581</v>
      </c>
      <c r="B1009" s="282" t="s">
        <v>616</v>
      </c>
      <c r="C1009" s="282" t="s">
        <v>617</v>
      </c>
      <c r="D1009" s="283" t="s">
        <v>1676</v>
      </c>
      <c r="E1009" s="404">
        <v>44788</v>
      </c>
      <c r="F1009" s="404">
        <v>46113</v>
      </c>
      <c r="G1009" s="286" t="s">
        <v>1661</v>
      </c>
      <c r="H1009" s="282" t="s">
        <v>1599</v>
      </c>
      <c r="I1009" s="282" t="s">
        <v>1600</v>
      </c>
      <c r="J1009" s="282" t="s">
        <v>156</v>
      </c>
      <c r="K1009" s="286" t="s">
        <v>1601</v>
      </c>
      <c r="L1009" s="282" t="s">
        <v>574</v>
      </c>
      <c r="M1009" s="287">
        <v>2400</v>
      </c>
      <c r="N1009" s="287"/>
      <c r="O1009" s="287"/>
      <c r="P1009" s="287"/>
      <c r="Q1009" s="288">
        <v>385</v>
      </c>
      <c r="R1009" s="288"/>
      <c r="S1009" s="288"/>
      <c r="T1009" s="288"/>
      <c r="U1009" s="288">
        <v>0</v>
      </c>
      <c r="V1009" s="289">
        <v>385</v>
      </c>
      <c r="W1009" s="289">
        <v>0</v>
      </c>
      <c r="X1009" s="288">
        <v>0.16041666666666668</v>
      </c>
      <c r="Y1009" s="288">
        <v>0</v>
      </c>
      <c r="Z1009" s="288">
        <v>0</v>
      </c>
      <c r="AA1009" s="288">
        <v>0</v>
      </c>
      <c r="AB1009" s="288">
        <v>0</v>
      </c>
      <c r="AC1009" s="289">
        <v>0.16041666666666668</v>
      </c>
      <c r="AD1009" s="289">
        <v>0</v>
      </c>
    </row>
    <row r="1010" spans="1:30" ht="15" customHeight="1" x14ac:dyDescent="0.25">
      <c r="A1010" s="282" t="s">
        <v>581</v>
      </c>
      <c r="B1010" s="282" t="s">
        <v>594</v>
      </c>
      <c r="C1010" s="282" t="s">
        <v>595</v>
      </c>
      <c r="D1010" s="283" t="s">
        <v>1677</v>
      </c>
      <c r="E1010" s="404">
        <v>44788</v>
      </c>
      <c r="F1010" s="404">
        <v>46113</v>
      </c>
      <c r="G1010" s="286" t="s">
        <v>1661</v>
      </c>
      <c r="H1010" s="282" t="s">
        <v>1599</v>
      </c>
      <c r="I1010" s="282" t="s">
        <v>1600</v>
      </c>
      <c r="J1010" s="282" t="s">
        <v>156</v>
      </c>
      <c r="K1010" s="286" t="s">
        <v>1601</v>
      </c>
      <c r="L1010" s="282" t="s">
        <v>574</v>
      </c>
      <c r="M1010" s="287">
        <v>2400</v>
      </c>
      <c r="N1010" s="287"/>
      <c r="O1010" s="287"/>
      <c r="P1010" s="287"/>
      <c r="Q1010" s="288">
        <v>183</v>
      </c>
      <c r="R1010" s="288"/>
      <c r="S1010" s="288"/>
      <c r="T1010" s="288"/>
      <c r="U1010" s="288">
        <v>0</v>
      </c>
      <c r="V1010" s="289">
        <v>183</v>
      </c>
      <c r="W1010" s="289">
        <v>0</v>
      </c>
      <c r="X1010" s="288">
        <v>7.6249999999999998E-2</v>
      </c>
      <c r="Y1010" s="288">
        <v>0</v>
      </c>
      <c r="Z1010" s="288">
        <v>0</v>
      </c>
      <c r="AA1010" s="288">
        <v>0</v>
      </c>
      <c r="AB1010" s="288">
        <v>0</v>
      </c>
      <c r="AC1010" s="289">
        <v>7.6249999999999998E-2</v>
      </c>
      <c r="AD1010" s="289">
        <v>0</v>
      </c>
    </row>
    <row r="1011" spans="1:30" ht="15" customHeight="1" x14ac:dyDescent="0.25">
      <c r="A1011" s="282" t="s">
        <v>581</v>
      </c>
      <c r="B1011" s="282" t="s">
        <v>628</v>
      </c>
      <c r="C1011" s="282" t="s">
        <v>629</v>
      </c>
      <c r="D1011" s="283" t="s">
        <v>1678</v>
      </c>
      <c r="E1011" s="404">
        <v>44788</v>
      </c>
      <c r="F1011" s="404">
        <v>46113</v>
      </c>
      <c r="G1011" s="286" t="s">
        <v>1661</v>
      </c>
      <c r="H1011" s="282" t="s">
        <v>1599</v>
      </c>
      <c r="I1011" s="282" t="s">
        <v>1600</v>
      </c>
      <c r="J1011" s="282" t="s">
        <v>156</v>
      </c>
      <c r="K1011" s="286" t="s">
        <v>1601</v>
      </c>
      <c r="L1011" s="282" t="s">
        <v>574</v>
      </c>
      <c r="M1011" s="287">
        <v>2400</v>
      </c>
      <c r="N1011" s="287"/>
      <c r="O1011" s="287"/>
      <c r="P1011" s="287"/>
      <c r="Q1011" s="288">
        <v>200</v>
      </c>
      <c r="R1011" s="288"/>
      <c r="S1011" s="288"/>
      <c r="T1011" s="288"/>
      <c r="U1011" s="288">
        <v>0</v>
      </c>
      <c r="V1011" s="289">
        <v>200</v>
      </c>
      <c r="W1011" s="289">
        <v>0</v>
      </c>
      <c r="X1011" s="288">
        <v>8.3333333333333329E-2</v>
      </c>
      <c r="Y1011" s="288">
        <v>0</v>
      </c>
      <c r="Z1011" s="288">
        <v>0</v>
      </c>
      <c r="AA1011" s="288">
        <v>0</v>
      </c>
      <c r="AB1011" s="288">
        <v>0</v>
      </c>
      <c r="AC1011" s="289">
        <v>8.3333333333333329E-2</v>
      </c>
      <c r="AD1011" s="289">
        <v>0</v>
      </c>
    </row>
    <row r="1012" spans="1:30" ht="15" customHeight="1" x14ac:dyDescent="0.25">
      <c r="A1012" s="282" t="s">
        <v>581</v>
      </c>
      <c r="B1012" s="282" t="s">
        <v>611</v>
      </c>
      <c r="C1012" s="282" t="s">
        <v>612</v>
      </c>
      <c r="D1012" s="283" t="s">
        <v>1679</v>
      </c>
      <c r="E1012" s="404">
        <v>44788</v>
      </c>
      <c r="F1012" s="404">
        <v>46113</v>
      </c>
      <c r="G1012" s="286" t="s">
        <v>1661</v>
      </c>
      <c r="H1012" s="282" t="s">
        <v>1599</v>
      </c>
      <c r="I1012" s="282" t="s">
        <v>1600</v>
      </c>
      <c r="J1012" s="282" t="s">
        <v>156</v>
      </c>
      <c r="K1012" s="286" t="s">
        <v>1601</v>
      </c>
      <c r="L1012" s="282" t="s">
        <v>574</v>
      </c>
      <c r="M1012" s="287">
        <v>2400</v>
      </c>
      <c r="N1012" s="287"/>
      <c r="O1012" s="287"/>
      <c r="P1012" s="287"/>
      <c r="Q1012" s="288">
        <v>232</v>
      </c>
      <c r="R1012" s="288"/>
      <c r="S1012" s="288"/>
      <c r="T1012" s="288"/>
      <c r="U1012" s="288">
        <v>0</v>
      </c>
      <c r="V1012" s="289">
        <v>232</v>
      </c>
      <c r="W1012" s="289">
        <v>0</v>
      </c>
      <c r="X1012" s="288">
        <v>9.6666666666666665E-2</v>
      </c>
      <c r="Y1012" s="288">
        <v>0</v>
      </c>
      <c r="Z1012" s="288">
        <v>0</v>
      </c>
      <c r="AA1012" s="288">
        <v>0</v>
      </c>
      <c r="AB1012" s="288">
        <v>0</v>
      </c>
      <c r="AC1012" s="289">
        <v>9.6666666666666665E-2</v>
      </c>
      <c r="AD1012" s="289">
        <v>0</v>
      </c>
    </row>
    <row r="1013" spans="1:30" ht="15" customHeight="1" x14ac:dyDescent="0.25">
      <c r="A1013" s="282" t="s">
        <v>581</v>
      </c>
      <c r="B1013" s="282" t="s">
        <v>585</v>
      </c>
      <c r="C1013" s="282" t="s">
        <v>586</v>
      </c>
      <c r="D1013" s="283" t="s">
        <v>1680</v>
      </c>
      <c r="E1013" s="404">
        <v>44788</v>
      </c>
      <c r="F1013" s="404">
        <v>46113</v>
      </c>
      <c r="G1013" s="286" t="s">
        <v>1661</v>
      </c>
      <c r="H1013" s="282" t="s">
        <v>1599</v>
      </c>
      <c r="I1013" s="282" t="s">
        <v>1600</v>
      </c>
      <c r="J1013" s="282" t="s">
        <v>156</v>
      </c>
      <c r="K1013" s="286" t="s">
        <v>1601</v>
      </c>
      <c r="L1013" s="282" t="s">
        <v>574</v>
      </c>
      <c r="M1013" s="287">
        <v>2400</v>
      </c>
      <c r="N1013" s="287"/>
      <c r="O1013" s="287"/>
      <c r="P1013" s="287"/>
      <c r="Q1013" s="288">
        <v>276</v>
      </c>
      <c r="R1013" s="288"/>
      <c r="S1013" s="288"/>
      <c r="T1013" s="288"/>
      <c r="U1013" s="288">
        <v>0</v>
      </c>
      <c r="V1013" s="289">
        <v>276</v>
      </c>
      <c r="W1013" s="289">
        <v>0</v>
      </c>
      <c r="X1013" s="288">
        <v>0.115</v>
      </c>
      <c r="Y1013" s="288">
        <v>0</v>
      </c>
      <c r="Z1013" s="288">
        <v>0</v>
      </c>
      <c r="AA1013" s="288">
        <v>0</v>
      </c>
      <c r="AB1013" s="288">
        <v>0</v>
      </c>
      <c r="AC1013" s="289">
        <v>0.115</v>
      </c>
      <c r="AD1013" s="289">
        <v>0</v>
      </c>
    </row>
    <row r="1014" spans="1:30" ht="15" customHeight="1" x14ac:dyDescent="0.25">
      <c r="A1014" s="282" t="s">
        <v>581</v>
      </c>
      <c r="B1014" s="282" t="s">
        <v>616</v>
      </c>
      <c r="C1014" s="282" t="s">
        <v>617</v>
      </c>
      <c r="D1014" s="283" t="s">
        <v>1681</v>
      </c>
      <c r="E1014" s="404">
        <v>44788</v>
      </c>
      <c r="F1014" s="404">
        <v>46113</v>
      </c>
      <c r="G1014" s="286" t="s">
        <v>1661</v>
      </c>
      <c r="H1014" s="282" t="s">
        <v>1599</v>
      </c>
      <c r="I1014" s="282" t="s">
        <v>1600</v>
      </c>
      <c r="J1014" s="282" t="s">
        <v>156</v>
      </c>
      <c r="K1014" s="286" t="s">
        <v>1601</v>
      </c>
      <c r="L1014" s="282" t="s">
        <v>574</v>
      </c>
      <c r="M1014" s="287">
        <v>2400</v>
      </c>
      <c r="N1014" s="287"/>
      <c r="O1014" s="287"/>
      <c r="P1014" s="287"/>
      <c r="Q1014" s="288">
        <v>345</v>
      </c>
      <c r="R1014" s="288"/>
      <c r="S1014" s="288"/>
      <c r="T1014" s="288"/>
      <c r="U1014" s="288">
        <v>0</v>
      </c>
      <c r="V1014" s="289">
        <v>345</v>
      </c>
      <c r="W1014" s="289">
        <v>0</v>
      </c>
      <c r="X1014" s="288">
        <v>0.14374999999999999</v>
      </c>
      <c r="Y1014" s="288">
        <v>0</v>
      </c>
      <c r="Z1014" s="288">
        <v>0</v>
      </c>
      <c r="AA1014" s="288">
        <v>0</v>
      </c>
      <c r="AB1014" s="288">
        <v>0</v>
      </c>
      <c r="AC1014" s="289">
        <v>0.14374999999999999</v>
      </c>
      <c r="AD1014" s="289">
        <v>0</v>
      </c>
    </row>
    <row r="1015" spans="1:30" ht="15" customHeight="1" x14ac:dyDescent="0.25">
      <c r="A1015" s="282" t="s">
        <v>581</v>
      </c>
      <c r="B1015" s="282" t="s">
        <v>594</v>
      </c>
      <c r="C1015" s="282" t="s">
        <v>595</v>
      </c>
      <c r="D1015" s="283" t="s">
        <v>1682</v>
      </c>
      <c r="E1015" s="404">
        <v>44788</v>
      </c>
      <c r="F1015" s="404">
        <v>46113</v>
      </c>
      <c r="G1015" s="286" t="s">
        <v>1661</v>
      </c>
      <c r="H1015" s="282" t="s">
        <v>1599</v>
      </c>
      <c r="I1015" s="282" t="s">
        <v>1600</v>
      </c>
      <c r="J1015" s="282" t="s">
        <v>156</v>
      </c>
      <c r="K1015" s="286" t="s">
        <v>1601</v>
      </c>
      <c r="L1015" s="282" t="s">
        <v>574</v>
      </c>
      <c r="M1015" s="287">
        <v>2400</v>
      </c>
      <c r="N1015" s="287"/>
      <c r="O1015" s="287"/>
      <c r="P1015" s="287"/>
      <c r="Q1015" s="288">
        <v>179</v>
      </c>
      <c r="R1015" s="288"/>
      <c r="S1015" s="288"/>
      <c r="T1015" s="288"/>
      <c r="U1015" s="288">
        <v>0</v>
      </c>
      <c r="V1015" s="289">
        <v>179</v>
      </c>
      <c r="W1015" s="289">
        <v>0</v>
      </c>
      <c r="X1015" s="288">
        <v>7.4583333333333335E-2</v>
      </c>
      <c r="Y1015" s="288">
        <v>0</v>
      </c>
      <c r="Z1015" s="288">
        <v>0</v>
      </c>
      <c r="AA1015" s="288">
        <v>0</v>
      </c>
      <c r="AB1015" s="288">
        <v>0</v>
      </c>
      <c r="AC1015" s="289">
        <v>7.4583333333333335E-2</v>
      </c>
      <c r="AD1015" s="289">
        <v>0</v>
      </c>
    </row>
    <row r="1016" spans="1:30" ht="15" customHeight="1" x14ac:dyDescent="0.25">
      <c r="A1016" s="282" t="s">
        <v>581</v>
      </c>
      <c r="B1016" s="282" t="s">
        <v>628</v>
      </c>
      <c r="C1016" s="282" t="s">
        <v>629</v>
      </c>
      <c r="D1016" s="283" t="s">
        <v>1683</v>
      </c>
      <c r="E1016" s="404">
        <v>44788</v>
      </c>
      <c r="F1016" s="404">
        <v>46113</v>
      </c>
      <c r="G1016" s="286" t="s">
        <v>1661</v>
      </c>
      <c r="H1016" s="282" t="s">
        <v>1599</v>
      </c>
      <c r="I1016" s="282" t="s">
        <v>1600</v>
      </c>
      <c r="J1016" s="282" t="s">
        <v>156</v>
      </c>
      <c r="K1016" s="286" t="s">
        <v>1601</v>
      </c>
      <c r="L1016" s="282" t="s">
        <v>574</v>
      </c>
      <c r="M1016" s="287">
        <v>2400</v>
      </c>
      <c r="N1016" s="287"/>
      <c r="O1016" s="287"/>
      <c r="P1016" s="287"/>
      <c r="Q1016" s="288">
        <v>194</v>
      </c>
      <c r="R1016" s="288"/>
      <c r="S1016" s="288"/>
      <c r="T1016" s="288"/>
      <c r="U1016" s="288">
        <v>0</v>
      </c>
      <c r="V1016" s="289">
        <v>194</v>
      </c>
      <c r="W1016" s="289">
        <v>0</v>
      </c>
      <c r="X1016" s="288">
        <v>8.0833333333333326E-2</v>
      </c>
      <c r="Y1016" s="288">
        <v>0</v>
      </c>
      <c r="Z1016" s="288">
        <v>0</v>
      </c>
      <c r="AA1016" s="288">
        <v>0</v>
      </c>
      <c r="AB1016" s="288">
        <v>0</v>
      </c>
      <c r="AC1016" s="289">
        <v>8.0833333333333326E-2</v>
      </c>
      <c r="AD1016" s="289">
        <v>0</v>
      </c>
    </row>
    <row r="1017" spans="1:30" ht="15" customHeight="1" x14ac:dyDescent="0.25">
      <c r="A1017" s="282" t="s">
        <v>581</v>
      </c>
      <c r="B1017" s="282" t="s">
        <v>611</v>
      </c>
      <c r="C1017" s="282" t="s">
        <v>612</v>
      </c>
      <c r="D1017" s="283" t="s">
        <v>1684</v>
      </c>
      <c r="E1017" s="404">
        <v>44788</v>
      </c>
      <c r="F1017" s="404">
        <v>46113</v>
      </c>
      <c r="G1017" s="286" t="s">
        <v>1661</v>
      </c>
      <c r="H1017" s="282" t="s">
        <v>1599</v>
      </c>
      <c r="I1017" s="282" t="s">
        <v>1600</v>
      </c>
      <c r="J1017" s="282" t="s">
        <v>156</v>
      </c>
      <c r="K1017" s="286" t="s">
        <v>1601</v>
      </c>
      <c r="L1017" s="282" t="s">
        <v>574</v>
      </c>
      <c r="M1017" s="287">
        <v>2400</v>
      </c>
      <c r="N1017" s="287"/>
      <c r="O1017" s="287"/>
      <c r="P1017" s="287"/>
      <c r="Q1017" s="288">
        <v>220</v>
      </c>
      <c r="R1017" s="288"/>
      <c r="S1017" s="288"/>
      <c r="T1017" s="288"/>
      <c r="U1017" s="288">
        <v>0</v>
      </c>
      <c r="V1017" s="289">
        <v>220</v>
      </c>
      <c r="W1017" s="289">
        <v>0</v>
      </c>
      <c r="X1017" s="288">
        <v>9.166666666666666E-2</v>
      </c>
      <c r="Y1017" s="288">
        <v>0</v>
      </c>
      <c r="Z1017" s="288">
        <v>0</v>
      </c>
      <c r="AA1017" s="288">
        <v>0</v>
      </c>
      <c r="AB1017" s="288">
        <v>0</v>
      </c>
      <c r="AC1017" s="289">
        <v>9.166666666666666E-2</v>
      </c>
      <c r="AD1017" s="289">
        <v>0</v>
      </c>
    </row>
    <row r="1018" spans="1:30" ht="15" customHeight="1" x14ac:dyDescent="0.25">
      <c r="A1018" s="282" t="s">
        <v>581</v>
      </c>
      <c r="B1018" s="282" t="s">
        <v>585</v>
      </c>
      <c r="C1018" s="282" t="s">
        <v>586</v>
      </c>
      <c r="D1018" s="283" t="s">
        <v>1685</v>
      </c>
      <c r="E1018" s="404">
        <v>44788</v>
      </c>
      <c r="F1018" s="404">
        <v>46113</v>
      </c>
      <c r="G1018" s="286" t="s">
        <v>1661</v>
      </c>
      <c r="H1018" s="282" t="s">
        <v>1599</v>
      </c>
      <c r="I1018" s="282" t="s">
        <v>1600</v>
      </c>
      <c r="J1018" s="282" t="s">
        <v>156</v>
      </c>
      <c r="K1018" s="286" t="s">
        <v>1601</v>
      </c>
      <c r="L1018" s="282" t="s">
        <v>574</v>
      </c>
      <c r="M1018" s="287">
        <v>2400</v>
      </c>
      <c r="N1018" s="287"/>
      <c r="O1018" s="287"/>
      <c r="P1018" s="287"/>
      <c r="Q1018" s="288">
        <v>265</v>
      </c>
      <c r="R1018" s="288"/>
      <c r="S1018" s="288"/>
      <c r="T1018" s="288"/>
      <c r="U1018" s="288">
        <v>0</v>
      </c>
      <c r="V1018" s="289">
        <v>265</v>
      </c>
      <c r="W1018" s="289">
        <v>0</v>
      </c>
      <c r="X1018" s="288">
        <v>0.11041666666666666</v>
      </c>
      <c r="Y1018" s="288">
        <v>0</v>
      </c>
      <c r="Z1018" s="288">
        <v>0</v>
      </c>
      <c r="AA1018" s="288">
        <v>0</v>
      </c>
      <c r="AB1018" s="288">
        <v>0</v>
      </c>
      <c r="AC1018" s="289">
        <v>0.11041666666666666</v>
      </c>
      <c r="AD1018" s="289">
        <v>0</v>
      </c>
    </row>
    <row r="1019" spans="1:30" ht="15" customHeight="1" x14ac:dyDescent="0.25">
      <c r="A1019" s="282" t="s">
        <v>581</v>
      </c>
      <c r="B1019" s="282" t="s">
        <v>616</v>
      </c>
      <c r="C1019" s="282" t="s">
        <v>617</v>
      </c>
      <c r="D1019" s="283" t="s">
        <v>1686</v>
      </c>
      <c r="E1019" s="404">
        <v>44788</v>
      </c>
      <c r="F1019" s="404">
        <v>46113</v>
      </c>
      <c r="G1019" s="286" t="s">
        <v>1661</v>
      </c>
      <c r="H1019" s="282" t="s">
        <v>1599</v>
      </c>
      <c r="I1019" s="282" t="s">
        <v>1600</v>
      </c>
      <c r="J1019" s="282" t="s">
        <v>156</v>
      </c>
      <c r="K1019" s="286" t="s">
        <v>1601</v>
      </c>
      <c r="L1019" s="282" t="s">
        <v>574</v>
      </c>
      <c r="M1019" s="287">
        <v>2400</v>
      </c>
      <c r="N1019" s="287"/>
      <c r="O1019" s="287"/>
      <c r="P1019" s="287"/>
      <c r="Q1019" s="288">
        <v>333</v>
      </c>
      <c r="R1019" s="288"/>
      <c r="S1019" s="288"/>
      <c r="T1019" s="288"/>
      <c r="U1019" s="288">
        <v>0</v>
      </c>
      <c r="V1019" s="289">
        <v>333</v>
      </c>
      <c r="W1019" s="289">
        <v>0</v>
      </c>
      <c r="X1019" s="288">
        <v>0.13875000000000001</v>
      </c>
      <c r="Y1019" s="288">
        <v>0</v>
      </c>
      <c r="Z1019" s="288">
        <v>0</v>
      </c>
      <c r="AA1019" s="288">
        <v>0</v>
      </c>
      <c r="AB1019" s="288">
        <v>0</v>
      </c>
      <c r="AC1019" s="289">
        <v>0.13875000000000001</v>
      </c>
      <c r="AD1019" s="289">
        <v>0</v>
      </c>
    </row>
    <row r="1020" spans="1:30" ht="15" customHeight="1" x14ac:dyDescent="0.25">
      <c r="A1020" s="282" t="s">
        <v>581</v>
      </c>
      <c r="B1020" s="282" t="s">
        <v>594</v>
      </c>
      <c r="C1020" s="282" t="s">
        <v>595</v>
      </c>
      <c r="D1020" s="283" t="s">
        <v>1687</v>
      </c>
      <c r="E1020" s="404">
        <v>44788</v>
      </c>
      <c r="F1020" s="404">
        <v>46113</v>
      </c>
      <c r="G1020" s="286" t="s">
        <v>1661</v>
      </c>
      <c r="H1020" s="282" t="s">
        <v>1599</v>
      </c>
      <c r="I1020" s="282" t="s">
        <v>1600</v>
      </c>
      <c r="J1020" s="282" t="s">
        <v>156</v>
      </c>
      <c r="K1020" s="286" t="s">
        <v>1601</v>
      </c>
      <c r="L1020" s="282" t="s">
        <v>574</v>
      </c>
      <c r="M1020" s="287">
        <v>2400</v>
      </c>
      <c r="N1020" s="287"/>
      <c r="O1020" s="287"/>
      <c r="P1020" s="287"/>
      <c r="Q1020" s="288">
        <v>176</v>
      </c>
      <c r="R1020" s="288"/>
      <c r="S1020" s="288"/>
      <c r="T1020" s="288"/>
      <c r="U1020" s="288">
        <v>0</v>
      </c>
      <c r="V1020" s="289">
        <v>176</v>
      </c>
      <c r="W1020" s="289">
        <v>0</v>
      </c>
      <c r="X1020" s="288">
        <v>7.3333333333333334E-2</v>
      </c>
      <c r="Y1020" s="288">
        <v>0</v>
      </c>
      <c r="Z1020" s="288">
        <v>0</v>
      </c>
      <c r="AA1020" s="288">
        <v>0</v>
      </c>
      <c r="AB1020" s="288">
        <v>0</v>
      </c>
      <c r="AC1020" s="289">
        <v>7.3333333333333334E-2</v>
      </c>
      <c r="AD1020" s="289">
        <v>0</v>
      </c>
    </row>
    <row r="1021" spans="1:30" ht="15" customHeight="1" x14ac:dyDescent="0.25">
      <c r="A1021" s="282" t="s">
        <v>581</v>
      </c>
      <c r="B1021" s="282" t="s">
        <v>628</v>
      </c>
      <c r="C1021" s="282" t="s">
        <v>629</v>
      </c>
      <c r="D1021" s="283" t="s">
        <v>1688</v>
      </c>
      <c r="E1021" s="404">
        <v>44788</v>
      </c>
      <c r="F1021" s="404">
        <v>46113</v>
      </c>
      <c r="G1021" s="286" t="s">
        <v>1661</v>
      </c>
      <c r="H1021" s="282" t="s">
        <v>1599</v>
      </c>
      <c r="I1021" s="282" t="s">
        <v>1600</v>
      </c>
      <c r="J1021" s="282" t="s">
        <v>156</v>
      </c>
      <c r="K1021" s="286" t="s">
        <v>1601</v>
      </c>
      <c r="L1021" s="282" t="s">
        <v>574</v>
      </c>
      <c r="M1021" s="287">
        <v>2400</v>
      </c>
      <c r="N1021" s="287"/>
      <c r="O1021" s="287"/>
      <c r="P1021" s="287"/>
      <c r="Q1021" s="288">
        <v>184</v>
      </c>
      <c r="R1021" s="288"/>
      <c r="S1021" s="288"/>
      <c r="T1021" s="288"/>
      <c r="U1021" s="288">
        <v>0</v>
      </c>
      <c r="V1021" s="289">
        <v>184</v>
      </c>
      <c r="W1021" s="289">
        <v>0</v>
      </c>
      <c r="X1021" s="288">
        <v>7.6666666666666661E-2</v>
      </c>
      <c r="Y1021" s="288">
        <v>0</v>
      </c>
      <c r="Z1021" s="288">
        <v>0</v>
      </c>
      <c r="AA1021" s="288">
        <v>0</v>
      </c>
      <c r="AB1021" s="288">
        <v>0</v>
      </c>
      <c r="AC1021" s="289">
        <v>7.6666666666666661E-2</v>
      </c>
      <c r="AD1021" s="289">
        <v>0</v>
      </c>
    </row>
    <row r="1022" spans="1:30" ht="15" customHeight="1" x14ac:dyDescent="0.25">
      <c r="A1022" s="282" t="s">
        <v>581</v>
      </c>
      <c r="B1022" s="282" t="s">
        <v>611</v>
      </c>
      <c r="C1022" s="282" t="s">
        <v>612</v>
      </c>
      <c r="D1022" s="283" t="s">
        <v>1689</v>
      </c>
      <c r="E1022" s="404">
        <v>44788</v>
      </c>
      <c r="F1022" s="404">
        <v>46113</v>
      </c>
      <c r="G1022" s="286" t="s">
        <v>1661</v>
      </c>
      <c r="H1022" s="282" t="s">
        <v>1599</v>
      </c>
      <c r="I1022" s="282" t="s">
        <v>1600</v>
      </c>
      <c r="J1022" s="282" t="s">
        <v>156</v>
      </c>
      <c r="K1022" s="286" t="s">
        <v>1601</v>
      </c>
      <c r="L1022" s="282" t="s">
        <v>574</v>
      </c>
      <c r="M1022" s="287">
        <v>2400</v>
      </c>
      <c r="N1022" s="287"/>
      <c r="O1022" s="287"/>
      <c r="P1022" s="287"/>
      <c r="Q1022" s="288">
        <v>198</v>
      </c>
      <c r="R1022" s="288"/>
      <c r="S1022" s="288"/>
      <c r="T1022" s="288"/>
      <c r="U1022" s="288">
        <v>0</v>
      </c>
      <c r="V1022" s="289">
        <v>198</v>
      </c>
      <c r="W1022" s="289">
        <v>0</v>
      </c>
      <c r="X1022" s="288">
        <v>8.2500000000000004E-2</v>
      </c>
      <c r="Y1022" s="288">
        <v>0</v>
      </c>
      <c r="Z1022" s="288">
        <v>0</v>
      </c>
      <c r="AA1022" s="288">
        <v>0</v>
      </c>
      <c r="AB1022" s="288">
        <v>0</v>
      </c>
      <c r="AC1022" s="289">
        <v>8.2500000000000004E-2</v>
      </c>
      <c r="AD1022" s="289">
        <v>0</v>
      </c>
    </row>
    <row r="1023" spans="1:30" ht="15" customHeight="1" x14ac:dyDescent="0.25">
      <c r="A1023" s="282" t="s">
        <v>581</v>
      </c>
      <c r="B1023" s="282" t="s">
        <v>585</v>
      </c>
      <c r="C1023" s="282" t="s">
        <v>586</v>
      </c>
      <c r="D1023" s="283" t="s">
        <v>1690</v>
      </c>
      <c r="E1023" s="404">
        <v>44788</v>
      </c>
      <c r="F1023" s="404">
        <v>46113</v>
      </c>
      <c r="G1023" s="286" t="s">
        <v>1661</v>
      </c>
      <c r="H1023" s="282" t="s">
        <v>1599</v>
      </c>
      <c r="I1023" s="282" t="s">
        <v>1600</v>
      </c>
      <c r="J1023" s="282" t="s">
        <v>156</v>
      </c>
      <c r="K1023" s="286" t="s">
        <v>1601</v>
      </c>
      <c r="L1023" s="282" t="s">
        <v>574</v>
      </c>
      <c r="M1023" s="287">
        <v>2400</v>
      </c>
      <c r="N1023" s="287"/>
      <c r="O1023" s="287"/>
      <c r="P1023" s="287"/>
      <c r="Q1023" s="288">
        <v>249</v>
      </c>
      <c r="R1023" s="288"/>
      <c r="S1023" s="288"/>
      <c r="T1023" s="288"/>
      <c r="U1023" s="288">
        <v>0</v>
      </c>
      <c r="V1023" s="289">
        <v>249</v>
      </c>
      <c r="W1023" s="289">
        <v>0</v>
      </c>
      <c r="X1023" s="288">
        <v>0.10375</v>
      </c>
      <c r="Y1023" s="288">
        <v>0</v>
      </c>
      <c r="Z1023" s="288">
        <v>0</v>
      </c>
      <c r="AA1023" s="288">
        <v>0</v>
      </c>
      <c r="AB1023" s="288">
        <v>0</v>
      </c>
      <c r="AC1023" s="289">
        <v>0.10375</v>
      </c>
      <c r="AD1023" s="289">
        <v>0</v>
      </c>
    </row>
    <row r="1024" spans="1:30" ht="15" customHeight="1" x14ac:dyDescent="0.25">
      <c r="A1024" s="282" t="s">
        <v>581</v>
      </c>
      <c r="B1024" s="282" t="s">
        <v>616</v>
      </c>
      <c r="C1024" s="282" t="s">
        <v>617</v>
      </c>
      <c r="D1024" s="283" t="s">
        <v>1691</v>
      </c>
      <c r="E1024" s="404">
        <v>44788</v>
      </c>
      <c r="F1024" s="404">
        <v>46113</v>
      </c>
      <c r="G1024" s="286" t="s">
        <v>1661</v>
      </c>
      <c r="H1024" s="282" t="s">
        <v>1599</v>
      </c>
      <c r="I1024" s="282" t="s">
        <v>1600</v>
      </c>
      <c r="J1024" s="282" t="s">
        <v>156</v>
      </c>
      <c r="K1024" s="286" t="s">
        <v>1601</v>
      </c>
      <c r="L1024" s="282" t="s">
        <v>574</v>
      </c>
      <c r="M1024" s="287">
        <v>2400</v>
      </c>
      <c r="N1024" s="287"/>
      <c r="O1024" s="287"/>
      <c r="P1024" s="287"/>
      <c r="Q1024" s="288">
        <v>324</v>
      </c>
      <c r="R1024" s="288"/>
      <c r="S1024" s="288"/>
      <c r="T1024" s="288"/>
      <c r="U1024" s="288">
        <v>0</v>
      </c>
      <c r="V1024" s="289">
        <v>324</v>
      </c>
      <c r="W1024" s="289">
        <v>0</v>
      </c>
      <c r="X1024" s="288">
        <v>0.13500000000000001</v>
      </c>
      <c r="Y1024" s="288">
        <v>0</v>
      </c>
      <c r="Z1024" s="288">
        <v>0</v>
      </c>
      <c r="AA1024" s="288">
        <v>0</v>
      </c>
      <c r="AB1024" s="288">
        <v>0</v>
      </c>
      <c r="AC1024" s="289">
        <v>0.13500000000000001</v>
      </c>
      <c r="AD1024" s="289">
        <v>0</v>
      </c>
    </row>
    <row r="1025" spans="1:30" ht="15" customHeight="1" x14ac:dyDescent="0.25">
      <c r="A1025" s="282" t="s">
        <v>581</v>
      </c>
      <c r="B1025" s="282" t="s">
        <v>695</v>
      </c>
      <c r="C1025" s="282" t="s">
        <v>696</v>
      </c>
      <c r="D1025" s="283" t="s">
        <v>1692</v>
      </c>
      <c r="E1025" s="404">
        <v>44788</v>
      </c>
      <c r="F1025" s="404">
        <v>46113</v>
      </c>
      <c r="G1025" s="286" t="s">
        <v>1661</v>
      </c>
      <c r="H1025" s="282" t="s">
        <v>1599</v>
      </c>
      <c r="I1025" s="282" t="s">
        <v>1600</v>
      </c>
      <c r="J1025" s="282" t="s">
        <v>156</v>
      </c>
      <c r="K1025" s="286" t="s">
        <v>1601</v>
      </c>
      <c r="L1025" s="282" t="s">
        <v>574</v>
      </c>
      <c r="M1025" s="287">
        <v>2400</v>
      </c>
      <c r="N1025" s="287"/>
      <c r="O1025" s="287"/>
      <c r="P1025" s="287"/>
      <c r="Q1025" s="288">
        <v>343</v>
      </c>
      <c r="R1025" s="288"/>
      <c r="S1025" s="288"/>
      <c r="T1025" s="288"/>
      <c r="U1025" s="288">
        <v>0</v>
      </c>
      <c r="V1025" s="289">
        <v>343</v>
      </c>
      <c r="W1025" s="289">
        <v>0</v>
      </c>
      <c r="X1025" s="288">
        <v>0.14291666666666666</v>
      </c>
      <c r="Y1025" s="288">
        <v>0</v>
      </c>
      <c r="Z1025" s="288">
        <v>0</v>
      </c>
      <c r="AA1025" s="288">
        <v>0</v>
      </c>
      <c r="AB1025" s="288">
        <v>0</v>
      </c>
      <c r="AC1025" s="289">
        <v>0.14291666666666666</v>
      </c>
      <c r="AD1025" s="289">
        <v>0</v>
      </c>
    </row>
    <row r="1026" spans="1:30" ht="15" customHeight="1" x14ac:dyDescent="0.25">
      <c r="A1026" s="282" t="s">
        <v>581</v>
      </c>
      <c r="B1026" s="282" t="s">
        <v>839</v>
      </c>
      <c r="C1026" s="282" t="s">
        <v>840</v>
      </c>
      <c r="D1026" s="283" t="s">
        <v>1693</v>
      </c>
      <c r="E1026" s="404">
        <v>44788</v>
      </c>
      <c r="F1026" s="404">
        <v>46113</v>
      </c>
      <c r="G1026" s="286" t="s">
        <v>1661</v>
      </c>
      <c r="H1026" s="282" t="s">
        <v>1599</v>
      </c>
      <c r="I1026" s="282" t="s">
        <v>1600</v>
      </c>
      <c r="J1026" s="282" t="s">
        <v>156</v>
      </c>
      <c r="K1026" s="286" t="s">
        <v>1601</v>
      </c>
      <c r="L1026" s="282" t="s">
        <v>574</v>
      </c>
      <c r="M1026" s="287">
        <v>2400</v>
      </c>
      <c r="N1026" s="287"/>
      <c r="O1026" s="287"/>
      <c r="P1026" s="287"/>
      <c r="Q1026" s="288">
        <v>422</v>
      </c>
      <c r="R1026" s="288"/>
      <c r="S1026" s="288"/>
      <c r="T1026" s="288"/>
      <c r="U1026" s="288">
        <v>0</v>
      </c>
      <c r="V1026" s="289">
        <v>422</v>
      </c>
      <c r="W1026" s="289">
        <v>0</v>
      </c>
      <c r="X1026" s="288">
        <v>0.17583333333333334</v>
      </c>
      <c r="Y1026" s="288">
        <v>0</v>
      </c>
      <c r="Z1026" s="288">
        <v>0</v>
      </c>
      <c r="AA1026" s="288">
        <v>0</v>
      </c>
      <c r="AB1026" s="288">
        <v>0</v>
      </c>
      <c r="AC1026" s="289">
        <v>0.17583333333333334</v>
      </c>
      <c r="AD1026" s="289">
        <v>0</v>
      </c>
    </row>
    <row r="1027" spans="1:30" ht="15" customHeight="1" x14ac:dyDescent="0.25">
      <c r="A1027" s="282" t="s">
        <v>581</v>
      </c>
      <c r="B1027" s="282" t="s">
        <v>585</v>
      </c>
      <c r="C1027" s="282" t="s">
        <v>586</v>
      </c>
      <c r="D1027" s="283" t="s">
        <v>1694</v>
      </c>
      <c r="E1027" s="404">
        <v>44788</v>
      </c>
      <c r="F1027" s="404">
        <v>46113</v>
      </c>
      <c r="G1027" s="286" t="s">
        <v>1661</v>
      </c>
      <c r="H1027" s="282" t="s">
        <v>1599</v>
      </c>
      <c r="I1027" s="282" t="s">
        <v>1600</v>
      </c>
      <c r="J1027" s="282" t="s">
        <v>156</v>
      </c>
      <c r="K1027" s="286" t="s">
        <v>1601</v>
      </c>
      <c r="L1027" s="282" t="s">
        <v>574</v>
      </c>
      <c r="M1027" s="287">
        <v>2400</v>
      </c>
      <c r="N1027" s="287"/>
      <c r="O1027" s="287"/>
      <c r="P1027" s="287"/>
      <c r="Q1027" s="288">
        <v>335</v>
      </c>
      <c r="R1027" s="288"/>
      <c r="S1027" s="288"/>
      <c r="T1027" s="288"/>
      <c r="U1027" s="288">
        <v>0</v>
      </c>
      <c r="V1027" s="289">
        <v>335</v>
      </c>
      <c r="W1027" s="289">
        <v>0</v>
      </c>
      <c r="X1027" s="288">
        <v>0.13958333333333334</v>
      </c>
      <c r="Y1027" s="288">
        <v>0</v>
      </c>
      <c r="Z1027" s="288">
        <v>0</v>
      </c>
      <c r="AA1027" s="288">
        <v>0</v>
      </c>
      <c r="AB1027" s="288">
        <v>0</v>
      </c>
      <c r="AC1027" s="289">
        <v>0.13958333333333334</v>
      </c>
      <c r="AD1027" s="289">
        <v>0</v>
      </c>
    </row>
    <row r="1028" spans="1:30" ht="15" customHeight="1" x14ac:dyDescent="0.25">
      <c r="A1028" s="282" t="s">
        <v>581</v>
      </c>
      <c r="B1028" s="282" t="s">
        <v>585</v>
      </c>
      <c r="C1028" s="282" t="s">
        <v>586</v>
      </c>
      <c r="D1028" s="283" t="s">
        <v>1695</v>
      </c>
      <c r="E1028" s="404">
        <v>44788</v>
      </c>
      <c r="F1028" s="404">
        <v>46113</v>
      </c>
      <c r="G1028" s="286" t="s">
        <v>1661</v>
      </c>
      <c r="H1028" s="282" t="s">
        <v>1599</v>
      </c>
      <c r="I1028" s="282" t="s">
        <v>1600</v>
      </c>
      <c r="J1028" s="282" t="s">
        <v>156</v>
      </c>
      <c r="K1028" s="286" t="s">
        <v>1601</v>
      </c>
      <c r="L1028" s="282" t="s">
        <v>574</v>
      </c>
      <c r="M1028" s="287">
        <v>2400</v>
      </c>
      <c r="N1028" s="287"/>
      <c r="O1028" s="287"/>
      <c r="P1028" s="287"/>
      <c r="Q1028" s="288">
        <v>323</v>
      </c>
      <c r="R1028" s="288"/>
      <c r="S1028" s="288"/>
      <c r="T1028" s="288"/>
      <c r="U1028" s="288">
        <v>0</v>
      </c>
      <c r="V1028" s="289">
        <v>323</v>
      </c>
      <c r="W1028" s="289">
        <v>0</v>
      </c>
      <c r="X1028" s="288">
        <v>0.13458333333333333</v>
      </c>
      <c r="Y1028" s="288">
        <v>0</v>
      </c>
      <c r="Z1028" s="288">
        <v>0</v>
      </c>
      <c r="AA1028" s="288">
        <v>0</v>
      </c>
      <c r="AB1028" s="288">
        <v>0</v>
      </c>
      <c r="AC1028" s="289">
        <v>0.13458333333333333</v>
      </c>
      <c r="AD1028" s="289">
        <v>0</v>
      </c>
    </row>
    <row r="1029" spans="1:30" ht="15" customHeight="1" x14ac:dyDescent="0.25">
      <c r="A1029" s="282" t="s">
        <v>581</v>
      </c>
      <c r="B1029" s="282" t="s">
        <v>585</v>
      </c>
      <c r="C1029" s="282" t="s">
        <v>586</v>
      </c>
      <c r="D1029" s="283" t="s">
        <v>1696</v>
      </c>
      <c r="E1029" s="404">
        <v>44788</v>
      </c>
      <c r="F1029" s="404">
        <v>46113</v>
      </c>
      <c r="G1029" s="286" t="s">
        <v>1661</v>
      </c>
      <c r="H1029" s="282" t="s">
        <v>1599</v>
      </c>
      <c r="I1029" s="282" t="s">
        <v>1600</v>
      </c>
      <c r="J1029" s="282" t="s">
        <v>156</v>
      </c>
      <c r="K1029" s="286" t="s">
        <v>1601</v>
      </c>
      <c r="L1029" s="282" t="s">
        <v>574</v>
      </c>
      <c r="M1029" s="287">
        <v>2400</v>
      </c>
      <c r="N1029" s="287"/>
      <c r="O1029" s="287"/>
      <c r="P1029" s="287"/>
      <c r="Q1029" s="288">
        <v>315</v>
      </c>
      <c r="R1029" s="288"/>
      <c r="S1029" s="288"/>
      <c r="T1029" s="288"/>
      <c r="U1029" s="288">
        <v>0</v>
      </c>
      <c r="V1029" s="289">
        <v>315</v>
      </c>
      <c r="W1029" s="289">
        <v>0</v>
      </c>
      <c r="X1029" s="288">
        <v>0.13125000000000001</v>
      </c>
      <c r="Y1029" s="288">
        <v>0</v>
      </c>
      <c r="Z1029" s="288">
        <v>0</v>
      </c>
      <c r="AA1029" s="288">
        <v>0</v>
      </c>
      <c r="AB1029" s="288">
        <v>0</v>
      </c>
      <c r="AC1029" s="289">
        <v>0.13125000000000001</v>
      </c>
      <c r="AD1029" s="289">
        <v>0</v>
      </c>
    </row>
    <row r="1030" spans="1:30" ht="15" customHeight="1" x14ac:dyDescent="0.25">
      <c r="A1030" s="282" t="s">
        <v>581</v>
      </c>
      <c r="B1030" s="282" t="s">
        <v>616</v>
      </c>
      <c r="C1030" s="282" t="s">
        <v>617</v>
      </c>
      <c r="D1030" s="283" t="s">
        <v>1697</v>
      </c>
      <c r="E1030" s="404">
        <v>44788</v>
      </c>
      <c r="F1030" s="404">
        <v>46113</v>
      </c>
      <c r="G1030" s="286" t="s">
        <v>1661</v>
      </c>
      <c r="H1030" s="282" t="s">
        <v>1599</v>
      </c>
      <c r="I1030" s="282" t="s">
        <v>1600</v>
      </c>
      <c r="J1030" s="282" t="s">
        <v>156</v>
      </c>
      <c r="K1030" s="286" t="s">
        <v>1601</v>
      </c>
      <c r="L1030" s="282" t="s">
        <v>574</v>
      </c>
      <c r="M1030" s="287">
        <v>2400</v>
      </c>
      <c r="N1030" s="287"/>
      <c r="O1030" s="287"/>
      <c r="P1030" s="287"/>
      <c r="Q1030" s="288">
        <v>427</v>
      </c>
      <c r="R1030" s="288"/>
      <c r="S1030" s="288"/>
      <c r="T1030" s="288"/>
      <c r="U1030" s="288">
        <v>0</v>
      </c>
      <c r="V1030" s="289">
        <v>427</v>
      </c>
      <c r="W1030" s="289">
        <v>0</v>
      </c>
      <c r="X1030" s="288">
        <v>0.17791666666666667</v>
      </c>
      <c r="Y1030" s="288">
        <v>0</v>
      </c>
      <c r="Z1030" s="288">
        <v>0</v>
      </c>
      <c r="AA1030" s="288">
        <v>0</v>
      </c>
      <c r="AB1030" s="288">
        <v>0</v>
      </c>
      <c r="AC1030" s="289">
        <v>0.17791666666666667</v>
      </c>
      <c r="AD1030" s="289">
        <v>0</v>
      </c>
    </row>
    <row r="1031" spans="1:30" ht="15" customHeight="1" x14ac:dyDescent="0.25">
      <c r="A1031" s="282" t="s">
        <v>581</v>
      </c>
      <c r="B1031" s="282" t="s">
        <v>695</v>
      </c>
      <c r="C1031" s="282" t="s">
        <v>696</v>
      </c>
      <c r="D1031" s="283" t="s">
        <v>1698</v>
      </c>
      <c r="E1031" s="404">
        <v>44788</v>
      </c>
      <c r="F1031" s="404">
        <v>46113</v>
      </c>
      <c r="G1031" s="286" t="s">
        <v>1661</v>
      </c>
      <c r="H1031" s="282" t="s">
        <v>1599</v>
      </c>
      <c r="I1031" s="282" t="s">
        <v>1600</v>
      </c>
      <c r="J1031" s="282" t="s">
        <v>156</v>
      </c>
      <c r="K1031" s="286" t="s">
        <v>1601</v>
      </c>
      <c r="L1031" s="282" t="s">
        <v>574</v>
      </c>
      <c r="M1031" s="287">
        <v>2400</v>
      </c>
      <c r="N1031" s="287"/>
      <c r="O1031" s="287"/>
      <c r="P1031" s="287"/>
      <c r="Q1031" s="288">
        <v>472</v>
      </c>
      <c r="R1031" s="288"/>
      <c r="S1031" s="288"/>
      <c r="T1031" s="288"/>
      <c r="U1031" s="288">
        <v>0</v>
      </c>
      <c r="V1031" s="289">
        <v>472</v>
      </c>
      <c r="W1031" s="289">
        <v>0</v>
      </c>
      <c r="X1031" s="288">
        <v>0.19666666666666666</v>
      </c>
      <c r="Y1031" s="288">
        <v>0</v>
      </c>
      <c r="Z1031" s="288">
        <v>0</v>
      </c>
      <c r="AA1031" s="288">
        <v>0</v>
      </c>
      <c r="AB1031" s="288">
        <v>0</v>
      </c>
      <c r="AC1031" s="289">
        <v>0.19666666666666666</v>
      </c>
      <c r="AD1031" s="289">
        <v>0</v>
      </c>
    </row>
    <row r="1032" spans="1:30" ht="15" customHeight="1" x14ac:dyDescent="0.25">
      <c r="A1032" s="282" t="s">
        <v>581</v>
      </c>
      <c r="B1032" s="282" t="s">
        <v>839</v>
      </c>
      <c r="C1032" s="282" t="s">
        <v>840</v>
      </c>
      <c r="D1032" s="283" t="s">
        <v>1699</v>
      </c>
      <c r="E1032" s="404">
        <v>44788</v>
      </c>
      <c r="F1032" s="404">
        <v>46113</v>
      </c>
      <c r="G1032" s="286" t="s">
        <v>1661</v>
      </c>
      <c r="H1032" s="282" t="s">
        <v>1599</v>
      </c>
      <c r="I1032" s="282" t="s">
        <v>1600</v>
      </c>
      <c r="J1032" s="282" t="s">
        <v>156</v>
      </c>
      <c r="K1032" s="286" t="s">
        <v>1601</v>
      </c>
      <c r="L1032" s="282" t="s">
        <v>574</v>
      </c>
      <c r="M1032" s="287">
        <v>2400</v>
      </c>
      <c r="N1032" s="287"/>
      <c r="O1032" s="287"/>
      <c r="P1032" s="287"/>
      <c r="Q1032" s="288">
        <v>485</v>
      </c>
      <c r="R1032" s="288"/>
      <c r="S1032" s="288"/>
      <c r="T1032" s="288"/>
      <c r="U1032" s="288">
        <v>0</v>
      </c>
      <c r="V1032" s="289">
        <v>485</v>
      </c>
      <c r="W1032" s="289">
        <v>0</v>
      </c>
      <c r="X1032" s="288">
        <v>0.20208333333333334</v>
      </c>
      <c r="Y1032" s="288">
        <v>0</v>
      </c>
      <c r="Z1032" s="288">
        <v>0</v>
      </c>
      <c r="AA1032" s="288">
        <v>0</v>
      </c>
      <c r="AB1032" s="288">
        <v>0</v>
      </c>
      <c r="AC1032" s="289">
        <v>0.20208333333333334</v>
      </c>
      <c r="AD1032" s="289">
        <v>0</v>
      </c>
    </row>
    <row r="1033" spans="1:30" ht="15" customHeight="1" x14ac:dyDescent="0.25">
      <c r="A1033" s="282" t="s">
        <v>581</v>
      </c>
      <c r="B1033" s="282" t="s">
        <v>585</v>
      </c>
      <c r="C1033" s="282" t="s">
        <v>586</v>
      </c>
      <c r="D1033" s="283" t="s">
        <v>1700</v>
      </c>
      <c r="E1033" s="404">
        <v>44788</v>
      </c>
      <c r="F1033" s="404">
        <v>46113</v>
      </c>
      <c r="G1033" s="286" t="s">
        <v>1661</v>
      </c>
      <c r="H1033" s="282" t="s">
        <v>1599</v>
      </c>
      <c r="I1033" s="282" t="s">
        <v>1600</v>
      </c>
      <c r="J1033" s="282" t="s">
        <v>156</v>
      </c>
      <c r="K1033" s="286" t="s">
        <v>1601</v>
      </c>
      <c r="L1033" s="282" t="s">
        <v>574</v>
      </c>
      <c r="M1033" s="287">
        <v>2400</v>
      </c>
      <c r="N1033" s="287"/>
      <c r="O1033" s="287"/>
      <c r="P1033" s="287"/>
      <c r="Q1033" s="288">
        <v>258</v>
      </c>
      <c r="R1033" s="288"/>
      <c r="S1033" s="288"/>
      <c r="T1033" s="288"/>
      <c r="U1033" s="288">
        <v>0</v>
      </c>
      <c r="V1033" s="289">
        <v>258</v>
      </c>
      <c r="W1033" s="289">
        <v>0</v>
      </c>
      <c r="X1033" s="288">
        <v>0.1075</v>
      </c>
      <c r="Y1033" s="288">
        <v>0</v>
      </c>
      <c r="Z1033" s="288">
        <v>0</v>
      </c>
      <c r="AA1033" s="288">
        <v>0</v>
      </c>
      <c r="AB1033" s="288">
        <v>0</v>
      </c>
      <c r="AC1033" s="289">
        <v>0.1075</v>
      </c>
      <c r="AD1033" s="289">
        <v>0</v>
      </c>
    </row>
    <row r="1034" spans="1:30" ht="15" customHeight="1" x14ac:dyDescent="0.25">
      <c r="A1034" s="282" t="s">
        <v>581</v>
      </c>
      <c r="B1034" s="282" t="s">
        <v>616</v>
      </c>
      <c r="C1034" s="282" t="s">
        <v>617</v>
      </c>
      <c r="D1034" s="283" t="s">
        <v>1701</v>
      </c>
      <c r="E1034" s="404">
        <v>44788</v>
      </c>
      <c r="F1034" s="404">
        <v>46113</v>
      </c>
      <c r="G1034" s="286" t="s">
        <v>1661</v>
      </c>
      <c r="H1034" s="282" t="s">
        <v>1599</v>
      </c>
      <c r="I1034" s="282" t="s">
        <v>1600</v>
      </c>
      <c r="J1034" s="282" t="s">
        <v>156</v>
      </c>
      <c r="K1034" s="286" t="s">
        <v>1601</v>
      </c>
      <c r="L1034" s="282" t="s">
        <v>574</v>
      </c>
      <c r="M1034" s="287">
        <v>2400</v>
      </c>
      <c r="N1034" s="287"/>
      <c r="O1034" s="287"/>
      <c r="P1034" s="287"/>
      <c r="Q1034" s="288">
        <v>335</v>
      </c>
      <c r="R1034" s="288"/>
      <c r="S1034" s="288"/>
      <c r="T1034" s="288"/>
      <c r="U1034" s="288">
        <v>0</v>
      </c>
      <c r="V1034" s="289">
        <v>335</v>
      </c>
      <c r="W1034" s="289">
        <v>0</v>
      </c>
      <c r="X1034" s="288">
        <v>0.13958333333333334</v>
      </c>
      <c r="Y1034" s="288">
        <v>0</v>
      </c>
      <c r="Z1034" s="288">
        <v>0</v>
      </c>
      <c r="AA1034" s="288">
        <v>0</v>
      </c>
      <c r="AB1034" s="288">
        <v>0</v>
      </c>
      <c r="AC1034" s="289">
        <v>0.13958333333333334</v>
      </c>
      <c r="AD1034" s="289">
        <v>0</v>
      </c>
    </row>
    <row r="1035" spans="1:30" ht="15" customHeight="1" x14ac:dyDescent="0.25">
      <c r="A1035" s="282" t="s">
        <v>581</v>
      </c>
      <c r="B1035" s="282" t="s">
        <v>695</v>
      </c>
      <c r="C1035" s="282" t="s">
        <v>696</v>
      </c>
      <c r="D1035" s="283" t="s">
        <v>1702</v>
      </c>
      <c r="E1035" s="404">
        <v>44788</v>
      </c>
      <c r="F1035" s="404">
        <v>46113</v>
      </c>
      <c r="G1035" s="286" t="s">
        <v>1661</v>
      </c>
      <c r="H1035" s="282" t="s">
        <v>1599</v>
      </c>
      <c r="I1035" s="282" t="s">
        <v>1600</v>
      </c>
      <c r="J1035" s="282" t="s">
        <v>156</v>
      </c>
      <c r="K1035" s="286" t="s">
        <v>1601</v>
      </c>
      <c r="L1035" s="282" t="s">
        <v>574</v>
      </c>
      <c r="M1035" s="287">
        <v>2400</v>
      </c>
      <c r="N1035" s="287"/>
      <c r="O1035" s="287"/>
      <c r="P1035" s="287"/>
      <c r="Q1035" s="288">
        <v>379</v>
      </c>
      <c r="R1035" s="288"/>
      <c r="S1035" s="288"/>
      <c r="T1035" s="288"/>
      <c r="U1035" s="288">
        <v>0</v>
      </c>
      <c r="V1035" s="289">
        <v>379</v>
      </c>
      <c r="W1035" s="289">
        <v>0</v>
      </c>
      <c r="X1035" s="288">
        <v>0.15791666666666668</v>
      </c>
      <c r="Y1035" s="288">
        <v>0</v>
      </c>
      <c r="Z1035" s="288">
        <v>0</v>
      </c>
      <c r="AA1035" s="288">
        <v>0</v>
      </c>
      <c r="AB1035" s="288">
        <v>0</v>
      </c>
      <c r="AC1035" s="289">
        <v>0.15791666666666668</v>
      </c>
      <c r="AD1035" s="289">
        <v>0</v>
      </c>
    </row>
    <row r="1036" spans="1:30" ht="15" customHeight="1" x14ac:dyDescent="0.25">
      <c r="A1036" s="282" t="s">
        <v>581</v>
      </c>
      <c r="B1036" s="282" t="s">
        <v>585</v>
      </c>
      <c r="C1036" s="282" t="s">
        <v>586</v>
      </c>
      <c r="D1036" s="283" t="s">
        <v>1703</v>
      </c>
      <c r="E1036" s="404">
        <v>44788</v>
      </c>
      <c r="F1036" s="404">
        <v>46113</v>
      </c>
      <c r="G1036" s="286" t="s">
        <v>1661</v>
      </c>
      <c r="H1036" s="282" t="s">
        <v>1599</v>
      </c>
      <c r="I1036" s="282" t="s">
        <v>1600</v>
      </c>
      <c r="J1036" s="282" t="s">
        <v>156</v>
      </c>
      <c r="K1036" s="286" t="s">
        <v>1601</v>
      </c>
      <c r="L1036" s="282" t="s">
        <v>574</v>
      </c>
      <c r="M1036" s="287">
        <v>2400</v>
      </c>
      <c r="N1036" s="287"/>
      <c r="O1036" s="287"/>
      <c r="P1036" s="287"/>
      <c r="Q1036" s="288">
        <v>309</v>
      </c>
      <c r="R1036" s="288"/>
      <c r="S1036" s="288"/>
      <c r="T1036" s="288"/>
      <c r="U1036" s="288">
        <v>0</v>
      </c>
      <c r="V1036" s="289">
        <v>309</v>
      </c>
      <c r="W1036" s="289">
        <v>0</v>
      </c>
      <c r="X1036" s="288">
        <v>0.12875</v>
      </c>
      <c r="Y1036" s="288">
        <v>0</v>
      </c>
      <c r="Z1036" s="288">
        <v>0</v>
      </c>
      <c r="AA1036" s="288">
        <v>0</v>
      </c>
      <c r="AB1036" s="288">
        <v>0</v>
      </c>
      <c r="AC1036" s="289">
        <v>0.12875</v>
      </c>
      <c r="AD1036" s="289">
        <v>0</v>
      </c>
    </row>
    <row r="1037" spans="1:30" ht="15" customHeight="1" x14ac:dyDescent="0.25">
      <c r="A1037" s="282" t="s">
        <v>581</v>
      </c>
      <c r="B1037" s="282" t="s">
        <v>628</v>
      </c>
      <c r="C1037" s="282" t="s">
        <v>629</v>
      </c>
      <c r="D1037" s="283" t="s">
        <v>1704</v>
      </c>
      <c r="E1037" s="404">
        <v>44788</v>
      </c>
      <c r="F1037" s="404">
        <v>46113</v>
      </c>
      <c r="G1037" s="286" t="s">
        <v>1661</v>
      </c>
      <c r="H1037" s="282" t="s">
        <v>1599</v>
      </c>
      <c r="I1037" s="282" t="s">
        <v>1600</v>
      </c>
      <c r="J1037" s="282" t="s">
        <v>156</v>
      </c>
      <c r="K1037" s="286" t="s">
        <v>1601</v>
      </c>
      <c r="L1037" s="282" t="s">
        <v>574</v>
      </c>
      <c r="M1037" s="287">
        <v>2400</v>
      </c>
      <c r="N1037" s="287"/>
      <c r="O1037" s="287"/>
      <c r="P1037" s="287"/>
      <c r="Q1037" s="288">
        <v>252</v>
      </c>
      <c r="R1037" s="288"/>
      <c r="S1037" s="288"/>
      <c r="T1037" s="288"/>
      <c r="U1037" s="288">
        <v>0</v>
      </c>
      <c r="V1037" s="289">
        <v>252</v>
      </c>
      <c r="W1037" s="289">
        <v>0</v>
      </c>
      <c r="X1037" s="288">
        <v>0.105</v>
      </c>
      <c r="Y1037" s="288">
        <v>0</v>
      </c>
      <c r="Z1037" s="288">
        <v>0</v>
      </c>
      <c r="AA1037" s="288">
        <v>0</v>
      </c>
      <c r="AB1037" s="288">
        <v>0</v>
      </c>
      <c r="AC1037" s="289">
        <v>0.105</v>
      </c>
      <c r="AD1037" s="289">
        <v>0</v>
      </c>
    </row>
    <row r="1038" spans="1:30" ht="15" customHeight="1" x14ac:dyDescent="0.25">
      <c r="A1038" s="282" t="s">
        <v>581</v>
      </c>
      <c r="B1038" s="282" t="s">
        <v>611</v>
      </c>
      <c r="C1038" s="282" t="s">
        <v>612</v>
      </c>
      <c r="D1038" s="283" t="s">
        <v>1705</v>
      </c>
      <c r="E1038" s="404">
        <v>44788</v>
      </c>
      <c r="F1038" s="404">
        <v>46113</v>
      </c>
      <c r="G1038" s="286" t="s">
        <v>1661</v>
      </c>
      <c r="H1038" s="282" t="s">
        <v>1599</v>
      </c>
      <c r="I1038" s="282" t="s">
        <v>1600</v>
      </c>
      <c r="J1038" s="282" t="s">
        <v>156</v>
      </c>
      <c r="K1038" s="286" t="s">
        <v>1601</v>
      </c>
      <c r="L1038" s="282" t="s">
        <v>574</v>
      </c>
      <c r="M1038" s="287">
        <v>2400</v>
      </c>
      <c r="N1038" s="287"/>
      <c r="O1038" s="287"/>
      <c r="P1038" s="287"/>
      <c r="Q1038" s="288">
        <v>218</v>
      </c>
      <c r="R1038" s="288"/>
      <c r="S1038" s="288"/>
      <c r="T1038" s="288"/>
      <c r="U1038" s="288">
        <v>0</v>
      </c>
      <c r="V1038" s="289">
        <v>218</v>
      </c>
      <c r="W1038" s="289">
        <v>0</v>
      </c>
      <c r="X1038" s="288">
        <v>9.0833333333333335E-2</v>
      </c>
      <c r="Y1038" s="288">
        <v>0</v>
      </c>
      <c r="Z1038" s="288">
        <v>0</v>
      </c>
      <c r="AA1038" s="288">
        <v>0</v>
      </c>
      <c r="AB1038" s="288">
        <v>0</v>
      </c>
      <c r="AC1038" s="289">
        <v>9.0833333333333335E-2</v>
      </c>
      <c r="AD1038" s="289">
        <v>0</v>
      </c>
    </row>
    <row r="1039" spans="1:30" ht="15" customHeight="1" x14ac:dyDescent="0.25">
      <c r="A1039" s="282" t="s">
        <v>581</v>
      </c>
      <c r="B1039" s="282" t="s">
        <v>585</v>
      </c>
      <c r="C1039" s="282" t="s">
        <v>586</v>
      </c>
      <c r="D1039" s="283" t="s">
        <v>1706</v>
      </c>
      <c r="E1039" s="404">
        <v>44788</v>
      </c>
      <c r="F1039" s="404">
        <v>46113</v>
      </c>
      <c r="G1039" s="286" t="s">
        <v>1661</v>
      </c>
      <c r="H1039" s="282" t="s">
        <v>1599</v>
      </c>
      <c r="I1039" s="282" t="s">
        <v>1600</v>
      </c>
      <c r="J1039" s="282" t="s">
        <v>156</v>
      </c>
      <c r="K1039" s="286" t="s">
        <v>1601</v>
      </c>
      <c r="L1039" s="282" t="s">
        <v>574</v>
      </c>
      <c r="M1039" s="287">
        <v>2400</v>
      </c>
      <c r="N1039" s="287"/>
      <c r="O1039" s="287"/>
      <c r="P1039" s="287"/>
      <c r="Q1039" s="288">
        <v>247</v>
      </c>
      <c r="R1039" s="288"/>
      <c r="S1039" s="288"/>
      <c r="T1039" s="288"/>
      <c r="U1039" s="288">
        <v>0</v>
      </c>
      <c r="V1039" s="289">
        <v>247</v>
      </c>
      <c r="W1039" s="289">
        <v>0</v>
      </c>
      <c r="X1039" s="288">
        <v>0.10291666666666667</v>
      </c>
      <c r="Y1039" s="288">
        <v>0</v>
      </c>
      <c r="Z1039" s="288">
        <v>0</v>
      </c>
      <c r="AA1039" s="288">
        <v>0</v>
      </c>
      <c r="AB1039" s="288">
        <v>0</v>
      </c>
      <c r="AC1039" s="289">
        <v>0.10291666666666667</v>
      </c>
      <c r="AD1039" s="289">
        <v>0</v>
      </c>
    </row>
    <row r="1040" spans="1:30" ht="15" customHeight="1" x14ac:dyDescent="0.25">
      <c r="A1040" s="282" t="s">
        <v>581</v>
      </c>
      <c r="B1040" s="282" t="s">
        <v>611</v>
      </c>
      <c r="C1040" s="282" t="s">
        <v>612</v>
      </c>
      <c r="D1040" s="283" t="s">
        <v>1707</v>
      </c>
      <c r="E1040" s="404">
        <v>44788</v>
      </c>
      <c r="F1040" s="404">
        <v>46113</v>
      </c>
      <c r="G1040" s="286" t="s">
        <v>1661</v>
      </c>
      <c r="H1040" s="282" t="s">
        <v>1599</v>
      </c>
      <c r="I1040" s="282" t="s">
        <v>1600</v>
      </c>
      <c r="J1040" s="282" t="s">
        <v>156</v>
      </c>
      <c r="K1040" s="286" t="s">
        <v>1601</v>
      </c>
      <c r="L1040" s="282" t="s">
        <v>574</v>
      </c>
      <c r="M1040" s="287">
        <v>2400</v>
      </c>
      <c r="N1040" s="287"/>
      <c r="O1040" s="287"/>
      <c r="P1040" s="287"/>
      <c r="Q1040" s="288">
        <v>287</v>
      </c>
      <c r="R1040" s="288"/>
      <c r="S1040" s="288"/>
      <c r="T1040" s="288"/>
      <c r="U1040" s="288">
        <v>0</v>
      </c>
      <c r="V1040" s="289">
        <v>287</v>
      </c>
      <c r="W1040" s="289">
        <v>0</v>
      </c>
      <c r="X1040" s="288">
        <v>0.11958333333333333</v>
      </c>
      <c r="Y1040" s="288">
        <v>0</v>
      </c>
      <c r="Z1040" s="288">
        <v>0</v>
      </c>
      <c r="AA1040" s="288">
        <v>0</v>
      </c>
      <c r="AB1040" s="288">
        <v>0</v>
      </c>
      <c r="AC1040" s="289">
        <v>0.11958333333333333</v>
      </c>
      <c r="AD1040" s="289">
        <v>0</v>
      </c>
    </row>
    <row r="1041" spans="1:30" ht="15" customHeight="1" x14ac:dyDescent="0.25">
      <c r="A1041" s="282" t="s">
        <v>581</v>
      </c>
      <c r="B1041" s="282" t="s">
        <v>606</v>
      </c>
      <c r="C1041" s="282" t="s">
        <v>260</v>
      </c>
      <c r="D1041" s="283" t="s">
        <v>1708</v>
      </c>
      <c r="E1041" s="404">
        <v>44788</v>
      </c>
      <c r="F1041" s="404">
        <v>46113</v>
      </c>
      <c r="G1041" s="286" t="s">
        <v>1661</v>
      </c>
      <c r="H1041" s="282" t="s">
        <v>1599</v>
      </c>
      <c r="I1041" s="282" t="s">
        <v>1600</v>
      </c>
      <c r="J1041" s="282" t="s">
        <v>156</v>
      </c>
      <c r="K1041" s="286" t="s">
        <v>1601</v>
      </c>
      <c r="L1041" s="282" t="s">
        <v>574</v>
      </c>
      <c r="M1041" s="287">
        <v>2400</v>
      </c>
      <c r="N1041" s="287"/>
      <c r="O1041" s="287"/>
      <c r="P1041" s="287"/>
      <c r="Q1041" s="288">
        <v>193</v>
      </c>
      <c r="R1041" s="288"/>
      <c r="S1041" s="288"/>
      <c r="T1041" s="288"/>
      <c r="U1041" s="288">
        <v>0</v>
      </c>
      <c r="V1041" s="289">
        <v>193</v>
      </c>
      <c r="W1041" s="289">
        <v>0</v>
      </c>
      <c r="X1041" s="288">
        <v>8.0416666666666664E-2</v>
      </c>
      <c r="Y1041" s="288">
        <v>0</v>
      </c>
      <c r="Z1041" s="288">
        <v>0</v>
      </c>
      <c r="AA1041" s="288">
        <v>0</v>
      </c>
      <c r="AB1041" s="288">
        <v>0</v>
      </c>
      <c r="AC1041" s="289">
        <v>8.0416666666666664E-2</v>
      </c>
      <c r="AD1041" s="289">
        <v>0</v>
      </c>
    </row>
    <row r="1042" spans="1:30" ht="15" customHeight="1" x14ac:dyDescent="0.25">
      <c r="A1042" s="282" t="s">
        <v>581</v>
      </c>
      <c r="B1042" s="282" t="s">
        <v>1709</v>
      </c>
      <c r="C1042" s="282" t="s">
        <v>978</v>
      </c>
      <c r="D1042" s="283" t="s">
        <v>1710</v>
      </c>
      <c r="E1042" s="404">
        <v>44788</v>
      </c>
      <c r="F1042" s="404">
        <v>46113</v>
      </c>
      <c r="G1042" s="286" t="s">
        <v>1661</v>
      </c>
      <c r="H1042" s="282" t="s">
        <v>1599</v>
      </c>
      <c r="I1042" s="282" t="s">
        <v>1600</v>
      </c>
      <c r="J1042" s="282" t="s">
        <v>156</v>
      </c>
      <c r="K1042" s="286" t="s">
        <v>1601</v>
      </c>
      <c r="L1042" s="282" t="s">
        <v>574</v>
      </c>
      <c r="M1042" s="287">
        <v>1750</v>
      </c>
      <c r="N1042" s="287"/>
      <c r="O1042" s="287"/>
      <c r="P1042" s="287"/>
      <c r="Q1042" s="288">
        <v>123</v>
      </c>
      <c r="R1042" s="288"/>
      <c r="S1042" s="288"/>
      <c r="T1042" s="288"/>
      <c r="U1042" s="288">
        <v>0</v>
      </c>
      <c r="V1042" s="289">
        <v>123</v>
      </c>
      <c r="W1042" s="289">
        <v>0</v>
      </c>
      <c r="X1042" s="288">
        <v>7.0285714285714285E-2</v>
      </c>
      <c r="Y1042" s="288">
        <v>0</v>
      </c>
      <c r="Z1042" s="288">
        <v>0</v>
      </c>
      <c r="AA1042" s="288">
        <v>0</v>
      </c>
      <c r="AB1042" s="288">
        <v>0</v>
      </c>
      <c r="AC1042" s="289">
        <v>7.0285714285714285E-2</v>
      </c>
      <c r="AD1042" s="289">
        <v>0</v>
      </c>
    </row>
    <row r="1043" spans="1:30" ht="15" customHeight="1" x14ac:dyDescent="0.25">
      <c r="A1043" s="282" t="s">
        <v>581</v>
      </c>
      <c r="B1043" s="282" t="s">
        <v>1709</v>
      </c>
      <c r="C1043" s="282" t="s">
        <v>978</v>
      </c>
      <c r="D1043" s="283" t="s">
        <v>1711</v>
      </c>
      <c r="E1043" s="404">
        <v>44788</v>
      </c>
      <c r="F1043" s="404">
        <v>46113</v>
      </c>
      <c r="G1043" s="286" t="s">
        <v>1661</v>
      </c>
      <c r="H1043" s="282" t="s">
        <v>1599</v>
      </c>
      <c r="I1043" s="282" t="s">
        <v>1600</v>
      </c>
      <c r="J1043" s="282" t="s">
        <v>156</v>
      </c>
      <c r="K1043" s="286" t="s">
        <v>1601</v>
      </c>
      <c r="L1043" s="282" t="s">
        <v>574</v>
      </c>
      <c r="M1043" s="287">
        <v>1750</v>
      </c>
      <c r="N1043" s="287"/>
      <c r="O1043" s="287"/>
      <c r="P1043" s="287"/>
      <c r="Q1043" s="288">
        <v>210</v>
      </c>
      <c r="R1043" s="288"/>
      <c r="S1043" s="288"/>
      <c r="T1043" s="288"/>
      <c r="U1043" s="288">
        <v>0</v>
      </c>
      <c r="V1043" s="289">
        <v>210</v>
      </c>
      <c r="W1043" s="289">
        <v>0</v>
      </c>
      <c r="X1043" s="288">
        <v>0.12</v>
      </c>
      <c r="Y1043" s="288">
        <v>0</v>
      </c>
      <c r="Z1043" s="288">
        <v>0</v>
      </c>
      <c r="AA1043" s="288">
        <v>0</v>
      </c>
      <c r="AB1043" s="288">
        <v>0</v>
      </c>
      <c r="AC1043" s="289">
        <v>0.12</v>
      </c>
      <c r="AD1043" s="289">
        <v>0</v>
      </c>
    </row>
    <row r="1044" spans="1:30" ht="15" customHeight="1" x14ac:dyDescent="0.25">
      <c r="A1044" s="282" t="s">
        <v>581</v>
      </c>
      <c r="B1044" s="282" t="s">
        <v>616</v>
      </c>
      <c r="C1044" s="282" t="s">
        <v>617</v>
      </c>
      <c r="D1044" s="283" t="s">
        <v>1712</v>
      </c>
      <c r="E1044" s="404">
        <v>44788</v>
      </c>
      <c r="F1044" s="404">
        <v>46113</v>
      </c>
      <c r="G1044" s="286" t="s">
        <v>1661</v>
      </c>
      <c r="H1044" s="282" t="s">
        <v>1599</v>
      </c>
      <c r="I1044" s="282" t="s">
        <v>1600</v>
      </c>
      <c r="J1044" s="282" t="s">
        <v>156</v>
      </c>
      <c r="K1044" s="286" t="s">
        <v>1601</v>
      </c>
      <c r="L1044" s="282" t="s">
        <v>574</v>
      </c>
      <c r="M1044" s="287">
        <v>2400</v>
      </c>
      <c r="N1044" s="287"/>
      <c r="O1044" s="287"/>
      <c r="P1044" s="287"/>
      <c r="Q1044" s="288">
        <v>313</v>
      </c>
      <c r="R1044" s="288"/>
      <c r="S1044" s="288"/>
      <c r="T1044" s="288"/>
      <c r="U1044" s="288">
        <v>0</v>
      </c>
      <c r="V1044" s="289">
        <v>313</v>
      </c>
      <c r="W1044" s="289">
        <v>0</v>
      </c>
      <c r="X1044" s="288">
        <v>0.13041666666666665</v>
      </c>
      <c r="Y1044" s="288">
        <v>0</v>
      </c>
      <c r="Z1044" s="288">
        <v>0</v>
      </c>
      <c r="AA1044" s="288">
        <v>0</v>
      </c>
      <c r="AB1044" s="288">
        <v>0</v>
      </c>
      <c r="AC1044" s="289">
        <v>0.13041666666666665</v>
      </c>
      <c r="AD1044" s="289">
        <v>0</v>
      </c>
    </row>
    <row r="1045" spans="1:30" ht="15" customHeight="1" x14ac:dyDescent="0.25">
      <c r="A1045" s="282" t="s">
        <v>581</v>
      </c>
      <c r="B1045" s="282" t="s">
        <v>585</v>
      </c>
      <c r="C1045" s="282" t="s">
        <v>586</v>
      </c>
      <c r="D1045" s="283" t="s">
        <v>1713</v>
      </c>
      <c r="E1045" s="404">
        <v>44788</v>
      </c>
      <c r="F1045" s="404">
        <v>46113</v>
      </c>
      <c r="G1045" s="286" t="s">
        <v>1661</v>
      </c>
      <c r="H1045" s="282" t="s">
        <v>1599</v>
      </c>
      <c r="I1045" s="282" t="s">
        <v>1600</v>
      </c>
      <c r="J1045" s="282" t="s">
        <v>156</v>
      </c>
      <c r="K1045" s="286" t="s">
        <v>1601</v>
      </c>
      <c r="L1045" s="282" t="s">
        <v>574</v>
      </c>
      <c r="M1045" s="287">
        <v>2400</v>
      </c>
      <c r="N1045" s="287"/>
      <c r="O1045" s="287"/>
      <c r="P1045" s="287"/>
      <c r="Q1045" s="288">
        <v>308</v>
      </c>
      <c r="R1045" s="288"/>
      <c r="S1045" s="288"/>
      <c r="T1045" s="288"/>
      <c r="U1045" s="288">
        <v>0</v>
      </c>
      <c r="V1045" s="289">
        <v>308</v>
      </c>
      <c r="W1045" s="289">
        <v>0</v>
      </c>
      <c r="X1045" s="288">
        <v>0.12833333333333333</v>
      </c>
      <c r="Y1045" s="288">
        <v>0</v>
      </c>
      <c r="Z1045" s="288">
        <v>0</v>
      </c>
      <c r="AA1045" s="288">
        <v>0</v>
      </c>
      <c r="AB1045" s="288">
        <v>0</v>
      </c>
      <c r="AC1045" s="289">
        <v>0.12833333333333333</v>
      </c>
      <c r="AD1045" s="289">
        <v>0</v>
      </c>
    </row>
    <row r="1046" spans="1:30" ht="15" customHeight="1" x14ac:dyDescent="0.25">
      <c r="A1046" s="282" t="s">
        <v>581</v>
      </c>
      <c r="B1046" s="282" t="s">
        <v>585</v>
      </c>
      <c r="C1046" s="282" t="s">
        <v>586</v>
      </c>
      <c r="D1046" s="283" t="s">
        <v>1714</v>
      </c>
      <c r="E1046" s="404">
        <v>44788</v>
      </c>
      <c r="F1046" s="404">
        <v>46113</v>
      </c>
      <c r="G1046" s="286" t="s">
        <v>1661</v>
      </c>
      <c r="H1046" s="282" t="s">
        <v>1599</v>
      </c>
      <c r="I1046" s="282" t="s">
        <v>1600</v>
      </c>
      <c r="J1046" s="282" t="s">
        <v>156</v>
      </c>
      <c r="K1046" s="286" t="s">
        <v>1601</v>
      </c>
      <c r="L1046" s="282" t="s">
        <v>574</v>
      </c>
      <c r="M1046" s="287">
        <v>2400</v>
      </c>
      <c r="N1046" s="287"/>
      <c r="O1046" s="287"/>
      <c r="P1046" s="287"/>
      <c r="Q1046" s="288">
        <v>314</v>
      </c>
      <c r="R1046" s="288"/>
      <c r="S1046" s="288"/>
      <c r="T1046" s="288"/>
      <c r="U1046" s="288">
        <v>0</v>
      </c>
      <c r="V1046" s="289">
        <v>314</v>
      </c>
      <c r="W1046" s="289">
        <v>0</v>
      </c>
      <c r="X1046" s="288">
        <v>0.13083333333333333</v>
      </c>
      <c r="Y1046" s="288">
        <v>0</v>
      </c>
      <c r="Z1046" s="288">
        <v>0</v>
      </c>
      <c r="AA1046" s="288">
        <v>0</v>
      </c>
      <c r="AB1046" s="288">
        <v>0</v>
      </c>
      <c r="AC1046" s="289">
        <v>0.13083333333333333</v>
      </c>
      <c r="AD1046" s="289">
        <v>0</v>
      </c>
    </row>
    <row r="1047" spans="1:30" ht="15" customHeight="1" x14ac:dyDescent="0.25">
      <c r="A1047" s="282" t="s">
        <v>581</v>
      </c>
      <c r="B1047" s="282" t="s">
        <v>585</v>
      </c>
      <c r="C1047" s="282" t="s">
        <v>586</v>
      </c>
      <c r="D1047" s="283" t="s">
        <v>1715</v>
      </c>
      <c r="E1047" s="404">
        <v>44788</v>
      </c>
      <c r="F1047" s="404">
        <v>46113</v>
      </c>
      <c r="G1047" s="286" t="s">
        <v>1661</v>
      </c>
      <c r="H1047" s="282" t="s">
        <v>1599</v>
      </c>
      <c r="I1047" s="282" t="s">
        <v>1600</v>
      </c>
      <c r="J1047" s="282" t="s">
        <v>156</v>
      </c>
      <c r="K1047" s="286" t="s">
        <v>1601</v>
      </c>
      <c r="L1047" s="282" t="s">
        <v>574</v>
      </c>
      <c r="M1047" s="287">
        <v>2400</v>
      </c>
      <c r="N1047" s="287"/>
      <c r="O1047" s="287"/>
      <c r="P1047" s="287"/>
      <c r="Q1047" s="288">
        <v>322</v>
      </c>
      <c r="R1047" s="288"/>
      <c r="S1047" s="288"/>
      <c r="T1047" s="288"/>
      <c r="U1047" s="288">
        <v>0</v>
      </c>
      <c r="V1047" s="289">
        <v>322</v>
      </c>
      <c r="W1047" s="289">
        <v>0</v>
      </c>
      <c r="X1047" s="288">
        <v>0.13416666666666666</v>
      </c>
      <c r="Y1047" s="288">
        <v>0</v>
      </c>
      <c r="Z1047" s="288">
        <v>0</v>
      </c>
      <c r="AA1047" s="288">
        <v>0</v>
      </c>
      <c r="AB1047" s="288">
        <v>0</v>
      </c>
      <c r="AC1047" s="289">
        <v>0.13416666666666666</v>
      </c>
      <c r="AD1047" s="289">
        <v>0</v>
      </c>
    </row>
    <row r="1048" spans="1:30" ht="15" customHeight="1" x14ac:dyDescent="0.25">
      <c r="A1048" s="282" t="s">
        <v>581</v>
      </c>
      <c r="B1048" s="282" t="s">
        <v>616</v>
      </c>
      <c r="C1048" s="282" t="s">
        <v>617</v>
      </c>
      <c r="D1048" s="283" t="s">
        <v>1716</v>
      </c>
      <c r="E1048" s="404">
        <v>44788</v>
      </c>
      <c r="F1048" s="404">
        <v>46113</v>
      </c>
      <c r="G1048" s="286" t="s">
        <v>1661</v>
      </c>
      <c r="H1048" s="282" t="s">
        <v>1599</v>
      </c>
      <c r="I1048" s="282" t="s">
        <v>1600</v>
      </c>
      <c r="J1048" s="282" t="s">
        <v>156</v>
      </c>
      <c r="K1048" s="286" t="s">
        <v>1601</v>
      </c>
      <c r="L1048" s="282" t="s">
        <v>574</v>
      </c>
      <c r="M1048" s="287">
        <v>2400</v>
      </c>
      <c r="N1048" s="287"/>
      <c r="O1048" s="287"/>
      <c r="P1048" s="287"/>
      <c r="Q1048" s="288">
        <v>341</v>
      </c>
      <c r="R1048" s="288"/>
      <c r="S1048" s="288"/>
      <c r="T1048" s="288"/>
      <c r="U1048" s="288">
        <v>0</v>
      </c>
      <c r="V1048" s="289">
        <v>341</v>
      </c>
      <c r="W1048" s="289">
        <v>0</v>
      </c>
      <c r="X1048" s="288">
        <v>0.14208333333333334</v>
      </c>
      <c r="Y1048" s="288">
        <v>0</v>
      </c>
      <c r="Z1048" s="288">
        <v>0</v>
      </c>
      <c r="AA1048" s="288">
        <v>0</v>
      </c>
      <c r="AB1048" s="288">
        <v>0</v>
      </c>
      <c r="AC1048" s="289">
        <v>0.14208333333333334</v>
      </c>
      <c r="AD1048" s="289">
        <v>0</v>
      </c>
    </row>
    <row r="1049" spans="1:30" ht="15" customHeight="1" x14ac:dyDescent="0.25">
      <c r="A1049" s="282" t="s">
        <v>581</v>
      </c>
      <c r="B1049" s="282" t="s">
        <v>616</v>
      </c>
      <c r="C1049" s="282" t="s">
        <v>617</v>
      </c>
      <c r="D1049" s="283" t="s">
        <v>1717</v>
      </c>
      <c r="E1049" s="404">
        <v>44788</v>
      </c>
      <c r="F1049" s="404">
        <v>46113</v>
      </c>
      <c r="G1049" s="286" t="s">
        <v>1661</v>
      </c>
      <c r="H1049" s="282" t="s">
        <v>1599</v>
      </c>
      <c r="I1049" s="282" t="s">
        <v>1600</v>
      </c>
      <c r="J1049" s="282" t="s">
        <v>156</v>
      </c>
      <c r="K1049" s="286" t="s">
        <v>1601</v>
      </c>
      <c r="L1049" s="282" t="s">
        <v>574</v>
      </c>
      <c r="M1049" s="287">
        <v>2400</v>
      </c>
      <c r="N1049" s="287"/>
      <c r="O1049" s="287"/>
      <c r="P1049" s="287"/>
      <c r="Q1049" s="288">
        <v>426</v>
      </c>
      <c r="R1049" s="288"/>
      <c r="S1049" s="288"/>
      <c r="T1049" s="288"/>
      <c r="U1049" s="288">
        <v>0</v>
      </c>
      <c r="V1049" s="289">
        <v>426</v>
      </c>
      <c r="W1049" s="289">
        <v>0</v>
      </c>
      <c r="X1049" s="288">
        <v>0.17749999999999999</v>
      </c>
      <c r="Y1049" s="288">
        <v>0</v>
      </c>
      <c r="Z1049" s="288">
        <v>0</v>
      </c>
      <c r="AA1049" s="288">
        <v>0</v>
      </c>
      <c r="AB1049" s="288">
        <v>0</v>
      </c>
      <c r="AC1049" s="289">
        <v>0.17749999999999999</v>
      </c>
      <c r="AD1049" s="289">
        <v>0</v>
      </c>
    </row>
    <row r="1050" spans="1:30" ht="15" customHeight="1" x14ac:dyDescent="0.25">
      <c r="A1050" s="282" t="s">
        <v>581</v>
      </c>
      <c r="B1050" s="282" t="s">
        <v>616</v>
      </c>
      <c r="C1050" s="282" t="s">
        <v>617</v>
      </c>
      <c r="D1050" s="283" t="s">
        <v>1718</v>
      </c>
      <c r="E1050" s="404">
        <v>44788</v>
      </c>
      <c r="F1050" s="404">
        <v>46113</v>
      </c>
      <c r="G1050" s="286" t="s">
        <v>1661</v>
      </c>
      <c r="H1050" s="282" t="s">
        <v>1599</v>
      </c>
      <c r="I1050" s="282" t="s">
        <v>1600</v>
      </c>
      <c r="J1050" s="282" t="s">
        <v>156</v>
      </c>
      <c r="K1050" s="286" t="s">
        <v>1601</v>
      </c>
      <c r="L1050" s="282" t="s">
        <v>574</v>
      </c>
      <c r="M1050" s="287">
        <v>2400</v>
      </c>
      <c r="N1050" s="287"/>
      <c r="O1050" s="287"/>
      <c r="P1050" s="287"/>
      <c r="Q1050" s="288">
        <v>101</v>
      </c>
      <c r="R1050" s="288"/>
      <c r="S1050" s="288"/>
      <c r="T1050" s="288"/>
      <c r="U1050" s="288">
        <v>0</v>
      </c>
      <c r="V1050" s="289">
        <v>101</v>
      </c>
      <c r="W1050" s="289">
        <v>0</v>
      </c>
      <c r="X1050" s="288">
        <v>4.2083333333333334E-2</v>
      </c>
      <c r="Y1050" s="288">
        <v>0</v>
      </c>
      <c r="Z1050" s="288">
        <v>0</v>
      </c>
      <c r="AA1050" s="288">
        <v>0</v>
      </c>
      <c r="AB1050" s="288">
        <v>0</v>
      </c>
      <c r="AC1050" s="289">
        <v>4.2083333333333334E-2</v>
      </c>
      <c r="AD1050" s="289">
        <v>0</v>
      </c>
    </row>
    <row r="1051" spans="1:30" ht="15" customHeight="1" x14ac:dyDescent="0.25">
      <c r="A1051" s="282" t="s">
        <v>581</v>
      </c>
      <c r="B1051" s="282" t="s">
        <v>594</v>
      </c>
      <c r="C1051" s="282" t="s">
        <v>595</v>
      </c>
      <c r="D1051" s="283" t="s">
        <v>1719</v>
      </c>
      <c r="E1051" s="404">
        <v>44788</v>
      </c>
      <c r="F1051" s="404">
        <v>46113</v>
      </c>
      <c r="G1051" s="286" t="s">
        <v>1661</v>
      </c>
      <c r="H1051" s="282" t="s">
        <v>1599</v>
      </c>
      <c r="I1051" s="282" t="s">
        <v>1600</v>
      </c>
      <c r="J1051" s="282" t="s">
        <v>156</v>
      </c>
      <c r="K1051" s="286" t="s">
        <v>1601</v>
      </c>
      <c r="L1051" s="282" t="s">
        <v>574</v>
      </c>
      <c r="M1051" s="287">
        <v>2400</v>
      </c>
      <c r="N1051" s="287"/>
      <c r="O1051" s="287"/>
      <c r="P1051" s="287"/>
      <c r="Q1051" s="288">
        <v>263</v>
      </c>
      <c r="R1051" s="288"/>
      <c r="S1051" s="288"/>
      <c r="T1051" s="288"/>
      <c r="U1051" s="288">
        <v>0</v>
      </c>
      <c r="V1051" s="289">
        <v>263</v>
      </c>
      <c r="W1051" s="289">
        <v>0</v>
      </c>
      <c r="X1051" s="288">
        <v>0.10958333333333334</v>
      </c>
      <c r="Y1051" s="288">
        <v>0</v>
      </c>
      <c r="Z1051" s="288">
        <v>0</v>
      </c>
      <c r="AA1051" s="288">
        <v>0</v>
      </c>
      <c r="AB1051" s="288">
        <v>0</v>
      </c>
      <c r="AC1051" s="289">
        <v>0.10958333333333334</v>
      </c>
      <c r="AD1051" s="289">
        <v>0</v>
      </c>
    </row>
    <row r="1052" spans="1:30" ht="15" customHeight="1" x14ac:dyDescent="0.25">
      <c r="A1052" s="282" t="s">
        <v>581</v>
      </c>
      <c r="B1052" s="282" t="s">
        <v>628</v>
      </c>
      <c r="C1052" s="282" t="s">
        <v>629</v>
      </c>
      <c r="D1052" s="283" t="s">
        <v>1720</v>
      </c>
      <c r="E1052" s="404">
        <v>44788</v>
      </c>
      <c r="F1052" s="404">
        <v>46113</v>
      </c>
      <c r="G1052" s="286" t="s">
        <v>799</v>
      </c>
      <c r="H1052" s="282" t="s">
        <v>1599</v>
      </c>
      <c r="I1052" s="282" t="s">
        <v>1600</v>
      </c>
      <c r="J1052" s="282" t="s">
        <v>156</v>
      </c>
      <c r="K1052" s="286" t="s">
        <v>1601</v>
      </c>
      <c r="L1052" s="282" t="s">
        <v>574</v>
      </c>
      <c r="M1052" s="287">
        <v>2400</v>
      </c>
      <c r="N1052" s="287"/>
      <c r="O1052" s="287"/>
      <c r="P1052" s="287"/>
      <c r="Q1052" s="288">
        <v>288</v>
      </c>
      <c r="R1052" s="288"/>
      <c r="S1052" s="288"/>
      <c r="T1052" s="288"/>
      <c r="U1052" s="288">
        <v>0</v>
      </c>
      <c r="V1052" s="289">
        <v>288</v>
      </c>
      <c r="W1052" s="289">
        <v>0</v>
      </c>
      <c r="X1052" s="288">
        <v>0.12</v>
      </c>
      <c r="Y1052" s="288">
        <v>0</v>
      </c>
      <c r="Z1052" s="288">
        <v>0</v>
      </c>
      <c r="AA1052" s="288">
        <v>0</v>
      </c>
      <c r="AB1052" s="288">
        <v>0</v>
      </c>
      <c r="AC1052" s="289">
        <v>0.12</v>
      </c>
      <c r="AD1052" s="289">
        <v>0</v>
      </c>
    </row>
    <row r="1053" spans="1:30" ht="15" customHeight="1" x14ac:dyDescent="0.25">
      <c r="A1053" s="282" t="s">
        <v>581</v>
      </c>
      <c r="B1053" s="282" t="s">
        <v>628</v>
      </c>
      <c r="C1053" s="282" t="s">
        <v>629</v>
      </c>
      <c r="D1053" s="283" t="s">
        <v>1720</v>
      </c>
      <c r="E1053" s="404">
        <v>44788</v>
      </c>
      <c r="F1053" s="404">
        <v>46113</v>
      </c>
      <c r="G1053" s="286" t="s">
        <v>799</v>
      </c>
      <c r="H1053" s="282" t="s">
        <v>1599</v>
      </c>
      <c r="I1053" s="282" t="s">
        <v>1600</v>
      </c>
      <c r="J1053" s="282" t="s">
        <v>156</v>
      </c>
      <c r="K1053" s="286" t="s">
        <v>1601</v>
      </c>
      <c r="L1053" s="282" t="s">
        <v>574</v>
      </c>
      <c r="M1053" s="287">
        <v>2400</v>
      </c>
      <c r="N1053" s="287"/>
      <c r="O1053" s="287"/>
      <c r="P1053" s="287"/>
      <c r="Q1053" s="288">
        <v>288</v>
      </c>
      <c r="R1053" s="288"/>
      <c r="S1053" s="288"/>
      <c r="T1053" s="288"/>
      <c r="U1053" s="288">
        <v>0</v>
      </c>
      <c r="V1053" s="289">
        <v>288</v>
      </c>
      <c r="W1053" s="289">
        <v>0</v>
      </c>
      <c r="X1053" s="288">
        <v>0.12</v>
      </c>
      <c r="Y1053" s="288">
        <v>0</v>
      </c>
      <c r="Z1053" s="288">
        <v>0</v>
      </c>
      <c r="AA1053" s="288">
        <v>0</v>
      </c>
      <c r="AB1053" s="288">
        <v>0</v>
      </c>
      <c r="AC1053" s="289">
        <v>0.12</v>
      </c>
      <c r="AD1053" s="289">
        <v>0</v>
      </c>
    </row>
    <row r="1054" spans="1:30" ht="15" customHeight="1" x14ac:dyDescent="0.25">
      <c r="A1054" s="282" t="s">
        <v>581</v>
      </c>
      <c r="B1054" s="282" t="s">
        <v>628</v>
      </c>
      <c r="C1054" s="282" t="s">
        <v>629</v>
      </c>
      <c r="D1054" s="283" t="s">
        <v>1720</v>
      </c>
      <c r="E1054" s="404">
        <v>44788</v>
      </c>
      <c r="F1054" s="404">
        <v>46113</v>
      </c>
      <c r="G1054" s="286" t="s">
        <v>799</v>
      </c>
      <c r="H1054" s="282" t="s">
        <v>1599</v>
      </c>
      <c r="I1054" s="282" t="s">
        <v>1600</v>
      </c>
      <c r="J1054" s="282" t="s">
        <v>156</v>
      </c>
      <c r="K1054" s="286" t="s">
        <v>1601</v>
      </c>
      <c r="L1054" s="282" t="s">
        <v>574</v>
      </c>
      <c r="M1054" s="287">
        <v>2400</v>
      </c>
      <c r="N1054" s="287"/>
      <c r="O1054" s="287"/>
      <c r="P1054" s="287"/>
      <c r="Q1054" s="288">
        <v>288</v>
      </c>
      <c r="R1054" s="288"/>
      <c r="S1054" s="288"/>
      <c r="T1054" s="288"/>
      <c r="U1054" s="288">
        <v>0</v>
      </c>
      <c r="V1054" s="289">
        <v>288</v>
      </c>
      <c r="W1054" s="289">
        <v>0</v>
      </c>
      <c r="X1054" s="288">
        <v>0.12</v>
      </c>
      <c r="Y1054" s="288">
        <v>0</v>
      </c>
      <c r="Z1054" s="288">
        <v>0</v>
      </c>
      <c r="AA1054" s="288">
        <v>0</v>
      </c>
      <c r="AB1054" s="288">
        <v>0</v>
      </c>
      <c r="AC1054" s="289">
        <v>0.12</v>
      </c>
      <c r="AD1054" s="289">
        <v>0</v>
      </c>
    </row>
    <row r="1055" spans="1:30" ht="15" customHeight="1" x14ac:dyDescent="0.25">
      <c r="A1055" s="282" t="s">
        <v>581</v>
      </c>
      <c r="B1055" s="282" t="s">
        <v>611</v>
      </c>
      <c r="C1055" s="282" t="s">
        <v>612</v>
      </c>
      <c r="D1055" s="283" t="s">
        <v>1721</v>
      </c>
      <c r="E1055" s="404">
        <v>44788</v>
      </c>
      <c r="F1055" s="404">
        <v>46113</v>
      </c>
      <c r="G1055" s="286" t="s">
        <v>799</v>
      </c>
      <c r="H1055" s="282" t="s">
        <v>1599</v>
      </c>
      <c r="I1055" s="282" t="s">
        <v>1600</v>
      </c>
      <c r="J1055" s="282" t="s">
        <v>156</v>
      </c>
      <c r="K1055" s="286" t="s">
        <v>1601</v>
      </c>
      <c r="L1055" s="282" t="s">
        <v>574</v>
      </c>
      <c r="M1055" s="287">
        <v>2400</v>
      </c>
      <c r="N1055" s="287"/>
      <c r="O1055" s="287"/>
      <c r="P1055" s="287"/>
      <c r="Q1055" s="288">
        <v>314</v>
      </c>
      <c r="R1055" s="288"/>
      <c r="S1055" s="288"/>
      <c r="T1055" s="288"/>
      <c r="U1055" s="288">
        <v>0</v>
      </c>
      <c r="V1055" s="289">
        <v>314</v>
      </c>
      <c r="W1055" s="289">
        <v>0</v>
      </c>
      <c r="X1055" s="288">
        <v>0.13083333333333333</v>
      </c>
      <c r="Y1055" s="288">
        <v>0</v>
      </c>
      <c r="Z1055" s="288">
        <v>0</v>
      </c>
      <c r="AA1055" s="288">
        <v>0</v>
      </c>
      <c r="AB1055" s="288">
        <v>0</v>
      </c>
      <c r="AC1055" s="289">
        <v>0.13083333333333333</v>
      </c>
      <c r="AD1055" s="289">
        <v>0</v>
      </c>
    </row>
    <row r="1056" spans="1:30" ht="15" customHeight="1" x14ac:dyDescent="0.25">
      <c r="A1056" s="282" t="s">
        <v>581</v>
      </c>
      <c r="B1056" s="282" t="s">
        <v>585</v>
      </c>
      <c r="C1056" s="282" t="s">
        <v>586</v>
      </c>
      <c r="D1056" s="283" t="s">
        <v>1722</v>
      </c>
      <c r="E1056" s="404">
        <v>44788</v>
      </c>
      <c r="F1056" s="404">
        <v>46113</v>
      </c>
      <c r="G1056" s="286" t="s">
        <v>799</v>
      </c>
      <c r="H1056" s="282" t="s">
        <v>1599</v>
      </c>
      <c r="I1056" s="282" t="s">
        <v>1600</v>
      </c>
      <c r="J1056" s="282" t="s">
        <v>156</v>
      </c>
      <c r="K1056" s="286" t="s">
        <v>1601</v>
      </c>
      <c r="L1056" s="282" t="s">
        <v>574</v>
      </c>
      <c r="M1056" s="287">
        <v>2400</v>
      </c>
      <c r="N1056" s="287"/>
      <c r="O1056" s="287"/>
      <c r="P1056" s="287"/>
      <c r="Q1056" s="288">
        <v>357</v>
      </c>
      <c r="R1056" s="288"/>
      <c r="S1056" s="288"/>
      <c r="T1056" s="288"/>
      <c r="U1056" s="288">
        <v>0</v>
      </c>
      <c r="V1056" s="289">
        <v>357</v>
      </c>
      <c r="W1056" s="289">
        <v>0</v>
      </c>
      <c r="X1056" s="288">
        <v>0.14874999999999999</v>
      </c>
      <c r="Y1056" s="288">
        <v>0</v>
      </c>
      <c r="Z1056" s="288">
        <v>0</v>
      </c>
      <c r="AA1056" s="288">
        <v>0</v>
      </c>
      <c r="AB1056" s="288">
        <v>0</v>
      </c>
      <c r="AC1056" s="289">
        <v>0.14874999999999999</v>
      </c>
      <c r="AD1056" s="289">
        <v>0</v>
      </c>
    </row>
    <row r="1057" spans="1:30" ht="15" customHeight="1" x14ac:dyDescent="0.25">
      <c r="A1057" s="282" t="s">
        <v>581</v>
      </c>
      <c r="B1057" s="282" t="s">
        <v>616</v>
      </c>
      <c r="C1057" s="282" t="s">
        <v>617</v>
      </c>
      <c r="D1057" s="283" t="s">
        <v>1723</v>
      </c>
      <c r="E1057" s="404">
        <v>44788</v>
      </c>
      <c r="F1057" s="404">
        <v>46113</v>
      </c>
      <c r="G1057" s="286" t="s">
        <v>799</v>
      </c>
      <c r="H1057" s="282" t="s">
        <v>1599</v>
      </c>
      <c r="I1057" s="282" t="s">
        <v>1600</v>
      </c>
      <c r="J1057" s="282" t="s">
        <v>156</v>
      </c>
      <c r="K1057" s="286" t="s">
        <v>1601</v>
      </c>
      <c r="L1057" s="282" t="s">
        <v>574</v>
      </c>
      <c r="M1057" s="287">
        <v>2400</v>
      </c>
      <c r="N1057" s="287"/>
      <c r="O1057" s="287"/>
      <c r="P1057" s="287"/>
      <c r="Q1057" s="288">
        <v>454</v>
      </c>
      <c r="R1057" s="288"/>
      <c r="S1057" s="288"/>
      <c r="T1057" s="288"/>
      <c r="U1057" s="288">
        <v>0</v>
      </c>
      <c r="V1057" s="289">
        <v>454</v>
      </c>
      <c r="W1057" s="289">
        <v>0</v>
      </c>
      <c r="X1057" s="288">
        <v>0.18916666666666668</v>
      </c>
      <c r="Y1057" s="288">
        <v>0</v>
      </c>
      <c r="Z1057" s="288">
        <v>0</v>
      </c>
      <c r="AA1057" s="288">
        <v>0</v>
      </c>
      <c r="AB1057" s="288">
        <v>0</v>
      </c>
      <c r="AC1057" s="289">
        <v>0.18916666666666668</v>
      </c>
      <c r="AD1057" s="289">
        <v>0</v>
      </c>
    </row>
    <row r="1058" spans="1:30" ht="15" customHeight="1" x14ac:dyDescent="0.25">
      <c r="A1058" s="282" t="s">
        <v>581</v>
      </c>
      <c r="B1058" s="282" t="s">
        <v>594</v>
      </c>
      <c r="C1058" s="282" t="s">
        <v>595</v>
      </c>
      <c r="D1058" s="283" t="s">
        <v>1724</v>
      </c>
      <c r="E1058" s="404">
        <v>44788</v>
      </c>
      <c r="F1058" s="404">
        <v>46113</v>
      </c>
      <c r="G1058" s="286" t="s">
        <v>799</v>
      </c>
      <c r="H1058" s="282" t="s">
        <v>1599</v>
      </c>
      <c r="I1058" s="282" t="s">
        <v>1600</v>
      </c>
      <c r="J1058" s="282" t="s">
        <v>156</v>
      </c>
      <c r="K1058" s="286" t="s">
        <v>1601</v>
      </c>
      <c r="L1058" s="282" t="s">
        <v>574</v>
      </c>
      <c r="M1058" s="287">
        <v>2400</v>
      </c>
      <c r="N1058" s="287"/>
      <c r="O1058" s="287"/>
      <c r="P1058" s="287"/>
      <c r="Q1058" s="288">
        <v>209</v>
      </c>
      <c r="R1058" s="288"/>
      <c r="S1058" s="288"/>
      <c r="T1058" s="288"/>
      <c r="U1058" s="288">
        <v>0</v>
      </c>
      <c r="V1058" s="289">
        <v>209</v>
      </c>
      <c r="W1058" s="289">
        <v>0</v>
      </c>
      <c r="X1058" s="288">
        <v>8.7083333333333332E-2</v>
      </c>
      <c r="Y1058" s="288">
        <v>0</v>
      </c>
      <c r="Z1058" s="288">
        <v>0</v>
      </c>
      <c r="AA1058" s="288">
        <v>0</v>
      </c>
      <c r="AB1058" s="288">
        <v>0</v>
      </c>
      <c r="AC1058" s="289">
        <v>8.7083333333333332E-2</v>
      </c>
      <c r="AD1058" s="289">
        <v>0</v>
      </c>
    </row>
    <row r="1059" spans="1:30" ht="15" customHeight="1" x14ac:dyDescent="0.25">
      <c r="A1059" s="282" t="s">
        <v>581</v>
      </c>
      <c r="B1059" s="282" t="s">
        <v>628</v>
      </c>
      <c r="C1059" s="282" t="s">
        <v>629</v>
      </c>
      <c r="D1059" s="283" t="s">
        <v>1725</v>
      </c>
      <c r="E1059" s="404">
        <v>44788</v>
      </c>
      <c r="F1059" s="404">
        <v>46113</v>
      </c>
      <c r="G1059" s="286" t="s">
        <v>799</v>
      </c>
      <c r="H1059" s="282" t="s">
        <v>1599</v>
      </c>
      <c r="I1059" s="282" t="s">
        <v>1600</v>
      </c>
      <c r="J1059" s="282" t="s">
        <v>156</v>
      </c>
      <c r="K1059" s="286" t="s">
        <v>1601</v>
      </c>
      <c r="L1059" s="282" t="s">
        <v>574</v>
      </c>
      <c r="M1059" s="287">
        <v>2400</v>
      </c>
      <c r="N1059" s="287"/>
      <c r="O1059" s="287"/>
      <c r="P1059" s="287"/>
      <c r="Q1059" s="288">
        <v>230</v>
      </c>
      <c r="R1059" s="288"/>
      <c r="S1059" s="288"/>
      <c r="T1059" s="288"/>
      <c r="U1059" s="288">
        <v>0</v>
      </c>
      <c r="V1059" s="289">
        <v>230</v>
      </c>
      <c r="W1059" s="289">
        <v>0</v>
      </c>
      <c r="X1059" s="288">
        <v>9.583333333333334E-2</v>
      </c>
      <c r="Y1059" s="288">
        <v>0</v>
      </c>
      <c r="Z1059" s="288">
        <v>0</v>
      </c>
      <c r="AA1059" s="288">
        <v>0</v>
      </c>
      <c r="AB1059" s="288">
        <v>0</v>
      </c>
      <c r="AC1059" s="289">
        <v>9.583333333333334E-2</v>
      </c>
      <c r="AD1059" s="289">
        <v>0</v>
      </c>
    </row>
    <row r="1060" spans="1:30" ht="15" customHeight="1" x14ac:dyDescent="0.25">
      <c r="A1060" s="282" t="s">
        <v>581</v>
      </c>
      <c r="B1060" s="282" t="s">
        <v>611</v>
      </c>
      <c r="C1060" s="282" t="s">
        <v>612</v>
      </c>
      <c r="D1060" s="283" t="s">
        <v>1726</v>
      </c>
      <c r="E1060" s="404">
        <v>44788</v>
      </c>
      <c r="F1060" s="404">
        <v>46113</v>
      </c>
      <c r="G1060" s="286" t="s">
        <v>799</v>
      </c>
      <c r="H1060" s="282" t="s">
        <v>1599</v>
      </c>
      <c r="I1060" s="282" t="s">
        <v>1600</v>
      </c>
      <c r="J1060" s="282" t="s">
        <v>156</v>
      </c>
      <c r="K1060" s="286" t="s">
        <v>1601</v>
      </c>
      <c r="L1060" s="282" t="s">
        <v>574</v>
      </c>
      <c r="M1060" s="287">
        <v>2400</v>
      </c>
      <c r="N1060" s="287"/>
      <c r="O1060" s="287"/>
      <c r="P1060" s="287"/>
      <c r="Q1060" s="288">
        <v>260</v>
      </c>
      <c r="R1060" s="288"/>
      <c r="S1060" s="288"/>
      <c r="T1060" s="288"/>
      <c r="U1060" s="288">
        <v>0</v>
      </c>
      <c r="V1060" s="289">
        <v>260</v>
      </c>
      <c r="W1060" s="289">
        <v>0</v>
      </c>
      <c r="X1060" s="288">
        <v>0.10833333333333334</v>
      </c>
      <c r="Y1060" s="288">
        <v>0</v>
      </c>
      <c r="Z1060" s="288">
        <v>0</v>
      </c>
      <c r="AA1060" s="288">
        <v>0</v>
      </c>
      <c r="AB1060" s="288">
        <v>0</v>
      </c>
      <c r="AC1060" s="289">
        <v>0.10833333333333334</v>
      </c>
      <c r="AD1060" s="289">
        <v>0</v>
      </c>
    </row>
    <row r="1061" spans="1:30" ht="15" customHeight="1" x14ac:dyDescent="0.25">
      <c r="A1061" s="282" t="s">
        <v>581</v>
      </c>
      <c r="B1061" s="282" t="s">
        <v>585</v>
      </c>
      <c r="C1061" s="282" t="s">
        <v>586</v>
      </c>
      <c r="D1061" s="283" t="s">
        <v>1727</v>
      </c>
      <c r="E1061" s="404">
        <v>44788</v>
      </c>
      <c r="F1061" s="404">
        <v>46113</v>
      </c>
      <c r="G1061" s="286" t="s">
        <v>799</v>
      </c>
      <c r="H1061" s="282" t="s">
        <v>1599</v>
      </c>
      <c r="I1061" s="282" t="s">
        <v>1600</v>
      </c>
      <c r="J1061" s="282" t="s">
        <v>156</v>
      </c>
      <c r="K1061" s="286" t="s">
        <v>1601</v>
      </c>
      <c r="L1061" s="282" t="s">
        <v>574</v>
      </c>
      <c r="M1061" s="287">
        <v>2400</v>
      </c>
      <c r="N1061" s="287"/>
      <c r="O1061" s="287"/>
      <c r="P1061" s="287"/>
      <c r="Q1061" s="288">
        <v>333</v>
      </c>
      <c r="R1061" s="288"/>
      <c r="S1061" s="288"/>
      <c r="T1061" s="288"/>
      <c r="U1061" s="288">
        <v>0</v>
      </c>
      <c r="V1061" s="289">
        <v>333</v>
      </c>
      <c r="W1061" s="289">
        <v>0</v>
      </c>
      <c r="X1061" s="288">
        <v>0.13875000000000001</v>
      </c>
      <c r="Y1061" s="288">
        <v>0</v>
      </c>
      <c r="Z1061" s="288">
        <v>0</v>
      </c>
      <c r="AA1061" s="288">
        <v>0</v>
      </c>
      <c r="AB1061" s="288">
        <v>0</v>
      </c>
      <c r="AC1061" s="289">
        <v>0.13875000000000001</v>
      </c>
      <c r="AD1061" s="289">
        <v>0</v>
      </c>
    </row>
    <row r="1062" spans="1:30" ht="15" customHeight="1" x14ac:dyDescent="0.25">
      <c r="A1062" s="282" t="s">
        <v>581</v>
      </c>
      <c r="B1062" s="282" t="s">
        <v>616</v>
      </c>
      <c r="C1062" s="282" t="s">
        <v>617</v>
      </c>
      <c r="D1062" s="283" t="s">
        <v>1728</v>
      </c>
      <c r="E1062" s="404">
        <v>44788</v>
      </c>
      <c r="F1062" s="404">
        <v>46113</v>
      </c>
      <c r="G1062" s="286" t="s">
        <v>799</v>
      </c>
      <c r="H1062" s="282" t="s">
        <v>1599</v>
      </c>
      <c r="I1062" s="282" t="s">
        <v>1600</v>
      </c>
      <c r="J1062" s="282" t="s">
        <v>156</v>
      </c>
      <c r="K1062" s="286" t="s">
        <v>1601</v>
      </c>
      <c r="L1062" s="282" t="s">
        <v>574</v>
      </c>
      <c r="M1062" s="287">
        <v>2400</v>
      </c>
      <c r="N1062" s="287"/>
      <c r="O1062" s="287"/>
      <c r="P1062" s="287"/>
      <c r="Q1062" s="288">
        <v>421</v>
      </c>
      <c r="R1062" s="288"/>
      <c r="S1062" s="288"/>
      <c r="T1062" s="288"/>
      <c r="U1062" s="288">
        <v>0</v>
      </c>
      <c r="V1062" s="289">
        <v>421</v>
      </c>
      <c r="W1062" s="289">
        <v>0</v>
      </c>
      <c r="X1062" s="288">
        <v>0.17541666666666667</v>
      </c>
      <c r="Y1062" s="288">
        <v>0</v>
      </c>
      <c r="Z1062" s="288">
        <v>0</v>
      </c>
      <c r="AA1062" s="288">
        <v>0</v>
      </c>
      <c r="AB1062" s="288">
        <v>0</v>
      </c>
      <c r="AC1062" s="289">
        <v>0.17541666666666667</v>
      </c>
      <c r="AD1062" s="289">
        <v>0</v>
      </c>
    </row>
    <row r="1063" spans="1:30" ht="15" customHeight="1" x14ac:dyDescent="0.25">
      <c r="A1063" s="282" t="s">
        <v>581</v>
      </c>
      <c r="B1063" s="282" t="s">
        <v>594</v>
      </c>
      <c r="C1063" s="282" t="s">
        <v>595</v>
      </c>
      <c r="D1063" s="283" t="s">
        <v>1729</v>
      </c>
      <c r="E1063" s="404">
        <v>44788</v>
      </c>
      <c r="F1063" s="404">
        <v>46113</v>
      </c>
      <c r="G1063" s="286" t="s">
        <v>799</v>
      </c>
      <c r="H1063" s="282" t="s">
        <v>1599</v>
      </c>
      <c r="I1063" s="282" t="s">
        <v>1600</v>
      </c>
      <c r="J1063" s="282" t="s">
        <v>156</v>
      </c>
      <c r="K1063" s="286" t="s">
        <v>1601</v>
      </c>
      <c r="L1063" s="282" t="s">
        <v>574</v>
      </c>
      <c r="M1063" s="287">
        <v>2400</v>
      </c>
      <c r="N1063" s="287"/>
      <c r="O1063" s="287"/>
      <c r="P1063" s="287"/>
      <c r="Q1063" s="288">
        <v>192</v>
      </c>
      <c r="R1063" s="288"/>
      <c r="S1063" s="288"/>
      <c r="T1063" s="288"/>
      <c r="U1063" s="288">
        <v>0</v>
      </c>
      <c r="V1063" s="289">
        <v>192</v>
      </c>
      <c r="W1063" s="289">
        <v>0</v>
      </c>
      <c r="X1063" s="288">
        <v>0.08</v>
      </c>
      <c r="Y1063" s="288">
        <v>0</v>
      </c>
      <c r="Z1063" s="288">
        <v>0</v>
      </c>
      <c r="AA1063" s="288">
        <v>0</v>
      </c>
      <c r="AB1063" s="288">
        <v>0</v>
      </c>
      <c r="AC1063" s="289">
        <v>0.08</v>
      </c>
      <c r="AD1063" s="289">
        <v>0</v>
      </c>
    </row>
    <row r="1064" spans="1:30" ht="15" customHeight="1" x14ac:dyDescent="0.25">
      <c r="A1064" s="282" t="s">
        <v>581</v>
      </c>
      <c r="B1064" s="282" t="s">
        <v>628</v>
      </c>
      <c r="C1064" s="282" t="s">
        <v>629</v>
      </c>
      <c r="D1064" s="283" t="s">
        <v>1730</v>
      </c>
      <c r="E1064" s="404">
        <v>44788</v>
      </c>
      <c r="F1064" s="404">
        <v>46113</v>
      </c>
      <c r="G1064" s="286" t="s">
        <v>799</v>
      </c>
      <c r="H1064" s="282" t="s">
        <v>1599</v>
      </c>
      <c r="I1064" s="282" t="s">
        <v>1600</v>
      </c>
      <c r="J1064" s="282" t="s">
        <v>156</v>
      </c>
      <c r="K1064" s="286" t="s">
        <v>1601</v>
      </c>
      <c r="L1064" s="282" t="s">
        <v>574</v>
      </c>
      <c r="M1064" s="287">
        <v>2400</v>
      </c>
      <c r="N1064" s="287"/>
      <c r="O1064" s="287"/>
      <c r="P1064" s="287"/>
      <c r="Q1064" s="288">
        <v>204</v>
      </c>
      <c r="R1064" s="288"/>
      <c r="S1064" s="288"/>
      <c r="T1064" s="288"/>
      <c r="U1064" s="288">
        <v>0</v>
      </c>
      <c r="V1064" s="289">
        <v>204</v>
      </c>
      <c r="W1064" s="289">
        <v>0</v>
      </c>
      <c r="X1064" s="288">
        <v>8.5000000000000006E-2</v>
      </c>
      <c r="Y1064" s="288">
        <v>0</v>
      </c>
      <c r="Z1064" s="288">
        <v>0</v>
      </c>
      <c r="AA1064" s="288">
        <v>0</v>
      </c>
      <c r="AB1064" s="288">
        <v>0</v>
      </c>
      <c r="AC1064" s="289">
        <v>8.5000000000000006E-2</v>
      </c>
      <c r="AD1064" s="289">
        <v>0</v>
      </c>
    </row>
    <row r="1065" spans="1:30" ht="15" customHeight="1" x14ac:dyDescent="0.25">
      <c r="A1065" s="282" t="s">
        <v>581</v>
      </c>
      <c r="B1065" s="282" t="s">
        <v>611</v>
      </c>
      <c r="C1065" s="282" t="s">
        <v>612</v>
      </c>
      <c r="D1065" s="283" t="s">
        <v>1731</v>
      </c>
      <c r="E1065" s="404">
        <v>44788</v>
      </c>
      <c r="F1065" s="404">
        <v>46113</v>
      </c>
      <c r="G1065" s="286" t="s">
        <v>799</v>
      </c>
      <c r="H1065" s="282" t="s">
        <v>1599</v>
      </c>
      <c r="I1065" s="282" t="s">
        <v>1600</v>
      </c>
      <c r="J1065" s="282" t="s">
        <v>156</v>
      </c>
      <c r="K1065" s="286" t="s">
        <v>1601</v>
      </c>
      <c r="L1065" s="282" t="s">
        <v>574</v>
      </c>
      <c r="M1065" s="287">
        <v>2400</v>
      </c>
      <c r="N1065" s="287"/>
      <c r="O1065" s="287"/>
      <c r="P1065" s="287"/>
      <c r="Q1065" s="288">
        <v>221</v>
      </c>
      <c r="R1065" s="288"/>
      <c r="S1065" s="288"/>
      <c r="T1065" s="288"/>
      <c r="U1065" s="288">
        <v>0</v>
      </c>
      <c r="V1065" s="289">
        <v>221</v>
      </c>
      <c r="W1065" s="289">
        <v>0</v>
      </c>
      <c r="X1065" s="288">
        <v>9.2083333333333336E-2</v>
      </c>
      <c r="Y1065" s="288">
        <v>0</v>
      </c>
      <c r="Z1065" s="288">
        <v>0</v>
      </c>
      <c r="AA1065" s="288">
        <v>0</v>
      </c>
      <c r="AB1065" s="288">
        <v>0</v>
      </c>
      <c r="AC1065" s="289">
        <v>9.2083333333333336E-2</v>
      </c>
      <c r="AD1065" s="289">
        <v>0</v>
      </c>
    </row>
    <row r="1066" spans="1:30" ht="15" customHeight="1" x14ac:dyDescent="0.25">
      <c r="A1066" s="282" t="s">
        <v>581</v>
      </c>
      <c r="B1066" s="282" t="s">
        <v>585</v>
      </c>
      <c r="C1066" s="282" t="s">
        <v>586</v>
      </c>
      <c r="D1066" s="283" t="s">
        <v>1732</v>
      </c>
      <c r="E1066" s="404">
        <v>44788</v>
      </c>
      <c r="F1066" s="404">
        <v>46113</v>
      </c>
      <c r="G1066" s="286" t="s">
        <v>799</v>
      </c>
      <c r="H1066" s="282" t="s">
        <v>1599</v>
      </c>
      <c r="I1066" s="282" t="s">
        <v>1600</v>
      </c>
      <c r="J1066" s="282" t="s">
        <v>156</v>
      </c>
      <c r="K1066" s="286" t="s">
        <v>1601</v>
      </c>
      <c r="L1066" s="282" t="s">
        <v>574</v>
      </c>
      <c r="M1066" s="287">
        <v>2400</v>
      </c>
      <c r="N1066" s="287"/>
      <c r="O1066" s="287"/>
      <c r="P1066" s="287"/>
      <c r="Q1066" s="288">
        <v>250</v>
      </c>
      <c r="R1066" s="288"/>
      <c r="S1066" s="288"/>
      <c r="T1066" s="288"/>
      <c r="U1066" s="288">
        <v>0</v>
      </c>
      <c r="V1066" s="289">
        <v>250</v>
      </c>
      <c r="W1066" s="289">
        <v>0</v>
      </c>
      <c r="X1066" s="288">
        <v>0.10416666666666667</v>
      </c>
      <c r="Y1066" s="288">
        <v>0</v>
      </c>
      <c r="Z1066" s="288">
        <v>0</v>
      </c>
      <c r="AA1066" s="288">
        <v>0</v>
      </c>
      <c r="AB1066" s="288">
        <v>0</v>
      </c>
      <c r="AC1066" s="289">
        <v>0.10416666666666667</v>
      </c>
      <c r="AD1066" s="289">
        <v>0</v>
      </c>
    </row>
    <row r="1067" spans="1:30" ht="15" customHeight="1" x14ac:dyDescent="0.25">
      <c r="A1067" s="282" t="s">
        <v>581</v>
      </c>
      <c r="B1067" s="282" t="s">
        <v>616</v>
      </c>
      <c r="C1067" s="282" t="s">
        <v>617</v>
      </c>
      <c r="D1067" s="283" t="s">
        <v>1733</v>
      </c>
      <c r="E1067" s="404">
        <v>44788</v>
      </c>
      <c r="F1067" s="404">
        <v>46113</v>
      </c>
      <c r="G1067" s="286" t="s">
        <v>799</v>
      </c>
      <c r="H1067" s="282" t="s">
        <v>1599</v>
      </c>
      <c r="I1067" s="282" t="s">
        <v>1600</v>
      </c>
      <c r="J1067" s="282" t="s">
        <v>156</v>
      </c>
      <c r="K1067" s="286" t="s">
        <v>1601</v>
      </c>
      <c r="L1067" s="282" t="s">
        <v>574</v>
      </c>
      <c r="M1067" s="287">
        <v>2400</v>
      </c>
      <c r="N1067" s="287"/>
      <c r="O1067" s="287"/>
      <c r="P1067" s="287"/>
      <c r="Q1067" s="288">
        <v>316</v>
      </c>
      <c r="R1067" s="288"/>
      <c r="S1067" s="288"/>
      <c r="T1067" s="288"/>
      <c r="U1067" s="288">
        <v>0</v>
      </c>
      <c r="V1067" s="289">
        <v>316</v>
      </c>
      <c r="W1067" s="289">
        <v>0</v>
      </c>
      <c r="X1067" s="288">
        <v>0.13166666666666665</v>
      </c>
      <c r="Y1067" s="288">
        <v>0</v>
      </c>
      <c r="Z1067" s="288">
        <v>0</v>
      </c>
      <c r="AA1067" s="288">
        <v>0</v>
      </c>
      <c r="AB1067" s="288">
        <v>0</v>
      </c>
      <c r="AC1067" s="289">
        <v>0.13166666666666665</v>
      </c>
      <c r="AD1067" s="289">
        <v>0</v>
      </c>
    </row>
    <row r="1068" spans="1:30" ht="15" customHeight="1" x14ac:dyDescent="0.25">
      <c r="A1068" s="282" t="s">
        <v>581</v>
      </c>
      <c r="B1068" s="282" t="s">
        <v>594</v>
      </c>
      <c r="C1068" s="282" t="s">
        <v>595</v>
      </c>
      <c r="D1068" s="283" t="s">
        <v>1734</v>
      </c>
      <c r="E1068" s="404">
        <v>44788</v>
      </c>
      <c r="F1068" s="404">
        <v>46113</v>
      </c>
      <c r="G1068" s="286" t="s">
        <v>799</v>
      </c>
      <c r="H1068" s="282" t="s">
        <v>1599</v>
      </c>
      <c r="I1068" s="282" t="s">
        <v>1600</v>
      </c>
      <c r="J1068" s="282" t="s">
        <v>156</v>
      </c>
      <c r="K1068" s="286" t="s">
        <v>1601</v>
      </c>
      <c r="L1068" s="282" t="s">
        <v>574</v>
      </c>
      <c r="M1068" s="287">
        <v>2400</v>
      </c>
      <c r="N1068" s="287"/>
      <c r="O1068" s="287"/>
      <c r="P1068" s="287"/>
      <c r="Q1068" s="288">
        <v>159</v>
      </c>
      <c r="R1068" s="288"/>
      <c r="S1068" s="288"/>
      <c r="T1068" s="288"/>
      <c r="U1068" s="288">
        <v>0</v>
      </c>
      <c r="V1068" s="289">
        <v>159</v>
      </c>
      <c r="W1068" s="289">
        <v>0</v>
      </c>
      <c r="X1068" s="288">
        <v>6.6250000000000003E-2</v>
      </c>
      <c r="Y1068" s="288">
        <v>0</v>
      </c>
      <c r="Z1068" s="288">
        <v>0</v>
      </c>
      <c r="AA1068" s="288">
        <v>0</v>
      </c>
      <c r="AB1068" s="288">
        <v>0</v>
      </c>
      <c r="AC1068" s="289">
        <v>6.6250000000000003E-2</v>
      </c>
      <c r="AD1068" s="289">
        <v>0</v>
      </c>
    </row>
    <row r="1069" spans="1:30" ht="15" customHeight="1" x14ac:dyDescent="0.25">
      <c r="A1069" s="282" t="s">
        <v>581</v>
      </c>
      <c r="B1069" s="282" t="s">
        <v>628</v>
      </c>
      <c r="C1069" s="282" t="s">
        <v>629</v>
      </c>
      <c r="D1069" s="283" t="s">
        <v>1735</v>
      </c>
      <c r="E1069" s="404">
        <v>44788</v>
      </c>
      <c r="F1069" s="404">
        <v>46113</v>
      </c>
      <c r="G1069" s="286" t="s">
        <v>799</v>
      </c>
      <c r="H1069" s="282" t="s">
        <v>1599</v>
      </c>
      <c r="I1069" s="282" t="s">
        <v>1600</v>
      </c>
      <c r="J1069" s="282" t="s">
        <v>156</v>
      </c>
      <c r="K1069" s="286" t="s">
        <v>1601</v>
      </c>
      <c r="L1069" s="282" t="s">
        <v>574</v>
      </c>
      <c r="M1069" s="287">
        <v>2400</v>
      </c>
      <c r="N1069" s="287"/>
      <c r="O1069" s="287"/>
      <c r="P1069" s="287"/>
      <c r="Q1069" s="288">
        <v>175</v>
      </c>
      <c r="R1069" s="288"/>
      <c r="S1069" s="288"/>
      <c r="T1069" s="288"/>
      <c r="U1069" s="288">
        <v>0</v>
      </c>
      <c r="V1069" s="289">
        <v>175</v>
      </c>
      <c r="W1069" s="289">
        <v>0</v>
      </c>
      <c r="X1069" s="288">
        <v>7.2916666666666671E-2</v>
      </c>
      <c r="Y1069" s="288">
        <v>0</v>
      </c>
      <c r="Z1069" s="288">
        <v>0</v>
      </c>
      <c r="AA1069" s="288">
        <v>0</v>
      </c>
      <c r="AB1069" s="288">
        <v>0</v>
      </c>
      <c r="AC1069" s="289">
        <v>7.2916666666666671E-2</v>
      </c>
      <c r="AD1069" s="289">
        <v>0</v>
      </c>
    </row>
    <row r="1070" spans="1:30" ht="15" customHeight="1" x14ac:dyDescent="0.25">
      <c r="A1070" s="282" t="s">
        <v>581</v>
      </c>
      <c r="B1070" s="282" t="s">
        <v>611</v>
      </c>
      <c r="C1070" s="282" t="s">
        <v>612</v>
      </c>
      <c r="D1070" s="283" t="s">
        <v>1736</v>
      </c>
      <c r="E1070" s="404">
        <v>44788</v>
      </c>
      <c r="F1070" s="404">
        <v>46113</v>
      </c>
      <c r="G1070" s="286" t="s">
        <v>799</v>
      </c>
      <c r="H1070" s="282" t="s">
        <v>1599</v>
      </c>
      <c r="I1070" s="282" t="s">
        <v>1600</v>
      </c>
      <c r="J1070" s="282" t="s">
        <v>156</v>
      </c>
      <c r="K1070" s="286" t="s">
        <v>1601</v>
      </c>
      <c r="L1070" s="282" t="s">
        <v>574</v>
      </c>
      <c r="M1070" s="287">
        <v>2400</v>
      </c>
      <c r="N1070" s="287"/>
      <c r="O1070" s="287"/>
      <c r="P1070" s="287"/>
      <c r="Q1070" s="288">
        <v>207</v>
      </c>
      <c r="R1070" s="288"/>
      <c r="S1070" s="288"/>
      <c r="T1070" s="288"/>
      <c r="U1070" s="288">
        <v>0</v>
      </c>
      <c r="V1070" s="289">
        <v>207</v>
      </c>
      <c r="W1070" s="289">
        <v>0</v>
      </c>
      <c r="X1070" s="288">
        <v>8.6249999999999993E-2</v>
      </c>
      <c r="Y1070" s="288">
        <v>0</v>
      </c>
      <c r="Z1070" s="288">
        <v>0</v>
      </c>
      <c r="AA1070" s="288">
        <v>0</v>
      </c>
      <c r="AB1070" s="288">
        <v>0</v>
      </c>
      <c r="AC1070" s="289">
        <v>8.6249999999999993E-2</v>
      </c>
      <c r="AD1070" s="289">
        <v>0</v>
      </c>
    </row>
    <row r="1071" spans="1:30" ht="15" customHeight="1" x14ac:dyDescent="0.25">
      <c r="A1071" s="282" t="s">
        <v>581</v>
      </c>
      <c r="B1071" s="282" t="s">
        <v>585</v>
      </c>
      <c r="C1071" s="282" t="s">
        <v>586</v>
      </c>
      <c r="D1071" s="283" t="s">
        <v>1737</v>
      </c>
      <c r="E1071" s="404">
        <v>44788</v>
      </c>
      <c r="F1071" s="404">
        <v>46113</v>
      </c>
      <c r="G1071" s="286" t="s">
        <v>799</v>
      </c>
      <c r="H1071" s="282" t="s">
        <v>1599</v>
      </c>
      <c r="I1071" s="282" t="s">
        <v>1600</v>
      </c>
      <c r="J1071" s="282" t="s">
        <v>156</v>
      </c>
      <c r="K1071" s="286" t="s">
        <v>1601</v>
      </c>
      <c r="L1071" s="282" t="s">
        <v>574</v>
      </c>
      <c r="M1071" s="287">
        <v>2400</v>
      </c>
      <c r="N1071" s="287"/>
      <c r="O1071" s="287"/>
      <c r="P1071" s="287"/>
      <c r="Q1071" s="288">
        <v>246</v>
      </c>
      <c r="R1071" s="288"/>
      <c r="S1071" s="288"/>
      <c r="T1071" s="288"/>
      <c r="U1071" s="288">
        <v>0</v>
      </c>
      <c r="V1071" s="289">
        <v>246</v>
      </c>
      <c r="W1071" s="289">
        <v>0</v>
      </c>
      <c r="X1071" s="288">
        <v>0.10249999999999999</v>
      </c>
      <c r="Y1071" s="288">
        <v>0</v>
      </c>
      <c r="Z1071" s="288">
        <v>0</v>
      </c>
      <c r="AA1071" s="288">
        <v>0</v>
      </c>
      <c r="AB1071" s="288">
        <v>0</v>
      </c>
      <c r="AC1071" s="289">
        <v>0.10249999999999999</v>
      </c>
      <c r="AD1071" s="289">
        <v>0</v>
      </c>
    </row>
    <row r="1072" spans="1:30" ht="15" customHeight="1" x14ac:dyDescent="0.25">
      <c r="A1072" s="282" t="s">
        <v>581</v>
      </c>
      <c r="B1072" s="282" t="s">
        <v>616</v>
      </c>
      <c r="C1072" s="282" t="s">
        <v>617</v>
      </c>
      <c r="D1072" s="283" t="s">
        <v>1738</v>
      </c>
      <c r="E1072" s="404">
        <v>44788</v>
      </c>
      <c r="F1072" s="404">
        <v>46113</v>
      </c>
      <c r="G1072" s="286" t="s">
        <v>799</v>
      </c>
      <c r="H1072" s="282" t="s">
        <v>1599</v>
      </c>
      <c r="I1072" s="282" t="s">
        <v>1600</v>
      </c>
      <c r="J1072" s="282" t="s">
        <v>156</v>
      </c>
      <c r="K1072" s="286" t="s">
        <v>1601</v>
      </c>
      <c r="L1072" s="282" t="s">
        <v>574</v>
      </c>
      <c r="M1072" s="287">
        <v>2400</v>
      </c>
      <c r="N1072" s="287"/>
      <c r="O1072" s="287"/>
      <c r="P1072" s="287"/>
      <c r="Q1072" s="288">
        <v>378</v>
      </c>
      <c r="R1072" s="288"/>
      <c r="S1072" s="288"/>
      <c r="T1072" s="288"/>
      <c r="U1072" s="288">
        <v>0</v>
      </c>
      <c r="V1072" s="289">
        <v>378</v>
      </c>
      <c r="W1072" s="289">
        <v>0</v>
      </c>
      <c r="X1072" s="288">
        <v>0.1575</v>
      </c>
      <c r="Y1072" s="288">
        <v>0</v>
      </c>
      <c r="Z1072" s="288">
        <v>0</v>
      </c>
      <c r="AA1072" s="288">
        <v>0</v>
      </c>
      <c r="AB1072" s="288">
        <v>0</v>
      </c>
      <c r="AC1072" s="289">
        <v>0.1575</v>
      </c>
      <c r="AD1072" s="289">
        <v>0</v>
      </c>
    </row>
    <row r="1073" spans="1:30" ht="15" customHeight="1" x14ac:dyDescent="0.25">
      <c r="A1073" s="282" t="s">
        <v>581</v>
      </c>
      <c r="B1073" s="282" t="s">
        <v>594</v>
      </c>
      <c r="C1073" s="282" t="s">
        <v>595</v>
      </c>
      <c r="D1073" s="283" t="s">
        <v>1739</v>
      </c>
      <c r="E1073" s="404">
        <v>44788</v>
      </c>
      <c r="F1073" s="404">
        <v>46113</v>
      </c>
      <c r="G1073" s="286" t="s">
        <v>799</v>
      </c>
      <c r="H1073" s="282" t="s">
        <v>1599</v>
      </c>
      <c r="I1073" s="282" t="s">
        <v>1600</v>
      </c>
      <c r="J1073" s="282" t="s">
        <v>156</v>
      </c>
      <c r="K1073" s="286" t="s">
        <v>1601</v>
      </c>
      <c r="L1073" s="282" t="s">
        <v>574</v>
      </c>
      <c r="M1073" s="287">
        <v>2400</v>
      </c>
      <c r="N1073" s="287"/>
      <c r="O1073" s="287"/>
      <c r="P1073" s="287"/>
      <c r="Q1073" s="288">
        <v>209</v>
      </c>
      <c r="R1073" s="288"/>
      <c r="S1073" s="288"/>
      <c r="T1073" s="288"/>
      <c r="U1073" s="288">
        <v>0</v>
      </c>
      <c r="V1073" s="289">
        <v>209</v>
      </c>
      <c r="W1073" s="289">
        <v>0</v>
      </c>
      <c r="X1073" s="288">
        <v>8.7083333333333332E-2</v>
      </c>
      <c r="Y1073" s="288">
        <v>0</v>
      </c>
      <c r="Z1073" s="288">
        <v>0</v>
      </c>
      <c r="AA1073" s="288">
        <v>0</v>
      </c>
      <c r="AB1073" s="288">
        <v>0</v>
      </c>
      <c r="AC1073" s="289">
        <v>8.7083333333333332E-2</v>
      </c>
      <c r="AD1073" s="289">
        <v>0</v>
      </c>
    </row>
    <row r="1074" spans="1:30" ht="15" customHeight="1" x14ac:dyDescent="0.25">
      <c r="A1074" s="282" t="s">
        <v>581</v>
      </c>
      <c r="B1074" s="282" t="s">
        <v>628</v>
      </c>
      <c r="C1074" s="282" t="s">
        <v>629</v>
      </c>
      <c r="D1074" s="283" t="s">
        <v>1740</v>
      </c>
      <c r="E1074" s="404">
        <v>44788</v>
      </c>
      <c r="F1074" s="404">
        <v>46113</v>
      </c>
      <c r="G1074" s="286" t="s">
        <v>799</v>
      </c>
      <c r="H1074" s="282" t="s">
        <v>1599</v>
      </c>
      <c r="I1074" s="282" t="s">
        <v>1600</v>
      </c>
      <c r="J1074" s="282" t="s">
        <v>156</v>
      </c>
      <c r="K1074" s="286" t="s">
        <v>1601</v>
      </c>
      <c r="L1074" s="282" t="s">
        <v>574</v>
      </c>
      <c r="M1074" s="287">
        <v>2400</v>
      </c>
      <c r="N1074" s="287"/>
      <c r="O1074" s="287"/>
      <c r="P1074" s="287"/>
      <c r="Q1074" s="288">
        <v>230</v>
      </c>
      <c r="R1074" s="288"/>
      <c r="S1074" s="288"/>
      <c r="T1074" s="288"/>
      <c r="U1074" s="288">
        <v>0</v>
      </c>
      <c r="V1074" s="289">
        <v>230</v>
      </c>
      <c r="W1074" s="289">
        <v>0</v>
      </c>
      <c r="X1074" s="288">
        <v>9.583333333333334E-2</v>
      </c>
      <c r="Y1074" s="288">
        <v>0</v>
      </c>
      <c r="Z1074" s="288">
        <v>0</v>
      </c>
      <c r="AA1074" s="288">
        <v>0</v>
      </c>
      <c r="AB1074" s="288">
        <v>0</v>
      </c>
      <c r="AC1074" s="289">
        <v>9.583333333333334E-2</v>
      </c>
      <c r="AD1074" s="289">
        <v>0</v>
      </c>
    </row>
    <row r="1075" spans="1:30" ht="15" customHeight="1" x14ac:dyDescent="0.25">
      <c r="A1075" s="282" t="s">
        <v>581</v>
      </c>
      <c r="B1075" s="282" t="s">
        <v>611</v>
      </c>
      <c r="C1075" s="282" t="s">
        <v>612</v>
      </c>
      <c r="D1075" s="283" t="s">
        <v>1741</v>
      </c>
      <c r="E1075" s="404">
        <v>44788</v>
      </c>
      <c r="F1075" s="404">
        <v>46113</v>
      </c>
      <c r="G1075" s="286" t="s">
        <v>799</v>
      </c>
      <c r="H1075" s="282" t="s">
        <v>1599</v>
      </c>
      <c r="I1075" s="282" t="s">
        <v>1600</v>
      </c>
      <c r="J1075" s="282" t="s">
        <v>156</v>
      </c>
      <c r="K1075" s="286" t="s">
        <v>1601</v>
      </c>
      <c r="L1075" s="282" t="s">
        <v>574</v>
      </c>
      <c r="M1075" s="287">
        <v>2400</v>
      </c>
      <c r="N1075" s="287"/>
      <c r="O1075" s="287"/>
      <c r="P1075" s="287"/>
      <c r="Q1075" s="288">
        <v>260</v>
      </c>
      <c r="R1075" s="288"/>
      <c r="S1075" s="288"/>
      <c r="T1075" s="288"/>
      <c r="U1075" s="288">
        <v>0</v>
      </c>
      <c r="V1075" s="289">
        <v>260</v>
      </c>
      <c r="W1075" s="289">
        <v>0</v>
      </c>
      <c r="X1075" s="288">
        <v>0.10833333333333334</v>
      </c>
      <c r="Y1075" s="288">
        <v>0</v>
      </c>
      <c r="Z1075" s="288">
        <v>0</v>
      </c>
      <c r="AA1075" s="288">
        <v>0</v>
      </c>
      <c r="AB1075" s="288">
        <v>0</v>
      </c>
      <c r="AC1075" s="289">
        <v>0.10833333333333334</v>
      </c>
      <c r="AD1075" s="289">
        <v>0</v>
      </c>
    </row>
    <row r="1076" spans="1:30" ht="15" customHeight="1" x14ac:dyDescent="0.25">
      <c r="A1076" s="282" t="s">
        <v>581</v>
      </c>
      <c r="B1076" s="282" t="s">
        <v>585</v>
      </c>
      <c r="C1076" s="282" t="s">
        <v>586</v>
      </c>
      <c r="D1076" s="283" t="s">
        <v>1742</v>
      </c>
      <c r="E1076" s="404">
        <v>44788</v>
      </c>
      <c r="F1076" s="404">
        <v>46113</v>
      </c>
      <c r="G1076" s="286" t="s">
        <v>799</v>
      </c>
      <c r="H1076" s="282" t="s">
        <v>1599</v>
      </c>
      <c r="I1076" s="282" t="s">
        <v>1600</v>
      </c>
      <c r="J1076" s="282" t="s">
        <v>156</v>
      </c>
      <c r="K1076" s="286" t="s">
        <v>1601</v>
      </c>
      <c r="L1076" s="282" t="s">
        <v>574</v>
      </c>
      <c r="M1076" s="287">
        <v>2400</v>
      </c>
      <c r="N1076" s="287"/>
      <c r="O1076" s="287"/>
      <c r="P1076" s="287"/>
      <c r="Q1076" s="288">
        <v>312</v>
      </c>
      <c r="R1076" s="288"/>
      <c r="S1076" s="288"/>
      <c r="T1076" s="288"/>
      <c r="U1076" s="288">
        <v>0</v>
      </c>
      <c r="V1076" s="289">
        <v>312</v>
      </c>
      <c r="W1076" s="289">
        <v>0</v>
      </c>
      <c r="X1076" s="288">
        <v>0.13</v>
      </c>
      <c r="Y1076" s="288">
        <v>0</v>
      </c>
      <c r="Z1076" s="288">
        <v>0</v>
      </c>
      <c r="AA1076" s="288">
        <v>0</v>
      </c>
      <c r="AB1076" s="288">
        <v>0</v>
      </c>
      <c r="AC1076" s="289">
        <v>0.13</v>
      </c>
      <c r="AD1076" s="289">
        <v>0</v>
      </c>
    </row>
    <row r="1077" spans="1:30" ht="15" customHeight="1" x14ac:dyDescent="0.25">
      <c r="A1077" s="282" t="s">
        <v>581</v>
      </c>
      <c r="B1077" s="282" t="s">
        <v>616</v>
      </c>
      <c r="C1077" s="282" t="s">
        <v>617</v>
      </c>
      <c r="D1077" s="283" t="s">
        <v>1743</v>
      </c>
      <c r="E1077" s="404">
        <v>44788</v>
      </c>
      <c r="F1077" s="404">
        <v>46113</v>
      </c>
      <c r="G1077" s="286" t="s">
        <v>799</v>
      </c>
      <c r="H1077" s="282" t="s">
        <v>1599</v>
      </c>
      <c r="I1077" s="282" t="s">
        <v>1600</v>
      </c>
      <c r="J1077" s="282" t="s">
        <v>156</v>
      </c>
      <c r="K1077" s="286" t="s">
        <v>1601</v>
      </c>
      <c r="L1077" s="282" t="s">
        <v>574</v>
      </c>
      <c r="M1077" s="287">
        <v>2400</v>
      </c>
      <c r="N1077" s="287"/>
      <c r="O1077" s="287"/>
      <c r="P1077" s="287"/>
      <c r="Q1077" s="288">
        <v>393</v>
      </c>
      <c r="R1077" s="288"/>
      <c r="S1077" s="288"/>
      <c r="T1077" s="288"/>
      <c r="U1077" s="288">
        <v>0</v>
      </c>
      <c r="V1077" s="289">
        <v>393</v>
      </c>
      <c r="W1077" s="289">
        <v>0</v>
      </c>
      <c r="X1077" s="288">
        <v>0.16375000000000001</v>
      </c>
      <c r="Y1077" s="288">
        <v>0</v>
      </c>
      <c r="Z1077" s="288">
        <v>0</v>
      </c>
      <c r="AA1077" s="288">
        <v>0</v>
      </c>
      <c r="AB1077" s="288">
        <v>0</v>
      </c>
      <c r="AC1077" s="289">
        <v>0.16375000000000001</v>
      </c>
      <c r="AD1077" s="289">
        <v>0</v>
      </c>
    </row>
    <row r="1078" spans="1:30" ht="15" customHeight="1" x14ac:dyDescent="0.25">
      <c r="A1078" s="282" t="s">
        <v>581</v>
      </c>
      <c r="B1078" s="282" t="s">
        <v>594</v>
      </c>
      <c r="C1078" s="282" t="s">
        <v>595</v>
      </c>
      <c r="D1078" s="283" t="s">
        <v>1744</v>
      </c>
      <c r="E1078" s="404">
        <v>44788</v>
      </c>
      <c r="F1078" s="404">
        <v>46113</v>
      </c>
      <c r="G1078" s="286" t="s">
        <v>799</v>
      </c>
      <c r="H1078" s="282" t="s">
        <v>1599</v>
      </c>
      <c r="I1078" s="282" t="s">
        <v>1600</v>
      </c>
      <c r="J1078" s="282" t="s">
        <v>156</v>
      </c>
      <c r="K1078" s="286" t="s">
        <v>1601</v>
      </c>
      <c r="L1078" s="282" t="s">
        <v>574</v>
      </c>
      <c r="M1078" s="287">
        <v>2400</v>
      </c>
      <c r="N1078" s="287"/>
      <c r="O1078" s="287"/>
      <c r="P1078" s="287"/>
      <c r="Q1078" s="288">
        <v>191</v>
      </c>
      <c r="R1078" s="288"/>
      <c r="S1078" s="288"/>
      <c r="T1078" s="288"/>
      <c r="U1078" s="288">
        <v>0</v>
      </c>
      <c r="V1078" s="289">
        <v>191</v>
      </c>
      <c r="W1078" s="289">
        <v>0</v>
      </c>
      <c r="X1078" s="288">
        <v>7.9583333333333339E-2</v>
      </c>
      <c r="Y1078" s="288">
        <v>0</v>
      </c>
      <c r="Z1078" s="288">
        <v>0</v>
      </c>
      <c r="AA1078" s="288">
        <v>0</v>
      </c>
      <c r="AB1078" s="288">
        <v>0</v>
      </c>
      <c r="AC1078" s="289">
        <v>7.9583333333333339E-2</v>
      </c>
      <c r="AD1078" s="289">
        <v>0</v>
      </c>
    </row>
    <row r="1079" spans="1:30" ht="15" customHeight="1" x14ac:dyDescent="0.25">
      <c r="A1079" s="282" t="s">
        <v>581</v>
      </c>
      <c r="B1079" s="282" t="s">
        <v>628</v>
      </c>
      <c r="C1079" s="282" t="s">
        <v>629</v>
      </c>
      <c r="D1079" s="283" t="s">
        <v>1745</v>
      </c>
      <c r="E1079" s="404">
        <v>44788</v>
      </c>
      <c r="F1079" s="404">
        <v>46113</v>
      </c>
      <c r="G1079" s="286" t="s">
        <v>799</v>
      </c>
      <c r="H1079" s="282" t="s">
        <v>1599</v>
      </c>
      <c r="I1079" s="282" t="s">
        <v>1600</v>
      </c>
      <c r="J1079" s="282" t="s">
        <v>156</v>
      </c>
      <c r="K1079" s="286" t="s">
        <v>1601</v>
      </c>
      <c r="L1079" s="282" t="s">
        <v>574</v>
      </c>
      <c r="M1079" s="287">
        <v>2400</v>
      </c>
      <c r="N1079" s="287"/>
      <c r="O1079" s="287"/>
      <c r="P1079" s="287"/>
      <c r="Q1079" s="288">
        <v>209</v>
      </c>
      <c r="R1079" s="288"/>
      <c r="S1079" s="288"/>
      <c r="T1079" s="288"/>
      <c r="U1079" s="288">
        <v>0</v>
      </c>
      <c r="V1079" s="289">
        <v>209</v>
      </c>
      <c r="W1079" s="289">
        <v>0</v>
      </c>
      <c r="X1079" s="288">
        <v>8.7083333333333332E-2</v>
      </c>
      <c r="Y1079" s="288">
        <v>0</v>
      </c>
      <c r="Z1079" s="288">
        <v>0</v>
      </c>
      <c r="AA1079" s="288">
        <v>0</v>
      </c>
      <c r="AB1079" s="288">
        <v>0</v>
      </c>
      <c r="AC1079" s="289">
        <v>8.7083333333333332E-2</v>
      </c>
      <c r="AD1079" s="289">
        <v>0</v>
      </c>
    </row>
    <row r="1080" spans="1:30" ht="15" customHeight="1" x14ac:dyDescent="0.25">
      <c r="A1080" s="282" t="s">
        <v>581</v>
      </c>
      <c r="B1080" s="282" t="s">
        <v>611</v>
      </c>
      <c r="C1080" s="282" t="s">
        <v>612</v>
      </c>
      <c r="D1080" s="283" t="s">
        <v>1746</v>
      </c>
      <c r="E1080" s="404">
        <v>44788</v>
      </c>
      <c r="F1080" s="404">
        <v>46113</v>
      </c>
      <c r="G1080" s="286" t="s">
        <v>799</v>
      </c>
      <c r="H1080" s="282" t="s">
        <v>1599</v>
      </c>
      <c r="I1080" s="282" t="s">
        <v>1600</v>
      </c>
      <c r="J1080" s="282" t="s">
        <v>156</v>
      </c>
      <c r="K1080" s="286" t="s">
        <v>1601</v>
      </c>
      <c r="L1080" s="282" t="s">
        <v>574</v>
      </c>
      <c r="M1080" s="287">
        <v>2400</v>
      </c>
      <c r="N1080" s="287"/>
      <c r="O1080" s="287"/>
      <c r="P1080" s="287"/>
      <c r="Q1080" s="288">
        <v>238</v>
      </c>
      <c r="R1080" s="288"/>
      <c r="S1080" s="288"/>
      <c r="T1080" s="288"/>
      <c r="U1080" s="288">
        <v>0</v>
      </c>
      <c r="V1080" s="289">
        <v>238</v>
      </c>
      <c r="W1080" s="289">
        <v>0</v>
      </c>
      <c r="X1080" s="288">
        <v>9.9166666666666667E-2</v>
      </c>
      <c r="Y1080" s="288">
        <v>0</v>
      </c>
      <c r="Z1080" s="288">
        <v>0</v>
      </c>
      <c r="AA1080" s="288">
        <v>0</v>
      </c>
      <c r="AB1080" s="288">
        <v>0</v>
      </c>
      <c r="AC1080" s="289">
        <v>9.9166666666666667E-2</v>
      </c>
      <c r="AD1080" s="289">
        <v>0</v>
      </c>
    </row>
    <row r="1081" spans="1:30" ht="15" customHeight="1" x14ac:dyDescent="0.25">
      <c r="A1081" s="282" t="s">
        <v>581</v>
      </c>
      <c r="B1081" s="282" t="s">
        <v>585</v>
      </c>
      <c r="C1081" s="282" t="s">
        <v>586</v>
      </c>
      <c r="D1081" s="283" t="s">
        <v>1747</v>
      </c>
      <c r="E1081" s="404">
        <v>44788</v>
      </c>
      <c r="F1081" s="404">
        <v>46113</v>
      </c>
      <c r="G1081" s="286" t="s">
        <v>799</v>
      </c>
      <c r="H1081" s="282" t="s">
        <v>1599</v>
      </c>
      <c r="I1081" s="282" t="s">
        <v>1600</v>
      </c>
      <c r="J1081" s="282" t="s">
        <v>156</v>
      </c>
      <c r="K1081" s="286" t="s">
        <v>1601</v>
      </c>
      <c r="L1081" s="282" t="s">
        <v>574</v>
      </c>
      <c r="M1081" s="287">
        <v>2400</v>
      </c>
      <c r="N1081" s="287"/>
      <c r="O1081" s="287"/>
      <c r="P1081" s="287"/>
      <c r="Q1081" s="288">
        <v>282</v>
      </c>
      <c r="R1081" s="288"/>
      <c r="S1081" s="288"/>
      <c r="T1081" s="288"/>
      <c r="U1081" s="288">
        <v>0</v>
      </c>
      <c r="V1081" s="289">
        <v>282</v>
      </c>
      <c r="W1081" s="289">
        <v>0</v>
      </c>
      <c r="X1081" s="288">
        <v>0.11749999999999999</v>
      </c>
      <c r="Y1081" s="288">
        <v>0</v>
      </c>
      <c r="Z1081" s="288">
        <v>0</v>
      </c>
      <c r="AA1081" s="288">
        <v>0</v>
      </c>
      <c r="AB1081" s="288">
        <v>0</v>
      </c>
      <c r="AC1081" s="289">
        <v>0.11749999999999999</v>
      </c>
      <c r="AD1081" s="289">
        <v>0</v>
      </c>
    </row>
    <row r="1082" spans="1:30" ht="15" customHeight="1" x14ac:dyDescent="0.25">
      <c r="A1082" s="282" t="s">
        <v>581</v>
      </c>
      <c r="B1082" s="282" t="s">
        <v>616</v>
      </c>
      <c r="C1082" s="282" t="s">
        <v>617</v>
      </c>
      <c r="D1082" s="283" t="s">
        <v>1748</v>
      </c>
      <c r="E1082" s="404">
        <v>44788</v>
      </c>
      <c r="F1082" s="404">
        <v>46113</v>
      </c>
      <c r="G1082" s="286" t="s">
        <v>799</v>
      </c>
      <c r="H1082" s="282" t="s">
        <v>1599</v>
      </c>
      <c r="I1082" s="282" t="s">
        <v>1600</v>
      </c>
      <c r="J1082" s="282" t="s">
        <v>156</v>
      </c>
      <c r="K1082" s="286" t="s">
        <v>1601</v>
      </c>
      <c r="L1082" s="282" t="s">
        <v>574</v>
      </c>
      <c r="M1082" s="287">
        <v>2400</v>
      </c>
      <c r="N1082" s="287"/>
      <c r="O1082" s="287"/>
      <c r="P1082" s="287"/>
      <c r="Q1082" s="288">
        <v>348</v>
      </c>
      <c r="R1082" s="288"/>
      <c r="S1082" s="288"/>
      <c r="T1082" s="288"/>
      <c r="U1082" s="288">
        <v>0</v>
      </c>
      <c r="V1082" s="289">
        <v>348</v>
      </c>
      <c r="W1082" s="289">
        <v>0</v>
      </c>
      <c r="X1082" s="288">
        <v>0.14499999999999999</v>
      </c>
      <c r="Y1082" s="288">
        <v>0</v>
      </c>
      <c r="Z1082" s="288">
        <v>0</v>
      </c>
      <c r="AA1082" s="288">
        <v>0</v>
      </c>
      <c r="AB1082" s="288">
        <v>0</v>
      </c>
      <c r="AC1082" s="289">
        <v>0.14499999999999999</v>
      </c>
      <c r="AD1082" s="289">
        <v>0</v>
      </c>
    </row>
    <row r="1083" spans="1:30" ht="15" customHeight="1" x14ac:dyDescent="0.25">
      <c r="A1083" s="282" t="s">
        <v>581</v>
      </c>
      <c r="B1083" s="282" t="s">
        <v>594</v>
      </c>
      <c r="C1083" s="282" t="s">
        <v>595</v>
      </c>
      <c r="D1083" s="283" t="s">
        <v>1749</v>
      </c>
      <c r="E1083" s="404">
        <v>44788</v>
      </c>
      <c r="F1083" s="404">
        <v>46113</v>
      </c>
      <c r="G1083" s="286" t="s">
        <v>799</v>
      </c>
      <c r="H1083" s="282" t="s">
        <v>1599</v>
      </c>
      <c r="I1083" s="282" t="s">
        <v>1600</v>
      </c>
      <c r="J1083" s="282" t="s">
        <v>156</v>
      </c>
      <c r="K1083" s="286" t="s">
        <v>1601</v>
      </c>
      <c r="L1083" s="282" t="s">
        <v>574</v>
      </c>
      <c r="M1083" s="287">
        <v>2400</v>
      </c>
      <c r="N1083" s="287"/>
      <c r="O1083" s="287"/>
      <c r="P1083" s="287"/>
      <c r="Q1083" s="288">
        <v>186</v>
      </c>
      <c r="R1083" s="288"/>
      <c r="S1083" s="288"/>
      <c r="T1083" s="288"/>
      <c r="U1083" s="288">
        <v>0</v>
      </c>
      <c r="V1083" s="289">
        <v>186</v>
      </c>
      <c r="W1083" s="289">
        <v>0</v>
      </c>
      <c r="X1083" s="288">
        <v>7.7499999999999999E-2</v>
      </c>
      <c r="Y1083" s="288">
        <v>0</v>
      </c>
      <c r="Z1083" s="288">
        <v>0</v>
      </c>
      <c r="AA1083" s="288">
        <v>0</v>
      </c>
      <c r="AB1083" s="288">
        <v>0</v>
      </c>
      <c r="AC1083" s="289">
        <v>7.7499999999999999E-2</v>
      </c>
      <c r="AD1083" s="289">
        <v>0</v>
      </c>
    </row>
    <row r="1084" spans="1:30" ht="15" customHeight="1" x14ac:dyDescent="0.25">
      <c r="A1084" s="282" t="s">
        <v>581</v>
      </c>
      <c r="B1084" s="282" t="s">
        <v>628</v>
      </c>
      <c r="C1084" s="282" t="s">
        <v>629</v>
      </c>
      <c r="D1084" s="283" t="s">
        <v>1750</v>
      </c>
      <c r="E1084" s="404">
        <v>44788</v>
      </c>
      <c r="F1084" s="404">
        <v>46113</v>
      </c>
      <c r="G1084" s="286" t="s">
        <v>799</v>
      </c>
      <c r="H1084" s="282" t="s">
        <v>1599</v>
      </c>
      <c r="I1084" s="282" t="s">
        <v>1600</v>
      </c>
      <c r="J1084" s="282" t="s">
        <v>156</v>
      </c>
      <c r="K1084" s="286" t="s">
        <v>1601</v>
      </c>
      <c r="L1084" s="282" t="s">
        <v>574</v>
      </c>
      <c r="M1084" s="287">
        <v>2400</v>
      </c>
      <c r="N1084" s="287"/>
      <c r="O1084" s="287"/>
      <c r="P1084" s="287"/>
      <c r="Q1084" s="288">
        <v>202</v>
      </c>
      <c r="R1084" s="288"/>
      <c r="S1084" s="288"/>
      <c r="T1084" s="288"/>
      <c r="U1084" s="288">
        <v>0</v>
      </c>
      <c r="V1084" s="289">
        <v>202</v>
      </c>
      <c r="W1084" s="289">
        <v>0</v>
      </c>
      <c r="X1084" s="288">
        <v>8.4166666666666667E-2</v>
      </c>
      <c r="Y1084" s="288">
        <v>0</v>
      </c>
      <c r="Z1084" s="288">
        <v>0</v>
      </c>
      <c r="AA1084" s="288">
        <v>0</v>
      </c>
      <c r="AB1084" s="288">
        <v>0</v>
      </c>
      <c r="AC1084" s="289">
        <v>8.4166666666666667E-2</v>
      </c>
      <c r="AD1084" s="289">
        <v>0</v>
      </c>
    </row>
    <row r="1085" spans="1:30" ht="15" customHeight="1" x14ac:dyDescent="0.25">
      <c r="A1085" s="282" t="s">
        <v>581</v>
      </c>
      <c r="B1085" s="282" t="s">
        <v>616</v>
      </c>
      <c r="C1085" s="282" t="s">
        <v>617</v>
      </c>
      <c r="D1085" s="283" t="s">
        <v>1751</v>
      </c>
      <c r="E1085" s="404">
        <v>44788</v>
      </c>
      <c r="F1085" s="404">
        <v>46113</v>
      </c>
      <c r="G1085" s="286" t="s">
        <v>799</v>
      </c>
      <c r="H1085" s="282" t="s">
        <v>1599</v>
      </c>
      <c r="I1085" s="282" t="s">
        <v>1600</v>
      </c>
      <c r="J1085" s="282" t="s">
        <v>156</v>
      </c>
      <c r="K1085" s="286" t="s">
        <v>1601</v>
      </c>
      <c r="L1085" s="282" t="s">
        <v>574</v>
      </c>
      <c r="M1085" s="287">
        <v>2400</v>
      </c>
      <c r="N1085" s="287"/>
      <c r="O1085" s="287"/>
      <c r="P1085" s="287"/>
      <c r="Q1085" s="288">
        <v>337</v>
      </c>
      <c r="R1085" s="288"/>
      <c r="S1085" s="288"/>
      <c r="T1085" s="288"/>
      <c r="U1085" s="288">
        <v>0</v>
      </c>
      <c r="V1085" s="289">
        <v>337</v>
      </c>
      <c r="W1085" s="289">
        <v>0</v>
      </c>
      <c r="X1085" s="288">
        <v>0.14041666666666666</v>
      </c>
      <c r="Y1085" s="288">
        <v>0</v>
      </c>
      <c r="Z1085" s="288">
        <v>0</v>
      </c>
      <c r="AA1085" s="288">
        <v>0</v>
      </c>
      <c r="AB1085" s="288">
        <v>0</v>
      </c>
      <c r="AC1085" s="289">
        <v>0.14041666666666666</v>
      </c>
      <c r="AD1085" s="289">
        <v>0</v>
      </c>
    </row>
    <row r="1086" spans="1:30" ht="15" customHeight="1" x14ac:dyDescent="0.25">
      <c r="A1086" s="282" t="s">
        <v>581</v>
      </c>
      <c r="B1086" s="282" t="s">
        <v>594</v>
      </c>
      <c r="C1086" s="282" t="s">
        <v>595</v>
      </c>
      <c r="D1086" s="283" t="s">
        <v>1752</v>
      </c>
      <c r="E1086" s="404">
        <v>44788</v>
      </c>
      <c r="F1086" s="404">
        <v>46113</v>
      </c>
      <c r="G1086" s="286" t="s">
        <v>799</v>
      </c>
      <c r="H1086" s="282" t="s">
        <v>1599</v>
      </c>
      <c r="I1086" s="282" t="s">
        <v>1600</v>
      </c>
      <c r="J1086" s="282" t="s">
        <v>156</v>
      </c>
      <c r="K1086" s="286" t="s">
        <v>1601</v>
      </c>
      <c r="L1086" s="282" t="s">
        <v>574</v>
      </c>
      <c r="M1086" s="287">
        <v>2400</v>
      </c>
      <c r="N1086" s="287"/>
      <c r="O1086" s="287"/>
      <c r="P1086" s="287"/>
      <c r="Q1086" s="288">
        <v>176</v>
      </c>
      <c r="R1086" s="288"/>
      <c r="S1086" s="288"/>
      <c r="T1086" s="288"/>
      <c r="U1086" s="288">
        <v>0</v>
      </c>
      <c r="V1086" s="289">
        <v>176</v>
      </c>
      <c r="W1086" s="289">
        <v>0</v>
      </c>
      <c r="X1086" s="288">
        <v>7.3333333333333334E-2</v>
      </c>
      <c r="Y1086" s="288">
        <v>0</v>
      </c>
      <c r="Z1086" s="288">
        <v>0</v>
      </c>
      <c r="AA1086" s="288">
        <v>0</v>
      </c>
      <c r="AB1086" s="288">
        <v>0</v>
      </c>
      <c r="AC1086" s="289">
        <v>7.3333333333333334E-2</v>
      </c>
      <c r="AD1086" s="289">
        <v>0</v>
      </c>
    </row>
    <row r="1087" spans="1:30" ht="15" customHeight="1" x14ac:dyDescent="0.25">
      <c r="A1087" s="282" t="s">
        <v>581</v>
      </c>
      <c r="B1087" s="282" t="s">
        <v>611</v>
      </c>
      <c r="C1087" s="282" t="s">
        <v>612</v>
      </c>
      <c r="D1087" s="283" t="s">
        <v>1753</v>
      </c>
      <c r="E1087" s="404">
        <v>44788</v>
      </c>
      <c r="F1087" s="404">
        <v>46113</v>
      </c>
      <c r="G1087" s="286" t="s">
        <v>799</v>
      </c>
      <c r="H1087" s="282" t="s">
        <v>1599</v>
      </c>
      <c r="I1087" s="282" t="s">
        <v>1600</v>
      </c>
      <c r="J1087" s="282" t="s">
        <v>156</v>
      </c>
      <c r="K1087" s="286" t="s">
        <v>1601</v>
      </c>
      <c r="L1087" s="282" t="s">
        <v>574</v>
      </c>
      <c r="M1087" s="287">
        <v>2400</v>
      </c>
      <c r="N1087" s="287"/>
      <c r="O1087" s="287"/>
      <c r="P1087" s="287"/>
      <c r="Q1087" s="288">
        <v>229</v>
      </c>
      <c r="R1087" s="288"/>
      <c r="S1087" s="288"/>
      <c r="T1087" s="288"/>
      <c r="U1087" s="288">
        <v>0</v>
      </c>
      <c r="V1087" s="289">
        <v>229</v>
      </c>
      <c r="W1087" s="289">
        <v>0</v>
      </c>
      <c r="X1087" s="288">
        <v>9.5416666666666664E-2</v>
      </c>
      <c r="Y1087" s="288">
        <v>0</v>
      </c>
      <c r="Z1087" s="288">
        <v>0</v>
      </c>
      <c r="AA1087" s="288">
        <v>0</v>
      </c>
      <c r="AB1087" s="288">
        <v>0</v>
      </c>
      <c r="AC1087" s="289">
        <v>9.5416666666666664E-2</v>
      </c>
      <c r="AD1087" s="289">
        <v>0</v>
      </c>
    </row>
    <row r="1088" spans="1:30" ht="15" customHeight="1" x14ac:dyDescent="0.25">
      <c r="A1088" s="282" t="s">
        <v>581</v>
      </c>
      <c r="B1088" s="282" t="s">
        <v>585</v>
      </c>
      <c r="C1088" s="282" t="s">
        <v>586</v>
      </c>
      <c r="D1088" s="283" t="s">
        <v>1754</v>
      </c>
      <c r="E1088" s="404">
        <v>44788</v>
      </c>
      <c r="F1088" s="404">
        <v>46113</v>
      </c>
      <c r="G1088" s="286" t="s">
        <v>799</v>
      </c>
      <c r="H1088" s="282" t="s">
        <v>1599</v>
      </c>
      <c r="I1088" s="282" t="s">
        <v>1600</v>
      </c>
      <c r="J1088" s="282" t="s">
        <v>156</v>
      </c>
      <c r="K1088" s="286" t="s">
        <v>1601</v>
      </c>
      <c r="L1088" s="282" t="s">
        <v>574</v>
      </c>
      <c r="M1088" s="287">
        <v>2400</v>
      </c>
      <c r="N1088" s="287"/>
      <c r="O1088" s="287"/>
      <c r="P1088" s="287"/>
      <c r="Q1088" s="288">
        <v>272</v>
      </c>
      <c r="R1088" s="288"/>
      <c r="S1088" s="288"/>
      <c r="T1088" s="288"/>
      <c r="U1088" s="288">
        <v>0</v>
      </c>
      <c r="V1088" s="289">
        <v>272</v>
      </c>
      <c r="W1088" s="289">
        <v>0</v>
      </c>
      <c r="X1088" s="288">
        <v>0.11333333333333333</v>
      </c>
      <c r="Y1088" s="288">
        <v>0</v>
      </c>
      <c r="Z1088" s="288">
        <v>0</v>
      </c>
      <c r="AA1088" s="288">
        <v>0</v>
      </c>
      <c r="AB1088" s="288">
        <v>0</v>
      </c>
      <c r="AC1088" s="289">
        <v>0.11333333333333333</v>
      </c>
      <c r="AD1088" s="289">
        <v>0</v>
      </c>
    </row>
    <row r="1089" spans="1:30" ht="15" customHeight="1" x14ac:dyDescent="0.25">
      <c r="A1089" s="282" t="s">
        <v>581</v>
      </c>
      <c r="B1089" s="282" t="s">
        <v>628</v>
      </c>
      <c r="C1089" s="282" t="s">
        <v>629</v>
      </c>
      <c r="D1089" s="283" t="s">
        <v>1755</v>
      </c>
      <c r="E1089" s="404">
        <v>44788</v>
      </c>
      <c r="F1089" s="404">
        <v>46113</v>
      </c>
      <c r="G1089" s="286" t="s">
        <v>799</v>
      </c>
      <c r="H1089" s="282" t="s">
        <v>1599</v>
      </c>
      <c r="I1089" s="282" t="s">
        <v>1600</v>
      </c>
      <c r="J1089" s="282" t="s">
        <v>156</v>
      </c>
      <c r="K1089" s="286" t="s">
        <v>1601</v>
      </c>
      <c r="L1089" s="282" t="s">
        <v>574</v>
      </c>
      <c r="M1089" s="287">
        <v>2400</v>
      </c>
      <c r="N1089" s="287"/>
      <c r="O1089" s="287"/>
      <c r="P1089" s="287"/>
      <c r="Q1089" s="288">
        <v>184</v>
      </c>
      <c r="R1089" s="288"/>
      <c r="S1089" s="288"/>
      <c r="T1089" s="288"/>
      <c r="U1089" s="288">
        <v>0</v>
      </c>
      <c r="V1089" s="289">
        <v>184</v>
      </c>
      <c r="W1089" s="289">
        <v>0</v>
      </c>
      <c r="X1089" s="288">
        <v>7.6666666666666661E-2</v>
      </c>
      <c r="Y1089" s="288">
        <v>0</v>
      </c>
      <c r="Z1089" s="288">
        <v>0</v>
      </c>
      <c r="AA1089" s="288">
        <v>0</v>
      </c>
      <c r="AB1089" s="288">
        <v>0</v>
      </c>
      <c r="AC1089" s="289">
        <v>7.6666666666666661E-2</v>
      </c>
      <c r="AD1089" s="289">
        <v>0</v>
      </c>
    </row>
    <row r="1090" spans="1:30" ht="15" customHeight="1" x14ac:dyDescent="0.25">
      <c r="A1090" s="282" t="s">
        <v>581</v>
      </c>
      <c r="B1090" s="282" t="s">
        <v>611</v>
      </c>
      <c r="C1090" s="282" t="s">
        <v>612</v>
      </c>
      <c r="D1090" s="283" t="s">
        <v>1756</v>
      </c>
      <c r="E1090" s="404">
        <v>44788</v>
      </c>
      <c r="F1090" s="404">
        <v>46113</v>
      </c>
      <c r="G1090" s="286" t="s">
        <v>799</v>
      </c>
      <c r="H1090" s="282" t="s">
        <v>1599</v>
      </c>
      <c r="I1090" s="282" t="s">
        <v>1600</v>
      </c>
      <c r="J1090" s="282" t="s">
        <v>156</v>
      </c>
      <c r="K1090" s="286" t="s">
        <v>1601</v>
      </c>
      <c r="L1090" s="282" t="s">
        <v>574</v>
      </c>
      <c r="M1090" s="287">
        <v>2400</v>
      </c>
      <c r="N1090" s="287"/>
      <c r="O1090" s="287"/>
      <c r="P1090" s="287"/>
      <c r="Q1090" s="288">
        <v>198</v>
      </c>
      <c r="R1090" s="288"/>
      <c r="S1090" s="288"/>
      <c r="T1090" s="288"/>
      <c r="U1090" s="288">
        <v>0</v>
      </c>
      <c r="V1090" s="289">
        <v>198</v>
      </c>
      <c r="W1090" s="289">
        <v>0</v>
      </c>
      <c r="X1090" s="288">
        <v>8.2500000000000004E-2</v>
      </c>
      <c r="Y1090" s="288">
        <v>0</v>
      </c>
      <c r="Z1090" s="288">
        <v>0</v>
      </c>
      <c r="AA1090" s="288">
        <v>0</v>
      </c>
      <c r="AB1090" s="288">
        <v>0</v>
      </c>
      <c r="AC1090" s="289">
        <v>8.2500000000000004E-2</v>
      </c>
      <c r="AD1090" s="289">
        <v>0</v>
      </c>
    </row>
    <row r="1091" spans="1:30" ht="15" customHeight="1" x14ac:dyDescent="0.25">
      <c r="A1091" s="282" t="s">
        <v>581</v>
      </c>
      <c r="B1091" s="282" t="s">
        <v>839</v>
      </c>
      <c r="C1091" s="282" t="s">
        <v>840</v>
      </c>
      <c r="D1091" s="283" t="s">
        <v>1757</v>
      </c>
      <c r="E1091" s="404">
        <v>44788</v>
      </c>
      <c r="F1091" s="404">
        <v>46113</v>
      </c>
      <c r="G1091" s="286" t="s">
        <v>799</v>
      </c>
      <c r="H1091" s="282" t="s">
        <v>1599</v>
      </c>
      <c r="I1091" s="282" t="s">
        <v>1600</v>
      </c>
      <c r="J1091" s="282" t="s">
        <v>156</v>
      </c>
      <c r="K1091" s="286" t="s">
        <v>1601</v>
      </c>
      <c r="L1091" s="282" t="s">
        <v>574</v>
      </c>
      <c r="M1091" s="287">
        <v>2400</v>
      </c>
      <c r="N1091" s="287"/>
      <c r="O1091" s="287"/>
      <c r="P1091" s="287"/>
      <c r="Q1091" s="288">
        <v>385</v>
      </c>
      <c r="R1091" s="288"/>
      <c r="S1091" s="288"/>
      <c r="T1091" s="288"/>
      <c r="U1091" s="288">
        <v>0</v>
      </c>
      <c r="V1091" s="289">
        <v>385</v>
      </c>
      <c r="W1091" s="289">
        <v>0</v>
      </c>
      <c r="X1091" s="288">
        <v>0.16041666666666668</v>
      </c>
      <c r="Y1091" s="288">
        <v>0</v>
      </c>
      <c r="Z1091" s="288">
        <v>0</v>
      </c>
      <c r="AA1091" s="288">
        <v>0</v>
      </c>
      <c r="AB1091" s="288">
        <v>0</v>
      </c>
      <c r="AC1091" s="289">
        <v>0.16041666666666668</v>
      </c>
      <c r="AD1091" s="289">
        <v>0</v>
      </c>
    </row>
    <row r="1092" spans="1:30" ht="15" customHeight="1" x14ac:dyDescent="0.25">
      <c r="A1092" s="282" t="s">
        <v>581</v>
      </c>
      <c r="B1092" s="282" t="s">
        <v>585</v>
      </c>
      <c r="C1092" s="282" t="s">
        <v>586</v>
      </c>
      <c r="D1092" s="283" t="s">
        <v>1758</v>
      </c>
      <c r="E1092" s="404">
        <v>44788</v>
      </c>
      <c r="F1092" s="404">
        <v>46113</v>
      </c>
      <c r="G1092" s="286" t="s">
        <v>799</v>
      </c>
      <c r="H1092" s="282" t="s">
        <v>1599</v>
      </c>
      <c r="I1092" s="282" t="s">
        <v>1600</v>
      </c>
      <c r="J1092" s="282" t="s">
        <v>156</v>
      </c>
      <c r="K1092" s="286" t="s">
        <v>1601</v>
      </c>
      <c r="L1092" s="282" t="s">
        <v>574</v>
      </c>
      <c r="M1092" s="287">
        <v>2400</v>
      </c>
      <c r="N1092" s="287"/>
      <c r="O1092" s="287"/>
      <c r="P1092" s="287"/>
      <c r="Q1092" s="288">
        <v>258</v>
      </c>
      <c r="R1092" s="288"/>
      <c r="S1092" s="288"/>
      <c r="T1092" s="288"/>
      <c r="U1092" s="288">
        <v>0</v>
      </c>
      <c r="V1092" s="289">
        <v>258</v>
      </c>
      <c r="W1092" s="289">
        <v>0</v>
      </c>
      <c r="X1092" s="288">
        <v>0.1075</v>
      </c>
      <c r="Y1092" s="288">
        <v>0</v>
      </c>
      <c r="Z1092" s="288">
        <v>0</v>
      </c>
      <c r="AA1092" s="288">
        <v>0</v>
      </c>
      <c r="AB1092" s="288">
        <v>0</v>
      </c>
      <c r="AC1092" s="289">
        <v>0.1075</v>
      </c>
      <c r="AD1092" s="289">
        <v>0</v>
      </c>
    </row>
    <row r="1093" spans="1:30" ht="15" customHeight="1" x14ac:dyDescent="0.25">
      <c r="A1093" s="282" t="s">
        <v>581</v>
      </c>
      <c r="B1093" s="282" t="s">
        <v>616</v>
      </c>
      <c r="C1093" s="282" t="s">
        <v>617</v>
      </c>
      <c r="D1093" s="283" t="s">
        <v>1759</v>
      </c>
      <c r="E1093" s="404">
        <v>44788</v>
      </c>
      <c r="F1093" s="404">
        <v>46113</v>
      </c>
      <c r="G1093" s="286" t="s">
        <v>799</v>
      </c>
      <c r="H1093" s="282" t="s">
        <v>1599</v>
      </c>
      <c r="I1093" s="282" t="s">
        <v>1600</v>
      </c>
      <c r="J1093" s="282" t="s">
        <v>156</v>
      </c>
      <c r="K1093" s="286" t="s">
        <v>1601</v>
      </c>
      <c r="L1093" s="282" t="s">
        <v>574</v>
      </c>
      <c r="M1093" s="287">
        <v>2400</v>
      </c>
      <c r="N1093" s="287"/>
      <c r="O1093" s="287"/>
      <c r="P1093" s="287"/>
      <c r="Q1093" s="288">
        <v>335</v>
      </c>
      <c r="R1093" s="288"/>
      <c r="S1093" s="288"/>
      <c r="T1093" s="288"/>
      <c r="U1093" s="288">
        <v>0</v>
      </c>
      <c r="V1093" s="289">
        <v>335</v>
      </c>
      <c r="W1093" s="289">
        <v>0</v>
      </c>
      <c r="X1093" s="288">
        <v>0.13958333333333334</v>
      </c>
      <c r="Y1093" s="288">
        <v>0</v>
      </c>
      <c r="Z1093" s="288">
        <v>0</v>
      </c>
      <c r="AA1093" s="288">
        <v>0</v>
      </c>
      <c r="AB1093" s="288">
        <v>0</v>
      </c>
      <c r="AC1093" s="289">
        <v>0.13958333333333334</v>
      </c>
      <c r="AD1093" s="289">
        <v>0</v>
      </c>
    </row>
    <row r="1094" spans="1:30" ht="15" customHeight="1" x14ac:dyDescent="0.25">
      <c r="A1094" s="282" t="s">
        <v>581</v>
      </c>
      <c r="B1094" s="282" t="s">
        <v>585</v>
      </c>
      <c r="C1094" s="282" t="s">
        <v>586</v>
      </c>
      <c r="D1094" s="283" t="s">
        <v>1760</v>
      </c>
      <c r="E1094" s="404">
        <v>44788</v>
      </c>
      <c r="F1094" s="404">
        <v>46113</v>
      </c>
      <c r="G1094" s="286" t="s">
        <v>799</v>
      </c>
      <c r="H1094" s="282" t="s">
        <v>1599</v>
      </c>
      <c r="I1094" s="282" t="s">
        <v>1600</v>
      </c>
      <c r="J1094" s="282" t="s">
        <v>156</v>
      </c>
      <c r="K1094" s="286" t="s">
        <v>1601</v>
      </c>
      <c r="L1094" s="282" t="s">
        <v>574</v>
      </c>
      <c r="M1094" s="287">
        <v>2400</v>
      </c>
      <c r="N1094" s="287"/>
      <c r="O1094" s="287"/>
      <c r="P1094" s="287"/>
      <c r="Q1094" s="288">
        <v>249</v>
      </c>
      <c r="R1094" s="288"/>
      <c r="S1094" s="288"/>
      <c r="T1094" s="288"/>
      <c r="U1094" s="288">
        <v>0</v>
      </c>
      <c r="V1094" s="289">
        <v>249</v>
      </c>
      <c r="W1094" s="289">
        <v>0</v>
      </c>
      <c r="X1094" s="288">
        <v>0.10375</v>
      </c>
      <c r="Y1094" s="288">
        <v>0</v>
      </c>
      <c r="Z1094" s="288">
        <v>0</v>
      </c>
      <c r="AA1094" s="288">
        <v>0</v>
      </c>
      <c r="AB1094" s="288">
        <v>0</v>
      </c>
      <c r="AC1094" s="289">
        <v>0.10375</v>
      </c>
      <c r="AD1094" s="289">
        <v>0</v>
      </c>
    </row>
    <row r="1095" spans="1:30" ht="15" customHeight="1" x14ac:dyDescent="0.25">
      <c r="A1095" s="282" t="s">
        <v>581</v>
      </c>
      <c r="B1095" s="282" t="s">
        <v>695</v>
      </c>
      <c r="C1095" s="282" t="s">
        <v>696</v>
      </c>
      <c r="D1095" s="283" t="s">
        <v>1761</v>
      </c>
      <c r="E1095" s="404">
        <v>44788</v>
      </c>
      <c r="F1095" s="404">
        <v>46113</v>
      </c>
      <c r="G1095" s="286" t="s">
        <v>799</v>
      </c>
      <c r="H1095" s="282" t="s">
        <v>1599</v>
      </c>
      <c r="I1095" s="282" t="s">
        <v>1600</v>
      </c>
      <c r="J1095" s="282" t="s">
        <v>156</v>
      </c>
      <c r="K1095" s="286" t="s">
        <v>1601</v>
      </c>
      <c r="L1095" s="282" t="s">
        <v>574</v>
      </c>
      <c r="M1095" s="287">
        <v>2400</v>
      </c>
      <c r="N1095" s="287"/>
      <c r="O1095" s="287"/>
      <c r="P1095" s="287"/>
      <c r="Q1095" s="288">
        <v>379</v>
      </c>
      <c r="R1095" s="288"/>
      <c r="S1095" s="288"/>
      <c r="T1095" s="288"/>
      <c r="U1095" s="288">
        <v>0</v>
      </c>
      <c r="V1095" s="289">
        <v>379</v>
      </c>
      <c r="W1095" s="289">
        <v>0</v>
      </c>
      <c r="X1095" s="288">
        <v>0.15791666666666668</v>
      </c>
      <c r="Y1095" s="288">
        <v>0</v>
      </c>
      <c r="Z1095" s="288">
        <v>0</v>
      </c>
      <c r="AA1095" s="288">
        <v>0</v>
      </c>
      <c r="AB1095" s="288">
        <v>0</v>
      </c>
      <c r="AC1095" s="289">
        <v>0.15791666666666668</v>
      </c>
      <c r="AD1095" s="289">
        <v>0</v>
      </c>
    </row>
    <row r="1096" spans="1:30" ht="15" customHeight="1" x14ac:dyDescent="0.25">
      <c r="A1096" s="282" t="s">
        <v>581</v>
      </c>
      <c r="B1096" s="282" t="s">
        <v>585</v>
      </c>
      <c r="C1096" s="282" t="s">
        <v>586</v>
      </c>
      <c r="D1096" s="283" t="s">
        <v>1762</v>
      </c>
      <c r="E1096" s="404">
        <v>44788</v>
      </c>
      <c r="F1096" s="404">
        <v>46113</v>
      </c>
      <c r="G1096" s="286" t="s">
        <v>799</v>
      </c>
      <c r="H1096" s="282" t="s">
        <v>1599</v>
      </c>
      <c r="I1096" s="282" t="s">
        <v>1600</v>
      </c>
      <c r="J1096" s="282" t="s">
        <v>156</v>
      </c>
      <c r="K1096" s="286" t="s">
        <v>1601</v>
      </c>
      <c r="L1096" s="282" t="s">
        <v>574</v>
      </c>
      <c r="M1096" s="287">
        <v>2400</v>
      </c>
      <c r="N1096" s="287"/>
      <c r="O1096" s="287"/>
      <c r="P1096" s="287"/>
      <c r="Q1096" s="288">
        <v>309</v>
      </c>
      <c r="R1096" s="288"/>
      <c r="S1096" s="288"/>
      <c r="T1096" s="288"/>
      <c r="U1096" s="288">
        <v>0</v>
      </c>
      <c r="V1096" s="289">
        <v>309</v>
      </c>
      <c r="W1096" s="289">
        <v>0</v>
      </c>
      <c r="X1096" s="288">
        <v>0.12875</v>
      </c>
      <c r="Y1096" s="288">
        <v>0</v>
      </c>
      <c r="Z1096" s="288">
        <v>0</v>
      </c>
      <c r="AA1096" s="288">
        <v>0</v>
      </c>
      <c r="AB1096" s="288">
        <v>0</v>
      </c>
      <c r="AC1096" s="289">
        <v>0.12875</v>
      </c>
      <c r="AD1096" s="289">
        <v>0</v>
      </c>
    </row>
    <row r="1097" spans="1:30" ht="15" customHeight="1" x14ac:dyDescent="0.25">
      <c r="A1097" s="282" t="s">
        <v>581</v>
      </c>
      <c r="B1097" s="282" t="s">
        <v>616</v>
      </c>
      <c r="C1097" s="282" t="s">
        <v>617</v>
      </c>
      <c r="D1097" s="283" t="s">
        <v>1763</v>
      </c>
      <c r="E1097" s="404">
        <v>44788</v>
      </c>
      <c r="F1097" s="404">
        <v>46113</v>
      </c>
      <c r="G1097" s="286" t="s">
        <v>799</v>
      </c>
      <c r="H1097" s="282" t="s">
        <v>1599</v>
      </c>
      <c r="I1097" s="282" t="s">
        <v>1600</v>
      </c>
      <c r="J1097" s="282" t="s">
        <v>156</v>
      </c>
      <c r="K1097" s="286" t="s">
        <v>1601</v>
      </c>
      <c r="L1097" s="282" t="s">
        <v>574</v>
      </c>
      <c r="M1097" s="287">
        <v>2400</v>
      </c>
      <c r="N1097" s="287"/>
      <c r="O1097" s="287"/>
      <c r="P1097" s="287"/>
      <c r="Q1097" s="288">
        <v>324</v>
      </c>
      <c r="R1097" s="288"/>
      <c r="S1097" s="288"/>
      <c r="T1097" s="288"/>
      <c r="U1097" s="288">
        <v>0</v>
      </c>
      <c r="V1097" s="289">
        <v>324</v>
      </c>
      <c r="W1097" s="289">
        <v>0</v>
      </c>
      <c r="X1097" s="288">
        <v>0.13500000000000001</v>
      </c>
      <c r="Y1097" s="288">
        <v>0</v>
      </c>
      <c r="Z1097" s="288">
        <v>0</v>
      </c>
      <c r="AA1097" s="288">
        <v>0</v>
      </c>
      <c r="AB1097" s="288">
        <v>0</v>
      </c>
      <c r="AC1097" s="289">
        <v>0.13500000000000001</v>
      </c>
      <c r="AD1097" s="289">
        <v>0</v>
      </c>
    </row>
    <row r="1098" spans="1:30" ht="15" customHeight="1" x14ac:dyDescent="0.25">
      <c r="A1098" s="282" t="s">
        <v>581</v>
      </c>
      <c r="B1098" s="282" t="s">
        <v>695</v>
      </c>
      <c r="C1098" s="282" t="s">
        <v>696</v>
      </c>
      <c r="D1098" s="283" t="s">
        <v>1764</v>
      </c>
      <c r="E1098" s="404">
        <v>44788</v>
      </c>
      <c r="F1098" s="404">
        <v>46113</v>
      </c>
      <c r="G1098" s="286" t="s">
        <v>799</v>
      </c>
      <c r="H1098" s="282" t="s">
        <v>1599</v>
      </c>
      <c r="I1098" s="282" t="s">
        <v>1600</v>
      </c>
      <c r="J1098" s="282" t="s">
        <v>156</v>
      </c>
      <c r="K1098" s="286" t="s">
        <v>1601</v>
      </c>
      <c r="L1098" s="282" t="s">
        <v>574</v>
      </c>
      <c r="M1098" s="287">
        <v>2400</v>
      </c>
      <c r="N1098" s="287"/>
      <c r="O1098" s="287"/>
      <c r="P1098" s="287"/>
      <c r="Q1098" s="288">
        <v>343</v>
      </c>
      <c r="R1098" s="288"/>
      <c r="S1098" s="288"/>
      <c r="T1098" s="288"/>
      <c r="U1098" s="288">
        <v>0</v>
      </c>
      <c r="V1098" s="289">
        <v>343</v>
      </c>
      <c r="W1098" s="289">
        <v>0</v>
      </c>
      <c r="X1098" s="288">
        <v>0.14291666666666666</v>
      </c>
      <c r="Y1098" s="288">
        <v>0</v>
      </c>
      <c r="Z1098" s="288">
        <v>0</v>
      </c>
      <c r="AA1098" s="288">
        <v>0</v>
      </c>
      <c r="AB1098" s="288">
        <v>0</v>
      </c>
      <c r="AC1098" s="289">
        <v>0.14291666666666666</v>
      </c>
      <c r="AD1098" s="289">
        <v>0</v>
      </c>
    </row>
    <row r="1099" spans="1:30" ht="15" customHeight="1" x14ac:dyDescent="0.25">
      <c r="A1099" s="282" t="s">
        <v>581</v>
      </c>
      <c r="B1099" s="282" t="s">
        <v>839</v>
      </c>
      <c r="C1099" s="282" t="s">
        <v>840</v>
      </c>
      <c r="D1099" s="283" t="s">
        <v>1765</v>
      </c>
      <c r="E1099" s="404">
        <v>44788</v>
      </c>
      <c r="F1099" s="404">
        <v>46113</v>
      </c>
      <c r="G1099" s="286" t="s">
        <v>799</v>
      </c>
      <c r="H1099" s="282" t="s">
        <v>1599</v>
      </c>
      <c r="I1099" s="282" t="s">
        <v>1600</v>
      </c>
      <c r="J1099" s="282" t="s">
        <v>156</v>
      </c>
      <c r="K1099" s="286" t="s">
        <v>1601</v>
      </c>
      <c r="L1099" s="282" t="s">
        <v>574</v>
      </c>
      <c r="M1099" s="287">
        <v>2400</v>
      </c>
      <c r="N1099" s="287"/>
      <c r="O1099" s="287"/>
      <c r="P1099" s="287"/>
      <c r="Q1099" s="288">
        <v>422</v>
      </c>
      <c r="R1099" s="288"/>
      <c r="S1099" s="288"/>
      <c r="T1099" s="288"/>
      <c r="U1099" s="288">
        <v>0</v>
      </c>
      <c r="V1099" s="289">
        <v>422</v>
      </c>
      <c r="W1099" s="289">
        <v>0</v>
      </c>
      <c r="X1099" s="288">
        <v>0.17583333333333334</v>
      </c>
      <c r="Y1099" s="288">
        <v>0</v>
      </c>
      <c r="Z1099" s="288">
        <v>0</v>
      </c>
      <c r="AA1099" s="288">
        <v>0</v>
      </c>
      <c r="AB1099" s="288">
        <v>0</v>
      </c>
      <c r="AC1099" s="289">
        <v>0.17583333333333334</v>
      </c>
      <c r="AD1099" s="289">
        <v>0</v>
      </c>
    </row>
    <row r="1100" spans="1:30" ht="15" customHeight="1" x14ac:dyDescent="0.25">
      <c r="A1100" s="282" t="s">
        <v>581</v>
      </c>
      <c r="B1100" s="282" t="s">
        <v>585</v>
      </c>
      <c r="C1100" s="282" t="s">
        <v>586</v>
      </c>
      <c r="D1100" s="283" t="s">
        <v>1766</v>
      </c>
      <c r="E1100" s="404">
        <v>44788</v>
      </c>
      <c r="F1100" s="404">
        <v>46113</v>
      </c>
      <c r="G1100" s="286" t="s">
        <v>799</v>
      </c>
      <c r="H1100" s="282" t="s">
        <v>1599</v>
      </c>
      <c r="I1100" s="282" t="s">
        <v>1600</v>
      </c>
      <c r="J1100" s="282" t="s">
        <v>156</v>
      </c>
      <c r="K1100" s="286" t="s">
        <v>1601</v>
      </c>
      <c r="L1100" s="282" t="s">
        <v>574</v>
      </c>
      <c r="M1100" s="287">
        <v>2400</v>
      </c>
      <c r="N1100" s="287"/>
      <c r="O1100" s="287"/>
      <c r="P1100" s="287"/>
      <c r="Q1100" s="288">
        <v>342</v>
      </c>
      <c r="R1100" s="288"/>
      <c r="S1100" s="288"/>
      <c r="T1100" s="288"/>
      <c r="U1100" s="288">
        <v>0</v>
      </c>
      <c r="V1100" s="289">
        <v>342</v>
      </c>
      <c r="W1100" s="289">
        <v>0</v>
      </c>
      <c r="X1100" s="288">
        <v>0.14249999999999999</v>
      </c>
      <c r="Y1100" s="288">
        <v>0</v>
      </c>
      <c r="Z1100" s="288">
        <v>0</v>
      </c>
      <c r="AA1100" s="288">
        <v>0</v>
      </c>
      <c r="AB1100" s="288">
        <v>0</v>
      </c>
      <c r="AC1100" s="289">
        <v>0.14249999999999999</v>
      </c>
      <c r="AD1100" s="289">
        <v>0</v>
      </c>
    </row>
    <row r="1101" spans="1:30" ht="15" customHeight="1" x14ac:dyDescent="0.25">
      <c r="A1101" s="282" t="s">
        <v>581</v>
      </c>
      <c r="B1101" s="282" t="s">
        <v>628</v>
      </c>
      <c r="C1101" s="282" t="s">
        <v>629</v>
      </c>
      <c r="D1101" s="283" t="s">
        <v>1767</v>
      </c>
      <c r="E1101" s="404">
        <v>44788</v>
      </c>
      <c r="F1101" s="404">
        <v>46113</v>
      </c>
      <c r="G1101" s="286" t="s">
        <v>799</v>
      </c>
      <c r="H1101" s="282" t="s">
        <v>1599</v>
      </c>
      <c r="I1101" s="282" t="s">
        <v>1600</v>
      </c>
      <c r="J1101" s="282" t="s">
        <v>156</v>
      </c>
      <c r="K1101" s="286" t="s">
        <v>1601</v>
      </c>
      <c r="L1101" s="282" t="s">
        <v>574</v>
      </c>
      <c r="M1101" s="287">
        <v>2400</v>
      </c>
      <c r="N1101" s="287"/>
      <c r="O1101" s="287"/>
      <c r="P1101" s="287"/>
      <c r="Q1101" s="288">
        <v>252</v>
      </c>
      <c r="R1101" s="288"/>
      <c r="S1101" s="288"/>
      <c r="T1101" s="288"/>
      <c r="U1101" s="288">
        <v>0</v>
      </c>
      <c r="V1101" s="289">
        <v>252</v>
      </c>
      <c r="W1101" s="289">
        <v>0</v>
      </c>
      <c r="X1101" s="288">
        <v>0.105</v>
      </c>
      <c r="Y1101" s="288">
        <v>0</v>
      </c>
      <c r="Z1101" s="288">
        <v>0</v>
      </c>
      <c r="AA1101" s="288">
        <v>0</v>
      </c>
      <c r="AB1101" s="288">
        <v>0</v>
      </c>
      <c r="AC1101" s="289">
        <v>0.105</v>
      </c>
      <c r="AD1101" s="289">
        <v>0</v>
      </c>
    </row>
    <row r="1102" spans="1:30" ht="15" customHeight="1" x14ac:dyDescent="0.25">
      <c r="A1102" s="282" t="s">
        <v>581</v>
      </c>
      <c r="B1102" s="282" t="s">
        <v>585</v>
      </c>
      <c r="C1102" s="282" t="s">
        <v>586</v>
      </c>
      <c r="D1102" s="283" t="s">
        <v>1768</v>
      </c>
      <c r="E1102" s="404">
        <v>44788</v>
      </c>
      <c r="F1102" s="404">
        <v>46113</v>
      </c>
      <c r="G1102" s="286" t="s">
        <v>799</v>
      </c>
      <c r="H1102" s="282" t="s">
        <v>1599</v>
      </c>
      <c r="I1102" s="282" t="s">
        <v>1600</v>
      </c>
      <c r="J1102" s="282" t="s">
        <v>156</v>
      </c>
      <c r="K1102" s="286" t="s">
        <v>1601</v>
      </c>
      <c r="L1102" s="282" t="s">
        <v>574</v>
      </c>
      <c r="M1102" s="287">
        <v>2400</v>
      </c>
      <c r="N1102" s="287"/>
      <c r="O1102" s="287"/>
      <c r="P1102" s="287"/>
      <c r="Q1102" s="288">
        <v>335</v>
      </c>
      <c r="R1102" s="288"/>
      <c r="S1102" s="288"/>
      <c r="T1102" s="288"/>
      <c r="U1102" s="288">
        <v>0</v>
      </c>
      <c r="V1102" s="289">
        <v>335</v>
      </c>
      <c r="W1102" s="289">
        <v>0</v>
      </c>
      <c r="X1102" s="288">
        <v>0.13958333333333334</v>
      </c>
      <c r="Y1102" s="288">
        <v>0</v>
      </c>
      <c r="Z1102" s="288">
        <v>0</v>
      </c>
      <c r="AA1102" s="288">
        <v>0</v>
      </c>
      <c r="AB1102" s="288">
        <v>0</v>
      </c>
      <c r="AC1102" s="289">
        <v>0.13958333333333334</v>
      </c>
      <c r="AD1102" s="289">
        <v>0</v>
      </c>
    </row>
    <row r="1103" spans="1:30" ht="15" customHeight="1" x14ac:dyDescent="0.25">
      <c r="A1103" s="282" t="s">
        <v>581</v>
      </c>
      <c r="B1103" s="282" t="s">
        <v>585</v>
      </c>
      <c r="C1103" s="282" t="s">
        <v>586</v>
      </c>
      <c r="D1103" s="283" t="s">
        <v>1769</v>
      </c>
      <c r="E1103" s="404">
        <v>44788</v>
      </c>
      <c r="F1103" s="404">
        <v>46113</v>
      </c>
      <c r="G1103" s="286" t="s">
        <v>799</v>
      </c>
      <c r="H1103" s="282" t="s">
        <v>1599</v>
      </c>
      <c r="I1103" s="282" t="s">
        <v>1600</v>
      </c>
      <c r="J1103" s="282" t="s">
        <v>156</v>
      </c>
      <c r="K1103" s="286" t="s">
        <v>1601</v>
      </c>
      <c r="L1103" s="282" t="s">
        <v>574</v>
      </c>
      <c r="M1103" s="287">
        <v>2400</v>
      </c>
      <c r="N1103" s="287"/>
      <c r="O1103" s="287"/>
      <c r="P1103" s="287"/>
      <c r="Q1103" s="288">
        <v>325</v>
      </c>
      <c r="R1103" s="288"/>
      <c r="S1103" s="288"/>
      <c r="T1103" s="288"/>
      <c r="U1103" s="288">
        <v>0</v>
      </c>
      <c r="V1103" s="289">
        <v>325</v>
      </c>
      <c r="W1103" s="289">
        <v>0</v>
      </c>
      <c r="X1103" s="288">
        <v>0.13541666666666666</v>
      </c>
      <c r="Y1103" s="288">
        <v>0</v>
      </c>
      <c r="Z1103" s="288">
        <v>0</v>
      </c>
      <c r="AA1103" s="288">
        <v>0</v>
      </c>
      <c r="AB1103" s="288">
        <v>0</v>
      </c>
      <c r="AC1103" s="289">
        <v>0.13541666666666666</v>
      </c>
      <c r="AD1103" s="289">
        <v>0</v>
      </c>
    </row>
    <row r="1104" spans="1:30" ht="15" customHeight="1" x14ac:dyDescent="0.25">
      <c r="A1104" s="282" t="s">
        <v>581</v>
      </c>
      <c r="B1104" s="282" t="s">
        <v>616</v>
      </c>
      <c r="C1104" s="282" t="s">
        <v>617</v>
      </c>
      <c r="D1104" s="283" t="s">
        <v>1770</v>
      </c>
      <c r="E1104" s="404">
        <v>44788</v>
      </c>
      <c r="F1104" s="404">
        <v>46113</v>
      </c>
      <c r="G1104" s="286" t="s">
        <v>799</v>
      </c>
      <c r="H1104" s="282" t="s">
        <v>1599</v>
      </c>
      <c r="I1104" s="282" t="s">
        <v>1600</v>
      </c>
      <c r="J1104" s="282" t="s">
        <v>156</v>
      </c>
      <c r="K1104" s="286" t="s">
        <v>1601</v>
      </c>
      <c r="L1104" s="282" t="s">
        <v>574</v>
      </c>
      <c r="M1104" s="287">
        <v>2400</v>
      </c>
      <c r="N1104" s="287"/>
      <c r="O1104" s="287"/>
      <c r="P1104" s="287"/>
      <c r="Q1104" s="288">
        <v>328</v>
      </c>
      <c r="R1104" s="288"/>
      <c r="S1104" s="288"/>
      <c r="T1104" s="288"/>
      <c r="U1104" s="288">
        <v>0</v>
      </c>
      <c r="V1104" s="289">
        <v>328</v>
      </c>
      <c r="W1104" s="289">
        <v>0</v>
      </c>
      <c r="X1104" s="288">
        <v>0.13666666666666666</v>
      </c>
      <c r="Y1104" s="288">
        <v>0</v>
      </c>
      <c r="Z1104" s="288">
        <v>0</v>
      </c>
      <c r="AA1104" s="288">
        <v>0</v>
      </c>
      <c r="AB1104" s="288">
        <v>0</v>
      </c>
      <c r="AC1104" s="289">
        <v>0.13666666666666666</v>
      </c>
      <c r="AD1104" s="289">
        <v>0</v>
      </c>
    </row>
    <row r="1105" spans="1:30" ht="15" customHeight="1" x14ac:dyDescent="0.25">
      <c r="A1105" s="282" t="s">
        <v>581</v>
      </c>
      <c r="B1105" s="282" t="s">
        <v>695</v>
      </c>
      <c r="C1105" s="282" t="s">
        <v>696</v>
      </c>
      <c r="D1105" s="283" t="s">
        <v>1771</v>
      </c>
      <c r="E1105" s="404">
        <v>44788</v>
      </c>
      <c r="F1105" s="404">
        <v>46113</v>
      </c>
      <c r="G1105" s="286" t="s">
        <v>799</v>
      </c>
      <c r="H1105" s="282" t="s">
        <v>1599</v>
      </c>
      <c r="I1105" s="282" t="s">
        <v>1600</v>
      </c>
      <c r="J1105" s="282" t="s">
        <v>156</v>
      </c>
      <c r="K1105" s="286" t="s">
        <v>1601</v>
      </c>
      <c r="L1105" s="282" t="s">
        <v>574</v>
      </c>
      <c r="M1105" s="287">
        <v>2400</v>
      </c>
      <c r="N1105" s="287"/>
      <c r="O1105" s="287"/>
      <c r="P1105" s="287"/>
      <c r="Q1105" s="288">
        <v>379</v>
      </c>
      <c r="R1105" s="288"/>
      <c r="S1105" s="288"/>
      <c r="T1105" s="288"/>
      <c r="U1105" s="288">
        <v>0</v>
      </c>
      <c r="V1105" s="289">
        <v>379</v>
      </c>
      <c r="W1105" s="289">
        <v>0</v>
      </c>
      <c r="X1105" s="288">
        <v>0.15791666666666668</v>
      </c>
      <c r="Y1105" s="288">
        <v>0</v>
      </c>
      <c r="Z1105" s="288">
        <v>0</v>
      </c>
      <c r="AA1105" s="288">
        <v>0</v>
      </c>
      <c r="AB1105" s="288">
        <v>0</v>
      </c>
      <c r="AC1105" s="289">
        <v>0.15791666666666668</v>
      </c>
      <c r="AD1105" s="289">
        <v>0</v>
      </c>
    </row>
    <row r="1106" spans="1:30" ht="15" customHeight="1" x14ac:dyDescent="0.25">
      <c r="A1106" s="282" t="s">
        <v>581</v>
      </c>
      <c r="B1106" s="282" t="s">
        <v>611</v>
      </c>
      <c r="C1106" s="282" t="s">
        <v>612</v>
      </c>
      <c r="D1106" s="283" t="s">
        <v>1772</v>
      </c>
      <c r="E1106" s="404">
        <v>44788</v>
      </c>
      <c r="F1106" s="404">
        <v>46113</v>
      </c>
      <c r="G1106" s="286" t="s">
        <v>799</v>
      </c>
      <c r="H1106" s="282" t="s">
        <v>1599</v>
      </c>
      <c r="I1106" s="282" t="s">
        <v>1600</v>
      </c>
      <c r="J1106" s="282" t="s">
        <v>156</v>
      </c>
      <c r="K1106" s="286" t="s">
        <v>1601</v>
      </c>
      <c r="L1106" s="282" t="s">
        <v>574</v>
      </c>
      <c r="M1106" s="287">
        <v>2400</v>
      </c>
      <c r="N1106" s="287"/>
      <c r="O1106" s="287"/>
      <c r="P1106" s="287"/>
      <c r="Q1106" s="288">
        <v>287</v>
      </c>
      <c r="R1106" s="288"/>
      <c r="S1106" s="288"/>
      <c r="T1106" s="288"/>
      <c r="U1106" s="288">
        <v>0</v>
      </c>
      <c r="V1106" s="289">
        <v>287</v>
      </c>
      <c r="W1106" s="289">
        <v>0</v>
      </c>
      <c r="X1106" s="288">
        <v>0.11958333333333333</v>
      </c>
      <c r="Y1106" s="288">
        <v>0</v>
      </c>
      <c r="Z1106" s="288">
        <v>0</v>
      </c>
      <c r="AA1106" s="288">
        <v>0</v>
      </c>
      <c r="AB1106" s="288">
        <v>0</v>
      </c>
      <c r="AC1106" s="289">
        <v>0.11958333333333333</v>
      </c>
      <c r="AD1106" s="289">
        <v>0</v>
      </c>
    </row>
    <row r="1107" spans="1:30" ht="15" customHeight="1" x14ac:dyDescent="0.25">
      <c r="A1107" s="282" t="s">
        <v>581</v>
      </c>
      <c r="B1107" s="282" t="s">
        <v>606</v>
      </c>
      <c r="C1107" s="282" t="s">
        <v>260</v>
      </c>
      <c r="D1107" s="283" t="s">
        <v>1773</v>
      </c>
      <c r="E1107" s="404">
        <v>44788</v>
      </c>
      <c r="F1107" s="404">
        <v>46113</v>
      </c>
      <c r="G1107" s="286" t="s">
        <v>799</v>
      </c>
      <c r="H1107" s="282" t="s">
        <v>1599</v>
      </c>
      <c r="I1107" s="282" t="s">
        <v>1600</v>
      </c>
      <c r="J1107" s="282" t="s">
        <v>156</v>
      </c>
      <c r="K1107" s="286" t="s">
        <v>1601</v>
      </c>
      <c r="L1107" s="282" t="s">
        <v>574</v>
      </c>
      <c r="M1107" s="287">
        <v>2400</v>
      </c>
      <c r="N1107" s="287"/>
      <c r="O1107" s="287"/>
      <c r="P1107" s="287"/>
      <c r="Q1107" s="288">
        <v>250</v>
      </c>
      <c r="R1107" s="288"/>
      <c r="S1107" s="288"/>
      <c r="T1107" s="288"/>
      <c r="U1107" s="288">
        <v>0</v>
      </c>
      <c r="V1107" s="289">
        <v>250</v>
      </c>
      <c r="W1107" s="289">
        <v>0</v>
      </c>
      <c r="X1107" s="288">
        <v>0.10416666666666667</v>
      </c>
      <c r="Y1107" s="288">
        <v>0</v>
      </c>
      <c r="Z1107" s="288">
        <v>0</v>
      </c>
      <c r="AA1107" s="288">
        <v>0</v>
      </c>
      <c r="AB1107" s="288">
        <v>0</v>
      </c>
      <c r="AC1107" s="289">
        <v>0.10416666666666667</v>
      </c>
      <c r="AD1107" s="289">
        <v>0</v>
      </c>
    </row>
    <row r="1108" spans="1:30" ht="15" customHeight="1" x14ac:dyDescent="0.25">
      <c r="A1108" s="282" t="s">
        <v>581</v>
      </c>
      <c r="B1108" s="282" t="s">
        <v>585</v>
      </c>
      <c r="C1108" s="282" t="s">
        <v>586</v>
      </c>
      <c r="D1108" s="283" t="s">
        <v>1774</v>
      </c>
      <c r="E1108" s="404">
        <v>44788</v>
      </c>
      <c r="F1108" s="404">
        <v>46113</v>
      </c>
      <c r="G1108" s="286" t="s">
        <v>799</v>
      </c>
      <c r="H1108" s="282" t="s">
        <v>1599</v>
      </c>
      <c r="I1108" s="282" t="s">
        <v>1600</v>
      </c>
      <c r="J1108" s="282" t="s">
        <v>156</v>
      </c>
      <c r="K1108" s="286" t="s">
        <v>1601</v>
      </c>
      <c r="L1108" s="282" t="s">
        <v>574</v>
      </c>
      <c r="M1108" s="287">
        <v>2400</v>
      </c>
      <c r="N1108" s="287"/>
      <c r="O1108" s="287"/>
      <c r="P1108" s="287"/>
      <c r="Q1108" s="288">
        <v>235</v>
      </c>
      <c r="R1108" s="288"/>
      <c r="S1108" s="288"/>
      <c r="T1108" s="288"/>
      <c r="U1108" s="288">
        <v>0</v>
      </c>
      <c r="V1108" s="289">
        <v>235</v>
      </c>
      <c r="W1108" s="289">
        <v>0</v>
      </c>
      <c r="X1108" s="288">
        <v>9.7916666666666666E-2</v>
      </c>
      <c r="Y1108" s="288">
        <v>0</v>
      </c>
      <c r="Z1108" s="288">
        <v>0</v>
      </c>
      <c r="AA1108" s="288">
        <v>0</v>
      </c>
      <c r="AB1108" s="288">
        <v>0</v>
      </c>
      <c r="AC1108" s="289">
        <v>9.7916666666666666E-2</v>
      </c>
      <c r="AD1108" s="289">
        <v>0</v>
      </c>
    </row>
    <row r="1109" spans="1:30" ht="15" customHeight="1" x14ac:dyDescent="0.25">
      <c r="A1109" s="282" t="s">
        <v>581</v>
      </c>
      <c r="B1109" s="282" t="s">
        <v>977</v>
      </c>
      <c r="C1109" s="282" t="s">
        <v>978</v>
      </c>
      <c r="D1109" s="283" t="s">
        <v>1775</v>
      </c>
      <c r="E1109" s="404">
        <v>44788</v>
      </c>
      <c r="F1109" s="404">
        <v>46113</v>
      </c>
      <c r="G1109" s="286" t="s">
        <v>799</v>
      </c>
      <c r="H1109" s="282" t="s">
        <v>1599</v>
      </c>
      <c r="I1109" s="282" t="s">
        <v>1600</v>
      </c>
      <c r="J1109" s="282" t="s">
        <v>156</v>
      </c>
      <c r="K1109" s="286" t="s">
        <v>1601</v>
      </c>
      <c r="L1109" s="282" t="s">
        <v>574</v>
      </c>
      <c r="M1109" s="287">
        <v>1750</v>
      </c>
      <c r="N1109" s="287"/>
      <c r="O1109" s="287"/>
      <c r="P1109" s="287"/>
      <c r="Q1109" s="288">
        <v>172</v>
      </c>
      <c r="R1109" s="288"/>
      <c r="S1109" s="288"/>
      <c r="T1109" s="288"/>
      <c r="U1109" s="288">
        <v>0</v>
      </c>
      <c r="V1109" s="289">
        <v>172</v>
      </c>
      <c r="W1109" s="289">
        <v>0</v>
      </c>
      <c r="X1109" s="288">
        <v>9.8285714285714282E-2</v>
      </c>
      <c r="Y1109" s="288">
        <v>0</v>
      </c>
      <c r="Z1109" s="288">
        <v>0</v>
      </c>
      <c r="AA1109" s="288">
        <v>0</v>
      </c>
      <c r="AB1109" s="288">
        <v>0</v>
      </c>
      <c r="AC1109" s="289">
        <v>9.8285714285714282E-2</v>
      </c>
      <c r="AD1109" s="289">
        <v>0</v>
      </c>
    </row>
    <row r="1110" spans="1:30" ht="15" customHeight="1" x14ac:dyDescent="0.25">
      <c r="A1110" s="282" t="s">
        <v>581</v>
      </c>
      <c r="B1110" s="282" t="s">
        <v>616</v>
      </c>
      <c r="C1110" s="282" t="s">
        <v>617</v>
      </c>
      <c r="D1110" s="283" t="s">
        <v>1776</v>
      </c>
      <c r="E1110" s="404">
        <v>44788</v>
      </c>
      <c r="F1110" s="404">
        <v>46113</v>
      </c>
      <c r="G1110" s="286" t="s">
        <v>799</v>
      </c>
      <c r="H1110" s="282" t="s">
        <v>1599</v>
      </c>
      <c r="I1110" s="282" t="s">
        <v>1600</v>
      </c>
      <c r="J1110" s="282" t="s">
        <v>156</v>
      </c>
      <c r="K1110" s="286" t="s">
        <v>1601</v>
      </c>
      <c r="L1110" s="282" t="s">
        <v>574</v>
      </c>
      <c r="M1110" s="287">
        <v>2400</v>
      </c>
      <c r="N1110" s="287"/>
      <c r="O1110" s="287"/>
      <c r="P1110" s="287"/>
      <c r="Q1110" s="288">
        <v>248</v>
      </c>
      <c r="R1110" s="288"/>
      <c r="S1110" s="288"/>
      <c r="T1110" s="288"/>
      <c r="U1110" s="288">
        <v>0</v>
      </c>
      <c r="V1110" s="289">
        <v>248</v>
      </c>
      <c r="W1110" s="289">
        <v>0</v>
      </c>
      <c r="X1110" s="288">
        <v>0.10333333333333333</v>
      </c>
      <c r="Y1110" s="288">
        <v>0</v>
      </c>
      <c r="Z1110" s="288">
        <v>0</v>
      </c>
      <c r="AA1110" s="288">
        <v>0</v>
      </c>
      <c r="AB1110" s="288">
        <v>0</v>
      </c>
      <c r="AC1110" s="289">
        <v>0.10333333333333333</v>
      </c>
      <c r="AD1110" s="289">
        <v>0</v>
      </c>
    </row>
    <row r="1111" spans="1:30" ht="15" customHeight="1" x14ac:dyDescent="0.25">
      <c r="A1111" s="282" t="s">
        <v>581</v>
      </c>
      <c r="B1111" s="282" t="s">
        <v>616</v>
      </c>
      <c r="C1111" s="282" t="s">
        <v>617</v>
      </c>
      <c r="D1111" s="283" t="s">
        <v>1777</v>
      </c>
      <c r="E1111" s="404">
        <v>44788</v>
      </c>
      <c r="F1111" s="404">
        <v>46113</v>
      </c>
      <c r="G1111" s="286" t="s">
        <v>799</v>
      </c>
      <c r="H1111" s="282" t="s">
        <v>1599</v>
      </c>
      <c r="I1111" s="282" t="s">
        <v>1600</v>
      </c>
      <c r="J1111" s="282" t="s">
        <v>156</v>
      </c>
      <c r="K1111" s="286" t="s">
        <v>1601</v>
      </c>
      <c r="L1111" s="282" t="s">
        <v>574</v>
      </c>
      <c r="M1111" s="287">
        <v>2400</v>
      </c>
      <c r="N1111" s="287"/>
      <c r="O1111" s="287"/>
      <c r="P1111" s="287"/>
      <c r="Q1111" s="288">
        <v>239</v>
      </c>
      <c r="R1111" s="288"/>
      <c r="S1111" s="288"/>
      <c r="T1111" s="288"/>
      <c r="U1111" s="288">
        <v>0</v>
      </c>
      <c r="V1111" s="289">
        <v>239</v>
      </c>
      <c r="W1111" s="289">
        <v>0</v>
      </c>
      <c r="X1111" s="288">
        <v>9.9583333333333329E-2</v>
      </c>
      <c r="Y1111" s="288">
        <v>0</v>
      </c>
      <c r="Z1111" s="288">
        <v>0</v>
      </c>
      <c r="AA1111" s="288">
        <v>0</v>
      </c>
      <c r="AB1111" s="288">
        <v>0</v>
      </c>
      <c r="AC1111" s="289">
        <v>9.9583333333333329E-2</v>
      </c>
      <c r="AD1111" s="289">
        <v>0</v>
      </c>
    </row>
    <row r="1112" spans="1:30" ht="15" customHeight="1" x14ac:dyDescent="0.25">
      <c r="A1112" s="282" t="s">
        <v>581</v>
      </c>
      <c r="B1112" s="282" t="s">
        <v>616</v>
      </c>
      <c r="C1112" s="282" t="s">
        <v>617</v>
      </c>
      <c r="D1112" s="283" t="s">
        <v>1778</v>
      </c>
      <c r="E1112" s="404">
        <v>44788</v>
      </c>
      <c r="F1112" s="404">
        <v>46113</v>
      </c>
      <c r="G1112" s="286" t="s">
        <v>799</v>
      </c>
      <c r="H1112" s="282" t="s">
        <v>1599</v>
      </c>
      <c r="I1112" s="282" t="s">
        <v>1600</v>
      </c>
      <c r="J1112" s="282" t="s">
        <v>156</v>
      </c>
      <c r="K1112" s="286" t="s">
        <v>1601</v>
      </c>
      <c r="L1112" s="282" t="s">
        <v>574</v>
      </c>
      <c r="M1112" s="287">
        <v>2400</v>
      </c>
      <c r="N1112" s="287"/>
      <c r="O1112" s="287"/>
      <c r="P1112" s="287"/>
      <c r="Q1112" s="288">
        <v>233</v>
      </c>
      <c r="R1112" s="288"/>
      <c r="S1112" s="288"/>
      <c r="T1112" s="288"/>
      <c r="U1112" s="288">
        <v>0</v>
      </c>
      <c r="V1112" s="289">
        <v>233</v>
      </c>
      <c r="W1112" s="289">
        <v>0</v>
      </c>
      <c r="X1112" s="288">
        <v>9.7083333333333327E-2</v>
      </c>
      <c r="Y1112" s="288">
        <v>0</v>
      </c>
      <c r="Z1112" s="288">
        <v>0</v>
      </c>
      <c r="AA1112" s="288">
        <v>0</v>
      </c>
      <c r="AB1112" s="288">
        <v>0</v>
      </c>
      <c r="AC1112" s="289">
        <v>9.7083333333333327E-2</v>
      </c>
      <c r="AD1112" s="289">
        <v>0</v>
      </c>
    </row>
    <row r="1113" spans="1:30" ht="15" customHeight="1" x14ac:dyDescent="0.25">
      <c r="A1113" s="282" t="s">
        <v>581</v>
      </c>
      <c r="B1113" s="282" t="s">
        <v>1220</v>
      </c>
      <c r="C1113" s="282" t="s">
        <v>586</v>
      </c>
      <c r="D1113" s="283" t="s">
        <v>1779</v>
      </c>
      <c r="E1113" s="404">
        <v>44788</v>
      </c>
      <c r="F1113" s="404">
        <v>46113</v>
      </c>
      <c r="G1113" s="286" t="s">
        <v>799</v>
      </c>
      <c r="H1113" s="282" t="s">
        <v>1599</v>
      </c>
      <c r="I1113" s="282" t="s">
        <v>1600</v>
      </c>
      <c r="J1113" s="282" t="s">
        <v>156</v>
      </c>
      <c r="K1113" s="286" t="s">
        <v>1601</v>
      </c>
      <c r="L1113" s="282" t="s">
        <v>574</v>
      </c>
      <c r="M1113" s="287">
        <v>2400</v>
      </c>
      <c r="N1113" s="287"/>
      <c r="O1113" s="287"/>
      <c r="P1113" s="287"/>
      <c r="Q1113" s="288">
        <v>289</v>
      </c>
      <c r="R1113" s="288"/>
      <c r="S1113" s="288"/>
      <c r="T1113" s="288"/>
      <c r="U1113" s="288">
        <v>0</v>
      </c>
      <c r="V1113" s="289">
        <v>289</v>
      </c>
      <c r="W1113" s="289">
        <v>0</v>
      </c>
      <c r="X1113" s="288">
        <v>0.12041666666666667</v>
      </c>
      <c r="Y1113" s="288">
        <v>0</v>
      </c>
      <c r="Z1113" s="288">
        <v>0</v>
      </c>
      <c r="AA1113" s="288">
        <v>0</v>
      </c>
      <c r="AB1113" s="288">
        <v>0</v>
      </c>
      <c r="AC1113" s="289">
        <v>0.12041666666666667</v>
      </c>
      <c r="AD1113" s="289">
        <v>0</v>
      </c>
    </row>
    <row r="1114" spans="1:30" ht="15" customHeight="1" x14ac:dyDescent="0.25">
      <c r="A1114" s="282" t="s">
        <v>581</v>
      </c>
      <c r="B1114" s="282" t="s">
        <v>585</v>
      </c>
      <c r="C1114" s="282" t="s">
        <v>586</v>
      </c>
      <c r="D1114" s="283" t="s">
        <v>1780</v>
      </c>
      <c r="E1114" s="404">
        <v>44788</v>
      </c>
      <c r="F1114" s="404">
        <v>46113</v>
      </c>
      <c r="G1114" s="286" t="s">
        <v>799</v>
      </c>
      <c r="H1114" s="282" t="s">
        <v>1599</v>
      </c>
      <c r="I1114" s="282" t="s">
        <v>1600</v>
      </c>
      <c r="J1114" s="282" t="s">
        <v>156</v>
      </c>
      <c r="K1114" s="286" t="s">
        <v>1601</v>
      </c>
      <c r="L1114" s="282" t="s">
        <v>574</v>
      </c>
      <c r="M1114" s="287">
        <v>2400</v>
      </c>
      <c r="N1114" s="287"/>
      <c r="O1114" s="287"/>
      <c r="P1114" s="287"/>
      <c r="Q1114" s="288">
        <v>313</v>
      </c>
      <c r="R1114" s="288"/>
      <c r="S1114" s="288"/>
      <c r="T1114" s="288"/>
      <c r="U1114" s="288">
        <v>0</v>
      </c>
      <c r="V1114" s="289">
        <v>313</v>
      </c>
      <c r="W1114" s="289">
        <v>0</v>
      </c>
      <c r="X1114" s="288">
        <v>0.13041666666666665</v>
      </c>
      <c r="Y1114" s="288">
        <v>0</v>
      </c>
      <c r="Z1114" s="288">
        <v>0</v>
      </c>
      <c r="AA1114" s="288">
        <v>0</v>
      </c>
      <c r="AB1114" s="288">
        <v>0</v>
      </c>
      <c r="AC1114" s="289">
        <v>0.13041666666666665</v>
      </c>
      <c r="AD1114" s="289">
        <v>0</v>
      </c>
    </row>
    <row r="1115" spans="1:30" ht="15" customHeight="1" x14ac:dyDescent="0.25">
      <c r="A1115" s="282" t="s">
        <v>581</v>
      </c>
      <c r="B1115" s="282" t="s">
        <v>585</v>
      </c>
      <c r="C1115" s="282" t="s">
        <v>586</v>
      </c>
      <c r="D1115" s="283" t="s">
        <v>1781</v>
      </c>
      <c r="E1115" s="404">
        <v>44788</v>
      </c>
      <c r="F1115" s="404">
        <v>46113</v>
      </c>
      <c r="G1115" s="286" t="s">
        <v>799</v>
      </c>
      <c r="H1115" s="282" t="s">
        <v>1599</v>
      </c>
      <c r="I1115" s="282" t="s">
        <v>1600</v>
      </c>
      <c r="J1115" s="282" t="s">
        <v>156</v>
      </c>
      <c r="K1115" s="286" t="s">
        <v>1601</v>
      </c>
      <c r="L1115" s="282" t="s">
        <v>574</v>
      </c>
      <c r="M1115" s="287">
        <v>2400</v>
      </c>
      <c r="N1115" s="287"/>
      <c r="O1115" s="287"/>
      <c r="P1115" s="287"/>
      <c r="Q1115" s="288">
        <v>231</v>
      </c>
      <c r="R1115" s="288"/>
      <c r="S1115" s="288"/>
      <c r="T1115" s="288"/>
      <c r="U1115" s="288">
        <v>0</v>
      </c>
      <c r="V1115" s="289">
        <v>231</v>
      </c>
      <c r="W1115" s="289">
        <v>0</v>
      </c>
      <c r="X1115" s="288">
        <v>9.6250000000000002E-2</v>
      </c>
      <c r="Y1115" s="288">
        <v>0</v>
      </c>
      <c r="Z1115" s="288">
        <v>0</v>
      </c>
      <c r="AA1115" s="288">
        <v>0</v>
      </c>
      <c r="AB1115" s="288">
        <v>0</v>
      </c>
      <c r="AC1115" s="289">
        <v>9.6250000000000002E-2</v>
      </c>
      <c r="AD1115" s="289">
        <v>0</v>
      </c>
    </row>
    <row r="1116" spans="1:30" ht="15" customHeight="1" x14ac:dyDescent="0.25">
      <c r="A1116" s="282" t="s">
        <v>581</v>
      </c>
      <c r="B1116" s="282" t="s">
        <v>594</v>
      </c>
      <c r="C1116" s="282" t="s">
        <v>595</v>
      </c>
      <c r="D1116" s="283" t="s">
        <v>1782</v>
      </c>
      <c r="E1116" s="404">
        <v>44788</v>
      </c>
      <c r="F1116" s="404">
        <v>46113</v>
      </c>
      <c r="G1116" s="286" t="s">
        <v>799</v>
      </c>
      <c r="H1116" s="282" t="s">
        <v>1599</v>
      </c>
      <c r="I1116" s="282" t="s">
        <v>1600</v>
      </c>
      <c r="J1116" s="282" t="s">
        <v>156</v>
      </c>
      <c r="K1116" s="286" t="s">
        <v>1601</v>
      </c>
      <c r="L1116" s="282" t="s">
        <v>574</v>
      </c>
      <c r="M1116" s="287">
        <v>2400</v>
      </c>
      <c r="N1116" s="287"/>
      <c r="O1116" s="287"/>
      <c r="P1116" s="287"/>
      <c r="Q1116" s="288">
        <v>271</v>
      </c>
      <c r="R1116" s="288"/>
      <c r="S1116" s="288"/>
      <c r="T1116" s="288"/>
      <c r="U1116" s="288">
        <v>0</v>
      </c>
      <c r="V1116" s="289">
        <v>271</v>
      </c>
      <c r="W1116" s="289">
        <v>0</v>
      </c>
      <c r="X1116" s="288">
        <v>0.11291666666666667</v>
      </c>
      <c r="Y1116" s="288">
        <v>0</v>
      </c>
      <c r="Z1116" s="288">
        <v>0</v>
      </c>
      <c r="AA1116" s="288">
        <v>0</v>
      </c>
      <c r="AB1116" s="288">
        <v>0</v>
      </c>
      <c r="AC1116" s="289">
        <v>0.11291666666666667</v>
      </c>
      <c r="AD1116" s="289">
        <v>0</v>
      </c>
    </row>
    <row r="1117" spans="1:30" ht="15" customHeight="1" x14ac:dyDescent="0.25">
      <c r="A1117" s="282" t="s">
        <v>581</v>
      </c>
      <c r="B1117" s="282" t="s">
        <v>628</v>
      </c>
      <c r="C1117" s="282" t="s">
        <v>629</v>
      </c>
      <c r="D1117" s="283" t="s">
        <v>1783</v>
      </c>
      <c r="E1117" s="404">
        <v>44788</v>
      </c>
      <c r="F1117" s="404">
        <v>46113</v>
      </c>
      <c r="G1117" s="286" t="s">
        <v>1784</v>
      </c>
      <c r="H1117" s="282" t="s">
        <v>1599</v>
      </c>
      <c r="I1117" s="282" t="s">
        <v>1600</v>
      </c>
      <c r="J1117" s="282" t="s">
        <v>156</v>
      </c>
      <c r="K1117" s="286" t="s">
        <v>1601</v>
      </c>
      <c r="L1117" s="282" t="s">
        <v>574</v>
      </c>
      <c r="M1117" s="287">
        <v>2400</v>
      </c>
      <c r="N1117" s="287"/>
      <c r="O1117" s="287"/>
      <c r="P1117" s="287"/>
      <c r="Q1117" s="288">
        <v>285</v>
      </c>
      <c r="R1117" s="288"/>
      <c r="S1117" s="288"/>
      <c r="T1117" s="288"/>
      <c r="U1117" s="288">
        <v>0</v>
      </c>
      <c r="V1117" s="289">
        <v>285</v>
      </c>
      <c r="W1117" s="289">
        <v>0</v>
      </c>
      <c r="X1117" s="288">
        <v>0.11874999999999999</v>
      </c>
      <c r="Y1117" s="288">
        <v>0</v>
      </c>
      <c r="Z1117" s="288">
        <v>0</v>
      </c>
      <c r="AA1117" s="288">
        <v>0</v>
      </c>
      <c r="AB1117" s="288">
        <v>0</v>
      </c>
      <c r="AC1117" s="289">
        <v>0.11874999999999999</v>
      </c>
      <c r="AD1117" s="289">
        <v>0</v>
      </c>
    </row>
    <row r="1118" spans="1:30" ht="15" customHeight="1" x14ac:dyDescent="0.25">
      <c r="A1118" s="282" t="s">
        <v>581</v>
      </c>
      <c r="B1118" s="282" t="s">
        <v>611</v>
      </c>
      <c r="C1118" s="282" t="s">
        <v>612</v>
      </c>
      <c r="D1118" s="283" t="s">
        <v>1785</v>
      </c>
      <c r="E1118" s="404">
        <v>44788</v>
      </c>
      <c r="F1118" s="404">
        <v>46113</v>
      </c>
      <c r="G1118" s="286" t="s">
        <v>1784</v>
      </c>
      <c r="H1118" s="282" t="s">
        <v>1599</v>
      </c>
      <c r="I1118" s="282" t="s">
        <v>1600</v>
      </c>
      <c r="J1118" s="282" t="s">
        <v>156</v>
      </c>
      <c r="K1118" s="286" t="s">
        <v>1601</v>
      </c>
      <c r="L1118" s="282" t="s">
        <v>574</v>
      </c>
      <c r="M1118" s="287">
        <v>2400</v>
      </c>
      <c r="N1118" s="287"/>
      <c r="O1118" s="287"/>
      <c r="P1118" s="287"/>
      <c r="Q1118" s="288">
        <v>310</v>
      </c>
      <c r="R1118" s="288"/>
      <c r="S1118" s="288"/>
      <c r="T1118" s="288"/>
      <c r="U1118" s="288">
        <v>0</v>
      </c>
      <c r="V1118" s="289">
        <v>310</v>
      </c>
      <c r="W1118" s="289">
        <v>0</v>
      </c>
      <c r="X1118" s="288">
        <v>0.12916666666666668</v>
      </c>
      <c r="Y1118" s="288">
        <v>0</v>
      </c>
      <c r="Z1118" s="288">
        <v>0</v>
      </c>
      <c r="AA1118" s="288">
        <v>0</v>
      </c>
      <c r="AB1118" s="288">
        <v>0</v>
      </c>
      <c r="AC1118" s="289">
        <v>0.12916666666666668</v>
      </c>
      <c r="AD1118" s="289">
        <v>0</v>
      </c>
    </row>
    <row r="1119" spans="1:30" ht="15" customHeight="1" x14ac:dyDescent="0.25">
      <c r="A1119" s="282" t="s">
        <v>581</v>
      </c>
      <c r="B1119" s="282" t="s">
        <v>585</v>
      </c>
      <c r="C1119" s="282" t="s">
        <v>586</v>
      </c>
      <c r="D1119" s="283" t="s">
        <v>1786</v>
      </c>
      <c r="E1119" s="404">
        <v>44788</v>
      </c>
      <c r="F1119" s="404">
        <v>46113</v>
      </c>
      <c r="G1119" s="286" t="s">
        <v>1784</v>
      </c>
      <c r="H1119" s="282" t="s">
        <v>1599</v>
      </c>
      <c r="I1119" s="282" t="s">
        <v>1600</v>
      </c>
      <c r="J1119" s="282" t="s">
        <v>156</v>
      </c>
      <c r="K1119" s="286" t="s">
        <v>1601</v>
      </c>
      <c r="L1119" s="282" t="s">
        <v>574</v>
      </c>
      <c r="M1119" s="287">
        <v>2400</v>
      </c>
      <c r="N1119" s="287"/>
      <c r="O1119" s="287"/>
      <c r="P1119" s="287"/>
      <c r="Q1119" s="288">
        <v>354</v>
      </c>
      <c r="R1119" s="288"/>
      <c r="S1119" s="288"/>
      <c r="T1119" s="288"/>
      <c r="U1119" s="288">
        <v>0</v>
      </c>
      <c r="V1119" s="289">
        <v>354</v>
      </c>
      <c r="W1119" s="289">
        <v>0</v>
      </c>
      <c r="X1119" s="288">
        <v>0.14749999999999999</v>
      </c>
      <c r="Y1119" s="288">
        <v>0</v>
      </c>
      <c r="Z1119" s="288">
        <v>0</v>
      </c>
      <c r="AA1119" s="288">
        <v>0</v>
      </c>
      <c r="AB1119" s="288">
        <v>0</v>
      </c>
      <c r="AC1119" s="289">
        <v>0.14749999999999999</v>
      </c>
      <c r="AD1119" s="289">
        <v>0</v>
      </c>
    </row>
    <row r="1120" spans="1:30" ht="15" customHeight="1" x14ac:dyDescent="0.25">
      <c r="A1120" s="282" t="s">
        <v>581</v>
      </c>
      <c r="B1120" s="282" t="s">
        <v>616</v>
      </c>
      <c r="C1120" s="282" t="s">
        <v>617</v>
      </c>
      <c r="D1120" s="283" t="s">
        <v>1787</v>
      </c>
      <c r="E1120" s="404">
        <v>44788</v>
      </c>
      <c r="F1120" s="404">
        <v>46113</v>
      </c>
      <c r="G1120" s="286" t="s">
        <v>1784</v>
      </c>
      <c r="H1120" s="282" t="s">
        <v>1599</v>
      </c>
      <c r="I1120" s="282" t="s">
        <v>1600</v>
      </c>
      <c r="J1120" s="282" t="s">
        <v>156</v>
      </c>
      <c r="K1120" s="286" t="s">
        <v>1601</v>
      </c>
      <c r="L1120" s="282" t="s">
        <v>574</v>
      </c>
      <c r="M1120" s="287">
        <v>2400</v>
      </c>
      <c r="N1120" s="287"/>
      <c r="O1120" s="287"/>
      <c r="P1120" s="287"/>
      <c r="Q1120" s="288">
        <v>449</v>
      </c>
      <c r="R1120" s="288"/>
      <c r="S1120" s="288"/>
      <c r="T1120" s="288"/>
      <c r="U1120" s="288">
        <v>0</v>
      </c>
      <c r="V1120" s="289">
        <v>449</v>
      </c>
      <c r="W1120" s="289">
        <v>0</v>
      </c>
      <c r="X1120" s="288">
        <v>0.18708333333333332</v>
      </c>
      <c r="Y1120" s="288">
        <v>0</v>
      </c>
      <c r="Z1120" s="288">
        <v>0</v>
      </c>
      <c r="AA1120" s="288">
        <v>0</v>
      </c>
      <c r="AB1120" s="288">
        <v>0</v>
      </c>
      <c r="AC1120" s="289">
        <v>0.18708333333333332</v>
      </c>
      <c r="AD1120" s="289">
        <v>0</v>
      </c>
    </row>
    <row r="1121" spans="1:30" ht="15" customHeight="1" x14ac:dyDescent="0.25">
      <c r="A1121" s="282" t="s">
        <v>581</v>
      </c>
      <c r="B1121" s="282" t="s">
        <v>594</v>
      </c>
      <c r="C1121" s="282" t="s">
        <v>595</v>
      </c>
      <c r="D1121" s="283" t="s">
        <v>1788</v>
      </c>
      <c r="E1121" s="404">
        <v>44788</v>
      </c>
      <c r="F1121" s="404">
        <v>46113</v>
      </c>
      <c r="G1121" s="286" t="s">
        <v>1784</v>
      </c>
      <c r="H1121" s="282" t="s">
        <v>1599</v>
      </c>
      <c r="I1121" s="282" t="s">
        <v>1600</v>
      </c>
      <c r="J1121" s="282" t="s">
        <v>156</v>
      </c>
      <c r="K1121" s="286" t="s">
        <v>1601</v>
      </c>
      <c r="L1121" s="282" t="s">
        <v>574</v>
      </c>
      <c r="M1121" s="287">
        <v>2400</v>
      </c>
      <c r="N1121" s="287"/>
      <c r="O1121" s="287"/>
      <c r="P1121" s="287"/>
      <c r="Q1121" s="288">
        <v>205</v>
      </c>
      <c r="R1121" s="288"/>
      <c r="S1121" s="288"/>
      <c r="T1121" s="288"/>
      <c r="U1121" s="288">
        <v>0</v>
      </c>
      <c r="V1121" s="289">
        <v>205</v>
      </c>
      <c r="W1121" s="289">
        <v>0</v>
      </c>
      <c r="X1121" s="288">
        <v>8.5416666666666669E-2</v>
      </c>
      <c r="Y1121" s="288">
        <v>0</v>
      </c>
      <c r="Z1121" s="288">
        <v>0</v>
      </c>
      <c r="AA1121" s="288">
        <v>0</v>
      </c>
      <c r="AB1121" s="288">
        <v>0</v>
      </c>
      <c r="AC1121" s="289">
        <v>8.5416666666666669E-2</v>
      </c>
      <c r="AD1121" s="289">
        <v>0</v>
      </c>
    </row>
    <row r="1122" spans="1:30" ht="15" customHeight="1" x14ac:dyDescent="0.25">
      <c r="A1122" s="282" t="s">
        <v>581</v>
      </c>
      <c r="B1122" s="282" t="s">
        <v>628</v>
      </c>
      <c r="C1122" s="282" t="s">
        <v>629</v>
      </c>
      <c r="D1122" s="283" t="s">
        <v>1789</v>
      </c>
      <c r="E1122" s="404">
        <v>44788</v>
      </c>
      <c r="F1122" s="404">
        <v>46113</v>
      </c>
      <c r="G1122" s="286" t="s">
        <v>1784</v>
      </c>
      <c r="H1122" s="282" t="s">
        <v>1599</v>
      </c>
      <c r="I1122" s="282" t="s">
        <v>1600</v>
      </c>
      <c r="J1122" s="282" t="s">
        <v>156</v>
      </c>
      <c r="K1122" s="286" t="s">
        <v>1601</v>
      </c>
      <c r="L1122" s="282" t="s">
        <v>574</v>
      </c>
      <c r="M1122" s="287">
        <v>2400</v>
      </c>
      <c r="N1122" s="287"/>
      <c r="O1122" s="287"/>
      <c r="P1122" s="287"/>
      <c r="Q1122" s="288">
        <v>227</v>
      </c>
      <c r="R1122" s="288"/>
      <c r="S1122" s="288"/>
      <c r="T1122" s="288"/>
      <c r="U1122" s="288">
        <v>0</v>
      </c>
      <c r="V1122" s="289">
        <v>227</v>
      </c>
      <c r="W1122" s="289">
        <v>0</v>
      </c>
      <c r="X1122" s="288">
        <v>9.4583333333333339E-2</v>
      </c>
      <c r="Y1122" s="288">
        <v>0</v>
      </c>
      <c r="Z1122" s="288">
        <v>0</v>
      </c>
      <c r="AA1122" s="288">
        <v>0</v>
      </c>
      <c r="AB1122" s="288">
        <v>0</v>
      </c>
      <c r="AC1122" s="289">
        <v>9.4583333333333339E-2</v>
      </c>
      <c r="AD1122" s="289">
        <v>0</v>
      </c>
    </row>
    <row r="1123" spans="1:30" ht="15" customHeight="1" x14ac:dyDescent="0.25">
      <c r="A1123" s="282" t="s">
        <v>581</v>
      </c>
      <c r="B1123" s="282" t="s">
        <v>611</v>
      </c>
      <c r="C1123" s="282" t="s">
        <v>612</v>
      </c>
      <c r="D1123" s="283" t="s">
        <v>1790</v>
      </c>
      <c r="E1123" s="404">
        <v>44788</v>
      </c>
      <c r="F1123" s="404">
        <v>46113</v>
      </c>
      <c r="G1123" s="286" t="s">
        <v>1784</v>
      </c>
      <c r="H1123" s="282" t="s">
        <v>1599</v>
      </c>
      <c r="I1123" s="282" t="s">
        <v>1600</v>
      </c>
      <c r="J1123" s="282" t="s">
        <v>156</v>
      </c>
      <c r="K1123" s="286" t="s">
        <v>1601</v>
      </c>
      <c r="L1123" s="282" t="s">
        <v>574</v>
      </c>
      <c r="M1123" s="287">
        <v>2400</v>
      </c>
      <c r="N1123" s="287"/>
      <c r="O1123" s="287"/>
      <c r="P1123" s="287"/>
      <c r="Q1123" s="288">
        <v>257</v>
      </c>
      <c r="R1123" s="288"/>
      <c r="S1123" s="288"/>
      <c r="T1123" s="288"/>
      <c r="U1123" s="288">
        <v>0</v>
      </c>
      <c r="V1123" s="289">
        <v>257</v>
      </c>
      <c r="W1123" s="289">
        <v>0</v>
      </c>
      <c r="X1123" s="288">
        <v>0.10708333333333334</v>
      </c>
      <c r="Y1123" s="288">
        <v>0</v>
      </c>
      <c r="Z1123" s="288">
        <v>0</v>
      </c>
      <c r="AA1123" s="288">
        <v>0</v>
      </c>
      <c r="AB1123" s="288">
        <v>0</v>
      </c>
      <c r="AC1123" s="289">
        <v>0.10708333333333334</v>
      </c>
      <c r="AD1123" s="289">
        <v>0</v>
      </c>
    </row>
    <row r="1124" spans="1:30" ht="15" customHeight="1" x14ac:dyDescent="0.25">
      <c r="A1124" s="282" t="s">
        <v>581</v>
      </c>
      <c r="B1124" s="282" t="s">
        <v>585</v>
      </c>
      <c r="C1124" s="282" t="s">
        <v>586</v>
      </c>
      <c r="D1124" s="283" t="s">
        <v>1791</v>
      </c>
      <c r="E1124" s="404">
        <v>44788</v>
      </c>
      <c r="F1124" s="404">
        <v>46113</v>
      </c>
      <c r="G1124" s="286" t="s">
        <v>1784</v>
      </c>
      <c r="H1124" s="282" t="s">
        <v>1599</v>
      </c>
      <c r="I1124" s="282" t="s">
        <v>1600</v>
      </c>
      <c r="J1124" s="282" t="s">
        <v>156</v>
      </c>
      <c r="K1124" s="286" t="s">
        <v>1601</v>
      </c>
      <c r="L1124" s="282" t="s">
        <v>574</v>
      </c>
      <c r="M1124" s="287">
        <v>2400</v>
      </c>
      <c r="N1124" s="287"/>
      <c r="O1124" s="287"/>
      <c r="P1124" s="287"/>
      <c r="Q1124" s="288">
        <v>330</v>
      </c>
      <c r="R1124" s="288"/>
      <c r="S1124" s="288"/>
      <c r="T1124" s="288"/>
      <c r="U1124" s="288">
        <v>0</v>
      </c>
      <c r="V1124" s="289">
        <v>330</v>
      </c>
      <c r="W1124" s="289">
        <v>0</v>
      </c>
      <c r="X1124" s="288">
        <v>0.13750000000000001</v>
      </c>
      <c r="Y1124" s="288">
        <v>0</v>
      </c>
      <c r="Z1124" s="288">
        <v>0</v>
      </c>
      <c r="AA1124" s="288">
        <v>0</v>
      </c>
      <c r="AB1124" s="288">
        <v>0</v>
      </c>
      <c r="AC1124" s="289">
        <v>0.13750000000000001</v>
      </c>
      <c r="AD1124" s="289">
        <v>0</v>
      </c>
    </row>
    <row r="1125" spans="1:30" ht="15" customHeight="1" x14ac:dyDescent="0.25">
      <c r="A1125" s="282" t="s">
        <v>581</v>
      </c>
      <c r="B1125" s="282" t="s">
        <v>628</v>
      </c>
      <c r="C1125" s="282" t="s">
        <v>629</v>
      </c>
      <c r="D1125" s="283" t="s">
        <v>1792</v>
      </c>
      <c r="E1125" s="404">
        <v>44788</v>
      </c>
      <c r="F1125" s="404">
        <v>46113</v>
      </c>
      <c r="G1125" s="286" t="s">
        <v>1784</v>
      </c>
      <c r="H1125" s="282" t="s">
        <v>1599</v>
      </c>
      <c r="I1125" s="282" t="s">
        <v>1600</v>
      </c>
      <c r="J1125" s="282" t="s">
        <v>156</v>
      </c>
      <c r="K1125" s="286" t="s">
        <v>1601</v>
      </c>
      <c r="L1125" s="282" t="s">
        <v>574</v>
      </c>
      <c r="M1125" s="287">
        <v>2400</v>
      </c>
      <c r="N1125" s="287"/>
      <c r="O1125" s="287"/>
      <c r="P1125" s="287"/>
      <c r="Q1125" s="288">
        <v>254</v>
      </c>
      <c r="R1125" s="288"/>
      <c r="S1125" s="288"/>
      <c r="T1125" s="288"/>
      <c r="U1125" s="288">
        <v>0</v>
      </c>
      <c r="V1125" s="289">
        <v>254</v>
      </c>
      <c r="W1125" s="289">
        <v>0</v>
      </c>
      <c r="X1125" s="288">
        <v>0.10583333333333333</v>
      </c>
      <c r="Y1125" s="288">
        <v>0</v>
      </c>
      <c r="Z1125" s="288">
        <v>0</v>
      </c>
      <c r="AA1125" s="288">
        <v>0</v>
      </c>
      <c r="AB1125" s="288">
        <v>0</v>
      </c>
      <c r="AC1125" s="289">
        <v>0.10583333333333333</v>
      </c>
      <c r="AD1125" s="289">
        <v>0</v>
      </c>
    </row>
    <row r="1126" spans="1:30" ht="15" customHeight="1" x14ac:dyDescent="0.25">
      <c r="A1126" s="282" t="s">
        <v>581</v>
      </c>
      <c r="B1126" s="282" t="s">
        <v>616</v>
      </c>
      <c r="C1126" s="282" t="s">
        <v>617</v>
      </c>
      <c r="D1126" s="283" t="s">
        <v>1793</v>
      </c>
      <c r="E1126" s="404">
        <v>44788</v>
      </c>
      <c r="F1126" s="404">
        <v>46113</v>
      </c>
      <c r="G1126" s="286" t="s">
        <v>1784</v>
      </c>
      <c r="H1126" s="282" t="s">
        <v>1599</v>
      </c>
      <c r="I1126" s="282" t="s">
        <v>1600</v>
      </c>
      <c r="J1126" s="282" t="s">
        <v>156</v>
      </c>
      <c r="K1126" s="286" t="s">
        <v>1601</v>
      </c>
      <c r="L1126" s="282" t="s">
        <v>574</v>
      </c>
      <c r="M1126" s="287">
        <v>2400</v>
      </c>
      <c r="N1126" s="287"/>
      <c r="O1126" s="287"/>
      <c r="P1126" s="287"/>
      <c r="Q1126" s="288">
        <v>417</v>
      </c>
      <c r="R1126" s="288"/>
      <c r="S1126" s="288"/>
      <c r="T1126" s="288"/>
      <c r="U1126" s="288">
        <v>0</v>
      </c>
      <c r="V1126" s="289">
        <v>417</v>
      </c>
      <c r="W1126" s="289">
        <v>0</v>
      </c>
      <c r="X1126" s="288">
        <v>0.17374999999999999</v>
      </c>
      <c r="Y1126" s="288">
        <v>0</v>
      </c>
      <c r="Z1126" s="288">
        <v>0</v>
      </c>
      <c r="AA1126" s="288">
        <v>0</v>
      </c>
      <c r="AB1126" s="288">
        <v>0</v>
      </c>
      <c r="AC1126" s="289">
        <v>0.17374999999999999</v>
      </c>
      <c r="AD1126" s="289">
        <v>0</v>
      </c>
    </row>
    <row r="1127" spans="1:30" ht="15" customHeight="1" x14ac:dyDescent="0.25">
      <c r="A1127" s="282" t="s">
        <v>581</v>
      </c>
      <c r="B1127" s="282" t="s">
        <v>594</v>
      </c>
      <c r="C1127" s="282" t="s">
        <v>595</v>
      </c>
      <c r="D1127" s="283" t="s">
        <v>1794</v>
      </c>
      <c r="E1127" s="404">
        <v>44788</v>
      </c>
      <c r="F1127" s="404">
        <v>46113</v>
      </c>
      <c r="G1127" s="286" t="s">
        <v>1784</v>
      </c>
      <c r="H1127" s="282" t="s">
        <v>1599</v>
      </c>
      <c r="I1127" s="282" t="s">
        <v>1600</v>
      </c>
      <c r="J1127" s="282" t="s">
        <v>156</v>
      </c>
      <c r="K1127" s="286" t="s">
        <v>1601</v>
      </c>
      <c r="L1127" s="282" t="s">
        <v>574</v>
      </c>
      <c r="M1127" s="287">
        <v>2400</v>
      </c>
      <c r="N1127" s="287"/>
      <c r="O1127" s="287"/>
      <c r="P1127" s="287"/>
      <c r="Q1127" s="288">
        <v>188</v>
      </c>
      <c r="R1127" s="288"/>
      <c r="S1127" s="288"/>
      <c r="T1127" s="288"/>
      <c r="U1127" s="288">
        <v>0</v>
      </c>
      <c r="V1127" s="289">
        <v>188</v>
      </c>
      <c r="W1127" s="289">
        <v>0</v>
      </c>
      <c r="X1127" s="288">
        <v>7.8333333333333338E-2</v>
      </c>
      <c r="Y1127" s="288">
        <v>0</v>
      </c>
      <c r="Z1127" s="288">
        <v>0</v>
      </c>
      <c r="AA1127" s="288">
        <v>0</v>
      </c>
      <c r="AB1127" s="288">
        <v>0</v>
      </c>
      <c r="AC1127" s="289">
        <v>7.8333333333333338E-2</v>
      </c>
      <c r="AD1127" s="289">
        <v>0</v>
      </c>
    </row>
    <row r="1128" spans="1:30" ht="15" customHeight="1" x14ac:dyDescent="0.25">
      <c r="A1128" s="282" t="s">
        <v>581</v>
      </c>
      <c r="B1128" s="282" t="s">
        <v>628</v>
      </c>
      <c r="C1128" s="282" t="s">
        <v>629</v>
      </c>
      <c r="D1128" s="283" t="s">
        <v>1795</v>
      </c>
      <c r="E1128" s="404">
        <v>44788</v>
      </c>
      <c r="F1128" s="404">
        <v>46113</v>
      </c>
      <c r="G1128" s="286" t="s">
        <v>1784</v>
      </c>
      <c r="H1128" s="282" t="s">
        <v>1599</v>
      </c>
      <c r="I1128" s="282" t="s">
        <v>1600</v>
      </c>
      <c r="J1128" s="282" t="s">
        <v>156</v>
      </c>
      <c r="K1128" s="286" t="s">
        <v>1601</v>
      </c>
      <c r="L1128" s="282" t="s">
        <v>574</v>
      </c>
      <c r="M1128" s="287">
        <v>2400</v>
      </c>
      <c r="N1128" s="287"/>
      <c r="O1128" s="287"/>
      <c r="P1128" s="287"/>
      <c r="Q1128" s="288">
        <v>199</v>
      </c>
      <c r="R1128" s="288"/>
      <c r="S1128" s="288"/>
      <c r="T1128" s="288"/>
      <c r="U1128" s="288">
        <v>0</v>
      </c>
      <c r="V1128" s="289">
        <v>199</v>
      </c>
      <c r="W1128" s="289">
        <v>0</v>
      </c>
      <c r="X1128" s="288">
        <v>8.2916666666666666E-2</v>
      </c>
      <c r="Y1128" s="288">
        <v>0</v>
      </c>
      <c r="Z1128" s="288">
        <v>0</v>
      </c>
      <c r="AA1128" s="288">
        <v>0</v>
      </c>
      <c r="AB1128" s="288">
        <v>0</v>
      </c>
      <c r="AC1128" s="289">
        <v>8.2916666666666666E-2</v>
      </c>
      <c r="AD1128" s="289">
        <v>0</v>
      </c>
    </row>
    <row r="1129" spans="1:30" ht="15" customHeight="1" x14ac:dyDescent="0.25">
      <c r="A1129" s="282" t="s">
        <v>581</v>
      </c>
      <c r="B1129" s="282" t="s">
        <v>611</v>
      </c>
      <c r="C1129" s="282" t="s">
        <v>612</v>
      </c>
      <c r="D1129" s="283" t="s">
        <v>1796</v>
      </c>
      <c r="E1129" s="404">
        <v>44788</v>
      </c>
      <c r="F1129" s="404">
        <v>46113</v>
      </c>
      <c r="G1129" s="286" t="s">
        <v>1784</v>
      </c>
      <c r="H1129" s="282" t="s">
        <v>1599</v>
      </c>
      <c r="I1129" s="282" t="s">
        <v>1600</v>
      </c>
      <c r="J1129" s="282" t="s">
        <v>156</v>
      </c>
      <c r="K1129" s="286" t="s">
        <v>1601</v>
      </c>
      <c r="L1129" s="282" t="s">
        <v>574</v>
      </c>
      <c r="M1129" s="287">
        <v>2400</v>
      </c>
      <c r="N1129" s="287"/>
      <c r="O1129" s="287"/>
      <c r="P1129" s="287"/>
      <c r="Q1129" s="288">
        <v>216</v>
      </c>
      <c r="R1129" s="288"/>
      <c r="S1129" s="288"/>
      <c r="T1129" s="288"/>
      <c r="U1129" s="288">
        <v>0</v>
      </c>
      <c r="V1129" s="289">
        <v>216</v>
      </c>
      <c r="W1129" s="289">
        <v>0</v>
      </c>
      <c r="X1129" s="288">
        <v>0.09</v>
      </c>
      <c r="Y1129" s="288">
        <v>0</v>
      </c>
      <c r="Z1129" s="288">
        <v>0</v>
      </c>
      <c r="AA1129" s="288">
        <v>0</v>
      </c>
      <c r="AB1129" s="288">
        <v>0</v>
      </c>
      <c r="AC1129" s="289">
        <v>0.09</v>
      </c>
      <c r="AD1129" s="289">
        <v>0</v>
      </c>
    </row>
    <row r="1130" spans="1:30" ht="15" customHeight="1" x14ac:dyDescent="0.25">
      <c r="A1130" s="282" t="s">
        <v>581</v>
      </c>
      <c r="B1130" s="282" t="s">
        <v>585</v>
      </c>
      <c r="C1130" s="282" t="s">
        <v>586</v>
      </c>
      <c r="D1130" s="283" t="s">
        <v>1797</v>
      </c>
      <c r="E1130" s="404">
        <v>44788</v>
      </c>
      <c r="F1130" s="404">
        <v>46113</v>
      </c>
      <c r="G1130" s="286" t="s">
        <v>1784</v>
      </c>
      <c r="H1130" s="282" t="s">
        <v>1599</v>
      </c>
      <c r="I1130" s="282" t="s">
        <v>1600</v>
      </c>
      <c r="J1130" s="282" t="s">
        <v>156</v>
      </c>
      <c r="K1130" s="286" t="s">
        <v>1601</v>
      </c>
      <c r="L1130" s="282" t="s">
        <v>574</v>
      </c>
      <c r="M1130" s="287">
        <v>2400</v>
      </c>
      <c r="N1130" s="287"/>
      <c r="O1130" s="287"/>
      <c r="P1130" s="287"/>
      <c r="Q1130" s="288">
        <v>245</v>
      </c>
      <c r="R1130" s="288"/>
      <c r="S1130" s="288"/>
      <c r="T1130" s="288"/>
      <c r="U1130" s="288">
        <v>0</v>
      </c>
      <c r="V1130" s="289">
        <v>245</v>
      </c>
      <c r="W1130" s="289">
        <v>0</v>
      </c>
      <c r="X1130" s="288">
        <v>0.10208333333333333</v>
      </c>
      <c r="Y1130" s="288">
        <v>0</v>
      </c>
      <c r="Z1130" s="288">
        <v>0</v>
      </c>
      <c r="AA1130" s="288">
        <v>0</v>
      </c>
      <c r="AB1130" s="288">
        <v>0</v>
      </c>
      <c r="AC1130" s="289">
        <v>0.10208333333333333</v>
      </c>
      <c r="AD1130" s="289">
        <v>0</v>
      </c>
    </row>
    <row r="1131" spans="1:30" ht="15" customHeight="1" x14ac:dyDescent="0.25">
      <c r="A1131" s="282" t="s">
        <v>581</v>
      </c>
      <c r="B1131" s="282" t="s">
        <v>616</v>
      </c>
      <c r="C1131" s="282" t="s">
        <v>617</v>
      </c>
      <c r="D1131" s="283" t="s">
        <v>1798</v>
      </c>
      <c r="E1131" s="404">
        <v>44788</v>
      </c>
      <c r="F1131" s="404">
        <v>46113</v>
      </c>
      <c r="G1131" s="286" t="s">
        <v>1784</v>
      </c>
      <c r="H1131" s="282" t="s">
        <v>1599</v>
      </c>
      <c r="I1131" s="282" t="s">
        <v>1600</v>
      </c>
      <c r="J1131" s="282" t="s">
        <v>156</v>
      </c>
      <c r="K1131" s="286" t="s">
        <v>1601</v>
      </c>
      <c r="L1131" s="282" t="s">
        <v>574</v>
      </c>
      <c r="M1131" s="287">
        <v>2400</v>
      </c>
      <c r="N1131" s="287"/>
      <c r="O1131" s="287"/>
      <c r="P1131" s="287"/>
      <c r="Q1131" s="288">
        <v>309</v>
      </c>
      <c r="R1131" s="288"/>
      <c r="S1131" s="288"/>
      <c r="T1131" s="288"/>
      <c r="U1131" s="288">
        <v>0</v>
      </c>
      <c r="V1131" s="289">
        <v>309</v>
      </c>
      <c r="W1131" s="289">
        <v>0</v>
      </c>
      <c r="X1131" s="288">
        <v>0.12875</v>
      </c>
      <c r="Y1131" s="288">
        <v>0</v>
      </c>
      <c r="Z1131" s="288">
        <v>0</v>
      </c>
      <c r="AA1131" s="288">
        <v>0</v>
      </c>
      <c r="AB1131" s="288">
        <v>0</v>
      </c>
      <c r="AC1131" s="289">
        <v>0.12875</v>
      </c>
      <c r="AD1131" s="289">
        <v>0</v>
      </c>
    </row>
    <row r="1132" spans="1:30" ht="15" customHeight="1" x14ac:dyDescent="0.25">
      <c r="A1132" s="282" t="s">
        <v>581</v>
      </c>
      <c r="B1132" s="282" t="s">
        <v>594</v>
      </c>
      <c r="C1132" s="282" t="s">
        <v>595</v>
      </c>
      <c r="D1132" s="283" t="s">
        <v>1799</v>
      </c>
      <c r="E1132" s="404">
        <v>44788</v>
      </c>
      <c r="F1132" s="404">
        <v>46113</v>
      </c>
      <c r="G1132" s="286" t="s">
        <v>1784</v>
      </c>
      <c r="H1132" s="282" t="s">
        <v>1599</v>
      </c>
      <c r="I1132" s="282" t="s">
        <v>1600</v>
      </c>
      <c r="J1132" s="282" t="s">
        <v>156</v>
      </c>
      <c r="K1132" s="286" t="s">
        <v>1601</v>
      </c>
      <c r="L1132" s="282" t="s">
        <v>574</v>
      </c>
      <c r="M1132" s="287">
        <v>2400</v>
      </c>
      <c r="N1132" s="287"/>
      <c r="O1132" s="287"/>
      <c r="P1132" s="287"/>
      <c r="Q1132" s="288">
        <v>148</v>
      </c>
      <c r="R1132" s="288"/>
      <c r="S1132" s="288"/>
      <c r="T1132" s="288"/>
      <c r="U1132" s="288">
        <v>0</v>
      </c>
      <c r="V1132" s="289">
        <v>148</v>
      </c>
      <c r="W1132" s="289">
        <v>0</v>
      </c>
      <c r="X1132" s="288">
        <v>6.1666666666666668E-2</v>
      </c>
      <c r="Y1132" s="288">
        <v>0</v>
      </c>
      <c r="Z1132" s="288">
        <v>0</v>
      </c>
      <c r="AA1132" s="288">
        <v>0</v>
      </c>
      <c r="AB1132" s="288">
        <v>0</v>
      </c>
      <c r="AC1132" s="289">
        <v>6.1666666666666668E-2</v>
      </c>
      <c r="AD1132" s="289">
        <v>0</v>
      </c>
    </row>
    <row r="1133" spans="1:30" ht="15" customHeight="1" x14ac:dyDescent="0.25">
      <c r="A1133" s="282" t="s">
        <v>581</v>
      </c>
      <c r="B1133" s="282" t="s">
        <v>628</v>
      </c>
      <c r="C1133" s="282" t="s">
        <v>629</v>
      </c>
      <c r="D1133" s="283" t="s">
        <v>1800</v>
      </c>
      <c r="E1133" s="404">
        <v>44788</v>
      </c>
      <c r="F1133" s="404">
        <v>46113</v>
      </c>
      <c r="G1133" s="286" t="s">
        <v>1784</v>
      </c>
      <c r="H1133" s="282" t="s">
        <v>1599</v>
      </c>
      <c r="I1133" s="282" t="s">
        <v>1600</v>
      </c>
      <c r="J1133" s="282" t="s">
        <v>156</v>
      </c>
      <c r="K1133" s="286" t="s">
        <v>1601</v>
      </c>
      <c r="L1133" s="282" t="s">
        <v>574</v>
      </c>
      <c r="M1133" s="287">
        <v>2400</v>
      </c>
      <c r="N1133" s="287"/>
      <c r="O1133" s="287"/>
      <c r="P1133" s="287"/>
      <c r="Q1133" s="288">
        <v>162</v>
      </c>
      <c r="R1133" s="288"/>
      <c r="S1133" s="288"/>
      <c r="T1133" s="288"/>
      <c r="U1133" s="288">
        <v>0</v>
      </c>
      <c r="V1133" s="289">
        <v>162</v>
      </c>
      <c r="W1133" s="289">
        <v>0</v>
      </c>
      <c r="X1133" s="288">
        <v>6.7500000000000004E-2</v>
      </c>
      <c r="Y1133" s="288">
        <v>0</v>
      </c>
      <c r="Z1133" s="288">
        <v>0</v>
      </c>
      <c r="AA1133" s="288">
        <v>0</v>
      </c>
      <c r="AB1133" s="288">
        <v>0</v>
      </c>
      <c r="AC1133" s="289">
        <v>6.7500000000000004E-2</v>
      </c>
      <c r="AD1133" s="289">
        <v>0</v>
      </c>
    </row>
    <row r="1134" spans="1:30" ht="15" customHeight="1" x14ac:dyDescent="0.25">
      <c r="A1134" s="282" t="s">
        <v>581</v>
      </c>
      <c r="B1134" s="282" t="s">
        <v>611</v>
      </c>
      <c r="C1134" s="282" t="s">
        <v>612</v>
      </c>
      <c r="D1134" s="283" t="s">
        <v>1801</v>
      </c>
      <c r="E1134" s="404">
        <v>44788</v>
      </c>
      <c r="F1134" s="404">
        <v>46113</v>
      </c>
      <c r="G1134" s="286" t="s">
        <v>1784</v>
      </c>
      <c r="H1134" s="282" t="s">
        <v>1599</v>
      </c>
      <c r="I1134" s="282" t="s">
        <v>1600</v>
      </c>
      <c r="J1134" s="282" t="s">
        <v>156</v>
      </c>
      <c r="K1134" s="286" t="s">
        <v>1601</v>
      </c>
      <c r="L1134" s="282" t="s">
        <v>574</v>
      </c>
      <c r="M1134" s="287">
        <v>2400</v>
      </c>
      <c r="N1134" s="287"/>
      <c r="O1134" s="287"/>
      <c r="P1134" s="287"/>
      <c r="Q1134" s="288">
        <v>288</v>
      </c>
      <c r="R1134" s="288"/>
      <c r="S1134" s="288"/>
      <c r="T1134" s="288"/>
      <c r="U1134" s="288">
        <v>0</v>
      </c>
      <c r="V1134" s="289">
        <v>288</v>
      </c>
      <c r="W1134" s="289">
        <v>0</v>
      </c>
      <c r="X1134" s="288">
        <v>0.12</v>
      </c>
      <c r="Y1134" s="288">
        <v>0</v>
      </c>
      <c r="Z1134" s="288">
        <v>0</v>
      </c>
      <c r="AA1134" s="288">
        <v>0</v>
      </c>
      <c r="AB1134" s="288">
        <v>0</v>
      </c>
      <c r="AC1134" s="289">
        <v>0.12</v>
      </c>
      <c r="AD1134" s="289">
        <v>0</v>
      </c>
    </row>
    <row r="1135" spans="1:30" ht="15" customHeight="1" x14ac:dyDescent="0.25">
      <c r="A1135" s="282" t="s">
        <v>581</v>
      </c>
      <c r="B1135" s="282" t="s">
        <v>606</v>
      </c>
      <c r="C1135" s="282" t="s">
        <v>260</v>
      </c>
      <c r="D1135" s="283" t="s">
        <v>1802</v>
      </c>
      <c r="E1135" s="404">
        <v>44788</v>
      </c>
      <c r="F1135" s="404">
        <v>46113</v>
      </c>
      <c r="G1135" s="286" t="s">
        <v>1784</v>
      </c>
      <c r="H1135" s="282" t="s">
        <v>1599</v>
      </c>
      <c r="I1135" s="282" t="s">
        <v>1600</v>
      </c>
      <c r="J1135" s="282" t="s">
        <v>156</v>
      </c>
      <c r="K1135" s="286" t="s">
        <v>1601</v>
      </c>
      <c r="L1135" s="282" t="s">
        <v>574</v>
      </c>
      <c r="M1135" s="287">
        <v>2400</v>
      </c>
      <c r="N1135" s="287"/>
      <c r="O1135" s="287"/>
      <c r="P1135" s="287"/>
      <c r="Q1135" s="288">
        <v>235</v>
      </c>
      <c r="R1135" s="288"/>
      <c r="S1135" s="288"/>
      <c r="T1135" s="288"/>
      <c r="U1135" s="288">
        <v>0</v>
      </c>
      <c r="V1135" s="289">
        <v>235</v>
      </c>
      <c r="W1135" s="289">
        <v>0</v>
      </c>
      <c r="X1135" s="288">
        <v>9.7916666666666666E-2</v>
      </c>
      <c r="Y1135" s="288">
        <v>0</v>
      </c>
      <c r="Z1135" s="288">
        <v>0</v>
      </c>
      <c r="AA1135" s="288">
        <v>0</v>
      </c>
      <c r="AB1135" s="288">
        <v>0</v>
      </c>
      <c r="AC1135" s="289">
        <v>9.7916666666666666E-2</v>
      </c>
      <c r="AD1135" s="289">
        <v>0</v>
      </c>
    </row>
    <row r="1136" spans="1:30" ht="15" customHeight="1" x14ac:dyDescent="0.25">
      <c r="A1136" s="282" t="s">
        <v>581</v>
      </c>
      <c r="B1136" s="282" t="s">
        <v>977</v>
      </c>
      <c r="C1136" s="282" t="s">
        <v>978</v>
      </c>
      <c r="D1136" s="283" t="s">
        <v>1803</v>
      </c>
      <c r="E1136" s="404">
        <v>44788</v>
      </c>
      <c r="F1136" s="404">
        <v>46113</v>
      </c>
      <c r="G1136" s="286" t="s">
        <v>1784</v>
      </c>
      <c r="H1136" s="282" t="s">
        <v>1599</v>
      </c>
      <c r="I1136" s="282" t="s">
        <v>1600</v>
      </c>
      <c r="J1136" s="282" t="s">
        <v>156</v>
      </c>
      <c r="K1136" s="286" t="s">
        <v>1601</v>
      </c>
      <c r="L1136" s="282" t="s">
        <v>574</v>
      </c>
      <c r="M1136" s="287">
        <v>1750</v>
      </c>
      <c r="N1136" s="287"/>
      <c r="O1136" s="287"/>
      <c r="P1136" s="287"/>
      <c r="Q1136" s="288">
        <v>185</v>
      </c>
      <c r="R1136" s="288"/>
      <c r="S1136" s="288"/>
      <c r="T1136" s="288"/>
      <c r="U1136" s="288">
        <v>0</v>
      </c>
      <c r="V1136" s="289">
        <v>185</v>
      </c>
      <c r="W1136" s="289">
        <v>0</v>
      </c>
      <c r="X1136" s="288">
        <v>0.10571428571428572</v>
      </c>
      <c r="Y1136" s="288">
        <v>0</v>
      </c>
      <c r="Z1136" s="288">
        <v>0</v>
      </c>
      <c r="AA1136" s="288">
        <v>0</v>
      </c>
      <c r="AB1136" s="288">
        <v>0</v>
      </c>
      <c r="AC1136" s="289">
        <v>0.10571428571428572</v>
      </c>
      <c r="AD1136" s="289">
        <v>0</v>
      </c>
    </row>
    <row r="1137" spans="1:30" ht="15" customHeight="1" x14ac:dyDescent="0.25">
      <c r="A1137" s="282" t="s">
        <v>581</v>
      </c>
      <c r="B1137" s="282" t="s">
        <v>977</v>
      </c>
      <c r="C1137" s="282" t="s">
        <v>978</v>
      </c>
      <c r="D1137" s="283" t="s">
        <v>1804</v>
      </c>
      <c r="E1137" s="404">
        <v>44788</v>
      </c>
      <c r="F1137" s="404">
        <v>46113</v>
      </c>
      <c r="G1137" s="286" t="s">
        <v>1784</v>
      </c>
      <c r="H1137" s="282" t="s">
        <v>1599</v>
      </c>
      <c r="I1137" s="282" t="s">
        <v>1600</v>
      </c>
      <c r="J1137" s="282" t="s">
        <v>156</v>
      </c>
      <c r="K1137" s="286" t="s">
        <v>1601</v>
      </c>
      <c r="L1137" s="282" t="s">
        <v>574</v>
      </c>
      <c r="M1137" s="287">
        <v>1750</v>
      </c>
      <c r="N1137" s="287"/>
      <c r="O1137" s="287"/>
      <c r="P1137" s="287"/>
      <c r="Q1137" s="288">
        <v>314</v>
      </c>
      <c r="R1137" s="288"/>
      <c r="S1137" s="288"/>
      <c r="T1137" s="288"/>
      <c r="U1137" s="288">
        <v>0</v>
      </c>
      <c r="V1137" s="289">
        <v>314</v>
      </c>
      <c r="W1137" s="289">
        <v>0</v>
      </c>
      <c r="X1137" s="288">
        <v>0.17942857142857144</v>
      </c>
      <c r="Y1137" s="288">
        <v>0</v>
      </c>
      <c r="Z1137" s="288">
        <v>0</v>
      </c>
      <c r="AA1137" s="288">
        <v>0</v>
      </c>
      <c r="AB1137" s="288">
        <v>0</v>
      </c>
      <c r="AC1137" s="289">
        <v>0.17942857142857144</v>
      </c>
      <c r="AD1137" s="289">
        <v>0</v>
      </c>
    </row>
    <row r="1138" spans="1:30" ht="15" customHeight="1" x14ac:dyDescent="0.25">
      <c r="A1138" s="282" t="s">
        <v>581</v>
      </c>
      <c r="B1138" s="282" t="s">
        <v>585</v>
      </c>
      <c r="C1138" s="282" t="s">
        <v>586</v>
      </c>
      <c r="D1138" s="283" t="s">
        <v>1805</v>
      </c>
      <c r="E1138" s="404">
        <v>44788</v>
      </c>
      <c r="F1138" s="404">
        <v>46113</v>
      </c>
      <c r="G1138" s="286" t="s">
        <v>1784</v>
      </c>
      <c r="H1138" s="282" t="s">
        <v>1599</v>
      </c>
      <c r="I1138" s="282" t="s">
        <v>1600</v>
      </c>
      <c r="J1138" s="282" t="s">
        <v>156</v>
      </c>
      <c r="K1138" s="286" t="s">
        <v>1601</v>
      </c>
      <c r="L1138" s="282" t="s">
        <v>574</v>
      </c>
      <c r="M1138" s="287">
        <v>2400</v>
      </c>
      <c r="N1138" s="287"/>
      <c r="O1138" s="287"/>
      <c r="P1138" s="287"/>
      <c r="Q1138" s="288">
        <v>313</v>
      </c>
      <c r="R1138" s="288"/>
      <c r="S1138" s="288"/>
      <c r="T1138" s="288"/>
      <c r="U1138" s="288">
        <v>0</v>
      </c>
      <c r="V1138" s="289">
        <v>313</v>
      </c>
      <c r="W1138" s="289">
        <v>0</v>
      </c>
      <c r="X1138" s="288">
        <v>0.13041666666666665</v>
      </c>
      <c r="Y1138" s="288">
        <v>0</v>
      </c>
      <c r="Z1138" s="288">
        <v>0</v>
      </c>
      <c r="AA1138" s="288">
        <v>0</v>
      </c>
      <c r="AB1138" s="288">
        <v>0</v>
      </c>
      <c r="AC1138" s="289">
        <v>0.13041666666666665</v>
      </c>
      <c r="AD1138" s="289">
        <v>0</v>
      </c>
    </row>
    <row r="1139" spans="1:30" ht="15" customHeight="1" x14ac:dyDescent="0.25">
      <c r="A1139" s="282" t="s">
        <v>581</v>
      </c>
      <c r="B1139" s="282" t="s">
        <v>611</v>
      </c>
      <c r="C1139" s="282" t="s">
        <v>612</v>
      </c>
      <c r="D1139" s="283" t="s">
        <v>1806</v>
      </c>
      <c r="E1139" s="404">
        <v>44788</v>
      </c>
      <c r="F1139" s="404">
        <v>46113</v>
      </c>
      <c r="G1139" s="286" t="s">
        <v>1784</v>
      </c>
      <c r="H1139" s="282" t="s">
        <v>1599</v>
      </c>
      <c r="I1139" s="282" t="s">
        <v>1600</v>
      </c>
      <c r="J1139" s="282" t="s">
        <v>156</v>
      </c>
      <c r="K1139" s="286" t="s">
        <v>1601</v>
      </c>
      <c r="L1139" s="282" t="s">
        <v>574</v>
      </c>
      <c r="M1139" s="287">
        <v>2400</v>
      </c>
      <c r="N1139" s="287"/>
      <c r="O1139" s="287"/>
      <c r="P1139" s="287"/>
      <c r="Q1139" s="288">
        <v>185</v>
      </c>
      <c r="R1139" s="288"/>
      <c r="S1139" s="288"/>
      <c r="T1139" s="288"/>
      <c r="U1139" s="288">
        <v>0</v>
      </c>
      <c r="V1139" s="289">
        <v>185</v>
      </c>
      <c r="W1139" s="289">
        <v>0</v>
      </c>
      <c r="X1139" s="288">
        <v>7.7083333333333337E-2</v>
      </c>
      <c r="Y1139" s="288">
        <v>0</v>
      </c>
      <c r="Z1139" s="288">
        <v>0</v>
      </c>
      <c r="AA1139" s="288">
        <v>0</v>
      </c>
      <c r="AB1139" s="288">
        <v>0</v>
      </c>
      <c r="AC1139" s="289">
        <v>7.7083333333333337E-2</v>
      </c>
      <c r="AD1139" s="289">
        <v>0</v>
      </c>
    </row>
    <row r="1140" spans="1:30" ht="15" customHeight="1" x14ac:dyDescent="0.25">
      <c r="A1140" s="282" t="s">
        <v>581</v>
      </c>
      <c r="B1140" s="282" t="s">
        <v>585</v>
      </c>
      <c r="C1140" s="282" t="s">
        <v>586</v>
      </c>
      <c r="D1140" s="283" t="s">
        <v>1807</v>
      </c>
      <c r="E1140" s="404">
        <v>44788</v>
      </c>
      <c r="F1140" s="404">
        <v>46113</v>
      </c>
      <c r="G1140" s="286" t="s">
        <v>1784</v>
      </c>
      <c r="H1140" s="282" t="s">
        <v>1599</v>
      </c>
      <c r="I1140" s="282" t="s">
        <v>1600</v>
      </c>
      <c r="J1140" s="282" t="s">
        <v>156</v>
      </c>
      <c r="K1140" s="286" t="s">
        <v>1601</v>
      </c>
      <c r="L1140" s="282" t="s">
        <v>574</v>
      </c>
      <c r="M1140" s="287">
        <v>2400</v>
      </c>
      <c r="N1140" s="287"/>
      <c r="O1140" s="287"/>
      <c r="P1140" s="287"/>
      <c r="Q1140" s="288">
        <v>256</v>
      </c>
      <c r="R1140" s="288"/>
      <c r="S1140" s="288"/>
      <c r="T1140" s="288"/>
      <c r="U1140" s="288">
        <v>0</v>
      </c>
      <c r="V1140" s="289">
        <v>256</v>
      </c>
      <c r="W1140" s="289">
        <v>0</v>
      </c>
      <c r="X1140" s="288">
        <v>0.10666666666666667</v>
      </c>
      <c r="Y1140" s="288">
        <v>0</v>
      </c>
      <c r="Z1140" s="288">
        <v>0</v>
      </c>
      <c r="AA1140" s="288">
        <v>0</v>
      </c>
      <c r="AB1140" s="288">
        <v>0</v>
      </c>
      <c r="AC1140" s="289">
        <v>0.10666666666666667</v>
      </c>
      <c r="AD1140" s="289">
        <v>0</v>
      </c>
    </row>
    <row r="1141" spans="1:30" ht="15" customHeight="1" x14ac:dyDescent="0.25">
      <c r="A1141" s="282" t="s">
        <v>581</v>
      </c>
      <c r="B1141" s="282" t="s">
        <v>616</v>
      </c>
      <c r="C1141" s="282" t="s">
        <v>617</v>
      </c>
      <c r="D1141" s="283" t="s">
        <v>1808</v>
      </c>
      <c r="E1141" s="404">
        <v>44788</v>
      </c>
      <c r="F1141" s="404">
        <v>46113</v>
      </c>
      <c r="G1141" s="286" t="s">
        <v>1784</v>
      </c>
      <c r="H1141" s="282" t="s">
        <v>1599</v>
      </c>
      <c r="I1141" s="282" t="s">
        <v>1600</v>
      </c>
      <c r="J1141" s="282" t="s">
        <v>156</v>
      </c>
      <c r="K1141" s="286" t="s">
        <v>1601</v>
      </c>
      <c r="L1141" s="282" t="s">
        <v>574</v>
      </c>
      <c r="M1141" s="287">
        <v>2400</v>
      </c>
      <c r="N1141" s="287"/>
      <c r="O1141" s="287"/>
      <c r="P1141" s="287"/>
      <c r="Q1141" s="288">
        <v>376</v>
      </c>
      <c r="R1141" s="288"/>
      <c r="S1141" s="288"/>
      <c r="T1141" s="288"/>
      <c r="U1141" s="288">
        <v>0</v>
      </c>
      <c r="V1141" s="289">
        <v>376</v>
      </c>
      <c r="W1141" s="289">
        <v>0</v>
      </c>
      <c r="X1141" s="288">
        <v>0.15666666666666668</v>
      </c>
      <c r="Y1141" s="288">
        <v>0</v>
      </c>
      <c r="Z1141" s="288">
        <v>0</v>
      </c>
      <c r="AA1141" s="288">
        <v>0</v>
      </c>
      <c r="AB1141" s="288">
        <v>0</v>
      </c>
      <c r="AC1141" s="289">
        <v>0.15666666666666668</v>
      </c>
      <c r="AD1141" s="289">
        <v>0</v>
      </c>
    </row>
    <row r="1142" spans="1:30" ht="15" customHeight="1" x14ac:dyDescent="0.25">
      <c r="A1142" s="282" t="s">
        <v>581</v>
      </c>
      <c r="B1142" s="282" t="s">
        <v>594</v>
      </c>
      <c r="C1142" s="282" t="s">
        <v>595</v>
      </c>
      <c r="D1142" s="283" t="s">
        <v>1809</v>
      </c>
      <c r="E1142" s="404">
        <v>44788</v>
      </c>
      <c r="F1142" s="404">
        <v>46113</v>
      </c>
      <c r="G1142" s="286" t="s">
        <v>1784</v>
      </c>
      <c r="H1142" s="282" t="s">
        <v>1599</v>
      </c>
      <c r="I1142" s="282" t="s">
        <v>1600</v>
      </c>
      <c r="J1142" s="282" t="s">
        <v>156</v>
      </c>
      <c r="K1142" s="286" t="s">
        <v>1601</v>
      </c>
      <c r="L1142" s="282" t="s">
        <v>574</v>
      </c>
      <c r="M1142" s="287">
        <v>2400</v>
      </c>
      <c r="N1142" s="287"/>
      <c r="O1142" s="287"/>
      <c r="P1142" s="287"/>
      <c r="Q1142" s="288">
        <v>205</v>
      </c>
      <c r="R1142" s="288"/>
      <c r="S1142" s="288"/>
      <c r="T1142" s="288"/>
      <c r="U1142" s="288">
        <v>0</v>
      </c>
      <c r="V1142" s="289">
        <v>205</v>
      </c>
      <c r="W1142" s="289">
        <v>0</v>
      </c>
      <c r="X1142" s="288">
        <v>8.5416666666666669E-2</v>
      </c>
      <c r="Y1142" s="288">
        <v>0</v>
      </c>
      <c r="Z1142" s="288">
        <v>0</v>
      </c>
      <c r="AA1142" s="288">
        <v>0</v>
      </c>
      <c r="AB1142" s="288">
        <v>0</v>
      </c>
      <c r="AC1142" s="289">
        <v>8.5416666666666669E-2</v>
      </c>
      <c r="AD1142" s="289">
        <v>0</v>
      </c>
    </row>
    <row r="1143" spans="1:30" ht="15" customHeight="1" x14ac:dyDescent="0.25">
      <c r="A1143" s="282" t="s">
        <v>581</v>
      </c>
      <c r="B1143" s="282" t="s">
        <v>585</v>
      </c>
      <c r="C1143" s="282" t="s">
        <v>586</v>
      </c>
      <c r="D1143" s="283" t="s">
        <v>1810</v>
      </c>
      <c r="E1143" s="404">
        <v>44788</v>
      </c>
      <c r="F1143" s="404">
        <v>46113</v>
      </c>
      <c r="G1143" s="286" t="s">
        <v>1784</v>
      </c>
      <c r="H1143" s="282" t="s">
        <v>1599</v>
      </c>
      <c r="I1143" s="282" t="s">
        <v>1600</v>
      </c>
      <c r="J1143" s="282" t="s">
        <v>156</v>
      </c>
      <c r="K1143" s="286" t="s">
        <v>1601</v>
      </c>
      <c r="L1143" s="282" t="s">
        <v>574</v>
      </c>
      <c r="M1143" s="287">
        <v>2400</v>
      </c>
      <c r="N1143" s="287"/>
      <c r="O1143" s="287"/>
      <c r="P1143" s="287"/>
      <c r="Q1143" s="288">
        <v>320</v>
      </c>
      <c r="R1143" s="288"/>
      <c r="S1143" s="288"/>
      <c r="T1143" s="288"/>
      <c r="U1143" s="288">
        <v>0</v>
      </c>
      <c r="V1143" s="289">
        <v>320</v>
      </c>
      <c r="W1143" s="289">
        <v>0</v>
      </c>
      <c r="X1143" s="288">
        <v>0.13333333333333333</v>
      </c>
      <c r="Y1143" s="288">
        <v>0</v>
      </c>
      <c r="Z1143" s="288">
        <v>0</v>
      </c>
      <c r="AA1143" s="288">
        <v>0</v>
      </c>
      <c r="AB1143" s="288">
        <v>0</v>
      </c>
      <c r="AC1143" s="289">
        <v>0.13333333333333333</v>
      </c>
      <c r="AD1143" s="289">
        <v>0</v>
      </c>
    </row>
    <row r="1144" spans="1:30" ht="15" customHeight="1" x14ac:dyDescent="0.25">
      <c r="A1144" s="282" t="s">
        <v>581</v>
      </c>
      <c r="B1144" s="282" t="s">
        <v>585</v>
      </c>
      <c r="C1144" s="282" t="s">
        <v>586</v>
      </c>
      <c r="D1144" s="283" t="s">
        <v>1811</v>
      </c>
      <c r="E1144" s="404">
        <v>44788</v>
      </c>
      <c r="F1144" s="404">
        <v>46113</v>
      </c>
      <c r="G1144" s="286" t="s">
        <v>1784</v>
      </c>
      <c r="H1144" s="282" t="s">
        <v>1599</v>
      </c>
      <c r="I1144" s="282" t="s">
        <v>1600</v>
      </c>
      <c r="J1144" s="282" t="s">
        <v>156</v>
      </c>
      <c r="K1144" s="286" t="s">
        <v>1601</v>
      </c>
      <c r="L1144" s="282" t="s">
        <v>574</v>
      </c>
      <c r="M1144" s="287">
        <v>2400</v>
      </c>
      <c r="N1144" s="287"/>
      <c r="O1144" s="287"/>
      <c r="P1144" s="287"/>
      <c r="Q1144" s="288">
        <v>329</v>
      </c>
      <c r="R1144" s="288"/>
      <c r="S1144" s="288"/>
      <c r="T1144" s="288"/>
      <c r="U1144" s="288">
        <v>0</v>
      </c>
      <c r="V1144" s="289">
        <v>329</v>
      </c>
      <c r="W1144" s="289">
        <v>0</v>
      </c>
      <c r="X1144" s="288">
        <v>0.13708333333333333</v>
      </c>
      <c r="Y1144" s="288">
        <v>0</v>
      </c>
      <c r="Z1144" s="288">
        <v>0</v>
      </c>
      <c r="AA1144" s="288">
        <v>0</v>
      </c>
      <c r="AB1144" s="288">
        <v>0</v>
      </c>
      <c r="AC1144" s="289">
        <v>0.13708333333333333</v>
      </c>
      <c r="AD1144" s="289">
        <v>0</v>
      </c>
    </row>
    <row r="1145" spans="1:30" ht="15" customHeight="1" x14ac:dyDescent="0.25">
      <c r="A1145" s="282" t="s">
        <v>581</v>
      </c>
      <c r="B1145" s="282" t="s">
        <v>616</v>
      </c>
      <c r="C1145" s="282" t="s">
        <v>617</v>
      </c>
      <c r="D1145" s="283" t="s">
        <v>1812</v>
      </c>
      <c r="E1145" s="404">
        <v>44788</v>
      </c>
      <c r="F1145" s="404">
        <v>46113</v>
      </c>
      <c r="G1145" s="286" t="s">
        <v>1784</v>
      </c>
      <c r="H1145" s="282" t="s">
        <v>1599</v>
      </c>
      <c r="I1145" s="282" t="s">
        <v>1600</v>
      </c>
      <c r="J1145" s="282" t="s">
        <v>156</v>
      </c>
      <c r="K1145" s="286" t="s">
        <v>1601</v>
      </c>
      <c r="L1145" s="282" t="s">
        <v>574</v>
      </c>
      <c r="M1145" s="287">
        <v>2400</v>
      </c>
      <c r="N1145" s="287"/>
      <c r="O1145" s="287"/>
      <c r="P1145" s="287"/>
      <c r="Q1145" s="288">
        <v>349</v>
      </c>
      <c r="R1145" s="288"/>
      <c r="S1145" s="288"/>
      <c r="T1145" s="288"/>
      <c r="U1145" s="288">
        <v>0</v>
      </c>
      <c r="V1145" s="289">
        <v>349</v>
      </c>
      <c r="W1145" s="289">
        <v>0</v>
      </c>
      <c r="X1145" s="288">
        <v>0.14541666666666667</v>
      </c>
      <c r="Y1145" s="288">
        <v>0</v>
      </c>
      <c r="Z1145" s="288">
        <v>0</v>
      </c>
      <c r="AA1145" s="288">
        <v>0</v>
      </c>
      <c r="AB1145" s="288">
        <v>0</v>
      </c>
      <c r="AC1145" s="289">
        <v>0.14541666666666667</v>
      </c>
      <c r="AD1145" s="289">
        <v>0</v>
      </c>
    </row>
    <row r="1146" spans="1:30" ht="15" customHeight="1" x14ac:dyDescent="0.25">
      <c r="A1146" s="282" t="s">
        <v>581</v>
      </c>
      <c r="B1146" s="282" t="s">
        <v>606</v>
      </c>
      <c r="C1146" s="282" t="s">
        <v>260</v>
      </c>
      <c r="D1146" s="283" t="s">
        <v>1813</v>
      </c>
      <c r="E1146" s="404">
        <v>44788</v>
      </c>
      <c r="F1146" s="404">
        <v>46113</v>
      </c>
      <c r="G1146" s="286" t="s">
        <v>1784</v>
      </c>
      <c r="H1146" s="282" t="s">
        <v>1599</v>
      </c>
      <c r="I1146" s="282" t="s">
        <v>1600</v>
      </c>
      <c r="J1146" s="282" t="s">
        <v>156</v>
      </c>
      <c r="K1146" s="286" t="s">
        <v>1601</v>
      </c>
      <c r="L1146" s="282" t="s">
        <v>574</v>
      </c>
      <c r="M1146" s="287">
        <v>2400</v>
      </c>
      <c r="N1146" s="287"/>
      <c r="O1146" s="287"/>
      <c r="P1146" s="287"/>
      <c r="Q1146" s="288">
        <v>408</v>
      </c>
      <c r="R1146" s="288"/>
      <c r="S1146" s="288"/>
      <c r="T1146" s="288"/>
      <c r="U1146" s="288">
        <v>0</v>
      </c>
      <c r="V1146" s="289">
        <v>408</v>
      </c>
      <c r="W1146" s="289">
        <v>0</v>
      </c>
      <c r="X1146" s="288">
        <v>0.17</v>
      </c>
      <c r="Y1146" s="288">
        <v>0</v>
      </c>
      <c r="Z1146" s="288">
        <v>0</v>
      </c>
      <c r="AA1146" s="288">
        <v>0</v>
      </c>
      <c r="AB1146" s="288">
        <v>0</v>
      </c>
      <c r="AC1146" s="289">
        <v>0.17</v>
      </c>
      <c r="AD1146" s="289">
        <v>0</v>
      </c>
    </row>
    <row r="1147" spans="1:30" ht="15" customHeight="1" x14ac:dyDescent="0.25">
      <c r="A1147" s="282" t="s">
        <v>581</v>
      </c>
      <c r="B1147" s="282" t="s">
        <v>1220</v>
      </c>
      <c r="C1147" s="282" t="s">
        <v>586</v>
      </c>
      <c r="D1147" s="283" t="s">
        <v>1814</v>
      </c>
      <c r="E1147" s="404">
        <v>44788</v>
      </c>
      <c r="F1147" s="404">
        <v>46113</v>
      </c>
      <c r="G1147" s="286" t="s">
        <v>1784</v>
      </c>
      <c r="H1147" s="282" t="s">
        <v>1599</v>
      </c>
      <c r="I1147" s="282" t="s">
        <v>1600</v>
      </c>
      <c r="J1147" s="282" t="s">
        <v>156</v>
      </c>
      <c r="K1147" s="286" t="s">
        <v>1601</v>
      </c>
      <c r="L1147" s="282" t="s">
        <v>574</v>
      </c>
      <c r="M1147" s="287">
        <v>2400</v>
      </c>
      <c r="N1147" s="287"/>
      <c r="O1147" s="287"/>
      <c r="P1147" s="287"/>
      <c r="Q1147" s="288">
        <v>287</v>
      </c>
      <c r="R1147" s="288"/>
      <c r="S1147" s="288"/>
      <c r="T1147" s="288"/>
      <c r="U1147" s="288">
        <v>0</v>
      </c>
      <c r="V1147" s="289">
        <v>287</v>
      </c>
      <c r="W1147" s="289">
        <v>0</v>
      </c>
      <c r="X1147" s="288">
        <v>0.11958333333333333</v>
      </c>
      <c r="Y1147" s="288">
        <v>0</v>
      </c>
      <c r="Z1147" s="288">
        <v>0</v>
      </c>
      <c r="AA1147" s="288">
        <v>0</v>
      </c>
      <c r="AB1147" s="288">
        <v>0</v>
      </c>
      <c r="AC1147" s="289">
        <v>0.11958333333333333</v>
      </c>
      <c r="AD1147" s="289">
        <v>0</v>
      </c>
    </row>
    <row r="1148" spans="1:30" ht="15" customHeight="1" x14ac:dyDescent="0.25">
      <c r="A1148" s="282" t="s">
        <v>581</v>
      </c>
      <c r="B1148" s="282" t="s">
        <v>628</v>
      </c>
      <c r="C1148" s="282" t="s">
        <v>629</v>
      </c>
      <c r="D1148" s="283" t="s">
        <v>1815</v>
      </c>
      <c r="E1148" s="404">
        <v>44788</v>
      </c>
      <c r="F1148" s="404">
        <v>46113</v>
      </c>
      <c r="G1148" s="286" t="s">
        <v>1784</v>
      </c>
      <c r="H1148" s="282" t="s">
        <v>1599</v>
      </c>
      <c r="I1148" s="282" t="s">
        <v>1600</v>
      </c>
      <c r="J1148" s="282" t="s">
        <v>156</v>
      </c>
      <c r="K1148" s="286" t="s">
        <v>1601</v>
      </c>
      <c r="L1148" s="282" t="s">
        <v>574</v>
      </c>
      <c r="M1148" s="287">
        <v>2400</v>
      </c>
      <c r="N1148" s="287"/>
      <c r="O1148" s="287"/>
      <c r="P1148" s="287"/>
      <c r="Q1148" s="288">
        <v>227</v>
      </c>
      <c r="R1148" s="288"/>
      <c r="S1148" s="288"/>
      <c r="T1148" s="288"/>
      <c r="U1148" s="288">
        <v>0</v>
      </c>
      <c r="V1148" s="289">
        <v>227</v>
      </c>
      <c r="W1148" s="289">
        <v>0</v>
      </c>
      <c r="X1148" s="288">
        <v>9.4583333333333339E-2</v>
      </c>
      <c r="Y1148" s="288">
        <v>0</v>
      </c>
      <c r="Z1148" s="288">
        <v>0</v>
      </c>
      <c r="AA1148" s="288">
        <v>0</v>
      </c>
      <c r="AB1148" s="288">
        <v>0</v>
      </c>
      <c r="AC1148" s="289">
        <v>9.4583333333333339E-2</v>
      </c>
      <c r="AD1148" s="289">
        <v>0</v>
      </c>
    </row>
    <row r="1149" spans="1:30" ht="15" customHeight="1" x14ac:dyDescent="0.25">
      <c r="A1149" s="282" t="s">
        <v>581</v>
      </c>
      <c r="B1149" s="282" t="s">
        <v>611</v>
      </c>
      <c r="C1149" s="282" t="s">
        <v>612</v>
      </c>
      <c r="D1149" s="283" t="s">
        <v>1816</v>
      </c>
      <c r="E1149" s="404">
        <v>44788</v>
      </c>
      <c r="F1149" s="404">
        <v>46113</v>
      </c>
      <c r="G1149" s="286" t="s">
        <v>1784</v>
      </c>
      <c r="H1149" s="282" t="s">
        <v>1599</v>
      </c>
      <c r="I1149" s="282" t="s">
        <v>1600</v>
      </c>
      <c r="J1149" s="282" t="s">
        <v>156</v>
      </c>
      <c r="K1149" s="286" t="s">
        <v>1601</v>
      </c>
      <c r="L1149" s="282" t="s">
        <v>574</v>
      </c>
      <c r="M1149" s="287">
        <v>2400</v>
      </c>
      <c r="N1149" s="287"/>
      <c r="O1149" s="287"/>
      <c r="P1149" s="287"/>
      <c r="Q1149" s="288">
        <v>257</v>
      </c>
      <c r="R1149" s="288"/>
      <c r="S1149" s="288"/>
      <c r="T1149" s="288"/>
      <c r="U1149" s="288">
        <v>0</v>
      </c>
      <c r="V1149" s="289">
        <v>257</v>
      </c>
      <c r="W1149" s="289">
        <v>0</v>
      </c>
      <c r="X1149" s="288">
        <v>0.10708333333333334</v>
      </c>
      <c r="Y1149" s="288">
        <v>0</v>
      </c>
      <c r="Z1149" s="288">
        <v>0</v>
      </c>
      <c r="AA1149" s="288">
        <v>0</v>
      </c>
      <c r="AB1149" s="288">
        <v>0</v>
      </c>
      <c r="AC1149" s="289">
        <v>0.10708333333333334</v>
      </c>
      <c r="AD1149" s="289">
        <v>0</v>
      </c>
    </row>
    <row r="1150" spans="1:30" ht="15" customHeight="1" x14ac:dyDescent="0.25">
      <c r="A1150" s="282" t="s">
        <v>581</v>
      </c>
      <c r="B1150" s="282" t="s">
        <v>585</v>
      </c>
      <c r="C1150" s="282" t="s">
        <v>586</v>
      </c>
      <c r="D1150" s="283" t="s">
        <v>1817</v>
      </c>
      <c r="E1150" s="404">
        <v>44788</v>
      </c>
      <c r="F1150" s="404">
        <v>46113</v>
      </c>
      <c r="G1150" s="286" t="s">
        <v>1784</v>
      </c>
      <c r="H1150" s="282" t="s">
        <v>1599</v>
      </c>
      <c r="I1150" s="282" t="s">
        <v>1600</v>
      </c>
      <c r="J1150" s="282" t="s">
        <v>156</v>
      </c>
      <c r="K1150" s="286" t="s">
        <v>1601</v>
      </c>
      <c r="L1150" s="282" t="s">
        <v>574</v>
      </c>
      <c r="M1150" s="287">
        <v>2400</v>
      </c>
      <c r="N1150" s="287"/>
      <c r="O1150" s="287"/>
      <c r="P1150" s="287"/>
      <c r="Q1150" s="288">
        <v>310</v>
      </c>
      <c r="R1150" s="288"/>
      <c r="S1150" s="288"/>
      <c r="T1150" s="288"/>
      <c r="U1150" s="288">
        <v>0</v>
      </c>
      <c r="V1150" s="289">
        <v>310</v>
      </c>
      <c r="W1150" s="289">
        <v>0</v>
      </c>
      <c r="X1150" s="288">
        <v>0.12916666666666668</v>
      </c>
      <c r="Y1150" s="288">
        <v>0</v>
      </c>
      <c r="Z1150" s="288">
        <v>0</v>
      </c>
      <c r="AA1150" s="288">
        <v>0</v>
      </c>
      <c r="AB1150" s="288">
        <v>0</v>
      </c>
      <c r="AC1150" s="289">
        <v>0.12916666666666668</v>
      </c>
      <c r="AD1150" s="289">
        <v>0</v>
      </c>
    </row>
    <row r="1151" spans="1:30" ht="15" customHeight="1" x14ac:dyDescent="0.25">
      <c r="A1151" s="282" t="s">
        <v>581</v>
      </c>
      <c r="B1151" s="282" t="s">
        <v>616</v>
      </c>
      <c r="C1151" s="282" t="s">
        <v>617</v>
      </c>
      <c r="D1151" s="283" t="s">
        <v>1818</v>
      </c>
      <c r="E1151" s="404">
        <v>44788</v>
      </c>
      <c r="F1151" s="404">
        <v>46113</v>
      </c>
      <c r="G1151" s="286" t="s">
        <v>1784</v>
      </c>
      <c r="H1151" s="282" t="s">
        <v>1599</v>
      </c>
      <c r="I1151" s="282" t="s">
        <v>1600</v>
      </c>
      <c r="J1151" s="282" t="s">
        <v>156</v>
      </c>
      <c r="K1151" s="286" t="s">
        <v>1601</v>
      </c>
      <c r="L1151" s="282" t="s">
        <v>574</v>
      </c>
      <c r="M1151" s="287">
        <v>2400</v>
      </c>
      <c r="N1151" s="287"/>
      <c r="O1151" s="287"/>
      <c r="P1151" s="287"/>
      <c r="Q1151" s="288">
        <v>388</v>
      </c>
      <c r="R1151" s="288"/>
      <c r="S1151" s="288"/>
      <c r="T1151" s="288"/>
      <c r="U1151" s="288">
        <v>0</v>
      </c>
      <c r="V1151" s="289">
        <v>388</v>
      </c>
      <c r="W1151" s="289">
        <v>0</v>
      </c>
      <c r="X1151" s="288">
        <v>0.16166666666666665</v>
      </c>
      <c r="Y1151" s="288">
        <v>0</v>
      </c>
      <c r="Z1151" s="288">
        <v>0</v>
      </c>
      <c r="AA1151" s="288">
        <v>0</v>
      </c>
      <c r="AB1151" s="288">
        <v>0</v>
      </c>
      <c r="AC1151" s="289">
        <v>0.16166666666666665</v>
      </c>
      <c r="AD1151" s="289">
        <v>0</v>
      </c>
    </row>
    <row r="1152" spans="1:30" ht="15" customHeight="1" x14ac:dyDescent="0.25">
      <c r="A1152" s="282" t="s">
        <v>581</v>
      </c>
      <c r="B1152" s="282" t="s">
        <v>594</v>
      </c>
      <c r="C1152" s="282" t="s">
        <v>595</v>
      </c>
      <c r="D1152" s="283" t="s">
        <v>1819</v>
      </c>
      <c r="E1152" s="404">
        <v>44788</v>
      </c>
      <c r="F1152" s="404">
        <v>46113</v>
      </c>
      <c r="G1152" s="286" t="s">
        <v>1784</v>
      </c>
      <c r="H1152" s="282" t="s">
        <v>1599</v>
      </c>
      <c r="I1152" s="282" t="s">
        <v>1600</v>
      </c>
      <c r="J1152" s="282" t="s">
        <v>156</v>
      </c>
      <c r="K1152" s="286" t="s">
        <v>1601</v>
      </c>
      <c r="L1152" s="282" t="s">
        <v>574</v>
      </c>
      <c r="M1152" s="287">
        <v>2400</v>
      </c>
      <c r="N1152" s="287"/>
      <c r="O1152" s="287"/>
      <c r="P1152" s="287"/>
      <c r="Q1152" s="288">
        <v>186</v>
      </c>
      <c r="R1152" s="288"/>
      <c r="S1152" s="288"/>
      <c r="T1152" s="288"/>
      <c r="U1152" s="288">
        <v>0</v>
      </c>
      <c r="V1152" s="289">
        <v>186</v>
      </c>
      <c r="W1152" s="289">
        <v>0</v>
      </c>
      <c r="X1152" s="288">
        <v>7.7499999999999999E-2</v>
      </c>
      <c r="Y1152" s="288">
        <v>0</v>
      </c>
      <c r="Z1152" s="288">
        <v>0</v>
      </c>
      <c r="AA1152" s="288">
        <v>0</v>
      </c>
      <c r="AB1152" s="288">
        <v>0</v>
      </c>
      <c r="AC1152" s="289">
        <v>7.7499999999999999E-2</v>
      </c>
      <c r="AD1152" s="289">
        <v>0</v>
      </c>
    </row>
    <row r="1153" spans="1:30" ht="15" customHeight="1" x14ac:dyDescent="0.25">
      <c r="A1153" s="282" t="s">
        <v>581</v>
      </c>
      <c r="B1153" s="282" t="s">
        <v>628</v>
      </c>
      <c r="C1153" s="282" t="s">
        <v>629</v>
      </c>
      <c r="D1153" s="283" t="s">
        <v>1820</v>
      </c>
      <c r="E1153" s="404">
        <v>44788</v>
      </c>
      <c r="F1153" s="404">
        <v>46113</v>
      </c>
      <c r="G1153" s="286" t="s">
        <v>1784</v>
      </c>
      <c r="H1153" s="282" t="s">
        <v>1599</v>
      </c>
      <c r="I1153" s="282" t="s">
        <v>1600</v>
      </c>
      <c r="J1153" s="282" t="s">
        <v>156</v>
      </c>
      <c r="K1153" s="286" t="s">
        <v>1601</v>
      </c>
      <c r="L1153" s="282" t="s">
        <v>574</v>
      </c>
      <c r="M1153" s="287">
        <v>2400</v>
      </c>
      <c r="N1153" s="287"/>
      <c r="O1153" s="287"/>
      <c r="P1153" s="287"/>
      <c r="Q1153" s="288">
        <v>203</v>
      </c>
      <c r="R1153" s="288"/>
      <c r="S1153" s="288"/>
      <c r="T1153" s="288"/>
      <c r="U1153" s="288">
        <v>0</v>
      </c>
      <c r="V1153" s="289">
        <v>203</v>
      </c>
      <c r="W1153" s="289">
        <v>0</v>
      </c>
      <c r="X1153" s="288">
        <v>8.458333333333333E-2</v>
      </c>
      <c r="Y1153" s="288">
        <v>0</v>
      </c>
      <c r="Z1153" s="288">
        <v>0</v>
      </c>
      <c r="AA1153" s="288">
        <v>0</v>
      </c>
      <c r="AB1153" s="288">
        <v>0</v>
      </c>
      <c r="AC1153" s="289">
        <v>8.458333333333333E-2</v>
      </c>
      <c r="AD1153" s="289">
        <v>0</v>
      </c>
    </row>
    <row r="1154" spans="1:30" ht="15" customHeight="1" x14ac:dyDescent="0.25">
      <c r="A1154" s="282" t="s">
        <v>581</v>
      </c>
      <c r="B1154" s="282" t="s">
        <v>611</v>
      </c>
      <c r="C1154" s="282" t="s">
        <v>612</v>
      </c>
      <c r="D1154" s="283" t="s">
        <v>1821</v>
      </c>
      <c r="E1154" s="404">
        <v>44788</v>
      </c>
      <c r="F1154" s="404">
        <v>46113</v>
      </c>
      <c r="G1154" s="286" t="s">
        <v>1784</v>
      </c>
      <c r="H1154" s="282" t="s">
        <v>1599</v>
      </c>
      <c r="I1154" s="282" t="s">
        <v>1600</v>
      </c>
      <c r="J1154" s="282" t="s">
        <v>156</v>
      </c>
      <c r="K1154" s="286" t="s">
        <v>1601</v>
      </c>
      <c r="L1154" s="282" t="s">
        <v>574</v>
      </c>
      <c r="M1154" s="287">
        <v>2400</v>
      </c>
      <c r="N1154" s="287"/>
      <c r="O1154" s="287"/>
      <c r="P1154" s="287"/>
      <c r="Q1154" s="288">
        <v>233</v>
      </c>
      <c r="R1154" s="288"/>
      <c r="S1154" s="288"/>
      <c r="T1154" s="288"/>
      <c r="U1154" s="288">
        <v>0</v>
      </c>
      <c r="V1154" s="289">
        <v>233</v>
      </c>
      <c r="W1154" s="289">
        <v>0</v>
      </c>
      <c r="X1154" s="288">
        <v>9.7083333333333327E-2</v>
      </c>
      <c r="Y1154" s="288">
        <v>0</v>
      </c>
      <c r="Z1154" s="288">
        <v>0</v>
      </c>
      <c r="AA1154" s="288">
        <v>0</v>
      </c>
      <c r="AB1154" s="288">
        <v>0</v>
      </c>
      <c r="AC1154" s="289">
        <v>9.7083333333333327E-2</v>
      </c>
      <c r="AD1154" s="289">
        <v>0</v>
      </c>
    </row>
    <row r="1155" spans="1:30" ht="15" customHeight="1" x14ac:dyDescent="0.25">
      <c r="A1155" s="282" t="s">
        <v>581</v>
      </c>
      <c r="B1155" s="282" t="s">
        <v>585</v>
      </c>
      <c r="C1155" s="282" t="s">
        <v>586</v>
      </c>
      <c r="D1155" s="283" t="s">
        <v>1822</v>
      </c>
      <c r="E1155" s="404">
        <v>44788</v>
      </c>
      <c r="F1155" s="404">
        <v>46113</v>
      </c>
      <c r="G1155" s="286" t="s">
        <v>1784</v>
      </c>
      <c r="H1155" s="282" t="s">
        <v>1599</v>
      </c>
      <c r="I1155" s="282" t="s">
        <v>1600</v>
      </c>
      <c r="J1155" s="282" t="s">
        <v>156</v>
      </c>
      <c r="K1155" s="286" t="s">
        <v>1601</v>
      </c>
      <c r="L1155" s="282" t="s">
        <v>574</v>
      </c>
      <c r="M1155" s="287">
        <v>2400</v>
      </c>
      <c r="N1155" s="287"/>
      <c r="O1155" s="287"/>
      <c r="P1155" s="287"/>
      <c r="Q1155" s="288">
        <v>278</v>
      </c>
      <c r="R1155" s="288"/>
      <c r="S1155" s="288"/>
      <c r="T1155" s="288"/>
      <c r="U1155" s="288">
        <v>0</v>
      </c>
      <c r="V1155" s="289">
        <v>278</v>
      </c>
      <c r="W1155" s="289">
        <v>0</v>
      </c>
      <c r="X1155" s="288">
        <v>0.11583333333333333</v>
      </c>
      <c r="Y1155" s="288">
        <v>0</v>
      </c>
      <c r="Z1155" s="288">
        <v>0</v>
      </c>
      <c r="AA1155" s="288">
        <v>0</v>
      </c>
      <c r="AB1155" s="288">
        <v>0</v>
      </c>
      <c r="AC1155" s="289">
        <v>0.11583333333333333</v>
      </c>
      <c r="AD1155" s="289">
        <v>0</v>
      </c>
    </row>
    <row r="1156" spans="1:30" ht="15" customHeight="1" x14ac:dyDescent="0.25">
      <c r="A1156" s="282" t="s">
        <v>581</v>
      </c>
      <c r="B1156" s="282" t="s">
        <v>616</v>
      </c>
      <c r="C1156" s="282" t="s">
        <v>617</v>
      </c>
      <c r="D1156" s="283" t="s">
        <v>1823</v>
      </c>
      <c r="E1156" s="404">
        <v>44788</v>
      </c>
      <c r="F1156" s="404">
        <v>46113</v>
      </c>
      <c r="G1156" s="286" t="s">
        <v>1784</v>
      </c>
      <c r="H1156" s="282" t="s">
        <v>1599</v>
      </c>
      <c r="I1156" s="282" t="s">
        <v>1600</v>
      </c>
      <c r="J1156" s="282" t="s">
        <v>156</v>
      </c>
      <c r="K1156" s="286" t="s">
        <v>1601</v>
      </c>
      <c r="L1156" s="282" t="s">
        <v>574</v>
      </c>
      <c r="M1156" s="287">
        <v>2400</v>
      </c>
      <c r="N1156" s="287"/>
      <c r="O1156" s="287"/>
      <c r="P1156" s="287"/>
      <c r="Q1156" s="288">
        <v>345</v>
      </c>
      <c r="R1156" s="288"/>
      <c r="S1156" s="288"/>
      <c r="T1156" s="288"/>
      <c r="U1156" s="288">
        <v>0</v>
      </c>
      <c r="V1156" s="289">
        <v>345</v>
      </c>
      <c r="W1156" s="289">
        <v>0</v>
      </c>
      <c r="X1156" s="288">
        <v>0.14374999999999999</v>
      </c>
      <c r="Y1156" s="288">
        <v>0</v>
      </c>
      <c r="Z1156" s="288">
        <v>0</v>
      </c>
      <c r="AA1156" s="288">
        <v>0</v>
      </c>
      <c r="AB1156" s="288">
        <v>0</v>
      </c>
      <c r="AC1156" s="289">
        <v>0.14374999999999999</v>
      </c>
      <c r="AD1156" s="289">
        <v>0</v>
      </c>
    </row>
    <row r="1157" spans="1:30" ht="15" customHeight="1" x14ac:dyDescent="0.25">
      <c r="A1157" s="282" t="s">
        <v>581</v>
      </c>
      <c r="B1157" s="282" t="s">
        <v>594</v>
      </c>
      <c r="C1157" s="282" t="s">
        <v>595</v>
      </c>
      <c r="D1157" s="283" t="s">
        <v>1824</v>
      </c>
      <c r="E1157" s="404">
        <v>44788</v>
      </c>
      <c r="F1157" s="404">
        <v>46113</v>
      </c>
      <c r="G1157" s="286" t="s">
        <v>1784</v>
      </c>
      <c r="H1157" s="282" t="s">
        <v>1599</v>
      </c>
      <c r="I1157" s="282" t="s">
        <v>1600</v>
      </c>
      <c r="J1157" s="282" t="s">
        <v>156</v>
      </c>
      <c r="K1157" s="286" t="s">
        <v>1601</v>
      </c>
      <c r="L1157" s="282" t="s">
        <v>574</v>
      </c>
      <c r="M1157" s="287">
        <v>2400</v>
      </c>
      <c r="N1157" s="287"/>
      <c r="O1157" s="287"/>
      <c r="P1157" s="287"/>
      <c r="Q1157" s="288">
        <v>181</v>
      </c>
      <c r="R1157" s="288"/>
      <c r="S1157" s="288"/>
      <c r="T1157" s="288"/>
      <c r="U1157" s="288">
        <v>0</v>
      </c>
      <c r="V1157" s="289">
        <v>181</v>
      </c>
      <c r="W1157" s="289">
        <v>0</v>
      </c>
      <c r="X1157" s="288">
        <v>7.5416666666666674E-2</v>
      </c>
      <c r="Y1157" s="288">
        <v>0</v>
      </c>
      <c r="Z1157" s="288">
        <v>0</v>
      </c>
      <c r="AA1157" s="288">
        <v>0</v>
      </c>
      <c r="AB1157" s="288">
        <v>0</v>
      </c>
      <c r="AC1157" s="289">
        <v>7.5416666666666674E-2</v>
      </c>
      <c r="AD1157" s="289">
        <v>0</v>
      </c>
    </row>
    <row r="1158" spans="1:30" ht="15" customHeight="1" x14ac:dyDescent="0.25">
      <c r="A1158" s="282" t="s">
        <v>581</v>
      </c>
      <c r="B1158" s="282" t="s">
        <v>628</v>
      </c>
      <c r="C1158" s="282" t="s">
        <v>629</v>
      </c>
      <c r="D1158" s="283" t="s">
        <v>1825</v>
      </c>
      <c r="E1158" s="404">
        <v>44788</v>
      </c>
      <c r="F1158" s="404">
        <v>46113</v>
      </c>
      <c r="G1158" s="286" t="s">
        <v>1784</v>
      </c>
      <c r="H1158" s="282" t="s">
        <v>1599</v>
      </c>
      <c r="I1158" s="282" t="s">
        <v>1600</v>
      </c>
      <c r="J1158" s="282" t="s">
        <v>156</v>
      </c>
      <c r="K1158" s="286" t="s">
        <v>1601</v>
      </c>
      <c r="L1158" s="282" t="s">
        <v>574</v>
      </c>
      <c r="M1158" s="287">
        <v>2400</v>
      </c>
      <c r="N1158" s="287"/>
      <c r="O1158" s="287"/>
      <c r="P1158" s="287"/>
      <c r="Q1158" s="288">
        <v>198</v>
      </c>
      <c r="R1158" s="288"/>
      <c r="S1158" s="288"/>
      <c r="T1158" s="288"/>
      <c r="U1158" s="288">
        <v>0</v>
      </c>
      <c r="V1158" s="289">
        <v>198</v>
      </c>
      <c r="W1158" s="289">
        <v>0</v>
      </c>
      <c r="X1158" s="288">
        <v>8.2500000000000004E-2</v>
      </c>
      <c r="Y1158" s="288">
        <v>0</v>
      </c>
      <c r="Z1158" s="288">
        <v>0</v>
      </c>
      <c r="AA1158" s="288">
        <v>0</v>
      </c>
      <c r="AB1158" s="288">
        <v>0</v>
      </c>
      <c r="AC1158" s="289">
        <v>8.2500000000000004E-2</v>
      </c>
      <c r="AD1158" s="289">
        <v>0</v>
      </c>
    </row>
    <row r="1159" spans="1:30" ht="15" customHeight="1" x14ac:dyDescent="0.25">
      <c r="A1159" s="282" t="s">
        <v>581</v>
      </c>
      <c r="B1159" s="282" t="s">
        <v>611</v>
      </c>
      <c r="C1159" s="282" t="s">
        <v>612</v>
      </c>
      <c r="D1159" s="283" t="s">
        <v>1826</v>
      </c>
      <c r="E1159" s="404">
        <v>44788</v>
      </c>
      <c r="F1159" s="404">
        <v>46113</v>
      </c>
      <c r="G1159" s="286" t="s">
        <v>1784</v>
      </c>
      <c r="H1159" s="282" t="s">
        <v>1599</v>
      </c>
      <c r="I1159" s="282" t="s">
        <v>1600</v>
      </c>
      <c r="J1159" s="282" t="s">
        <v>156</v>
      </c>
      <c r="K1159" s="286" t="s">
        <v>1601</v>
      </c>
      <c r="L1159" s="282" t="s">
        <v>574</v>
      </c>
      <c r="M1159" s="287">
        <v>2400</v>
      </c>
      <c r="N1159" s="287"/>
      <c r="O1159" s="287"/>
      <c r="P1159" s="287"/>
      <c r="Q1159" s="288">
        <v>224</v>
      </c>
      <c r="R1159" s="288"/>
      <c r="S1159" s="288"/>
      <c r="T1159" s="288"/>
      <c r="U1159" s="288">
        <v>0</v>
      </c>
      <c r="V1159" s="289">
        <v>224</v>
      </c>
      <c r="W1159" s="289">
        <v>0</v>
      </c>
      <c r="X1159" s="288">
        <v>9.3333333333333338E-2</v>
      </c>
      <c r="Y1159" s="288">
        <v>0</v>
      </c>
      <c r="Z1159" s="288">
        <v>0</v>
      </c>
      <c r="AA1159" s="288">
        <v>0</v>
      </c>
      <c r="AB1159" s="288">
        <v>0</v>
      </c>
      <c r="AC1159" s="289">
        <v>9.3333333333333338E-2</v>
      </c>
      <c r="AD1159" s="289">
        <v>0</v>
      </c>
    </row>
    <row r="1160" spans="1:30" ht="15" customHeight="1" x14ac:dyDescent="0.25">
      <c r="A1160" s="282" t="s">
        <v>581</v>
      </c>
      <c r="B1160" s="282" t="s">
        <v>585</v>
      </c>
      <c r="C1160" s="282" t="s">
        <v>586</v>
      </c>
      <c r="D1160" s="283" t="s">
        <v>1827</v>
      </c>
      <c r="E1160" s="404">
        <v>44788</v>
      </c>
      <c r="F1160" s="404">
        <v>46113</v>
      </c>
      <c r="G1160" s="286" t="s">
        <v>1784</v>
      </c>
      <c r="H1160" s="282" t="s">
        <v>1599</v>
      </c>
      <c r="I1160" s="282" t="s">
        <v>1600</v>
      </c>
      <c r="J1160" s="282" t="s">
        <v>156</v>
      </c>
      <c r="K1160" s="286" t="s">
        <v>1601</v>
      </c>
      <c r="L1160" s="282" t="s">
        <v>574</v>
      </c>
      <c r="M1160" s="287">
        <v>2400</v>
      </c>
      <c r="N1160" s="287"/>
      <c r="O1160" s="287"/>
      <c r="P1160" s="287"/>
      <c r="Q1160" s="288">
        <v>268</v>
      </c>
      <c r="R1160" s="288"/>
      <c r="S1160" s="288"/>
      <c r="T1160" s="288"/>
      <c r="U1160" s="288">
        <v>0</v>
      </c>
      <c r="V1160" s="289">
        <v>268</v>
      </c>
      <c r="W1160" s="289">
        <v>0</v>
      </c>
      <c r="X1160" s="288">
        <v>0.11166666666666666</v>
      </c>
      <c r="Y1160" s="288">
        <v>0</v>
      </c>
      <c r="Z1160" s="288">
        <v>0</v>
      </c>
      <c r="AA1160" s="288">
        <v>0</v>
      </c>
      <c r="AB1160" s="288">
        <v>0</v>
      </c>
      <c r="AC1160" s="289">
        <v>0.11166666666666666</v>
      </c>
      <c r="AD1160" s="289">
        <v>0</v>
      </c>
    </row>
    <row r="1161" spans="1:30" ht="15" customHeight="1" x14ac:dyDescent="0.25">
      <c r="A1161" s="282" t="s">
        <v>581</v>
      </c>
      <c r="B1161" s="282" t="s">
        <v>616</v>
      </c>
      <c r="C1161" s="282" t="s">
        <v>617</v>
      </c>
      <c r="D1161" s="283" t="s">
        <v>1828</v>
      </c>
      <c r="E1161" s="404">
        <v>44788</v>
      </c>
      <c r="F1161" s="404">
        <v>46113</v>
      </c>
      <c r="G1161" s="286" t="s">
        <v>1784</v>
      </c>
      <c r="H1161" s="282" t="s">
        <v>1599</v>
      </c>
      <c r="I1161" s="282" t="s">
        <v>1600</v>
      </c>
      <c r="J1161" s="282" t="s">
        <v>156</v>
      </c>
      <c r="K1161" s="286" t="s">
        <v>1601</v>
      </c>
      <c r="L1161" s="282" t="s">
        <v>574</v>
      </c>
      <c r="M1161" s="287">
        <v>2400</v>
      </c>
      <c r="N1161" s="287"/>
      <c r="O1161" s="287"/>
      <c r="P1161" s="287"/>
      <c r="Q1161" s="288">
        <v>334</v>
      </c>
      <c r="R1161" s="288"/>
      <c r="S1161" s="288"/>
      <c r="T1161" s="288"/>
      <c r="U1161" s="288">
        <v>0</v>
      </c>
      <c r="V1161" s="289">
        <v>334</v>
      </c>
      <c r="W1161" s="289">
        <v>0</v>
      </c>
      <c r="X1161" s="288">
        <v>0.13916666666666666</v>
      </c>
      <c r="Y1161" s="288">
        <v>0</v>
      </c>
      <c r="Z1161" s="288">
        <v>0</v>
      </c>
      <c r="AA1161" s="288">
        <v>0</v>
      </c>
      <c r="AB1161" s="288">
        <v>0</v>
      </c>
      <c r="AC1161" s="289">
        <v>0.13916666666666666</v>
      </c>
      <c r="AD1161" s="289">
        <v>0</v>
      </c>
    </row>
    <row r="1162" spans="1:30" ht="15" customHeight="1" x14ac:dyDescent="0.25">
      <c r="A1162" s="282" t="s">
        <v>581</v>
      </c>
      <c r="B1162" s="282" t="s">
        <v>594</v>
      </c>
      <c r="C1162" s="282" t="s">
        <v>595</v>
      </c>
      <c r="D1162" s="283" t="s">
        <v>1829</v>
      </c>
      <c r="E1162" s="404">
        <v>44788</v>
      </c>
      <c r="F1162" s="404">
        <v>46113</v>
      </c>
      <c r="G1162" s="286" t="s">
        <v>1784</v>
      </c>
      <c r="H1162" s="282" t="s">
        <v>1599</v>
      </c>
      <c r="I1162" s="282" t="s">
        <v>1600</v>
      </c>
      <c r="J1162" s="282" t="s">
        <v>156</v>
      </c>
      <c r="K1162" s="286" t="s">
        <v>1601</v>
      </c>
      <c r="L1162" s="282" t="s">
        <v>574</v>
      </c>
      <c r="M1162" s="287">
        <v>2400</v>
      </c>
      <c r="N1162" s="287"/>
      <c r="O1162" s="287"/>
      <c r="P1162" s="287"/>
      <c r="Q1162" s="288">
        <v>173</v>
      </c>
      <c r="R1162" s="288"/>
      <c r="S1162" s="288"/>
      <c r="T1162" s="288"/>
      <c r="U1162" s="288">
        <v>0</v>
      </c>
      <c r="V1162" s="289">
        <v>173</v>
      </c>
      <c r="W1162" s="289">
        <v>0</v>
      </c>
      <c r="X1162" s="288">
        <v>7.2083333333333333E-2</v>
      </c>
      <c r="Y1162" s="288">
        <v>0</v>
      </c>
      <c r="Z1162" s="288">
        <v>0</v>
      </c>
      <c r="AA1162" s="288">
        <v>0</v>
      </c>
      <c r="AB1162" s="288">
        <v>0</v>
      </c>
      <c r="AC1162" s="289">
        <v>7.2083333333333333E-2</v>
      </c>
      <c r="AD1162" s="289">
        <v>0</v>
      </c>
    </row>
    <row r="1163" spans="1:30" ht="15" customHeight="1" x14ac:dyDescent="0.25">
      <c r="A1163" s="282" t="s">
        <v>581</v>
      </c>
      <c r="B1163" s="282" t="s">
        <v>628</v>
      </c>
      <c r="C1163" s="282" t="s">
        <v>629</v>
      </c>
      <c r="D1163" s="283" t="s">
        <v>1830</v>
      </c>
      <c r="E1163" s="404">
        <v>44788</v>
      </c>
      <c r="F1163" s="404">
        <v>46113</v>
      </c>
      <c r="G1163" s="286" t="s">
        <v>1784</v>
      </c>
      <c r="H1163" s="282" t="s">
        <v>1599</v>
      </c>
      <c r="I1163" s="282" t="s">
        <v>1600</v>
      </c>
      <c r="J1163" s="282" t="s">
        <v>156</v>
      </c>
      <c r="K1163" s="286" t="s">
        <v>1601</v>
      </c>
      <c r="L1163" s="282" t="s">
        <v>574</v>
      </c>
      <c r="M1163" s="287">
        <v>2400</v>
      </c>
      <c r="N1163" s="287"/>
      <c r="O1163" s="287"/>
      <c r="P1163" s="287"/>
      <c r="Q1163" s="288">
        <v>180</v>
      </c>
      <c r="R1163" s="288"/>
      <c r="S1163" s="288"/>
      <c r="T1163" s="288"/>
      <c r="U1163" s="288">
        <v>0</v>
      </c>
      <c r="V1163" s="289">
        <v>180</v>
      </c>
      <c r="W1163" s="289">
        <v>0</v>
      </c>
      <c r="X1163" s="288">
        <v>7.4999999999999997E-2</v>
      </c>
      <c r="Y1163" s="288">
        <v>0</v>
      </c>
      <c r="Z1163" s="288">
        <v>0</v>
      </c>
      <c r="AA1163" s="288">
        <v>0</v>
      </c>
      <c r="AB1163" s="288">
        <v>0</v>
      </c>
      <c r="AC1163" s="289">
        <v>7.4999999999999997E-2</v>
      </c>
      <c r="AD1163" s="289">
        <v>0</v>
      </c>
    </row>
    <row r="1164" spans="1:30" ht="15" customHeight="1" x14ac:dyDescent="0.25">
      <c r="A1164" s="282" t="s">
        <v>581</v>
      </c>
      <c r="B1164" s="282" t="s">
        <v>611</v>
      </c>
      <c r="C1164" s="282" t="s">
        <v>612</v>
      </c>
      <c r="D1164" s="283" t="s">
        <v>1831</v>
      </c>
      <c r="E1164" s="404">
        <v>44788</v>
      </c>
      <c r="F1164" s="404">
        <v>46113</v>
      </c>
      <c r="G1164" s="286" t="s">
        <v>1784</v>
      </c>
      <c r="H1164" s="282" t="s">
        <v>1599</v>
      </c>
      <c r="I1164" s="282" t="s">
        <v>1600</v>
      </c>
      <c r="J1164" s="282" t="s">
        <v>156</v>
      </c>
      <c r="K1164" s="286" t="s">
        <v>1601</v>
      </c>
      <c r="L1164" s="282" t="s">
        <v>574</v>
      </c>
      <c r="M1164" s="287">
        <v>2400</v>
      </c>
      <c r="N1164" s="287"/>
      <c r="O1164" s="287"/>
      <c r="P1164" s="287"/>
      <c r="Q1164" s="288">
        <v>193</v>
      </c>
      <c r="R1164" s="288"/>
      <c r="S1164" s="288"/>
      <c r="T1164" s="288"/>
      <c r="U1164" s="288">
        <v>0</v>
      </c>
      <c r="V1164" s="289">
        <v>193</v>
      </c>
      <c r="W1164" s="289">
        <v>0</v>
      </c>
      <c r="X1164" s="288">
        <v>8.0416666666666664E-2</v>
      </c>
      <c r="Y1164" s="288">
        <v>0</v>
      </c>
      <c r="Z1164" s="288">
        <v>0</v>
      </c>
      <c r="AA1164" s="288">
        <v>0</v>
      </c>
      <c r="AB1164" s="288">
        <v>0</v>
      </c>
      <c r="AC1164" s="289">
        <v>8.0416666666666664E-2</v>
      </c>
      <c r="AD1164" s="289">
        <v>0</v>
      </c>
    </row>
    <row r="1165" spans="1:30" ht="15" customHeight="1" x14ac:dyDescent="0.25">
      <c r="A1165" s="282" t="s">
        <v>581</v>
      </c>
      <c r="B1165" s="282" t="s">
        <v>585</v>
      </c>
      <c r="C1165" s="282" t="s">
        <v>586</v>
      </c>
      <c r="D1165" s="283" t="s">
        <v>1832</v>
      </c>
      <c r="E1165" s="404">
        <v>44788</v>
      </c>
      <c r="F1165" s="404">
        <v>46113</v>
      </c>
      <c r="G1165" s="286" t="s">
        <v>1784</v>
      </c>
      <c r="H1165" s="282" t="s">
        <v>1599</v>
      </c>
      <c r="I1165" s="282" t="s">
        <v>1600</v>
      </c>
      <c r="J1165" s="282" t="s">
        <v>156</v>
      </c>
      <c r="K1165" s="286" t="s">
        <v>1601</v>
      </c>
      <c r="L1165" s="282" t="s">
        <v>574</v>
      </c>
      <c r="M1165" s="287">
        <v>2400</v>
      </c>
      <c r="N1165" s="287"/>
      <c r="O1165" s="287"/>
      <c r="P1165" s="287"/>
      <c r="Q1165" s="288">
        <v>247</v>
      </c>
      <c r="R1165" s="288"/>
      <c r="S1165" s="288"/>
      <c r="T1165" s="288"/>
      <c r="U1165" s="288">
        <v>0</v>
      </c>
      <c r="V1165" s="289">
        <v>247</v>
      </c>
      <c r="W1165" s="289">
        <v>0</v>
      </c>
      <c r="X1165" s="288">
        <v>0.10291666666666667</v>
      </c>
      <c r="Y1165" s="288">
        <v>0</v>
      </c>
      <c r="Z1165" s="288">
        <v>0</v>
      </c>
      <c r="AA1165" s="288">
        <v>0</v>
      </c>
      <c r="AB1165" s="288">
        <v>0</v>
      </c>
      <c r="AC1165" s="289">
        <v>0.10291666666666667</v>
      </c>
      <c r="AD1165" s="289">
        <v>0</v>
      </c>
    </row>
    <row r="1166" spans="1:30" ht="15" customHeight="1" x14ac:dyDescent="0.25">
      <c r="A1166" s="282" t="s">
        <v>581</v>
      </c>
      <c r="B1166" s="282" t="s">
        <v>616</v>
      </c>
      <c r="C1166" s="282" t="s">
        <v>617</v>
      </c>
      <c r="D1166" s="283" t="s">
        <v>1833</v>
      </c>
      <c r="E1166" s="404">
        <v>44788</v>
      </c>
      <c r="F1166" s="404">
        <v>46113</v>
      </c>
      <c r="G1166" s="286" t="s">
        <v>1784</v>
      </c>
      <c r="H1166" s="282" t="s">
        <v>1599</v>
      </c>
      <c r="I1166" s="282" t="s">
        <v>1600</v>
      </c>
      <c r="J1166" s="282" t="s">
        <v>156</v>
      </c>
      <c r="K1166" s="286" t="s">
        <v>1601</v>
      </c>
      <c r="L1166" s="282" t="s">
        <v>574</v>
      </c>
      <c r="M1166" s="287">
        <v>2400</v>
      </c>
      <c r="N1166" s="287"/>
      <c r="O1166" s="287"/>
      <c r="P1166" s="287"/>
      <c r="Q1166" s="288">
        <v>321</v>
      </c>
      <c r="R1166" s="288"/>
      <c r="S1166" s="288"/>
      <c r="T1166" s="288"/>
      <c r="U1166" s="288">
        <v>0</v>
      </c>
      <c r="V1166" s="289">
        <v>321</v>
      </c>
      <c r="W1166" s="289">
        <v>0</v>
      </c>
      <c r="X1166" s="288">
        <v>0.13375000000000001</v>
      </c>
      <c r="Y1166" s="288">
        <v>0</v>
      </c>
      <c r="Z1166" s="288">
        <v>0</v>
      </c>
      <c r="AA1166" s="288">
        <v>0</v>
      </c>
      <c r="AB1166" s="288">
        <v>0</v>
      </c>
      <c r="AC1166" s="289">
        <v>0.13375000000000001</v>
      </c>
      <c r="AD1166" s="289">
        <v>0</v>
      </c>
    </row>
    <row r="1167" spans="1:30" ht="15" customHeight="1" x14ac:dyDescent="0.25">
      <c r="A1167" s="282" t="s">
        <v>581</v>
      </c>
      <c r="B1167" s="282" t="s">
        <v>695</v>
      </c>
      <c r="C1167" s="282" t="s">
        <v>696</v>
      </c>
      <c r="D1167" s="283" t="s">
        <v>1834</v>
      </c>
      <c r="E1167" s="404">
        <v>44788</v>
      </c>
      <c r="F1167" s="404">
        <v>46113</v>
      </c>
      <c r="G1167" s="286" t="s">
        <v>1784</v>
      </c>
      <c r="H1167" s="282" t="s">
        <v>1599</v>
      </c>
      <c r="I1167" s="282" t="s">
        <v>1600</v>
      </c>
      <c r="J1167" s="282" t="s">
        <v>156</v>
      </c>
      <c r="K1167" s="286" t="s">
        <v>1601</v>
      </c>
      <c r="L1167" s="282" t="s">
        <v>574</v>
      </c>
      <c r="M1167" s="287">
        <v>2400</v>
      </c>
      <c r="N1167" s="287"/>
      <c r="O1167" s="287"/>
      <c r="P1167" s="287"/>
      <c r="Q1167" s="288">
        <v>327</v>
      </c>
      <c r="R1167" s="288"/>
      <c r="S1167" s="288"/>
      <c r="T1167" s="288"/>
      <c r="U1167" s="288">
        <v>0</v>
      </c>
      <c r="V1167" s="289">
        <v>327</v>
      </c>
      <c r="W1167" s="289">
        <v>0</v>
      </c>
      <c r="X1167" s="288">
        <v>0.13625000000000001</v>
      </c>
      <c r="Y1167" s="288">
        <v>0</v>
      </c>
      <c r="Z1167" s="288">
        <v>0</v>
      </c>
      <c r="AA1167" s="288">
        <v>0</v>
      </c>
      <c r="AB1167" s="288">
        <v>0</v>
      </c>
      <c r="AC1167" s="289">
        <v>0.13625000000000001</v>
      </c>
      <c r="AD1167" s="289">
        <v>0</v>
      </c>
    </row>
    <row r="1168" spans="1:30" ht="15" customHeight="1" x14ac:dyDescent="0.25">
      <c r="A1168" s="282" t="s">
        <v>581</v>
      </c>
      <c r="B1168" s="282" t="s">
        <v>839</v>
      </c>
      <c r="C1168" s="282" t="s">
        <v>840</v>
      </c>
      <c r="D1168" s="283" t="s">
        <v>1835</v>
      </c>
      <c r="E1168" s="404">
        <v>44788</v>
      </c>
      <c r="F1168" s="404">
        <v>46113</v>
      </c>
      <c r="G1168" s="286" t="s">
        <v>1784</v>
      </c>
      <c r="H1168" s="282" t="s">
        <v>1599</v>
      </c>
      <c r="I1168" s="282" t="s">
        <v>1600</v>
      </c>
      <c r="J1168" s="282" t="s">
        <v>156</v>
      </c>
      <c r="K1168" s="286" t="s">
        <v>1601</v>
      </c>
      <c r="L1168" s="282" t="s">
        <v>574</v>
      </c>
      <c r="M1168" s="287">
        <v>2400</v>
      </c>
      <c r="N1168" s="287"/>
      <c r="O1168" s="287"/>
      <c r="P1168" s="287"/>
      <c r="Q1168" s="288">
        <v>426</v>
      </c>
      <c r="R1168" s="288"/>
      <c r="S1168" s="288"/>
      <c r="T1168" s="288"/>
      <c r="U1168" s="288">
        <v>0</v>
      </c>
      <c r="V1168" s="289">
        <v>426</v>
      </c>
      <c r="W1168" s="289">
        <v>0</v>
      </c>
      <c r="X1168" s="288">
        <v>0.17749999999999999</v>
      </c>
      <c r="Y1168" s="288">
        <v>0</v>
      </c>
      <c r="Z1168" s="288">
        <v>0</v>
      </c>
      <c r="AA1168" s="288">
        <v>0</v>
      </c>
      <c r="AB1168" s="288">
        <v>0</v>
      </c>
      <c r="AC1168" s="289">
        <v>0.17749999999999999</v>
      </c>
      <c r="AD1168" s="289">
        <v>0</v>
      </c>
    </row>
    <row r="1169" spans="1:30" ht="15" customHeight="1" x14ac:dyDescent="0.25">
      <c r="A1169" s="282" t="s">
        <v>581</v>
      </c>
      <c r="B1169" s="282" t="s">
        <v>585</v>
      </c>
      <c r="C1169" s="282" t="s">
        <v>586</v>
      </c>
      <c r="D1169" s="283" t="s">
        <v>1836</v>
      </c>
      <c r="E1169" s="404">
        <v>44788</v>
      </c>
      <c r="F1169" s="404">
        <v>46113</v>
      </c>
      <c r="G1169" s="286" t="s">
        <v>1784</v>
      </c>
      <c r="H1169" s="282" t="s">
        <v>1599</v>
      </c>
      <c r="I1169" s="282" t="s">
        <v>1600</v>
      </c>
      <c r="J1169" s="282" t="s">
        <v>156</v>
      </c>
      <c r="K1169" s="286" t="s">
        <v>1601</v>
      </c>
      <c r="L1169" s="282" t="s">
        <v>574</v>
      </c>
      <c r="M1169" s="287">
        <v>2400</v>
      </c>
      <c r="N1169" s="287"/>
      <c r="O1169" s="287"/>
      <c r="P1169" s="287"/>
      <c r="Q1169" s="288">
        <v>339</v>
      </c>
      <c r="R1169" s="288"/>
      <c r="S1169" s="288"/>
      <c r="T1169" s="288"/>
      <c r="U1169" s="288">
        <v>0</v>
      </c>
      <c r="V1169" s="289">
        <v>339</v>
      </c>
      <c r="W1169" s="289">
        <v>0</v>
      </c>
      <c r="X1169" s="288">
        <v>0.14124999999999999</v>
      </c>
      <c r="Y1169" s="288">
        <v>0</v>
      </c>
      <c r="Z1169" s="288">
        <v>0</v>
      </c>
      <c r="AA1169" s="288">
        <v>0</v>
      </c>
      <c r="AB1169" s="288">
        <v>0</v>
      </c>
      <c r="AC1169" s="289">
        <v>0.14124999999999999</v>
      </c>
      <c r="AD1169" s="289">
        <v>0</v>
      </c>
    </row>
    <row r="1170" spans="1:30" ht="15" customHeight="1" x14ac:dyDescent="0.25">
      <c r="A1170" s="282" t="s">
        <v>581</v>
      </c>
      <c r="B1170" s="282" t="s">
        <v>585</v>
      </c>
      <c r="C1170" s="282" t="s">
        <v>586</v>
      </c>
      <c r="D1170" s="283" t="s">
        <v>1837</v>
      </c>
      <c r="E1170" s="404">
        <v>44788</v>
      </c>
      <c r="F1170" s="404">
        <v>46113</v>
      </c>
      <c r="G1170" s="286" t="s">
        <v>1784</v>
      </c>
      <c r="H1170" s="282" t="s">
        <v>1599</v>
      </c>
      <c r="I1170" s="282" t="s">
        <v>1600</v>
      </c>
      <c r="J1170" s="282" t="s">
        <v>156</v>
      </c>
      <c r="K1170" s="286" t="s">
        <v>1601</v>
      </c>
      <c r="L1170" s="282" t="s">
        <v>574</v>
      </c>
      <c r="M1170" s="287">
        <v>2400</v>
      </c>
      <c r="N1170" s="287"/>
      <c r="O1170" s="287"/>
      <c r="P1170" s="287"/>
      <c r="Q1170" s="288">
        <v>330</v>
      </c>
      <c r="R1170" s="288"/>
      <c r="S1170" s="288"/>
      <c r="T1170" s="288"/>
      <c r="U1170" s="288">
        <v>0</v>
      </c>
      <c r="V1170" s="289">
        <v>330</v>
      </c>
      <c r="W1170" s="289">
        <v>0</v>
      </c>
      <c r="X1170" s="288">
        <v>0.13750000000000001</v>
      </c>
      <c r="Y1170" s="288">
        <v>0</v>
      </c>
      <c r="Z1170" s="288">
        <v>0</v>
      </c>
      <c r="AA1170" s="288">
        <v>0</v>
      </c>
      <c r="AB1170" s="288">
        <v>0</v>
      </c>
      <c r="AC1170" s="289">
        <v>0.13750000000000001</v>
      </c>
      <c r="AD1170" s="289">
        <v>0</v>
      </c>
    </row>
    <row r="1171" spans="1:30" ht="15" customHeight="1" x14ac:dyDescent="0.25">
      <c r="A1171" s="282" t="s">
        <v>581</v>
      </c>
      <c r="B1171" s="282" t="s">
        <v>585</v>
      </c>
      <c r="C1171" s="282" t="s">
        <v>586</v>
      </c>
      <c r="D1171" s="283" t="s">
        <v>1838</v>
      </c>
      <c r="E1171" s="404">
        <v>44788</v>
      </c>
      <c r="F1171" s="404">
        <v>46113</v>
      </c>
      <c r="G1171" s="286" t="s">
        <v>1784</v>
      </c>
      <c r="H1171" s="282" t="s">
        <v>1599</v>
      </c>
      <c r="I1171" s="282" t="s">
        <v>1600</v>
      </c>
      <c r="J1171" s="282" t="s">
        <v>156</v>
      </c>
      <c r="K1171" s="286" t="s">
        <v>1601</v>
      </c>
      <c r="L1171" s="282" t="s">
        <v>574</v>
      </c>
      <c r="M1171" s="287">
        <v>2400</v>
      </c>
      <c r="N1171" s="287"/>
      <c r="O1171" s="287"/>
      <c r="P1171" s="287"/>
      <c r="Q1171" s="288">
        <v>321</v>
      </c>
      <c r="R1171" s="288"/>
      <c r="S1171" s="288"/>
      <c r="T1171" s="288"/>
      <c r="U1171" s="288">
        <v>0</v>
      </c>
      <c r="V1171" s="289">
        <v>321</v>
      </c>
      <c r="W1171" s="289">
        <v>0</v>
      </c>
      <c r="X1171" s="288">
        <v>0.13375000000000001</v>
      </c>
      <c r="Y1171" s="288">
        <v>0</v>
      </c>
      <c r="Z1171" s="288">
        <v>0</v>
      </c>
      <c r="AA1171" s="288">
        <v>0</v>
      </c>
      <c r="AB1171" s="288">
        <v>0</v>
      </c>
      <c r="AC1171" s="289">
        <v>0.13375000000000001</v>
      </c>
      <c r="AD1171" s="289">
        <v>0</v>
      </c>
    </row>
    <row r="1172" spans="1:30" ht="15" customHeight="1" x14ac:dyDescent="0.25">
      <c r="A1172" s="282" t="s">
        <v>581</v>
      </c>
      <c r="B1172" s="282" t="s">
        <v>616</v>
      </c>
      <c r="C1172" s="282" t="s">
        <v>617</v>
      </c>
      <c r="D1172" s="283" t="s">
        <v>1839</v>
      </c>
      <c r="E1172" s="404">
        <v>44788</v>
      </c>
      <c r="F1172" s="404">
        <v>46113</v>
      </c>
      <c r="G1172" s="286" t="s">
        <v>1784</v>
      </c>
      <c r="H1172" s="282" t="s">
        <v>1599</v>
      </c>
      <c r="I1172" s="282" t="s">
        <v>1600</v>
      </c>
      <c r="J1172" s="282" t="s">
        <v>156</v>
      </c>
      <c r="K1172" s="286" t="s">
        <v>1601</v>
      </c>
      <c r="L1172" s="282" t="s">
        <v>574</v>
      </c>
      <c r="M1172" s="287">
        <v>2400</v>
      </c>
      <c r="N1172" s="287"/>
      <c r="O1172" s="287"/>
      <c r="P1172" s="287"/>
      <c r="Q1172" s="288">
        <v>429</v>
      </c>
      <c r="R1172" s="288"/>
      <c r="S1172" s="288"/>
      <c r="T1172" s="288"/>
      <c r="U1172" s="288">
        <v>0</v>
      </c>
      <c r="V1172" s="289">
        <v>429</v>
      </c>
      <c r="W1172" s="289">
        <v>0</v>
      </c>
      <c r="X1172" s="288">
        <v>0.17874999999999999</v>
      </c>
      <c r="Y1172" s="288">
        <v>0</v>
      </c>
      <c r="Z1172" s="288">
        <v>0</v>
      </c>
      <c r="AA1172" s="288">
        <v>0</v>
      </c>
      <c r="AB1172" s="288">
        <v>0</v>
      </c>
      <c r="AC1172" s="289">
        <v>0.17874999999999999</v>
      </c>
      <c r="AD1172" s="289">
        <v>0</v>
      </c>
    </row>
    <row r="1173" spans="1:30" ht="15" customHeight="1" x14ac:dyDescent="0.25">
      <c r="A1173" s="282" t="s">
        <v>581</v>
      </c>
      <c r="B1173" s="282" t="s">
        <v>695</v>
      </c>
      <c r="C1173" s="282" t="s">
        <v>696</v>
      </c>
      <c r="D1173" s="283" t="s">
        <v>1840</v>
      </c>
      <c r="E1173" s="404">
        <v>44788</v>
      </c>
      <c r="F1173" s="404">
        <v>46113</v>
      </c>
      <c r="G1173" s="286" t="s">
        <v>1784</v>
      </c>
      <c r="H1173" s="282" t="s">
        <v>1599</v>
      </c>
      <c r="I1173" s="282" t="s">
        <v>1600</v>
      </c>
      <c r="J1173" s="282" t="s">
        <v>156</v>
      </c>
      <c r="K1173" s="286" t="s">
        <v>1601</v>
      </c>
      <c r="L1173" s="282" t="s">
        <v>574</v>
      </c>
      <c r="M1173" s="287">
        <v>2400</v>
      </c>
      <c r="N1173" s="287"/>
      <c r="O1173" s="287"/>
      <c r="P1173" s="287"/>
      <c r="Q1173" s="288">
        <v>499</v>
      </c>
      <c r="R1173" s="288"/>
      <c r="S1173" s="288"/>
      <c r="T1173" s="288"/>
      <c r="U1173" s="288">
        <v>0</v>
      </c>
      <c r="V1173" s="289">
        <v>499</v>
      </c>
      <c r="W1173" s="289">
        <v>0</v>
      </c>
      <c r="X1173" s="288">
        <v>0.20791666666666667</v>
      </c>
      <c r="Y1173" s="288">
        <v>0</v>
      </c>
      <c r="Z1173" s="288">
        <v>0</v>
      </c>
      <c r="AA1173" s="288">
        <v>0</v>
      </c>
      <c r="AB1173" s="288">
        <v>0</v>
      </c>
      <c r="AC1173" s="289">
        <v>0.20791666666666667</v>
      </c>
      <c r="AD1173" s="289">
        <v>0</v>
      </c>
    </row>
    <row r="1174" spans="1:30" ht="15" customHeight="1" x14ac:dyDescent="0.25">
      <c r="A1174" s="282" t="s">
        <v>581</v>
      </c>
      <c r="B1174" s="282" t="s">
        <v>839</v>
      </c>
      <c r="C1174" s="282" t="s">
        <v>840</v>
      </c>
      <c r="D1174" s="283" t="s">
        <v>1841</v>
      </c>
      <c r="E1174" s="404">
        <v>44788</v>
      </c>
      <c r="F1174" s="404">
        <v>46113</v>
      </c>
      <c r="G1174" s="286" t="s">
        <v>1784</v>
      </c>
      <c r="H1174" s="282" t="s">
        <v>1599</v>
      </c>
      <c r="I1174" s="282" t="s">
        <v>1600</v>
      </c>
      <c r="J1174" s="282" t="s">
        <v>156</v>
      </c>
      <c r="K1174" s="286" t="s">
        <v>1601</v>
      </c>
      <c r="L1174" s="282" t="s">
        <v>574</v>
      </c>
      <c r="M1174" s="287">
        <v>2400</v>
      </c>
      <c r="N1174" s="287"/>
      <c r="O1174" s="287"/>
      <c r="P1174" s="287"/>
      <c r="Q1174" s="288">
        <v>529</v>
      </c>
      <c r="R1174" s="288"/>
      <c r="S1174" s="288"/>
      <c r="T1174" s="288"/>
      <c r="U1174" s="288">
        <v>0</v>
      </c>
      <c r="V1174" s="289">
        <v>529</v>
      </c>
      <c r="W1174" s="289">
        <v>0</v>
      </c>
      <c r="X1174" s="288">
        <v>0.22041666666666668</v>
      </c>
      <c r="Y1174" s="288">
        <v>0</v>
      </c>
      <c r="Z1174" s="288">
        <v>0</v>
      </c>
      <c r="AA1174" s="288">
        <v>0</v>
      </c>
      <c r="AB1174" s="288">
        <v>0</v>
      </c>
      <c r="AC1174" s="289">
        <v>0.22041666666666668</v>
      </c>
      <c r="AD1174" s="289">
        <v>0</v>
      </c>
    </row>
    <row r="1175" spans="1:30" ht="15" customHeight="1" x14ac:dyDescent="0.25">
      <c r="A1175" s="282" t="s">
        <v>581</v>
      </c>
      <c r="B1175" s="282" t="s">
        <v>585</v>
      </c>
      <c r="C1175" s="282" t="s">
        <v>586</v>
      </c>
      <c r="D1175" s="283" t="s">
        <v>1842</v>
      </c>
      <c r="E1175" s="404">
        <v>44788</v>
      </c>
      <c r="F1175" s="404">
        <v>46113</v>
      </c>
      <c r="G1175" s="286" t="s">
        <v>1784</v>
      </c>
      <c r="H1175" s="282" t="s">
        <v>1599</v>
      </c>
      <c r="I1175" s="282" t="s">
        <v>1600</v>
      </c>
      <c r="J1175" s="282" t="s">
        <v>156</v>
      </c>
      <c r="K1175" s="286" t="s">
        <v>1601</v>
      </c>
      <c r="L1175" s="282" t="s">
        <v>574</v>
      </c>
      <c r="M1175" s="287">
        <v>2400</v>
      </c>
      <c r="N1175" s="287"/>
      <c r="O1175" s="287"/>
      <c r="P1175" s="287"/>
      <c r="Q1175" s="288">
        <v>309</v>
      </c>
      <c r="R1175" s="288"/>
      <c r="S1175" s="288"/>
      <c r="T1175" s="288"/>
      <c r="U1175" s="288">
        <v>0</v>
      </c>
      <c r="V1175" s="289">
        <v>309</v>
      </c>
      <c r="W1175" s="289">
        <v>0</v>
      </c>
      <c r="X1175" s="288">
        <v>0.12875</v>
      </c>
      <c r="Y1175" s="288">
        <v>0</v>
      </c>
      <c r="Z1175" s="288">
        <v>0</v>
      </c>
      <c r="AA1175" s="288">
        <v>0</v>
      </c>
      <c r="AB1175" s="288">
        <v>0</v>
      </c>
      <c r="AC1175" s="289">
        <v>0.12875</v>
      </c>
      <c r="AD1175" s="289">
        <v>0</v>
      </c>
    </row>
    <row r="1176" spans="1:30" ht="15" customHeight="1" x14ac:dyDescent="0.25">
      <c r="A1176" s="282" t="s">
        <v>581</v>
      </c>
      <c r="B1176" s="282" t="s">
        <v>616</v>
      </c>
      <c r="C1176" s="282" t="s">
        <v>617</v>
      </c>
      <c r="D1176" s="283" t="s">
        <v>1843</v>
      </c>
      <c r="E1176" s="404">
        <v>44788</v>
      </c>
      <c r="F1176" s="404">
        <v>46113</v>
      </c>
      <c r="G1176" s="286" t="s">
        <v>1784</v>
      </c>
      <c r="H1176" s="282" t="s">
        <v>1599</v>
      </c>
      <c r="I1176" s="282" t="s">
        <v>1600</v>
      </c>
      <c r="J1176" s="282" t="s">
        <v>156</v>
      </c>
      <c r="K1176" s="286" t="s">
        <v>1601</v>
      </c>
      <c r="L1176" s="282" t="s">
        <v>574</v>
      </c>
      <c r="M1176" s="287">
        <v>2400</v>
      </c>
      <c r="N1176" s="287"/>
      <c r="O1176" s="287"/>
      <c r="P1176" s="287"/>
      <c r="Q1176" s="288">
        <v>378</v>
      </c>
      <c r="R1176" s="288"/>
      <c r="S1176" s="288"/>
      <c r="T1176" s="288"/>
      <c r="U1176" s="288">
        <v>0</v>
      </c>
      <c r="V1176" s="289">
        <v>378</v>
      </c>
      <c r="W1176" s="289">
        <v>0</v>
      </c>
      <c r="X1176" s="288">
        <v>0.1575</v>
      </c>
      <c r="Y1176" s="288">
        <v>0</v>
      </c>
      <c r="Z1176" s="288">
        <v>0</v>
      </c>
      <c r="AA1176" s="288">
        <v>0</v>
      </c>
      <c r="AB1176" s="288">
        <v>0</v>
      </c>
      <c r="AC1176" s="289">
        <v>0.1575</v>
      </c>
      <c r="AD1176" s="289">
        <v>0</v>
      </c>
    </row>
    <row r="1177" spans="1:30" ht="15" customHeight="1" x14ac:dyDescent="0.25">
      <c r="A1177" s="282" t="s">
        <v>581</v>
      </c>
      <c r="B1177" s="282" t="s">
        <v>695</v>
      </c>
      <c r="C1177" s="282" t="s">
        <v>696</v>
      </c>
      <c r="D1177" s="283" t="s">
        <v>1844</v>
      </c>
      <c r="E1177" s="404">
        <v>44788</v>
      </c>
      <c r="F1177" s="404">
        <v>46113</v>
      </c>
      <c r="G1177" s="286" t="s">
        <v>1784</v>
      </c>
      <c r="H1177" s="282" t="s">
        <v>1599</v>
      </c>
      <c r="I1177" s="282" t="s">
        <v>1600</v>
      </c>
      <c r="J1177" s="282" t="s">
        <v>156</v>
      </c>
      <c r="K1177" s="286" t="s">
        <v>1601</v>
      </c>
      <c r="L1177" s="282" t="s">
        <v>574</v>
      </c>
      <c r="M1177" s="287">
        <v>2400</v>
      </c>
      <c r="N1177" s="287"/>
      <c r="O1177" s="287"/>
      <c r="P1177" s="287"/>
      <c r="Q1177" s="288">
        <v>471</v>
      </c>
      <c r="R1177" s="288"/>
      <c r="S1177" s="288"/>
      <c r="T1177" s="288"/>
      <c r="U1177" s="288">
        <v>0</v>
      </c>
      <c r="V1177" s="289">
        <v>471</v>
      </c>
      <c r="W1177" s="289">
        <v>0</v>
      </c>
      <c r="X1177" s="288">
        <v>0.19625000000000001</v>
      </c>
      <c r="Y1177" s="288">
        <v>0</v>
      </c>
      <c r="Z1177" s="288">
        <v>0</v>
      </c>
      <c r="AA1177" s="288">
        <v>0</v>
      </c>
      <c r="AB1177" s="288">
        <v>0</v>
      </c>
      <c r="AC1177" s="289">
        <v>0.19625000000000001</v>
      </c>
      <c r="AD1177" s="289">
        <v>0</v>
      </c>
    </row>
    <row r="1178" spans="1:30" ht="15" customHeight="1" x14ac:dyDescent="0.25">
      <c r="A1178" s="282" t="s">
        <v>581</v>
      </c>
      <c r="B1178" s="282" t="s">
        <v>585</v>
      </c>
      <c r="C1178" s="282" t="s">
        <v>586</v>
      </c>
      <c r="D1178" s="283" t="s">
        <v>1845</v>
      </c>
      <c r="E1178" s="404">
        <v>44788</v>
      </c>
      <c r="F1178" s="404">
        <v>46113</v>
      </c>
      <c r="G1178" s="286" t="s">
        <v>1784</v>
      </c>
      <c r="H1178" s="282" t="s">
        <v>1599</v>
      </c>
      <c r="I1178" s="282" t="s">
        <v>1600</v>
      </c>
      <c r="J1178" s="282" t="s">
        <v>156</v>
      </c>
      <c r="K1178" s="286" t="s">
        <v>1601</v>
      </c>
      <c r="L1178" s="282" t="s">
        <v>574</v>
      </c>
      <c r="M1178" s="287">
        <v>2400</v>
      </c>
      <c r="N1178" s="287"/>
      <c r="O1178" s="287"/>
      <c r="P1178" s="287"/>
      <c r="Q1178" s="288">
        <v>374</v>
      </c>
      <c r="R1178" s="288"/>
      <c r="S1178" s="288"/>
      <c r="T1178" s="288"/>
      <c r="U1178" s="288">
        <v>0</v>
      </c>
      <c r="V1178" s="289">
        <v>374</v>
      </c>
      <c r="W1178" s="289">
        <v>0</v>
      </c>
      <c r="X1178" s="288">
        <v>0.15583333333333332</v>
      </c>
      <c r="Y1178" s="288">
        <v>0</v>
      </c>
      <c r="Z1178" s="288">
        <v>0</v>
      </c>
      <c r="AA1178" s="288">
        <v>0</v>
      </c>
      <c r="AB1178" s="288">
        <v>0</v>
      </c>
      <c r="AC1178" s="289">
        <v>0.15583333333333332</v>
      </c>
      <c r="AD1178" s="289">
        <v>0</v>
      </c>
    </row>
    <row r="1179" spans="1:30" ht="15" customHeight="1" x14ac:dyDescent="0.25">
      <c r="A1179" s="282" t="s">
        <v>581</v>
      </c>
      <c r="B1179" s="282" t="s">
        <v>594</v>
      </c>
      <c r="C1179" s="282" t="s">
        <v>595</v>
      </c>
      <c r="D1179" s="283" t="s">
        <v>1846</v>
      </c>
      <c r="E1179" s="404">
        <v>44788</v>
      </c>
      <c r="F1179" s="404">
        <v>46113</v>
      </c>
      <c r="G1179" s="286" t="s">
        <v>1784</v>
      </c>
      <c r="H1179" s="282" t="s">
        <v>1599</v>
      </c>
      <c r="I1179" s="282" t="s">
        <v>1600</v>
      </c>
      <c r="J1179" s="282" t="s">
        <v>156</v>
      </c>
      <c r="K1179" s="286" t="s">
        <v>1601</v>
      </c>
      <c r="L1179" s="282" t="s">
        <v>574</v>
      </c>
      <c r="M1179" s="287">
        <v>2400</v>
      </c>
      <c r="N1179" s="287"/>
      <c r="O1179" s="287"/>
      <c r="P1179" s="287"/>
      <c r="Q1179" s="288">
        <v>268</v>
      </c>
      <c r="R1179" s="288"/>
      <c r="S1179" s="288"/>
      <c r="T1179" s="288"/>
      <c r="U1179" s="288">
        <v>0</v>
      </c>
      <c r="V1179" s="289">
        <v>268</v>
      </c>
      <c r="W1179" s="289">
        <v>0</v>
      </c>
      <c r="X1179" s="288">
        <v>0.11166666666666666</v>
      </c>
      <c r="Y1179" s="288">
        <v>0</v>
      </c>
      <c r="Z1179" s="288">
        <v>0</v>
      </c>
      <c r="AA1179" s="288">
        <v>0</v>
      </c>
      <c r="AB1179" s="288">
        <v>0</v>
      </c>
      <c r="AC1179" s="289">
        <v>0.11166666666666666</v>
      </c>
      <c r="AD1179" s="289">
        <v>0</v>
      </c>
    </row>
    <row r="1180" spans="1:30" ht="15" customHeight="1" x14ac:dyDescent="0.25">
      <c r="A1180" s="282" t="s">
        <v>581</v>
      </c>
      <c r="B1180" s="282" t="s">
        <v>628</v>
      </c>
      <c r="C1180" s="282" t="s">
        <v>629</v>
      </c>
      <c r="D1180" s="283" t="s">
        <v>1847</v>
      </c>
      <c r="E1180" s="404">
        <v>44484</v>
      </c>
      <c r="F1180" s="404">
        <v>46143</v>
      </c>
      <c r="G1180" s="286" t="s">
        <v>1848</v>
      </c>
      <c r="H1180" s="282" t="s">
        <v>1849</v>
      </c>
      <c r="I1180" s="282">
        <v>0</v>
      </c>
      <c r="J1180" s="282" t="s">
        <v>156</v>
      </c>
      <c r="K1180" s="286" t="s">
        <v>1850</v>
      </c>
      <c r="L1180" s="282" t="s">
        <v>574</v>
      </c>
      <c r="M1180" s="287">
        <v>2400</v>
      </c>
      <c r="N1180" s="287"/>
      <c r="O1180" s="287"/>
      <c r="P1180" s="287"/>
      <c r="Q1180" s="288">
        <v>279</v>
      </c>
      <c r="R1180" s="288"/>
      <c r="S1180" s="288"/>
      <c r="T1180" s="288"/>
      <c r="U1180" s="288">
        <v>0</v>
      </c>
      <c r="V1180" s="289">
        <v>279</v>
      </c>
      <c r="W1180" s="289">
        <v>0</v>
      </c>
      <c r="X1180" s="288">
        <v>0.11625000000000001</v>
      </c>
      <c r="Y1180" s="288">
        <v>0</v>
      </c>
      <c r="Z1180" s="288">
        <v>0</v>
      </c>
      <c r="AA1180" s="288">
        <v>0</v>
      </c>
      <c r="AB1180" s="288">
        <v>0</v>
      </c>
      <c r="AC1180" s="289">
        <v>0.11625000000000001</v>
      </c>
      <c r="AD1180" s="289">
        <v>0</v>
      </c>
    </row>
    <row r="1181" spans="1:30" ht="15" customHeight="1" x14ac:dyDescent="0.25">
      <c r="A1181" s="282" t="s">
        <v>581</v>
      </c>
      <c r="B1181" s="282" t="s">
        <v>611</v>
      </c>
      <c r="C1181" s="282" t="s">
        <v>612</v>
      </c>
      <c r="D1181" s="283" t="s">
        <v>1851</v>
      </c>
      <c r="E1181" s="404">
        <v>44484</v>
      </c>
      <c r="F1181" s="404">
        <v>46143</v>
      </c>
      <c r="G1181" s="286" t="s">
        <v>1848</v>
      </c>
      <c r="H1181" s="282" t="s">
        <v>1849</v>
      </c>
      <c r="I1181" s="282">
        <v>0</v>
      </c>
      <c r="J1181" s="282" t="s">
        <v>156</v>
      </c>
      <c r="K1181" s="286" t="s">
        <v>1850</v>
      </c>
      <c r="L1181" s="282" t="s">
        <v>574</v>
      </c>
      <c r="M1181" s="287">
        <v>2400</v>
      </c>
      <c r="N1181" s="287"/>
      <c r="O1181" s="287"/>
      <c r="P1181" s="287"/>
      <c r="Q1181" s="288">
        <v>308</v>
      </c>
      <c r="R1181" s="288"/>
      <c r="S1181" s="288"/>
      <c r="T1181" s="288"/>
      <c r="U1181" s="288">
        <v>0</v>
      </c>
      <c r="V1181" s="289">
        <v>308</v>
      </c>
      <c r="W1181" s="289">
        <v>0</v>
      </c>
      <c r="X1181" s="288">
        <v>0.12833333333333333</v>
      </c>
      <c r="Y1181" s="288">
        <v>0</v>
      </c>
      <c r="Z1181" s="288">
        <v>0</v>
      </c>
      <c r="AA1181" s="288">
        <v>0</v>
      </c>
      <c r="AB1181" s="288">
        <v>0</v>
      </c>
      <c r="AC1181" s="289">
        <v>0.12833333333333333</v>
      </c>
      <c r="AD1181" s="289">
        <v>0</v>
      </c>
    </row>
    <row r="1182" spans="1:30" ht="15" customHeight="1" x14ac:dyDescent="0.25">
      <c r="A1182" s="282" t="s">
        <v>581</v>
      </c>
      <c r="B1182" s="282" t="s">
        <v>585</v>
      </c>
      <c r="C1182" s="282" t="s">
        <v>586</v>
      </c>
      <c r="D1182" s="283" t="s">
        <v>1852</v>
      </c>
      <c r="E1182" s="404">
        <v>44484</v>
      </c>
      <c r="F1182" s="404">
        <v>46143</v>
      </c>
      <c r="G1182" s="286" t="s">
        <v>1848</v>
      </c>
      <c r="H1182" s="282" t="s">
        <v>1849</v>
      </c>
      <c r="I1182" s="282">
        <v>0</v>
      </c>
      <c r="J1182" s="282" t="s">
        <v>156</v>
      </c>
      <c r="K1182" s="286" t="s">
        <v>1850</v>
      </c>
      <c r="L1182" s="282" t="s">
        <v>574</v>
      </c>
      <c r="M1182" s="287">
        <v>2400</v>
      </c>
      <c r="N1182" s="287"/>
      <c r="O1182" s="287"/>
      <c r="P1182" s="287"/>
      <c r="Q1182" s="288">
        <v>382</v>
      </c>
      <c r="R1182" s="288"/>
      <c r="S1182" s="288"/>
      <c r="T1182" s="288"/>
      <c r="U1182" s="288">
        <v>0</v>
      </c>
      <c r="V1182" s="289">
        <v>382</v>
      </c>
      <c r="W1182" s="289">
        <v>0</v>
      </c>
      <c r="X1182" s="288">
        <v>0.15916666666666668</v>
      </c>
      <c r="Y1182" s="288">
        <v>0</v>
      </c>
      <c r="Z1182" s="288">
        <v>0</v>
      </c>
      <c r="AA1182" s="288">
        <v>0</v>
      </c>
      <c r="AB1182" s="288">
        <v>0</v>
      </c>
      <c r="AC1182" s="289">
        <v>0.15916666666666668</v>
      </c>
      <c r="AD1182" s="289">
        <v>0</v>
      </c>
    </row>
    <row r="1183" spans="1:30" ht="15" customHeight="1" x14ac:dyDescent="0.25">
      <c r="A1183" s="282" t="s">
        <v>581</v>
      </c>
      <c r="B1183" s="282" t="s">
        <v>616</v>
      </c>
      <c r="C1183" s="282" t="s">
        <v>617</v>
      </c>
      <c r="D1183" s="283" t="s">
        <v>1853</v>
      </c>
      <c r="E1183" s="404">
        <v>44484</v>
      </c>
      <c r="F1183" s="404">
        <v>46143</v>
      </c>
      <c r="G1183" s="286" t="s">
        <v>1848</v>
      </c>
      <c r="H1183" s="282" t="s">
        <v>1849</v>
      </c>
      <c r="I1183" s="282">
        <v>0</v>
      </c>
      <c r="J1183" s="282" t="s">
        <v>156</v>
      </c>
      <c r="K1183" s="286" t="s">
        <v>1850</v>
      </c>
      <c r="L1183" s="282" t="s">
        <v>574</v>
      </c>
      <c r="M1183" s="287">
        <v>2400</v>
      </c>
      <c r="N1183" s="287"/>
      <c r="O1183" s="287"/>
      <c r="P1183" s="287"/>
      <c r="Q1183" s="288">
        <v>399</v>
      </c>
      <c r="R1183" s="288"/>
      <c r="S1183" s="288"/>
      <c r="T1183" s="288"/>
      <c r="U1183" s="288">
        <v>0</v>
      </c>
      <c r="V1183" s="289">
        <v>399</v>
      </c>
      <c r="W1183" s="289">
        <v>0</v>
      </c>
      <c r="X1183" s="288">
        <v>0.16625000000000001</v>
      </c>
      <c r="Y1183" s="288">
        <v>0</v>
      </c>
      <c r="Z1183" s="288">
        <v>0</v>
      </c>
      <c r="AA1183" s="288">
        <v>0</v>
      </c>
      <c r="AB1183" s="288">
        <v>0</v>
      </c>
      <c r="AC1183" s="289">
        <v>0.16625000000000001</v>
      </c>
      <c r="AD1183" s="289">
        <v>0</v>
      </c>
    </row>
    <row r="1184" spans="1:30" ht="15" customHeight="1" x14ac:dyDescent="0.25">
      <c r="A1184" s="282" t="s">
        <v>581</v>
      </c>
      <c r="B1184" s="282" t="s">
        <v>616</v>
      </c>
      <c r="C1184" s="282" t="s">
        <v>617</v>
      </c>
      <c r="D1184" s="283" t="s">
        <v>1854</v>
      </c>
      <c r="E1184" s="404">
        <v>44484</v>
      </c>
      <c r="F1184" s="404">
        <v>46143</v>
      </c>
      <c r="G1184" s="286" t="s">
        <v>1848</v>
      </c>
      <c r="H1184" s="282" t="s">
        <v>1849</v>
      </c>
      <c r="I1184" s="282">
        <v>0</v>
      </c>
      <c r="J1184" s="282" t="s">
        <v>156</v>
      </c>
      <c r="K1184" s="286" t="s">
        <v>1850</v>
      </c>
      <c r="L1184" s="282" t="s">
        <v>574</v>
      </c>
      <c r="M1184" s="287">
        <v>2400</v>
      </c>
      <c r="N1184" s="287"/>
      <c r="O1184" s="287"/>
      <c r="P1184" s="287"/>
      <c r="Q1184" s="288">
        <v>498</v>
      </c>
      <c r="R1184" s="288"/>
      <c r="S1184" s="288"/>
      <c r="T1184" s="288"/>
      <c r="U1184" s="288">
        <v>0</v>
      </c>
      <c r="V1184" s="289">
        <v>498</v>
      </c>
      <c r="W1184" s="289">
        <v>0</v>
      </c>
      <c r="X1184" s="288">
        <v>0.20749999999999999</v>
      </c>
      <c r="Y1184" s="288">
        <v>0</v>
      </c>
      <c r="Z1184" s="288">
        <v>0</v>
      </c>
      <c r="AA1184" s="288">
        <v>0</v>
      </c>
      <c r="AB1184" s="288">
        <v>0</v>
      </c>
      <c r="AC1184" s="289">
        <v>0.20749999999999999</v>
      </c>
      <c r="AD1184" s="289">
        <v>0</v>
      </c>
    </row>
    <row r="1185" spans="1:30" ht="15" customHeight="1" x14ac:dyDescent="0.25">
      <c r="A1185" s="282" t="s">
        <v>581</v>
      </c>
      <c r="B1185" s="282" t="s">
        <v>628</v>
      </c>
      <c r="C1185" s="282" t="s">
        <v>629</v>
      </c>
      <c r="D1185" s="283" t="s">
        <v>1855</v>
      </c>
      <c r="E1185" s="404">
        <v>44484</v>
      </c>
      <c r="F1185" s="404">
        <v>46143</v>
      </c>
      <c r="G1185" s="286" t="s">
        <v>1848</v>
      </c>
      <c r="H1185" s="282" t="s">
        <v>1849</v>
      </c>
      <c r="I1185" s="282">
        <v>0</v>
      </c>
      <c r="J1185" s="282" t="s">
        <v>156</v>
      </c>
      <c r="K1185" s="286" t="s">
        <v>1850</v>
      </c>
      <c r="L1185" s="282" t="s">
        <v>574</v>
      </c>
      <c r="M1185" s="287">
        <v>2400</v>
      </c>
      <c r="N1185" s="287"/>
      <c r="O1185" s="287"/>
      <c r="P1185" s="287"/>
      <c r="Q1185" s="288">
        <v>257</v>
      </c>
      <c r="R1185" s="288"/>
      <c r="S1185" s="288"/>
      <c r="T1185" s="288"/>
      <c r="U1185" s="288">
        <v>0</v>
      </c>
      <c r="V1185" s="289">
        <v>257</v>
      </c>
      <c r="W1185" s="289">
        <v>0</v>
      </c>
      <c r="X1185" s="288">
        <v>0.10708333333333334</v>
      </c>
      <c r="Y1185" s="288">
        <v>0</v>
      </c>
      <c r="Z1185" s="288">
        <v>0</v>
      </c>
      <c r="AA1185" s="288">
        <v>0</v>
      </c>
      <c r="AB1185" s="288">
        <v>0</v>
      </c>
      <c r="AC1185" s="289">
        <v>0.10708333333333334</v>
      </c>
      <c r="AD1185" s="289">
        <v>0</v>
      </c>
    </row>
    <row r="1186" spans="1:30" ht="15" customHeight="1" x14ac:dyDescent="0.25">
      <c r="A1186" s="282" t="s">
        <v>581</v>
      </c>
      <c r="B1186" s="282" t="s">
        <v>616</v>
      </c>
      <c r="C1186" s="282" t="s">
        <v>617</v>
      </c>
      <c r="D1186" s="283" t="s">
        <v>1856</v>
      </c>
      <c r="E1186" s="404">
        <v>44484</v>
      </c>
      <c r="F1186" s="404">
        <v>46143</v>
      </c>
      <c r="G1186" s="286" t="s">
        <v>1848</v>
      </c>
      <c r="H1186" s="282" t="s">
        <v>1849</v>
      </c>
      <c r="I1186" s="282">
        <v>0</v>
      </c>
      <c r="J1186" s="282" t="s">
        <v>156</v>
      </c>
      <c r="K1186" s="286" t="s">
        <v>1850</v>
      </c>
      <c r="L1186" s="282" t="s">
        <v>574</v>
      </c>
      <c r="M1186" s="287">
        <v>2400</v>
      </c>
      <c r="N1186" s="287"/>
      <c r="O1186" s="287"/>
      <c r="P1186" s="287"/>
      <c r="Q1186" s="288">
        <v>498</v>
      </c>
      <c r="R1186" s="288"/>
      <c r="S1186" s="288"/>
      <c r="T1186" s="288"/>
      <c r="U1186" s="288">
        <v>0</v>
      </c>
      <c r="V1186" s="289">
        <v>498</v>
      </c>
      <c r="W1186" s="289">
        <v>0</v>
      </c>
      <c r="X1186" s="288">
        <v>0.20749999999999999</v>
      </c>
      <c r="Y1186" s="288">
        <v>0</v>
      </c>
      <c r="Z1186" s="288">
        <v>0</v>
      </c>
      <c r="AA1186" s="288">
        <v>0</v>
      </c>
      <c r="AB1186" s="288">
        <v>0</v>
      </c>
      <c r="AC1186" s="289">
        <v>0.20749999999999999</v>
      </c>
      <c r="AD1186" s="289">
        <v>0</v>
      </c>
    </row>
    <row r="1187" spans="1:30" ht="15" customHeight="1" x14ac:dyDescent="0.25">
      <c r="A1187" s="282" t="s">
        <v>581</v>
      </c>
      <c r="B1187" s="282" t="s">
        <v>695</v>
      </c>
      <c r="C1187" s="282" t="s">
        <v>696</v>
      </c>
      <c r="D1187" s="283" t="s">
        <v>1857</v>
      </c>
      <c r="E1187" s="404">
        <v>44484</v>
      </c>
      <c r="F1187" s="404">
        <v>46143</v>
      </c>
      <c r="G1187" s="286" t="s">
        <v>1848</v>
      </c>
      <c r="H1187" s="282" t="s">
        <v>1849</v>
      </c>
      <c r="I1187" s="282">
        <v>0</v>
      </c>
      <c r="J1187" s="282" t="s">
        <v>156</v>
      </c>
      <c r="K1187" s="286" t="s">
        <v>1850</v>
      </c>
      <c r="L1187" s="282" t="s">
        <v>574</v>
      </c>
      <c r="M1187" s="287">
        <v>2400</v>
      </c>
      <c r="N1187" s="287"/>
      <c r="O1187" s="287"/>
      <c r="P1187" s="287"/>
      <c r="Q1187" s="288">
        <v>608</v>
      </c>
      <c r="R1187" s="288"/>
      <c r="S1187" s="288"/>
      <c r="T1187" s="288"/>
      <c r="U1187" s="288">
        <v>0</v>
      </c>
      <c r="V1187" s="289">
        <v>608</v>
      </c>
      <c r="W1187" s="289">
        <v>0</v>
      </c>
      <c r="X1187" s="288">
        <v>0.25333333333333335</v>
      </c>
      <c r="Y1187" s="288">
        <v>0</v>
      </c>
      <c r="Z1187" s="288">
        <v>0</v>
      </c>
      <c r="AA1187" s="288">
        <v>0</v>
      </c>
      <c r="AB1187" s="288">
        <v>0</v>
      </c>
      <c r="AC1187" s="289">
        <v>0.25333333333333335</v>
      </c>
      <c r="AD1187" s="289">
        <v>0</v>
      </c>
    </row>
    <row r="1188" spans="1:30" ht="15" customHeight="1" x14ac:dyDescent="0.25">
      <c r="A1188" s="282" t="s">
        <v>581</v>
      </c>
      <c r="B1188" s="282" t="s">
        <v>611</v>
      </c>
      <c r="C1188" s="282" t="s">
        <v>612</v>
      </c>
      <c r="D1188" s="283" t="s">
        <v>1858</v>
      </c>
      <c r="E1188" s="404">
        <v>44484</v>
      </c>
      <c r="F1188" s="404">
        <v>46143</v>
      </c>
      <c r="G1188" s="286" t="s">
        <v>1848</v>
      </c>
      <c r="H1188" s="282" t="s">
        <v>1849</v>
      </c>
      <c r="I1188" s="282">
        <v>0</v>
      </c>
      <c r="J1188" s="282" t="s">
        <v>156</v>
      </c>
      <c r="K1188" s="286" t="s">
        <v>1850</v>
      </c>
      <c r="L1188" s="282" t="s">
        <v>574</v>
      </c>
      <c r="M1188" s="287">
        <v>2400</v>
      </c>
      <c r="N1188" s="287"/>
      <c r="O1188" s="287"/>
      <c r="P1188" s="287"/>
      <c r="Q1188" s="288">
        <v>276</v>
      </c>
      <c r="R1188" s="288"/>
      <c r="S1188" s="288"/>
      <c r="T1188" s="288"/>
      <c r="U1188" s="288">
        <v>0</v>
      </c>
      <c r="V1188" s="289">
        <v>276</v>
      </c>
      <c r="W1188" s="289">
        <v>0</v>
      </c>
      <c r="X1188" s="288">
        <v>0.115</v>
      </c>
      <c r="Y1188" s="288">
        <v>0</v>
      </c>
      <c r="Z1188" s="288">
        <v>0</v>
      </c>
      <c r="AA1188" s="288">
        <v>0</v>
      </c>
      <c r="AB1188" s="288">
        <v>0</v>
      </c>
      <c r="AC1188" s="289">
        <v>0.115</v>
      </c>
      <c r="AD1188" s="289">
        <v>0</v>
      </c>
    </row>
    <row r="1189" spans="1:30" ht="15" customHeight="1" x14ac:dyDescent="0.25">
      <c r="A1189" s="282" t="s">
        <v>581</v>
      </c>
      <c r="B1189" s="282" t="s">
        <v>585</v>
      </c>
      <c r="C1189" s="282" t="s">
        <v>586</v>
      </c>
      <c r="D1189" s="283" t="s">
        <v>1859</v>
      </c>
      <c r="E1189" s="404">
        <v>44484</v>
      </c>
      <c r="F1189" s="404">
        <v>46143</v>
      </c>
      <c r="G1189" s="286" t="s">
        <v>1848</v>
      </c>
      <c r="H1189" s="282" t="s">
        <v>1849</v>
      </c>
      <c r="I1189" s="282">
        <v>0</v>
      </c>
      <c r="J1189" s="282" t="s">
        <v>156</v>
      </c>
      <c r="K1189" s="286" t="s">
        <v>1850</v>
      </c>
      <c r="L1189" s="282" t="s">
        <v>574</v>
      </c>
      <c r="M1189" s="287">
        <v>2400</v>
      </c>
      <c r="N1189" s="287"/>
      <c r="O1189" s="287"/>
      <c r="P1189" s="287"/>
      <c r="Q1189" s="288">
        <v>340</v>
      </c>
      <c r="R1189" s="288"/>
      <c r="S1189" s="288"/>
      <c r="T1189" s="288"/>
      <c r="U1189" s="288">
        <v>0</v>
      </c>
      <c r="V1189" s="289">
        <v>340</v>
      </c>
      <c r="W1189" s="289">
        <v>0</v>
      </c>
      <c r="X1189" s="288">
        <v>0.14166666666666666</v>
      </c>
      <c r="Y1189" s="288">
        <v>0</v>
      </c>
      <c r="Z1189" s="288">
        <v>0</v>
      </c>
      <c r="AA1189" s="288">
        <v>0</v>
      </c>
      <c r="AB1189" s="288">
        <v>0</v>
      </c>
      <c r="AC1189" s="289">
        <v>0.14166666666666666</v>
      </c>
      <c r="AD1189" s="289">
        <v>0</v>
      </c>
    </row>
    <row r="1190" spans="1:30" ht="15" customHeight="1" x14ac:dyDescent="0.25">
      <c r="A1190" s="282" t="s">
        <v>581</v>
      </c>
      <c r="B1190" s="282" t="s">
        <v>606</v>
      </c>
      <c r="C1190" s="282" t="s">
        <v>260</v>
      </c>
      <c r="D1190" s="283" t="s">
        <v>1860</v>
      </c>
      <c r="E1190" s="404">
        <v>44484</v>
      </c>
      <c r="F1190" s="404">
        <v>46143</v>
      </c>
      <c r="G1190" s="286" t="s">
        <v>1848</v>
      </c>
      <c r="H1190" s="282" t="s">
        <v>1849</v>
      </c>
      <c r="I1190" s="282">
        <v>0</v>
      </c>
      <c r="J1190" s="282" t="s">
        <v>156</v>
      </c>
      <c r="K1190" s="286" t="s">
        <v>1850</v>
      </c>
      <c r="L1190" s="282" t="s">
        <v>574</v>
      </c>
      <c r="M1190" s="287">
        <v>2400</v>
      </c>
      <c r="N1190" s="287"/>
      <c r="O1190" s="287"/>
      <c r="P1190" s="287"/>
      <c r="Q1190" s="288">
        <v>455</v>
      </c>
      <c r="R1190" s="288"/>
      <c r="S1190" s="288"/>
      <c r="T1190" s="288"/>
      <c r="U1190" s="288">
        <v>0</v>
      </c>
      <c r="V1190" s="289">
        <v>455</v>
      </c>
      <c r="W1190" s="289">
        <v>0</v>
      </c>
      <c r="X1190" s="288">
        <v>0.18958333333333333</v>
      </c>
      <c r="Y1190" s="288">
        <v>0</v>
      </c>
      <c r="Z1190" s="288">
        <v>0</v>
      </c>
      <c r="AA1190" s="288">
        <v>0</v>
      </c>
      <c r="AB1190" s="288">
        <v>0</v>
      </c>
      <c r="AC1190" s="289">
        <v>0.18958333333333333</v>
      </c>
      <c r="AD1190" s="289">
        <v>0</v>
      </c>
    </row>
    <row r="1191" spans="1:30" ht="15" customHeight="1" x14ac:dyDescent="0.25">
      <c r="A1191" s="282" t="s">
        <v>581</v>
      </c>
      <c r="B1191" s="282" t="s">
        <v>616</v>
      </c>
      <c r="C1191" s="282" t="s">
        <v>617</v>
      </c>
      <c r="D1191" s="283" t="s">
        <v>1861</v>
      </c>
      <c r="E1191" s="404">
        <v>44484</v>
      </c>
      <c r="F1191" s="404">
        <v>46143</v>
      </c>
      <c r="G1191" s="286" t="s">
        <v>1848</v>
      </c>
      <c r="H1191" s="282" t="s">
        <v>1849</v>
      </c>
      <c r="I1191" s="282">
        <v>0</v>
      </c>
      <c r="J1191" s="282" t="s">
        <v>156</v>
      </c>
      <c r="K1191" s="286" t="s">
        <v>1850</v>
      </c>
      <c r="L1191" s="282" t="s">
        <v>574</v>
      </c>
      <c r="M1191" s="287">
        <v>2400</v>
      </c>
      <c r="N1191" s="287"/>
      <c r="O1191" s="287"/>
      <c r="P1191" s="287"/>
      <c r="Q1191" s="288">
        <v>513</v>
      </c>
      <c r="R1191" s="288"/>
      <c r="S1191" s="288"/>
      <c r="T1191" s="288"/>
      <c r="U1191" s="288">
        <v>0</v>
      </c>
      <c r="V1191" s="289">
        <v>513</v>
      </c>
      <c r="W1191" s="289">
        <v>0</v>
      </c>
      <c r="X1191" s="288">
        <v>0.21375</v>
      </c>
      <c r="Y1191" s="288">
        <v>0</v>
      </c>
      <c r="Z1191" s="288">
        <v>0</v>
      </c>
      <c r="AA1191" s="288">
        <v>0</v>
      </c>
      <c r="AB1191" s="288">
        <v>0</v>
      </c>
      <c r="AC1191" s="289">
        <v>0.21375</v>
      </c>
      <c r="AD1191" s="289">
        <v>0</v>
      </c>
    </row>
    <row r="1192" spans="1:30" ht="15" customHeight="1" x14ac:dyDescent="0.25">
      <c r="A1192" s="282" t="s">
        <v>581</v>
      </c>
      <c r="B1192" s="282" t="s">
        <v>594</v>
      </c>
      <c r="C1192" s="282" t="s">
        <v>595</v>
      </c>
      <c r="D1192" s="283" t="s">
        <v>1862</v>
      </c>
      <c r="E1192" s="404">
        <v>44484</v>
      </c>
      <c r="F1192" s="404">
        <v>46143</v>
      </c>
      <c r="G1192" s="286" t="s">
        <v>1848</v>
      </c>
      <c r="H1192" s="282" t="s">
        <v>1849</v>
      </c>
      <c r="I1192" s="282">
        <v>0</v>
      </c>
      <c r="J1192" s="282" t="s">
        <v>156</v>
      </c>
      <c r="K1192" s="286" t="s">
        <v>1850</v>
      </c>
      <c r="L1192" s="282" t="s">
        <v>574</v>
      </c>
      <c r="M1192" s="287">
        <v>2400</v>
      </c>
      <c r="N1192" s="287"/>
      <c r="O1192" s="287"/>
      <c r="P1192" s="287"/>
      <c r="Q1192" s="288">
        <v>265</v>
      </c>
      <c r="R1192" s="288"/>
      <c r="S1192" s="288"/>
      <c r="T1192" s="288"/>
      <c r="U1192" s="288">
        <v>0</v>
      </c>
      <c r="V1192" s="289">
        <v>265</v>
      </c>
      <c r="W1192" s="289">
        <v>0</v>
      </c>
      <c r="X1192" s="288">
        <v>0.11041666666666666</v>
      </c>
      <c r="Y1192" s="288">
        <v>0</v>
      </c>
      <c r="Z1192" s="288">
        <v>0</v>
      </c>
      <c r="AA1192" s="288">
        <v>0</v>
      </c>
      <c r="AB1192" s="288">
        <v>0</v>
      </c>
      <c r="AC1192" s="289">
        <v>0.11041666666666666</v>
      </c>
      <c r="AD1192" s="289">
        <v>0</v>
      </c>
    </row>
    <row r="1193" spans="1:30" ht="15" customHeight="1" x14ac:dyDescent="0.25">
      <c r="A1193" s="282" t="s">
        <v>581</v>
      </c>
      <c r="B1193" s="282" t="s">
        <v>628</v>
      </c>
      <c r="C1193" s="282" t="s">
        <v>629</v>
      </c>
      <c r="D1193" s="283" t="s">
        <v>1863</v>
      </c>
      <c r="E1193" s="404">
        <v>44484</v>
      </c>
      <c r="F1193" s="404">
        <v>46143</v>
      </c>
      <c r="G1193" s="286" t="s">
        <v>1864</v>
      </c>
      <c r="H1193" s="282" t="s">
        <v>1849</v>
      </c>
      <c r="I1193" s="282">
        <v>0</v>
      </c>
      <c r="J1193" s="282" t="s">
        <v>156</v>
      </c>
      <c r="K1193" s="286" t="s">
        <v>1850</v>
      </c>
      <c r="L1193" s="282" t="s">
        <v>574</v>
      </c>
      <c r="M1193" s="287">
        <v>2400</v>
      </c>
      <c r="N1193" s="287"/>
      <c r="O1193" s="287"/>
      <c r="P1193" s="287"/>
      <c r="Q1193" s="288">
        <v>278</v>
      </c>
      <c r="R1193" s="288"/>
      <c r="S1193" s="288"/>
      <c r="T1193" s="288"/>
      <c r="U1193" s="288">
        <v>0</v>
      </c>
      <c r="V1193" s="289">
        <v>278</v>
      </c>
      <c r="W1193" s="289">
        <v>0</v>
      </c>
      <c r="X1193" s="288">
        <v>0.11583333333333333</v>
      </c>
      <c r="Y1193" s="288">
        <v>0</v>
      </c>
      <c r="Z1193" s="288">
        <v>0</v>
      </c>
      <c r="AA1193" s="288">
        <v>0</v>
      </c>
      <c r="AB1193" s="288">
        <v>0</v>
      </c>
      <c r="AC1193" s="289">
        <v>0.11583333333333333</v>
      </c>
      <c r="AD1193" s="289">
        <v>0</v>
      </c>
    </row>
    <row r="1194" spans="1:30" ht="15" customHeight="1" x14ac:dyDescent="0.25">
      <c r="A1194" s="282" t="s">
        <v>581</v>
      </c>
      <c r="B1194" s="282" t="s">
        <v>611</v>
      </c>
      <c r="C1194" s="282" t="s">
        <v>612</v>
      </c>
      <c r="D1194" s="283" t="s">
        <v>1865</v>
      </c>
      <c r="E1194" s="404">
        <v>44484</v>
      </c>
      <c r="F1194" s="404">
        <v>46143</v>
      </c>
      <c r="G1194" s="286" t="s">
        <v>1864</v>
      </c>
      <c r="H1194" s="282" t="s">
        <v>1849</v>
      </c>
      <c r="I1194" s="282">
        <v>0</v>
      </c>
      <c r="J1194" s="282" t="s">
        <v>156</v>
      </c>
      <c r="K1194" s="286" t="s">
        <v>1850</v>
      </c>
      <c r="L1194" s="282" t="s">
        <v>574</v>
      </c>
      <c r="M1194" s="287">
        <v>2400</v>
      </c>
      <c r="N1194" s="287"/>
      <c r="O1194" s="287"/>
      <c r="P1194" s="287"/>
      <c r="Q1194" s="288">
        <v>306</v>
      </c>
      <c r="R1194" s="288"/>
      <c r="S1194" s="288"/>
      <c r="T1194" s="288"/>
      <c r="U1194" s="288">
        <v>0</v>
      </c>
      <c r="V1194" s="289">
        <v>306</v>
      </c>
      <c r="W1194" s="289">
        <v>0</v>
      </c>
      <c r="X1194" s="288">
        <v>0.1275</v>
      </c>
      <c r="Y1194" s="288">
        <v>0</v>
      </c>
      <c r="Z1194" s="288">
        <v>0</v>
      </c>
      <c r="AA1194" s="288">
        <v>0</v>
      </c>
      <c r="AB1194" s="288">
        <v>0</v>
      </c>
      <c r="AC1194" s="289">
        <v>0.1275</v>
      </c>
      <c r="AD1194" s="289">
        <v>0</v>
      </c>
    </row>
    <row r="1195" spans="1:30" ht="15" customHeight="1" x14ac:dyDescent="0.25">
      <c r="A1195" s="282" t="s">
        <v>581</v>
      </c>
      <c r="B1195" s="282" t="s">
        <v>628</v>
      </c>
      <c r="C1195" s="282" t="s">
        <v>629</v>
      </c>
      <c r="D1195" s="283" t="s">
        <v>1866</v>
      </c>
      <c r="E1195" s="404">
        <v>44484</v>
      </c>
      <c r="F1195" s="404">
        <v>46143</v>
      </c>
      <c r="G1195" s="286" t="s">
        <v>1864</v>
      </c>
      <c r="H1195" s="282" t="s">
        <v>1849</v>
      </c>
      <c r="I1195" s="282">
        <v>0</v>
      </c>
      <c r="J1195" s="282" t="s">
        <v>156</v>
      </c>
      <c r="K1195" s="286" t="s">
        <v>1850</v>
      </c>
      <c r="L1195" s="282" t="s">
        <v>574</v>
      </c>
      <c r="M1195" s="287">
        <v>2400</v>
      </c>
      <c r="N1195" s="287"/>
      <c r="O1195" s="287"/>
      <c r="P1195" s="287"/>
      <c r="Q1195" s="288">
        <v>251</v>
      </c>
      <c r="R1195" s="288"/>
      <c r="S1195" s="288"/>
      <c r="T1195" s="288"/>
      <c r="U1195" s="288">
        <v>0</v>
      </c>
      <c r="V1195" s="289">
        <v>251</v>
      </c>
      <c r="W1195" s="289">
        <v>0</v>
      </c>
      <c r="X1195" s="288">
        <v>0.10458333333333333</v>
      </c>
      <c r="Y1195" s="288">
        <v>0</v>
      </c>
      <c r="Z1195" s="288">
        <v>0</v>
      </c>
      <c r="AA1195" s="288">
        <v>0</v>
      </c>
      <c r="AB1195" s="288">
        <v>0</v>
      </c>
      <c r="AC1195" s="289">
        <v>0.10458333333333333</v>
      </c>
      <c r="AD1195" s="289">
        <v>0</v>
      </c>
    </row>
    <row r="1196" spans="1:30" ht="15" customHeight="1" x14ac:dyDescent="0.25">
      <c r="A1196" s="282" t="s">
        <v>581</v>
      </c>
      <c r="B1196" s="282" t="s">
        <v>585</v>
      </c>
      <c r="C1196" s="282" t="s">
        <v>586</v>
      </c>
      <c r="D1196" s="283" t="s">
        <v>1867</v>
      </c>
      <c r="E1196" s="404">
        <v>44484</v>
      </c>
      <c r="F1196" s="404">
        <v>46143</v>
      </c>
      <c r="G1196" s="286" t="s">
        <v>1864</v>
      </c>
      <c r="H1196" s="282" t="s">
        <v>1849</v>
      </c>
      <c r="I1196" s="282">
        <v>0</v>
      </c>
      <c r="J1196" s="282" t="s">
        <v>156</v>
      </c>
      <c r="K1196" s="286" t="s">
        <v>1850</v>
      </c>
      <c r="L1196" s="282" t="s">
        <v>574</v>
      </c>
      <c r="M1196" s="287">
        <v>2400</v>
      </c>
      <c r="N1196" s="287"/>
      <c r="O1196" s="287"/>
      <c r="P1196" s="287"/>
      <c r="Q1196" s="288">
        <v>372</v>
      </c>
      <c r="R1196" s="288"/>
      <c r="S1196" s="288"/>
      <c r="T1196" s="288"/>
      <c r="U1196" s="288">
        <v>0</v>
      </c>
      <c r="V1196" s="289">
        <v>372</v>
      </c>
      <c r="W1196" s="289">
        <v>0</v>
      </c>
      <c r="X1196" s="288">
        <v>0.155</v>
      </c>
      <c r="Y1196" s="288">
        <v>0</v>
      </c>
      <c r="Z1196" s="288">
        <v>0</v>
      </c>
      <c r="AA1196" s="288">
        <v>0</v>
      </c>
      <c r="AB1196" s="288">
        <v>0</v>
      </c>
      <c r="AC1196" s="289">
        <v>0.155</v>
      </c>
      <c r="AD1196" s="289">
        <v>0</v>
      </c>
    </row>
    <row r="1197" spans="1:30" ht="15" customHeight="1" x14ac:dyDescent="0.25">
      <c r="A1197" s="282" t="s">
        <v>581</v>
      </c>
      <c r="B1197" s="282" t="s">
        <v>616</v>
      </c>
      <c r="C1197" s="282" t="s">
        <v>617</v>
      </c>
      <c r="D1197" s="283" t="s">
        <v>1868</v>
      </c>
      <c r="E1197" s="404">
        <v>44484</v>
      </c>
      <c r="F1197" s="404">
        <v>46143</v>
      </c>
      <c r="G1197" s="286" t="s">
        <v>1864</v>
      </c>
      <c r="H1197" s="282" t="s">
        <v>1849</v>
      </c>
      <c r="I1197" s="282">
        <v>0</v>
      </c>
      <c r="J1197" s="282" t="s">
        <v>156</v>
      </c>
      <c r="K1197" s="286" t="s">
        <v>1850</v>
      </c>
      <c r="L1197" s="282" t="s">
        <v>574</v>
      </c>
      <c r="M1197" s="287">
        <v>2400</v>
      </c>
      <c r="N1197" s="287"/>
      <c r="O1197" s="287"/>
      <c r="P1197" s="287"/>
      <c r="Q1197" s="288">
        <v>490</v>
      </c>
      <c r="R1197" s="288"/>
      <c r="S1197" s="288"/>
      <c r="T1197" s="288"/>
      <c r="U1197" s="288">
        <v>0</v>
      </c>
      <c r="V1197" s="289">
        <v>490</v>
      </c>
      <c r="W1197" s="289">
        <v>0</v>
      </c>
      <c r="X1197" s="288">
        <v>0.20416666666666666</v>
      </c>
      <c r="Y1197" s="288">
        <v>0</v>
      </c>
      <c r="Z1197" s="288">
        <v>0</v>
      </c>
      <c r="AA1197" s="288">
        <v>0</v>
      </c>
      <c r="AB1197" s="288">
        <v>0</v>
      </c>
      <c r="AC1197" s="289">
        <v>0.20416666666666666</v>
      </c>
      <c r="AD1197" s="289">
        <v>0</v>
      </c>
    </row>
    <row r="1198" spans="1:30" ht="15" customHeight="1" x14ac:dyDescent="0.25">
      <c r="A1198" s="282" t="s">
        <v>581</v>
      </c>
      <c r="B1198" s="282" t="s">
        <v>611</v>
      </c>
      <c r="C1198" s="282" t="s">
        <v>612</v>
      </c>
      <c r="D1198" s="283" t="s">
        <v>1869</v>
      </c>
      <c r="E1198" s="404">
        <v>44484</v>
      </c>
      <c r="F1198" s="404">
        <v>46143</v>
      </c>
      <c r="G1198" s="286" t="s">
        <v>1864</v>
      </c>
      <c r="H1198" s="282" t="s">
        <v>1849</v>
      </c>
      <c r="I1198" s="282">
        <v>0</v>
      </c>
      <c r="J1198" s="282" t="s">
        <v>156</v>
      </c>
      <c r="K1198" s="286" t="s">
        <v>1850</v>
      </c>
      <c r="L1198" s="282" t="s">
        <v>574</v>
      </c>
      <c r="M1198" s="287">
        <v>2400</v>
      </c>
      <c r="N1198" s="287"/>
      <c r="O1198" s="287"/>
      <c r="P1198" s="287"/>
      <c r="Q1198" s="288">
        <v>268</v>
      </c>
      <c r="R1198" s="288"/>
      <c r="S1198" s="288"/>
      <c r="T1198" s="288"/>
      <c r="U1198" s="288">
        <v>0</v>
      </c>
      <c r="V1198" s="289">
        <v>268</v>
      </c>
      <c r="W1198" s="289">
        <v>0</v>
      </c>
      <c r="X1198" s="288">
        <v>0.11166666666666666</v>
      </c>
      <c r="Y1198" s="288">
        <v>0</v>
      </c>
      <c r="Z1198" s="288">
        <v>0</v>
      </c>
      <c r="AA1198" s="288">
        <v>0</v>
      </c>
      <c r="AB1198" s="288">
        <v>0</v>
      </c>
      <c r="AC1198" s="289">
        <v>0.11166666666666666</v>
      </c>
      <c r="AD1198" s="289">
        <v>0</v>
      </c>
    </row>
    <row r="1199" spans="1:30" ht="15" customHeight="1" x14ac:dyDescent="0.25">
      <c r="A1199" s="282" t="s">
        <v>581</v>
      </c>
      <c r="B1199" s="282" t="s">
        <v>616</v>
      </c>
      <c r="C1199" s="282" t="s">
        <v>617</v>
      </c>
      <c r="D1199" s="283" t="s">
        <v>1870</v>
      </c>
      <c r="E1199" s="404">
        <v>44484</v>
      </c>
      <c r="F1199" s="404">
        <v>46143</v>
      </c>
      <c r="G1199" s="286" t="s">
        <v>1864</v>
      </c>
      <c r="H1199" s="282" t="s">
        <v>1849</v>
      </c>
      <c r="I1199" s="282">
        <v>0</v>
      </c>
      <c r="J1199" s="282" t="s">
        <v>156</v>
      </c>
      <c r="K1199" s="286" t="s">
        <v>1850</v>
      </c>
      <c r="L1199" s="282" t="s">
        <v>574</v>
      </c>
      <c r="M1199" s="287">
        <v>2400</v>
      </c>
      <c r="N1199" s="287"/>
      <c r="O1199" s="287"/>
      <c r="P1199" s="287"/>
      <c r="Q1199" s="288">
        <v>386</v>
      </c>
      <c r="R1199" s="288"/>
      <c r="S1199" s="288"/>
      <c r="T1199" s="288"/>
      <c r="U1199" s="288">
        <v>0</v>
      </c>
      <c r="V1199" s="289">
        <v>386</v>
      </c>
      <c r="W1199" s="289">
        <v>0</v>
      </c>
      <c r="X1199" s="288">
        <v>0.16083333333333333</v>
      </c>
      <c r="Y1199" s="288">
        <v>0</v>
      </c>
      <c r="Z1199" s="288">
        <v>0</v>
      </c>
      <c r="AA1199" s="288">
        <v>0</v>
      </c>
      <c r="AB1199" s="288">
        <v>0</v>
      </c>
      <c r="AC1199" s="289">
        <v>0.16083333333333333</v>
      </c>
      <c r="AD1199" s="289">
        <v>0</v>
      </c>
    </row>
    <row r="1200" spans="1:30" ht="15" customHeight="1" x14ac:dyDescent="0.25">
      <c r="A1200" s="282" t="s">
        <v>581</v>
      </c>
      <c r="B1200" s="282" t="s">
        <v>585</v>
      </c>
      <c r="C1200" s="282" t="s">
        <v>586</v>
      </c>
      <c r="D1200" s="283" t="s">
        <v>1871</v>
      </c>
      <c r="E1200" s="404">
        <v>44484</v>
      </c>
      <c r="F1200" s="404">
        <v>46143</v>
      </c>
      <c r="G1200" s="286" t="s">
        <v>1864</v>
      </c>
      <c r="H1200" s="282" t="s">
        <v>1849</v>
      </c>
      <c r="I1200" s="282">
        <v>0</v>
      </c>
      <c r="J1200" s="282" t="s">
        <v>156</v>
      </c>
      <c r="K1200" s="286" t="s">
        <v>1850</v>
      </c>
      <c r="L1200" s="282" t="s">
        <v>574</v>
      </c>
      <c r="M1200" s="287">
        <v>2400</v>
      </c>
      <c r="N1200" s="287"/>
      <c r="O1200" s="287"/>
      <c r="P1200" s="287"/>
      <c r="Q1200" s="288">
        <v>330</v>
      </c>
      <c r="R1200" s="288"/>
      <c r="S1200" s="288"/>
      <c r="T1200" s="288"/>
      <c r="U1200" s="288">
        <v>0</v>
      </c>
      <c r="V1200" s="289">
        <v>330</v>
      </c>
      <c r="W1200" s="289">
        <v>0</v>
      </c>
      <c r="X1200" s="288">
        <v>0.13750000000000001</v>
      </c>
      <c r="Y1200" s="288">
        <v>0</v>
      </c>
      <c r="Z1200" s="288">
        <v>0</v>
      </c>
      <c r="AA1200" s="288">
        <v>0</v>
      </c>
      <c r="AB1200" s="288">
        <v>0</v>
      </c>
      <c r="AC1200" s="289">
        <v>0.13750000000000001</v>
      </c>
      <c r="AD1200" s="289">
        <v>0</v>
      </c>
    </row>
    <row r="1201" spans="1:30" ht="15" customHeight="1" x14ac:dyDescent="0.25">
      <c r="A1201" s="282" t="s">
        <v>581</v>
      </c>
      <c r="B1201" s="282" t="s">
        <v>616</v>
      </c>
      <c r="C1201" s="282" t="s">
        <v>617</v>
      </c>
      <c r="D1201" s="283" t="s">
        <v>1872</v>
      </c>
      <c r="E1201" s="404">
        <v>44484</v>
      </c>
      <c r="F1201" s="404">
        <v>46143</v>
      </c>
      <c r="G1201" s="286" t="s">
        <v>1864</v>
      </c>
      <c r="H1201" s="282" t="s">
        <v>1849</v>
      </c>
      <c r="I1201" s="282">
        <v>0</v>
      </c>
      <c r="J1201" s="282" t="s">
        <v>156</v>
      </c>
      <c r="K1201" s="286" t="s">
        <v>1850</v>
      </c>
      <c r="L1201" s="282" t="s">
        <v>574</v>
      </c>
      <c r="M1201" s="287">
        <v>2400</v>
      </c>
      <c r="N1201" s="287"/>
      <c r="O1201" s="287"/>
      <c r="P1201" s="287"/>
      <c r="Q1201" s="288">
        <v>490</v>
      </c>
      <c r="R1201" s="288"/>
      <c r="S1201" s="288"/>
      <c r="T1201" s="288"/>
      <c r="U1201" s="288">
        <v>0</v>
      </c>
      <c r="V1201" s="289">
        <v>490</v>
      </c>
      <c r="W1201" s="289">
        <v>0</v>
      </c>
      <c r="X1201" s="288">
        <v>0.20416666666666666</v>
      </c>
      <c r="Y1201" s="288">
        <v>0</v>
      </c>
      <c r="Z1201" s="288">
        <v>0</v>
      </c>
      <c r="AA1201" s="288">
        <v>0</v>
      </c>
      <c r="AB1201" s="288">
        <v>0</v>
      </c>
      <c r="AC1201" s="289">
        <v>0.20416666666666666</v>
      </c>
      <c r="AD1201" s="289">
        <v>0</v>
      </c>
    </row>
    <row r="1202" spans="1:30" ht="15" customHeight="1" x14ac:dyDescent="0.25">
      <c r="A1202" s="282" t="s">
        <v>581</v>
      </c>
      <c r="B1202" s="282" t="s">
        <v>695</v>
      </c>
      <c r="C1202" s="282" t="s">
        <v>696</v>
      </c>
      <c r="D1202" s="283" t="s">
        <v>1873</v>
      </c>
      <c r="E1202" s="404">
        <v>44484</v>
      </c>
      <c r="F1202" s="404">
        <v>46143</v>
      </c>
      <c r="G1202" s="286" t="s">
        <v>1864</v>
      </c>
      <c r="H1202" s="282" t="s">
        <v>1849</v>
      </c>
      <c r="I1202" s="282">
        <v>0</v>
      </c>
      <c r="J1202" s="282" t="s">
        <v>156</v>
      </c>
      <c r="K1202" s="286" t="s">
        <v>1850</v>
      </c>
      <c r="L1202" s="282" t="s">
        <v>574</v>
      </c>
      <c r="M1202" s="287">
        <v>2400</v>
      </c>
      <c r="N1202" s="287"/>
      <c r="O1202" s="287"/>
      <c r="P1202" s="287"/>
      <c r="Q1202" s="288">
        <v>593</v>
      </c>
      <c r="R1202" s="288"/>
      <c r="S1202" s="288"/>
      <c r="T1202" s="288"/>
      <c r="U1202" s="288">
        <v>0</v>
      </c>
      <c r="V1202" s="289">
        <v>593</v>
      </c>
      <c r="W1202" s="289">
        <v>0</v>
      </c>
      <c r="X1202" s="288">
        <v>0.24708333333333332</v>
      </c>
      <c r="Y1202" s="288">
        <v>0</v>
      </c>
      <c r="Z1202" s="288">
        <v>0</v>
      </c>
      <c r="AA1202" s="288">
        <v>0</v>
      </c>
      <c r="AB1202" s="288">
        <v>0</v>
      </c>
      <c r="AC1202" s="289">
        <v>0.24708333333333332</v>
      </c>
      <c r="AD1202" s="289">
        <v>0</v>
      </c>
    </row>
    <row r="1203" spans="1:30" ht="15" customHeight="1" x14ac:dyDescent="0.25">
      <c r="A1203" s="282" t="s">
        <v>581</v>
      </c>
      <c r="B1203" s="282" t="s">
        <v>606</v>
      </c>
      <c r="C1203" s="282" t="s">
        <v>260</v>
      </c>
      <c r="D1203" s="283" t="s">
        <v>1874</v>
      </c>
      <c r="E1203" s="404">
        <v>44484</v>
      </c>
      <c r="F1203" s="404">
        <v>46143</v>
      </c>
      <c r="G1203" s="286" t="s">
        <v>1864</v>
      </c>
      <c r="H1203" s="282" t="s">
        <v>1849</v>
      </c>
      <c r="I1203" s="282">
        <v>0</v>
      </c>
      <c r="J1203" s="282" t="s">
        <v>156</v>
      </c>
      <c r="K1203" s="286" t="s">
        <v>1850</v>
      </c>
      <c r="L1203" s="282" t="s">
        <v>574</v>
      </c>
      <c r="M1203" s="287">
        <v>2400</v>
      </c>
      <c r="N1203" s="287"/>
      <c r="O1203" s="287"/>
      <c r="P1203" s="287"/>
      <c r="Q1203" s="288">
        <v>407</v>
      </c>
      <c r="R1203" s="288"/>
      <c r="S1203" s="288"/>
      <c r="T1203" s="288"/>
      <c r="U1203" s="288">
        <v>0</v>
      </c>
      <c r="V1203" s="289">
        <v>407</v>
      </c>
      <c r="W1203" s="289">
        <v>0</v>
      </c>
      <c r="X1203" s="288">
        <v>0.16958333333333334</v>
      </c>
      <c r="Y1203" s="288">
        <v>0</v>
      </c>
      <c r="Z1203" s="288">
        <v>0</v>
      </c>
      <c r="AA1203" s="288">
        <v>0</v>
      </c>
      <c r="AB1203" s="288">
        <v>0</v>
      </c>
      <c r="AC1203" s="289">
        <v>0.16958333333333334</v>
      </c>
      <c r="AD1203" s="289">
        <v>0</v>
      </c>
    </row>
    <row r="1204" spans="1:30" ht="15" customHeight="1" x14ac:dyDescent="0.25">
      <c r="A1204" s="282" t="s">
        <v>581</v>
      </c>
      <c r="B1204" s="282" t="s">
        <v>616</v>
      </c>
      <c r="C1204" s="282" t="s">
        <v>617</v>
      </c>
      <c r="D1204" s="283" t="s">
        <v>1875</v>
      </c>
      <c r="E1204" s="404">
        <v>44484</v>
      </c>
      <c r="F1204" s="404">
        <v>46143</v>
      </c>
      <c r="G1204" s="286" t="s">
        <v>1864</v>
      </c>
      <c r="H1204" s="282" t="s">
        <v>1849</v>
      </c>
      <c r="I1204" s="282">
        <v>0</v>
      </c>
      <c r="J1204" s="282" t="s">
        <v>156</v>
      </c>
      <c r="K1204" s="286" t="s">
        <v>1850</v>
      </c>
      <c r="L1204" s="282" t="s">
        <v>574</v>
      </c>
      <c r="M1204" s="287">
        <v>2400</v>
      </c>
      <c r="N1204" s="287"/>
      <c r="O1204" s="287"/>
      <c r="P1204" s="287"/>
      <c r="Q1204" s="288">
        <v>473</v>
      </c>
      <c r="R1204" s="288"/>
      <c r="S1204" s="288"/>
      <c r="T1204" s="288"/>
      <c r="U1204" s="288">
        <v>0</v>
      </c>
      <c r="V1204" s="289">
        <v>473</v>
      </c>
      <c r="W1204" s="289">
        <v>0</v>
      </c>
      <c r="X1204" s="288">
        <v>0.19708333333333333</v>
      </c>
      <c r="Y1204" s="288">
        <v>0</v>
      </c>
      <c r="Z1204" s="288">
        <v>0</v>
      </c>
      <c r="AA1204" s="288">
        <v>0</v>
      </c>
      <c r="AB1204" s="288">
        <v>0</v>
      </c>
      <c r="AC1204" s="289">
        <v>0.19708333333333333</v>
      </c>
      <c r="AD1204" s="289">
        <v>0</v>
      </c>
    </row>
    <row r="1205" spans="1:30" ht="15" customHeight="1" x14ac:dyDescent="0.25">
      <c r="A1205" s="282" t="s">
        <v>581</v>
      </c>
      <c r="B1205" s="282" t="s">
        <v>594</v>
      </c>
      <c r="C1205" s="282" t="s">
        <v>595</v>
      </c>
      <c r="D1205" s="283" t="s">
        <v>1876</v>
      </c>
      <c r="E1205" s="404">
        <v>44484</v>
      </c>
      <c r="F1205" s="404">
        <v>46143</v>
      </c>
      <c r="G1205" s="286" t="s">
        <v>1864</v>
      </c>
      <c r="H1205" s="282" t="s">
        <v>1849</v>
      </c>
      <c r="I1205" s="282">
        <v>0</v>
      </c>
      <c r="J1205" s="282" t="s">
        <v>156</v>
      </c>
      <c r="K1205" s="286" t="s">
        <v>1850</v>
      </c>
      <c r="L1205" s="282" t="s">
        <v>574</v>
      </c>
      <c r="M1205" s="287">
        <v>2400</v>
      </c>
      <c r="N1205" s="287"/>
      <c r="O1205" s="287"/>
      <c r="P1205" s="287"/>
      <c r="Q1205" s="288">
        <v>265</v>
      </c>
      <c r="R1205" s="288"/>
      <c r="S1205" s="288"/>
      <c r="T1205" s="288"/>
      <c r="U1205" s="288">
        <v>0</v>
      </c>
      <c r="V1205" s="289">
        <v>265</v>
      </c>
      <c r="W1205" s="289">
        <v>0</v>
      </c>
      <c r="X1205" s="288">
        <v>0.11041666666666666</v>
      </c>
      <c r="Y1205" s="288">
        <v>0</v>
      </c>
      <c r="Z1205" s="288">
        <v>0</v>
      </c>
      <c r="AA1205" s="288">
        <v>0</v>
      </c>
      <c r="AB1205" s="288">
        <v>0</v>
      </c>
      <c r="AC1205" s="289">
        <v>0.11041666666666666</v>
      </c>
      <c r="AD1205" s="289">
        <v>0</v>
      </c>
    </row>
    <row r="1206" spans="1:30" ht="15" customHeight="1" x14ac:dyDescent="0.25">
      <c r="A1206" s="282" t="s">
        <v>581</v>
      </c>
      <c r="B1206" s="282" t="s">
        <v>616</v>
      </c>
      <c r="C1206" s="282" t="s">
        <v>617</v>
      </c>
      <c r="D1206" s="283" t="s">
        <v>1877</v>
      </c>
      <c r="E1206" s="404">
        <v>44620</v>
      </c>
      <c r="F1206" s="404">
        <v>46446</v>
      </c>
      <c r="G1206" s="286" t="s">
        <v>608</v>
      </c>
      <c r="H1206" s="282" t="s">
        <v>1878</v>
      </c>
      <c r="I1206" s="282"/>
      <c r="J1206" s="282" t="s">
        <v>156</v>
      </c>
      <c r="K1206" s="286" t="s">
        <v>1879</v>
      </c>
      <c r="L1206" s="282" t="s">
        <v>574</v>
      </c>
      <c r="M1206" s="287">
        <v>2400</v>
      </c>
      <c r="N1206" s="287"/>
      <c r="O1206" s="287"/>
      <c r="P1206" s="287"/>
      <c r="Q1206" s="288">
        <v>505</v>
      </c>
      <c r="R1206" s="288"/>
      <c r="S1206" s="288"/>
      <c r="T1206" s="288"/>
      <c r="U1206" s="288">
        <v>0</v>
      </c>
      <c r="V1206" s="289">
        <v>505</v>
      </c>
      <c r="W1206" s="289">
        <v>0</v>
      </c>
      <c r="X1206" s="288">
        <v>0.21041666666666667</v>
      </c>
      <c r="Y1206" s="288">
        <v>0</v>
      </c>
      <c r="Z1206" s="288">
        <v>0</v>
      </c>
      <c r="AA1206" s="288">
        <v>0</v>
      </c>
      <c r="AB1206" s="288">
        <v>0</v>
      </c>
      <c r="AC1206" s="289">
        <v>0.21041666666666667</v>
      </c>
      <c r="AD1206" s="289">
        <v>0</v>
      </c>
    </row>
    <row r="1207" spans="1:30" ht="15" customHeight="1" x14ac:dyDescent="0.25">
      <c r="A1207" s="282" t="s">
        <v>581</v>
      </c>
      <c r="B1207" s="282" t="s">
        <v>585</v>
      </c>
      <c r="C1207" s="282" t="s">
        <v>586</v>
      </c>
      <c r="D1207" s="283" t="s">
        <v>1880</v>
      </c>
      <c r="E1207" s="404">
        <v>44620</v>
      </c>
      <c r="F1207" s="404">
        <v>46446</v>
      </c>
      <c r="G1207" s="286" t="s">
        <v>608</v>
      </c>
      <c r="H1207" s="282" t="s">
        <v>1878</v>
      </c>
      <c r="I1207" s="282"/>
      <c r="J1207" s="282" t="s">
        <v>156</v>
      </c>
      <c r="K1207" s="286" t="s">
        <v>1879</v>
      </c>
      <c r="L1207" s="282" t="s">
        <v>574</v>
      </c>
      <c r="M1207" s="287">
        <v>2400</v>
      </c>
      <c r="N1207" s="287"/>
      <c r="O1207" s="287"/>
      <c r="P1207" s="287"/>
      <c r="Q1207" s="288">
        <v>434</v>
      </c>
      <c r="R1207" s="288"/>
      <c r="S1207" s="288"/>
      <c r="T1207" s="288"/>
      <c r="U1207" s="288">
        <v>0</v>
      </c>
      <c r="V1207" s="289">
        <v>434</v>
      </c>
      <c r="W1207" s="289">
        <v>0</v>
      </c>
      <c r="X1207" s="288">
        <v>0.18083333333333335</v>
      </c>
      <c r="Y1207" s="288">
        <v>0</v>
      </c>
      <c r="Z1207" s="288">
        <v>0</v>
      </c>
      <c r="AA1207" s="288">
        <v>0</v>
      </c>
      <c r="AB1207" s="288">
        <v>0</v>
      </c>
      <c r="AC1207" s="289">
        <v>0.18083333333333335</v>
      </c>
      <c r="AD1207" s="289">
        <v>0</v>
      </c>
    </row>
    <row r="1208" spans="1:30" ht="15" customHeight="1" x14ac:dyDescent="0.25">
      <c r="A1208" s="282" t="s">
        <v>581</v>
      </c>
      <c r="B1208" s="282" t="s">
        <v>585</v>
      </c>
      <c r="C1208" s="282" t="s">
        <v>586</v>
      </c>
      <c r="D1208" s="283" t="s">
        <v>1881</v>
      </c>
      <c r="E1208" s="404">
        <v>44620</v>
      </c>
      <c r="F1208" s="404">
        <v>46446</v>
      </c>
      <c r="G1208" s="286" t="s">
        <v>608</v>
      </c>
      <c r="H1208" s="282" t="s">
        <v>1878</v>
      </c>
      <c r="I1208" s="282"/>
      <c r="J1208" s="282" t="s">
        <v>156</v>
      </c>
      <c r="K1208" s="286" t="s">
        <v>1879</v>
      </c>
      <c r="L1208" s="282" t="s">
        <v>574</v>
      </c>
      <c r="M1208" s="287">
        <v>2400</v>
      </c>
      <c r="N1208" s="287"/>
      <c r="O1208" s="287"/>
      <c r="P1208" s="287"/>
      <c r="Q1208" s="288">
        <v>239</v>
      </c>
      <c r="R1208" s="288"/>
      <c r="S1208" s="288"/>
      <c r="T1208" s="288"/>
      <c r="U1208" s="288">
        <v>0</v>
      </c>
      <c r="V1208" s="289">
        <v>239</v>
      </c>
      <c r="W1208" s="289">
        <v>0</v>
      </c>
      <c r="X1208" s="288">
        <v>9.9583333333333329E-2</v>
      </c>
      <c r="Y1208" s="288">
        <v>0</v>
      </c>
      <c r="Z1208" s="288">
        <v>0</v>
      </c>
      <c r="AA1208" s="288">
        <v>0</v>
      </c>
      <c r="AB1208" s="288">
        <v>0</v>
      </c>
      <c r="AC1208" s="289">
        <v>9.9583333333333329E-2</v>
      </c>
      <c r="AD1208" s="289">
        <v>0</v>
      </c>
    </row>
    <row r="1209" spans="1:30" ht="15" customHeight="1" x14ac:dyDescent="0.25">
      <c r="A1209" s="282" t="s">
        <v>581</v>
      </c>
      <c r="B1209" s="282" t="s">
        <v>585</v>
      </c>
      <c r="C1209" s="282" t="s">
        <v>586</v>
      </c>
      <c r="D1209" s="283" t="s">
        <v>1881</v>
      </c>
      <c r="E1209" s="404">
        <v>44620</v>
      </c>
      <c r="F1209" s="404">
        <v>46446</v>
      </c>
      <c r="G1209" s="286" t="s">
        <v>608</v>
      </c>
      <c r="H1209" s="282" t="s">
        <v>1878</v>
      </c>
      <c r="I1209" s="282"/>
      <c r="J1209" s="282" t="s">
        <v>156</v>
      </c>
      <c r="K1209" s="286" t="s">
        <v>1879</v>
      </c>
      <c r="L1209" s="282" t="s">
        <v>574</v>
      </c>
      <c r="M1209" s="287">
        <v>2400</v>
      </c>
      <c r="N1209" s="287"/>
      <c r="O1209" s="287"/>
      <c r="P1209" s="287"/>
      <c r="Q1209" s="288">
        <v>262</v>
      </c>
      <c r="R1209" s="288"/>
      <c r="S1209" s="288"/>
      <c r="T1209" s="288"/>
      <c r="U1209" s="288">
        <v>0</v>
      </c>
      <c r="V1209" s="289">
        <v>262</v>
      </c>
      <c r="W1209" s="289">
        <v>0</v>
      </c>
      <c r="X1209" s="288">
        <v>0.10916666666666666</v>
      </c>
      <c r="Y1209" s="288">
        <v>0</v>
      </c>
      <c r="Z1209" s="288">
        <v>0</v>
      </c>
      <c r="AA1209" s="288">
        <v>0</v>
      </c>
      <c r="AB1209" s="288">
        <v>0</v>
      </c>
      <c r="AC1209" s="289">
        <v>0.10916666666666666</v>
      </c>
      <c r="AD1209" s="289">
        <v>0</v>
      </c>
    </row>
    <row r="1210" spans="1:30" ht="15" customHeight="1" x14ac:dyDescent="0.25">
      <c r="A1210" s="282" t="s">
        <v>581</v>
      </c>
      <c r="B1210" s="282" t="s">
        <v>585</v>
      </c>
      <c r="C1210" s="282" t="s">
        <v>586</v>
      </c>
      <c r="D1210" s="283" t="s">
        <v>1881</v>
      </c>
      <c r="E1210" s="404">
        <v>44620</v>
      </c>
      <c r="F1210" s="404">
        <v>46446</v>
      </c>
      <c r="G1210" s="286" t="s">
        <v>608</v>
      </c>
      <c r="H1210" s="282" t="s">
        <v>1878</v>
      </c>
      <c r="I1210" s="282"/>
      <c r="J1210" s="282" t="s">
        <v>156</v>
      </c>
      <c r="K1210" s="286" t="s">
        <v>1879</v>
      </c>
      <c r="L1210" s="282" t="s">
        <v>574</v>
      </c>
      <c r="M1210" s="287">
        <v>2400</v>
      </c>
      <c r="N1210" s="287"/>
      <c r="O1210" s="287"/>
      <c r="P1210" s="287"/>
      <c r="Q1210" s="288">
        <v>409</v>
      </c>
      <c r="R1210" s="288"/>
      <c r="S1210" s="288"/>
      <c r="T1210" s="288"/>
      <c r="U1210" s="288">
        <v>0</v>
      </c>
      <c r="V1210" s="289">
        <v>409</v>
      </c>
      <c r="W1210" s="289">
        <v>0</v>
      </c>
      <c r="X1210" s="288">
        <v>0.17041666666666666</v>
      </c>
      <c r="Y1210" s="288">
        <v>0</v>
      </c>
      <c r="Z1210" s="288">
        <v>0</v>
      </c>
      <c r="AA1210" s="288">
        <v>0</v>
      </c>
      <c r="AB1210" s="288">
        <v>0</v>
      </c>
      <c r="AC1210" s="289">
        <v>0.17041666666666666</v>
      </c>
      <c r="AD1210" s="289">
        <v>0</v>
      </c>
    </row>
    <row r="1211" spans="1:30" ht="15" customHeight="1" x14ac:dyDescent="0.25">
      <c r="A1211" s="282" t="s">
        <v>581</v>
      </c>
      <c r="B1211" s="282" t="s">
        <v>594</v>
      </c>
      <c r="C1211" s="282" t="s">
        <v>595</v>
      </c>
      <c r="D1211" s="283" t="s">
        <v>1882</v>
      </c>
      <c r="E1211" s="404">
        <v>44620</v>
      </c>
      <c r="F1211" s="404">
        <v>46446</v>
      </c>
      <c r="G1211" s="286" t="s">
        <v>608</v>
      </c>
      <c r="H1211" s="282" t="s">
        <v>1878</v>
      </c>
      <c r="I1211" s="282"/>
      <c r="J1211" s="282" t="s">
        <v>156</v>
      </c>
      <c r="K1211" s="286" t="s">
        <v>1879</v>
      </c>
      <c r="L1211" s="282" t="s">
        <v>574</v>
      </c>
      <c r="M1211" s="287">
        <v>2400</v>
      </c>
      <c r="N1211" s="287"/>
      <c r="O1211" s="287"/>
      <c r="P1211" s="287"/>
      <c r="Q1211" s="288">
        <v>298</v>
      </c>
      <c r="R1211" s="288"/>
      <c r="S1211" s="288"/>
      <c r="T1211" s="288"/>
      <c r="U1211" s="288">
        <v>0</v>
      </c>
      <c r="V1211" s="289">
        <v>298</v>
      </c>
      <c r="W1211" s="289">
        <v>0</v>
      </c>
      <c r="X1211" s="288">
        <v>0.12416666666666666</v>
      </c>
      <c r="Y1211" s="288">
        <v>0</v>
      </c>
      <c r="Z1211" s="288">
        <v>0</v>
      </c>
      <c r="AA1211" s="288">
        <v>0</v>
      </c>
      <c r="AB1211" s="288">
        <v>0</v>
      </c>
      <c r="AC1211" s="289">
        <v>0.12416666666666666</v>
      </c>
      <c r="AD1211" s="289">
        <v>0</v>
      </c>
    </row>
    <row r="1212" spans="1:30" ht="15" customHeight="1" x14ac:dyDescent="0.25">
      <c r="A1212" s="282" t="s">
        <v>581</v>
      </c>
      <c r="B1212" s="282" t="s">
        <v>628</v>
      </c>
      <c r="C1212" s="282" t="s">
        <v>629</v>
      </c>
      <c r="D1212" s="283" t="s">
        <v>1883</v>
      </c>
      <c r="E1212" s="404">
        <v>44620</v>
      </c>
      <c r="F1212" s="404">
        <v>46446</v>
      </c>
      <c r="G1212" s="286" t="s">
        <v>608</v>
      </c>
      <c r="H1212" s="282" t="s">
        <v>1878</v>
      </c>
      <c r="I1212" s="282"/>
      <c r="J1212" s="282" t="s">
        <v>156</v>
      </c>
      <c r="K1212" s="286" t="s">
        <v>1879</v>
      </c>
      <c r="L1212" s="282" t="s">
        <v>574</v>
      </c>
      <c r="M1212" s="287">
        <v>2400</v>
      </c>
      <c r="N1212" s="287"/>
      <c r="O1212" s="287"/>
      <c r="P1212" s="287"/>
      <c r="Q1212" s="288">
        <v>325</v>
      </c>
      <c r="R1212" s="288"/>
      <c r="S1212" s="288"/>
      <c r="T1212" s="288"/>
      <c r="U1212" s="288">
        <v>0</v>
      </c>
      <c r="V1212" s="289">
        <v>325</v>
      </c>
      <c r="W1212" s="289">
        <v>0</v>
      </c>
      <c r="X1212" s="288">
        <v>0.13541666666666666</v>
      </c>
      <c r="Y1212" s="288">
        <v>0</v>
      </c>
      <c r="Z1212" s="288">
        <v>0</v>
      </c>
      <c r="AA1212" s="288">
        <v>0</v>
      </c>
      <c r="AB1212" s="288">
        <v>0</v>
      </c>
      <c r="AC1212" s="289">
        <v>0.13541666666666666</v>
      </c>
      <c r="AD1212" s="289">
        <v>0</v>
      </c>
    </row>
    <row r="1213" spans="1:30" ht="15" customHeight="1" x14ac:dyDescent="0.25">
      <c r="A1213" s="282" t="s">
        <v>581</v>
      </c>
      <c r="B1213" s="282" t="s">
        <v>628</v>
      </c>
      <c r="C1213" s="282" t="s">
        <v>629</v>
      </c>
      <c r="D1213" s="283" t="s">
        <v>1884</v>
      </c>
      <c r="E1213" s="404">
        <v>44620</v>
      </c>
      <c r="F1213" s="404">
        <v>46446</v>
      </c>
      <c r="G1213" s="286" t="s">
        <v>608</v>
      </c>
      <c r="H1213" s="282" t="s">
        <v>1878</v>
      </c>
      <c r="I1213" s="282"/>
      <c r="J1213" s="282" t="s">
        <v>156</v>
      </c>
      <c r="K1213" s="286" t="s">
        <v>1879</v>
      </c>
      <c r="L1213" s="282" t="s">
        <v>574</v>
      </c>
      <c r="M1213" s="287">
        <v>2400</v>
      </c>
      <c r="N1213" s="287"/>
      <c r="O1213" s="287"/>
      <c r="P1213" s="287"/>
      <c r="Q1213" s="288">
        <v>292</v>
      </c>
      <c r="R1213" s="288"/>
      <c r="S1213" s="288"/>
      <c r="T1213" s="288"/>
      <c r="U1213" s="288">
        <v>0</v>
      </c>
      <c r="V1213" s="289">
        <v>292</v>
      </c>
      <c r="W1213" s="289">
        <v>0</v>
      </c>
      <c r="X1213" s="288">
        <v>0.12166666666666667</v>
      </c>
      <c r="Y1213" s="288">
        <v>0</v>
      </c>
      <c r="Z1213" s="288">
        <v>0</v>
      </c>
      <c r="AA1213" s="288">
        <v>0</v>
      </c>
      <c r="AB1213" s="288">
        <v>0</v>
      </c>
      <c r="AC1213" s="289">
        <v>0.12166666666666667</v>
      </c>
      <c r="AD1213" s="289">
        <v>0</v>
      </c>
    </row>
    <row r="1214" spans="1:30" ht="15" customHeight="1" x14ac:dyDescent="0.25">
      <c r="A1214" s="282" t="s">
        <v>581</v>
      </c>
      <c r="B1214" s="282" t="s">
        <v>611</v>
      </c>
      <c r="C1214" s="282" t="s">
        <v>612</v>
      </c>
      <c r="D1214" s="283" t="s">
        <v>1885</v>
      </c>
      <c r="E1214" s="404">
        <v>44620</v>
      </c>
      <c r="F1214" s="404">
        <v>46446</v>
      </c>
      <c r="G1214" s="286" t="s">
        <v>608</v>
      </c>
      <c r="H1214" s="282" t="s">
        <v>1878</v>
      </c>
      <c r="I1214" s="282"/>
      <c r="J1214" s="282" t="s">
        <v>156</v>
      </c>
      <c r="K1214" s="286" t="s">
        <v>1879</v>
      </c>
      <c r="L1214" s="282" t="s">
        <v>574</v>
      </c>
      <c r="M1214" s="287">
        <v>2400</v>
      </c>
      <c r="N1214" s="287"/>
      <c r="O1214" s="287"/>
      <c r="P1214" s="287"/>
      <c r="Q1214" s="288">
        <v>363</v>
      </c>
      <c r="R1214" s="288"/>
      <c r="S1214" s="288"/>
      <c r="T1214" s="288"/>
      <c r="U1214" s="288">
        <v>0</v>
      </c>
      <c r="V1214" s="289">
        <v>363</v>
      </c>
      <c r="W1214" s="289">
        <v>0</v>
      </c>
      <c r="X1214" s="288">
        <v>0.15125</v>
      </c>
      <c r="Y1214" s="288">
        <v>0</v>
      </c>
      <c r="Z1214" s="288">
        <v>0</v>
      </c>
      <c r="AA1214" s="288">
        <v>0</v>
      </c>
      <c r="AB1214" s="288">
        <v>0</v>
      </c>
      <c r="AC1214" s="289">
        <v>0.15125</v>
      </c>
      <c r="AD1214" s="289">
        <v>0</v>
      </c>
    </row>
    <row r="1215" spans="1:30" ht="15" customHeight="1" x14ac:dyDescent="0.25">
      <c r="A1215" s="282" t="s">
        <v>581</v>
      </c>
      <c r="B1215" s="282" t="s">
        <v>611</v>
      </c>
      <c r="C1215" s="282" t="s">
        <v>612</v>
      </c>
      <c r="D1215" s="283" t="s">
        <v>1886</v>
      </c>
      <c r="E1215" s="404">
        <v>44620</v>
      </c>
      <c r="F1215" s="404">
        <v>46446</v>
      </c>
      <c r="G1215" s="286" t="s">
        <v>608</v>
      </c>
      <c r="H1215" s="282" t="s">
        <v>1878</v>
      </c>
      <c r="I1215" s="282"/>
      <c r="J1215" s="282" t="s">
        <v>156</v>
      </c>
      <c r="K1215" s="286" t="s">
        <v>1879</v>
      </c>
      <c r="L1215" s="282" t="s">
        <v>574</v>
      </c>
      <c r="M1215" s="287">
        <v>2400</v>
      </c>
      <c r="N1215" s="287"/>
      <c r="O1215" s="287"/>
      <c r="P1215" s="287"/>
      <c r="Q1215" s="288">
        <v>349</v>
      </c>
      <c r="R1215" s="288"/>
      <c r="S1215" s="288"/>
      <c r="T1215" s="288"/>
      <c r="U1215" s="288">
        <v>0</v>
      </c>
      <c r="V1215" s="289">
        <v>349</v>
      </c>
      <c r="W1215" s="289">
        <v>0</v>
      </c>
      <c r="X1215" s="288">
        <v>0.14541666666666667</v>
      </c>
      <c r="Y1215" s="288">
        <v>0</v>
      </c>
      <c r="Z1215" s="288">
        <v>0</v>
      </c>
      <c r="AA1215" s="288">
        <v>0</v>
      </c>
      <c r="AB1215" s="288">
        <v>0</v>
      </c>
      <c r="AC1215" s="289">
        <v>0.14541666666666667</v>
      </c>
      <c r="AD1215" s="289">
        <v>0</v>
      </c>
    </row>
    <row r="1216" spans="1:30" ht="15" customHeight="1" x14ac:dyDescent="0.25">
      <c r="A1216" s="282" t="s">
        <v>581</v>
      </c>
      <c r="B1216" s="282" t="s">
        <v>585</v>
      </c>
      <c r="C1216" s="282" t="s">
        <v>586</v>
      </c>
      <c r="D1216" s="283" t="s">
        <v>1887</v>
      </c>
      <c r="E1216" s="404">
        <v>44620</v>
      </c>
      <c r="F1216" s="404">
        <v>46446</v>
      </c>
      <c r="G1216" s="286" t="s">
        <v>608</v>
      </c>
      <c r="H1216" s="282" t="s">
        <v>1878</v>
      </c>
      <c r="I1216" s="282"/>
      <c r="J1216" s="282" t="s">
        <v>156</v>
      </c>
      <c r="K1216" s="286" t="s">
        <v>1879</v>
      </c>
      <c r="L1216" s="282" t="s">
        <v>574</v>
      </c>
      <c r="M1216" s="287">
        <v>2400</v>
      </c>
      <c r="N1216" s="287"/>
      <c r="O1216" s="287"/>
      <c r="P1216" s="287"/>
      <c r="Q1216" s="288">
        <v>215</v>
      </c>
      <c r="R1216" s="288"/>
      <c r="S1216" s="288"/>
      <c r="T1216" s="288"/>
      <c r="U1216" s="288">
        <v>0</v>
      </c>
      <c r="V1216" s="289">
        <v>215</v>
      </c>
      <c r="W1216" s="289">
        <v>0</v>
      </c>
      <c r="X1216" s="288">
        <v>8.9583333333333334E-2</v>
      </c>
      <c r="Y1216" s="288">
        <v>0</v>
      </c>
      <c r="Z1216" s="288">
        <v>0</v>
      </c>
      <c r="AA1216" s="288">
        <v>0</v>
      </c>
      <c r="AB1216" s="288">
        <v>0</v>
      </c>
      <c r="AC1216" s="289">
        <v>8.9583333333333334E-2</v>
      </c>
      <c r="AD1216" s="289">
        <v>0</v>
      </c>
    </row>
    <row r="1217" spans="1:30" ht="15" customHeight="1" x14ac:dyDescent="0.25">
      <c r="A1217" s="282" t="s">
        <v>581</v>
      </c>
      <c r="B1217" s="282" t="s">
        <v>585</v>
      </c>
      <c r="C1217" s="282" t="s">
        <v>586</v>
      </c>
      <c r="D1217" s="283" t="s">
        <v>1888</v>
      </c>
      <c r="E1217" s="404">
        <v>44620</v>
      </c>
      <c r="F1217" s="404">
        <v>46446</v>
      </c>
      <c r="G1217" s="286" t="s">
        <v>608</v>
      </c>
      <c r="H1217" s="282" t="s">
        <v>1878</v>
      </c>
      <c r="I1217" s="282"/>
      <c r="J1217" s="282" t="s">
        <v>156</v>
      </c>
      <c r="K1217" s="286" t="s">
        <v>1879</v>
      </c>
      <c r="L1217" s="282" t="s">
        <v>574</v>
      </c>
      <c r="M1217" s="287">
        <v>2400</v>
      </c>
      <c r="N1217" s="287"/>
      <c r="O1217" s="287"/>
      <c r="P1217" s="287"/>
      <c r="Q1217" s="288">
        <v>237</v>
      </c>
      <c r="R1217" s="288"/>
      <c r="S1217" s="288"/>
      <c r="T1217" s="288"/>
      <c r="U1217" s="288">
        <v>0</v>
      </c>
      <c r="V1217" s="289">
        <v>237</v>
      </c>
      <c r="W1217" s="289">
        <v>0</v>
      </c>
      <c r="X1217" s="288">
        <v>9.8750000000000004E-2</v>
      </c>
      <c r="Y1217" s="288">
        <v>0</v>
      </c>
      <c r="Z1217" s="288">
        <v>0</v>
      </c>
      <c r="AA1217" s="288">
        <v>0</v>
      </c>
      <c r="AB1217" s="288">
        <v>0</v>
      </c>
      <c r="AC1217" s="289">
        <v>9.8750000000000004E-2</v>
      </c>
      <c r="AD1217" s="289">
        <v>0</v>
      </c>
    </row>
    <row r="1218" spans="1:30" ht="15" customHeight="1" x14ac:dyDescent="0.25">
      <c r="A1218" s="282" t="s">
        <v>581</v>
      </c>
      <c r="B1218" s="282" t="s">
        <v>585</v>
      </c>
      <c r="C1218" s="282" t="s">
        <v>586</v>
      </c>
      <c r="D1218" s="283" t="s">
        <v>1889</v>
      </c>
      <c r="E1218" s="404">
        <v>44620</v>
      </c>
      <c r="F1218" s="404">
        <v>46446</v>
      </c>
      <c r="G1218" s="286" t="s">
        <v>608</v>
      </c>
      <c r="H1218" s="282" t="s">
        <v>1878</v>
      </c>
      <c r="I1218" s="282"/>
      <c r="J1218" s="282" t="s">
        <v>156</v>
      </c>
      <c r="K1218" s="286" t="s">
        <v>1879</v>
      </c>
      <c r="L1218" s="282" t="s">
        <v>574</v>
      </c>
      <c r="M1218" s="287">
        <v>2400</v>
      </c>
      <c r="N1218" s="287"/>
      <c r="O1218" s="287"/>
      <c r="P1218" s="287"/>
      <c r="Q1218" s="288">
        <v>238</v>
      </c>
      <c r="R1218" s="288"/>
      <c r="S1218" s="288"/>
      <c r="T1218" s="288"/>
      <c r="U1218" s="288">
        <v>0</v>
      </c>
      <c r="V1218" s="289">
        <v>238</v>
      </c>
      <c r="W1218" s="289">
        <v>0</v>
      </c>
      <c r="X1218" s="288">
        <v>9.9166666666666667E-2</v>
      </c>
      <c r="Y1218" s="288">
        <v>0</v>
      </c>
      <c r="Z1218" s="288">
        <v>0</v>
      </c>
      <c r="AA1218" s="288">
        <v>0</v>
      </c>
      <c r="AB1218" s="288">
        <v>0</v>
      </c>
      <c r="AC1218" s="289">
        <v>9.9166666666666667E-2</v>
      </c>
      <c r="AD1218" s="289">
        <v>0</v>
      </c>
    </row>
    <row r="1219" spans="1:30" ht="15" customHeight="1" x14ac:dyDescent="0.25">
      <c r="A1219" s="282" t="s">
        <v>581</v>
      </c>
      <c r="B1219" s="282" t="s">
        <v>585</v>
      </c>
      <c r="C1219" s="282" t="s">
        <v>586</v>
      </c>
      <c r="D1219" s="283" t="s">
        <v>1890</v>
      </c>
      <c r="E1219" s="404">
        <v>44620</v>
      </c>
      <c r="F1219" s="404">
        <v>46446</v>
      </c>
      <c r="G1219" s="286" t="s">
        <v>608</v>
      </c>
      <c r="H1219" s="282" t="s">
        <v>1878</v>
      </c>
      <c r="I1219" s="282"/>
      <c r="J1219" s="282" t="s">
        <v>156</v>
      </c>
      <c r="K1219" s="286" t="s">
        <v>1879</v>
      </c>
      <c r="L1219" s="282" t="s">
        <v>574</v>
      </c>
      <c r="M1219" s="287">
        <v>2400</v>
      </c>
      <c r="N1219" s="287"/>
      <c r="O1219" s="287"/>
      <c r="P1219" s="287"/>
      <c r="Q1219" s="288">
        <v>215</v>
      </c>
      <c r="R1219" s="288"/>
      <c r="S1219" s="288"/>
      <c r="T1219" s="288"/>
      <c r="U1219" s="288">
        <v>0</v>
      </c>
      <c r="V1219" s="289">
        <v>215</v>
      </c>
      <c r="W1219" s="289">
        <v>0</v>
      </c>
      <c r="X1219" s="288">
        <v>8.9583333333333334E-2</v>
      </c>
      <c r="Y1219" s="288">
        <v>0</v>
      </c>
      <c r="Z1219" s="288">
        <v>0</v>
      </c>
      <c r="AA1219" s="288">
        <v>0</v>
      </c>
      <c r="AB1219" s="288">
        <v>0</v>
      </c>
      <c r="AC1219" s="289">
        <v>8.9583333333333334E-2</v>
      </c>
      <c r="AD1219" s="289">
        <v>0</v>
      </c>
    </row>
    <row r="1220" spans="1:30" ht="15" customHeight="1" x14ac:dyDescent="0.25">
      <c r="A1220" s="282" t="s">
        <v>581</v>
      </c>
      <c r="B1220" s="282" t="s">
        <v>611</v>
      </c>
      <c r="C1220" s="282" t="s">
        <v>612</v>
      </c>
      <c r="D1220" s="283" t="s">
        <v>1891</v>
      </c>
      <c r="E1220" s="404">
        <v>44620</v>
      </c>
      <c r="F1220" s="404">
        <v>46446</v>
      </c>
      <c r="G1220" s="286" t="s">
        <v>608</v>
      </c>
      <c r="H1220" s="282" t="s">
        <v>1878</v>
      </c>
      <c r="I1220" s="282"/>
      <c r="J1220" s="282" t="s">
        <v>156</v>
      </c>
      <c r="K1220" s="286" t="s">
        <v>1879</v>
      </c>
      <c r="L1220" s="282" t="s">
        <v>574</v>
      </c>
      <c r="M1220" s="287">
        <v>2400</v>
      </c>
      <c r="N1220" s="287"/>
      <c r="O1220" s="287"/>
      <c r="P1220" s="287"/>
      <c r="Q1220" s="288">
        <v>399</v>
      </c>
      <c r="R1220" s="288"/>
      <c r="S1220" s="288"/>
      <c r="T1220" s="288"/>
      <c r="U1220" s="288">
        <v>0</v>
      </c>
      <c r="V1220" s="289">
        <v>399</v>
      </c>
      <c r="W1220" s="289">
        <v>0</v>
      </c>
      <c r="X1220" s="288">
        <v>0.16625000000000001</v>
      </c>
      <c r="Y1220" s="288">
        <v>0</v>
      </c>
      <c r="Z1220" s="288">
        <v>0</v>
      </c>
      <c r="AA1220" s="288">
        <v>0</v>
      </c>
      <c r="AB1220" s="288">
        <v>0</v>
      </c>
      <c r="AC1220" s="289">
        <v>0.16625000000000001</v>
      </c>
      <c r="AD1220" s="289">
        <v>0</v>
      </c>
    </row>
    <row r="1221" spans="1:30" ht="15" customHeight="1" x14ac:dyDescent="0.25">
      <c r="A1221" s="282" t="s">
        <v>581</v>
      </c>
      <c r="B1221" s="282" t="s">
        <v>611</v>
      </c>
      <c r="C1221" s="282" t="s">
        <v>612</v>
      </c>
      <c r="D1221" s="283" t="s">
        <v>1892</v>
      </c>
      <c r="E1221" s="404">
        <v>44620</v>
      </c>
      <c r="F1221" s="404">
        <v>46446</v>
      </c>
      <c r="G1221" s="286" t="s">
        <v>608</v>
      </c>
      <c r="H1221" s="282" t="s">
        <v>1878</v>
      </c>
      <c r="I1221" s="282"/>
      <c r="J1221" s="282" t="s">
        <v>156</v>
      </c>
      <c r="K1221" s="286" t="s">
        <v>1879</v>
      </c>
      <c r="L1221" s="282" t="s">
        <v>574</v>
      </c>
      <c r="M1221" s="287">
        <v>2400</v>
      </c>
      <c r="N1221" s="287"/>
      <c r="O1221" s="287"/>
      <c r="P1221" s="287"/>
      <c r="Q1221" s="288">
        <v>399</v>
      </c>
      <c r="R1221" s="288"/>
      <c r="S1221" s="288"/>
      <c r="T1221" s="288"/>
      <c r="U1221" s="288">
        <v>0</v>
      </c>
      <c r="V1221" s="289">
        <v>399</v>
      </c>
      <c r="W1221" s="289">
        <v>0</v>
      </c>
      <c r="X1221" s="288">
        <v>0.16625000000000001</v>
      </c>
      <c r="Y1221" s="288">
        <v>0</v>
      </c>
      <c r="Z1221" s="288">
        <v>0</v>
      </c>
      <c r="AA1221" s="288">
        <v>0</v>
      </c>
      <c r="AB1221" s="288">
        <v>0</v>
      </c>
      <c r="AC1221" s="289">
        <v>0.16625000000000001</v>
      </c>
      <c r="AD1221" s="289">
        <v>0</v>
      </c>
    </row>
    <row r="1222" spans="1:30" ht="15" customHeight="1" x14ac:dyDescent="0.25">
      <c r="A1222" s="282" t="s">
        <v>581</v>
      </c>
      <c r="B1222" s="282" t="s">
        <v>611</v>
      </c>
      <c r="C1222" s="282" t="s">
        <v>612</v>
      </c>
      <c r="D1222" s="283" t="s">
        <v>1893</v>
      </c>
      <c r="E1222" s="404">
        <v>44620</v>
      </c>
      <c r="F1222" s="404">
        <v>46446</v>
      </c>
      <c r="G1222" s="286" t="s">
        <v>608</v>
      </c>
      <c r="H1222" s="282" t="s">
        <v>1878</v>
      </c>
      <c r="I1222" s="282"/>
      <c r="J1222" s="282" t="s">
        <v>156</v>
      </c>
      <c r="K1222" s="286" t="s">
        <v>1879</v>
      </c>
      <c r="L1222" s="282" t="s">
        <v>574</v>
      </c>
      <c r="M1222" s="287">
        <v>2400</v>
      </c>
      <c r="N1222" s="287"/>
      <c r="O1222" s="287"/>
      <c r="P1222" s="287"/>
      <c r="Q1222" s="288">
        <v>317</v>
      </c>
      <c r="R1222" s="288"/>
      <c r="S1222" s="288"/>
      <c r="T1222" s="288"/>
      <c r="U1222" s="288">
        <v>0</v>
      </c>
      <c r="V1222" s="289">
        <v>317</v>
      </c>
      <c r="W1222" s="289">
        <v>0</v>
      </c>
      <c r="X1222" s="288">
        <v>0.13208333333333333</v>
      </c>
      <c r="Y1222" s="288">
        <v>0</v>
      </c>
      <c r="Z1222" s="288">
        <v>0</v>
      </c>
      <c r="AA1222" s="288">
        <v>0</v>
      </c>
      <c r="AB1222" s="288">
        <v>0</v>
      </c>
      <c r="AC1222" s="289">
        <v>0.13208333333333333</v>
      </c>
      <c r="AD1222" s="289">
        <v>0</v>
      </c>
    </row>
    <row r="1223" spans="1:30" ht="15" customHeight="1" x14ac:dyDescent="0.25">
      <c r="A1223" s="282" t="s">
        <v>581</v>
      </c>
      <c r="B1223" s="282" t="s">
        <v>611</v>
      </c>
      <c r="C1223" s="282" t="s">
        <v>612</v>
      </c>
      <c r="D1223" s="283" t="s">
        <v>1894</v>
      </c>
      <c r="E1223" s="404">
        <v>44620</v>
      </c>
      <c r="F1223" s="404">
        <v>46446</v>
      </c>
      <c r="G1223" s="286" t="s">
        <v>608</v>
      </c>
      <c r="H1223" s="282" t="s">
        <v>1878</v>
      </c>
      <c r="I1223" s="282"/>
      <c r="J1223" s="282" t="s">
        <v>156</v>
      </c>
      <c r="K1223" s="286" t="s">
        <v>1879</v>
      </c>
      <c r="L1223" s="282" t="s">
        <v>574</v>
      </c>
      <c r="M1223" s="287">
        <v>2400</v>
      </c>
      <c r="N1223" s="287"/>
      <c r="O1223" s="287"/>
      <c r="P1223" s="287"/>
      <c r="Q1223" s="288">
        <v>318</v>
      </c>
      <c r="R1223" s="288"/>
      <c r="S1223" s="288"/>
      <c r="T1223" s="288"/>
      <c r="U1223" s="288">
        <v>0</v>
      </c>
      <c r="V1223" s="289">
        <v>318</v>
      </c>
      <c r="W1223" s="289">
        <v>0</v>
      </c>
      <c r="X1223" s="288">
        <v>0.13250000000000001</v>
      </c>
      <c r="Y1223" s="288">
        <v>0</v>
      </c>
      <c r="Z1223" s="288">
        <v>0</v>
      </c>
      <c r="AA1223" s="288">
        <v>0</v>
      </c>
      <c r="AB1223" s="288">
        <v>0</v>
      </c>
      <c r="AC1223" s="289">
        <v>0.13250000000000001</v>
      </c>
      <c r="AD1223" s="289">
        <v>0</v>
      </c>
    </row>
    <row r="1224" spans="1:30" ht="15" customHeight="1" x14ac:dyDescent="0.25">
      <c r="A1224" s="282" t="s">
        <v>581</v>
      </c>
      <c r="B1224" s="282" t="s">
        <v>616</v>
      </c>
      <c r="C1224" s="282" t="s">
        <v>617</v>
      </c>
      <c r="D1224" s="283" t="s">
        <v>1895</v>
      </c>
      <c r="E1224" s="404">
        <v>44620</v>
      </c>
      <c r="F1224" s="404">
        <v>46446</v>
      </c>
      <c r="G1224" s="286" t="s">
        <v>608</v>
      </c>
      <c r="H1224" s="282" t="s">
        <v>1878</v>
      </c>
      <c r="I1224" s="282"/>
      <c r="J1224" s="282" t="s">
        <v>156</v>
      </c>
      <c r="K1224" s="286" t="s">
        <v>1879</v>
      </c>
      <c r="L1224" s="282" t="s">
        <v>574</v>
      </c>
      <c r="M1224" s="287">
        <v>2400</v>
      </c>
      <c r="N1224" s="287"/>
      <c r="O1224" s="287"/>
      <c r="P1224" s="287"/>
      <c r="Q1224" s="288">
        <v>510</v>
      </c>
      <c r="R1224" s="288"/>
      <c r="S1224" s="288"/>
      <c r="T1224" s="288"/>
      <c r="U1224" s="288">
        <v>0</v>
      </c>
      <c r="V1224" s="289">
        <v>510</v>
      </c>
      <c r="W1224" s="289">
        <v>0</v>
      </c>
      <c r="X1224" s="288">
        <v>0.21249999999999999</v>
      </c>
      <c r="Y1224" s="288">
        <v>0</v>
      </c>
      <c r="Z1224" s="288">
        <v>0</v>
      </c>
      <c r="AA1224" s="288">
        <v>0</v>
      </c>
      <c r="AB1224" s="288">
        <v>0</v>
      </c>
      <c r="AC1224" s="289">
        <v>0.21249999999999999</v>
      </c>
      <c r="AD1224" s="289">
        <v>0</v>
      </c>
    </row>
    <row r="1225" spans="1:30" ht="15" customHeight="1" x14ac:dyDescent="0.25">
      <c r="A1225" s="282" t="s">
        <v>581</v>
      </c>
      <c r="B1225" s="282" t="s">
        <v>616</v>
      </c>
      <c r="C1225" s="282" t="s">
        <v>617</v>
      </c>
      <c r="D1225" s="283" t="s">
        <v>1896</v>
      </c>
      <c r="E1225" s="404">
        <v>44620</v>
      </c>
      <c r="F1225" s="404">
        <v>46446</v>
      </c>
      <c r="G1225" s="286" t="s">
        <v>608</v>
      </c>
      <c r="H1225" s="282" t="s">
        <v>1878</v>
      </c>
      <c r="I1225" s="282"/>
      <c r="J1225" s="282" t="s">
        <v>156</v>
      </c>
      <c r="K1225" s="286" t="s">
        <v>1879</v>
      </c>
      <c r="L1225" s="282" t="s">
        <v>574</v>
      </c>
      <c r="M1225" s="287">
        <v>2400</v>
      </c>
      <c r="N1225" s="287"/>
      <c r="O1225" s="287"/>
      <c r="P1225" s="287"/>
      <c r="Q1225" s="288">
        <v>517</v>
      </c>
      <c r="R1225" s="288"/>
      <c r="S1225" s="288"/>
      <c r="T1225" s="288"/>
      <c r="U1225" s="288">
        <v>0</v>
      </c>
      <c r="V1225" s="289">
        <v>517</v>
      </c>
      <c r="W1225" s="289">
        <v>0</v>
      </c>
      <c r="X1225" s="288">
        <v>0.21541666666666667</v>
      </c>
      <c r="Y1225" s="288">
        <v>0</v>
      </c>
      <c r="Z1225" s="288">
        <v>0</v>
      </c>
      <c r="AA1225" s="288">
        <v>0</v>
      </c>
      <c r="AB1225" s="288">
        <v>0</v>
      </c>
      <c r="AC1225" s="289">
        <v>0.21541666666666667</v>
      </c>
      <c r="AD1225" s="289">
        <v>0</v>
      </c>
    </row>
    <row r="1226" spans="1:30" ht="15" customHeight="1" x14ac:dyDescent="0.25">
      <c r="A1226" s="282" t="s">
        <v>581</v>
      </c>
      <c r="B1226" s="282" t="s">
        <v>616</v>
      </c>
      <c r="C1226" s="282" t="s">
        <v>617</v>
      </c>
      <c r="D1226" s="283" t="s">
        <v>1897</v>
      </c>
      <c r="E1226" s="404">
        <v>44620</v>
      </c>
      <c r="F1226" s="404">
        <v>46446</v>
      </c>
      <c r="G1226" s="286" t="s">
        <v>608</v>
      </c>
      <c r="H1226" s="282" t="s">
        <v>1878</v>
      </c>
      <c r="I1226" s="282"/>
      <c r="J1226" s="282" t="s">
        <v>156</v>
      </c>
      <c r="K1226" s="286" t="s">
        <v>1879</v>
      </c>
      <c r="L1226" s="282" t="s">
        <v>574</v>
      </c>
      <c r="M1226" s="287">
        <v>2400</v>
      </c>
      <c r="N1226" s="287"/>
      <c r="O1226" s="287"/>
      <c r="P1226" s="287"/>
      <c r="Q1226" s="288">
        <v>523</v>
      </c>
      <c r="R1226" s="288"/>
      <c r="S1226" s="288"/>
      <c r="T1226" s="288"/>
      <c r="U1226" s="288">
        <v>0</v>
      </c>
      <c r="V1226" s="289">
        <v>523</v>
      </c>
      <c r="W1226" s="289">
        <v>0</v>
      </c>
      <c r="X1226" s="288">
        <v>0.21791666666666668</v>
      </c>
      <c r="Y1226" s="288">
        <v>0</v>
      </c>
      <c r="Z1226" s="288">
        <v>0</v>
      </c>
      <c r="AA1226" s="288">
        <v>0</v>
      </c>
      <c r="AB1226" s="288">
        <v>0</v>
      </c>
      <c r="AC1226" s="289">
        <v>0.21791666666666668</v>
      </c>
      <c r="AD1226" s="289">
        <v>0</v>
      </c>
    </row>
    <row r="1227" spans="1:30" ht="15" customHeight="1" x14ac:dyDescent="0.25">
      <c r="A1227" s="282" t="s">
        <v>581</v>
      </c>
      <c r="B1227" s="282" t="s">
        <v>616</v>
      </c>
      <c r="C1227" s="282" t="s">
        <v>617</v>
      </c>
      <c r="D1227" s="283" t="s">
        <v>1898</v>
      </c>
      <c r="E1227" s="404">
        <v>44620</v>
      </c>
      <c r="F1227" s="404">
        <v>46446</v>
      </c>
      <c r="G1227" s="286" t="s">
        <v>608</v>
      </c>
      <c r="H1227" s="282" t="s">
        <v>1878</v>
      </c>
      <c r="I1227" s="282"/>
      <c r="J1227" s="282" t="s">
        <v>156</v>
      </c>
      <c r="K1227" s="286" t="s">
        <v>1879</v>
      </c>
      <c r="L1227" s="282" t="s">
        <v>574</v>
      </c>
      <c r="M1227" s="287">
        <v>2400</v>
      </c>
      <c r="N1227" s="287"/>
      <c r="O1227" s="287"/>
      <c r="P1227" s="287"/>
      <c r="Q1227" s="288">
        <v>251</v>
      </c>
      <c r="R1227" s="288"/>
      <c r="S1227" s="288"/>
      <c r="T1227" s="288"/>
      <c r="U1227" s="288">
        <v>0</v>
      </c>
      <c r="V1227" s="289">
        <v>251</v>
      </c>
      <c r="W1227" s="289">
        <v>0</v>
      </c>
      <c r="X1227" s="288">
        <v>0.10458333333333333</v>
      </c>
      <c r="Y1227" s="288">
        <v>0</v>
      </c>
      <c r="Z1227" s="288">
        <v>0</v>
      </c>
      <c r="AA1227" s="288">
        <v>0</v>
      </c>
      <c r="AB1227" s="288">
        <v>0</v>
      </c>
      <c r="AC1227" s="289">
        <v>0.10458333333333333</v>
      </c>
      <c r="AD1227" s="289">
        <v>0</v>
      </c>
    </row>
    <row r="1228" spans="1:30" ht="15" customHeight="1" x14ac:dyDescent="0.25">
      <c r="A1228" s="282" t="s">
        <v>581</v>
      </c>
      <c r="B1228" s="282" t="s">
        <v>616</v>
      </c>
      <c r="C1228" s="282" t="s">
        <v>617</v>
      </c>
      <c r="D1228" s="283" t="s">
        <v>1899</v>
      </c>
      <c r="E1228" s="404">
        <v>44620</v>
      </c>
      <c r="F1228" s="404">
        <v>46446</v>
      </c>
      <c r="G1228" s="286" t="s">
        <v>608</v>
      </c>
      <c r="H1228" s="282" t="s">
        <v>1878</v>
      </c>
      <c r="I1228" s="282"/>
      <c r="J1228" s="282" t="s">
        <v>156</v>
      </c>
      <c r="K1228" s="286" t="s">
        <v>1879</v>
      </c>
      <c r="L1228" s="282" t="s">
        <v>574</v>
      </c>
      <c r="M1228" s="287">
        <v>2400</v>
      </c>
      <c r="N1228" s="287"/>
      <c r="O1228" s="287"/>
      <c r="P1228" s="287"/>
      <c r="Q1228" s="288">
        <v>275</v>
      </c>
      <c r="R1228" s="288"/>
      <c r="S1228" s="288"/>
      <c r="T1228" s="288"/>
      <c r="U1228" s="288">
        <v>0</v>
      </c>
      <c r="V1228" s="289">
        <v>275</v>
      </c>
      <c r="W1228" s="289">
        <v>0</v>
      </c>
      <c r="X1228" s="288">
        <v>0.11458333333333333</v>
      </c>
      <c r="Y1228" s="288">
        <v>0</v>
      </c>
      <c r="Z1228" s="288">
        <v>0</v>
      </c>
      <c r="AA1228" s="288">
        <v>0</v>
      </c>
      <c r="AB1228" s="288">
        <v>0</v>
      </c>
      <c r="AC1228" s="289">
        <v>0.11458333333333333</v>
      </c>
      <c r="AD1228" s="289">
        <v>0</v>
      </c>
    </row>
    <row r="1229" spans="1:30" ht="15" customHeight="1" x14ac:dyDescent="0.25">
      <c r="A1229" s="282" t="s">
        <v>581</v>
      </c>
      <c r="B1229" s="282" t="s">
        <v>585</v>
      </c>
      <c r="C1229" s="282" t="s">
        <v>586</v>
      </c>
      <c r="D1229" s="283" t="s">
        <v>1900</v>
      </c>
      <c r="E1229" s="404">
        <v>44620</v>
      </c>
      <c r="F1229" s="404">
        <v>46446</v>
      </c>
      <c r="G1229" s="286" t="s">
        <v>608</v>
      </c>
      <c r="H1229" s="282" t="s">
        <v>1878</v>
      </c>
      <c r="I1229" s="282"/>
      <c r="J1229" s="282" t="s">
        <v>156</v>
      </c>
      <c r="K1229" s="286" t="s">
        <v>1879</v>
      </c>
      <c r="L1229" s="282" t="s">
        <v>574</v>
      </c>
      <c r="M1229" s="287">
        <v>2400</v>
      </c>
      <c r="N1229" s="287"/>
      <c r="O1229" s="287"/>
      <c r="P1229" s="287"/>
      <c r="Q1229" s="288">
        <v>483</v>
      </c>
      <c r="R1229" s="288"/>
      <c r="S1229" s="288"/>
      <c r="T1229" s="288"/>
      <c r="U1229" s="288">
        <v>0</v>
      </c>
      <c r="V1229" s="289">
        <v>483</v>
      </c>
      <c r="W1229" s="289">
        <v>0</v>
      </c>
      <c r="X1229" s="288">
        <v>0.20125000000000001</v>
      </c>
      <c r="Y1229" s="288">
        <v>0</v>
      </c>
      <c r="Z1229" s="288">
        <v>0</v>
      </c>
      <c r="AA1229" s="288">
        <v>0</v>
      </c>
      <c r="AB1229" s="288">
        <v>0</v>
      </c>
      <c r="AC1229" s="289">
        <v>0.20125000000000001</v>
      </c>
      <c r="AD1229" s="289">
        <v>0</v>
      </c>
    </row>
    <row r="1230" spans="1:30" ht="15" customHeight="1" x14ac:dyDescent="0.25">
      <c r="A1230" s="282" t="s">
        <v>581</v>
      </c>
      <c r="B1230" s="282" t="s">
        <v>585</v>
      </c>
      <c r="C1230" s="282" t="s">
        <v>586</v>
      </c>
      <c r="D1230" s="283" t="s">
        <v>1901</v>
      </c>
      <c r="E1230" s="404">
        <v>44620</v>
      </c>
      <c r="F1230" s="404">
        <v>46446</v>
      </c>
      <c r="G1230" s="286" t="s">
        <v>608</v>
      </c>
      <c r="H1230" s="282" t="s">
        <v>1878</v>
      </c>
      <c r="I1230" s="282"/>
      <c r="J1230" s="282" t="s">
        <v>156</v>
      </c>
      <c r="K1230" s="286" t="s">
        <v>1879</v>
      </c>
      <c r="L1230" s="282" t="s">
        <v>574</v>
      </c>
      <c r="M1230" s="287">
        <v>2400</v>
      </c>
      <c r="N1230" s="287"/>
      <c r="O1230" s="287"/>
      <c r="P1230" s="287"/>
      <c r="Q1230" s="288">
        <v>240</v>
      </c>
      <c r="R1230" s="288"/>
      <c r="S1230" s="288"/>
      <c r="T1230" s="288"/>
      <c r="U1230" s="288">
        <v>0</v>
      </c>
      <c r="V1230" s="289">
        <v>240</v>
      </c>
      <c r="W1230" s="289">
        <v>0</v>
      </c>
      <c r="X1230" s="288">
        <v>0.1</v>
      </c>
      <c r="Y1230" s="288">
        <v>0</v>
      </c>
      <c r="Z1230" s="288">
        <v>0</v>
      </c>
      <c r="AA1230" s="288">
        <v>0</v>
      </c>
      <c r="AB1230" s="288">
        <v>0</v>
      </c>
      <c r="AC1230" s="289">
        <v>0.1</v>
      </c>
      <c r="AD1230" s="289">
        <v>0</v>
      </c>
    </row>
    <row r="1231" spans="1:30" ht="15" customHeight="1" x14ac:dyDescent="0.25">
      <c r="A1231" s="282" t="s">
        <v>581</v>
      </c>
      <c r="B1231" s="282" t="s">
        <v>695</v>
      </c>
      <c r="C1231" s="282" t="s">
        <v>696</v>
      </c>
      <c r="D1231" s="283" t="s">
        <v>1902</v>
      </c>
      <c r="E1231" s="404">
        <v>44620</v>
      </c>
      <c r="F1231" s="404">
        <v>46446</v>
      </c>
      <c r="G1231" s="286" t="s">
        <v>608</v>
      </c>
      <c r="H1231" s="282" t="s">
        <v>1878</v>
      </c>
      <c r="I1231" s="282"/>
      <c r="J1231" s="282" t="s">
        <v>156</v>
      </c>
      <c r="K1231" s="286" t="s">
        <v>1879</v>
      </c>
      <c r="L1231" s="282" t="s">
        <v>574</v>
      </c>
      <c r="M1231" s="287">
        <v>2400</v>
      </c>
      <c r="N1231" s="287"/>
      <c r="O1231" s="287"/>
      <c r="P1231" s="287"/>
      <c r="Q1231" s="288">
        <v>274</v>
      </c>
      <c r="R1231" s="288"/>
      <c r="S1231" s="288"/>
      <c r="T1231" s="288"/>
      <c r="U1231" s="288">
        <v>0</v>
      </c>
      <c r="V1231" s="289">
        <v>274</v>
      </c>
      <c r="W1231" s="289">
        <v>0</v>
      </c>
      <c r="X1231" s="288">
        <v>0.11416666666666667</v>
      </c>
      <c r="Y1231" s="288">
        <v>0</v>
      </c>
      <c r="Z1231" s="288">
        <v>0</v>
      </c>
      <c r="AA1231" s="288">
        <v>0</v>
      </c>
      <c r="AB1231" s="288">
        <v>0</v>
      </c>
      <c r="AC1231" s="289">
        <v>0.11416666666666667</v>
      </c>
      <c r="AD1231" s="289">
        <v>0</v>
      </c>
    </row>
    <row r="1232" spans="1:30" ht="15" customHeight="1" x14ac:dyDescent="0.25">
      <c r="A1232" s="282" t="s">
        <v>581</v>
      </c>
      <c r="B1232" s="282" t="s">
        <v>606</v>
      </c>
      <c r="C1232" s="282" t="s">
        <v>260</v>
      </c>
      <c r="D1232" s="283" t="s">
        <v>1903</v>
      </c>
      <c r="E1232" s="404">
        <v>44620</v>
      </c>
      <c r="F1232" s="404">
        <v>46446</v>
      </c>
      <c r="G1232" s="286" t="s">
        <v>608</v>
      </c>
      <c r="H1232" s="282" t="s">
        <v>1878</v>
      </c>
      <c r="I1232" s="282"/>
      <c r="J1232" s="282" t="s">
        <v>156</v>
      </c>
      <c r="K1232" s="286" t="s">
        <v>1879</v>
      </c>
      <c r="L1232" s="282" t="s">
        <v>574</v>
      </c>
      <c r="M1232" s="287">
        <v>2400</v>
      </c>
      <c r="N1232" s="287"/>
      <c r="O1232" s="287"/>
      <c r="P1232" s="287"/>
      <c r="Q1232" s="288">
        <v>282</v>
      </c>
      <c r="R1232" s="288"/>
      <c r="S1232" s="288"/>
      <c r="T1232" s="288"/>
      <c r="U1232" s="288">
        <v>0</v>
      </c>
      <c r="V1232" s="289">
        <v>282</v>
      </c>
      <c r="W1232" s="289">
        <v>0</v>
      </c>
      <c r="X1232" s="288">
        <v>0.11749999999999999</v>
      </c>
      <c r="Y1232" s="288">
        <v>0</v>
      </c>
      <c r="Z1232" s="288">
        <v>0</v>
      </c>
      <c r="AA1232" s="288">
        <v>0</v>
      </c>
      <c r="AB1232" s="288">
        <v>0</v>
      </c>
      <c r="AC1232" s="289">
        <v>0.11749999999999999</v>
      </c>
      <c r="AD1232" s="289">
        <v>0</v>
      </c>
    </row>
    <row r="1233" spans="1:30" ht="15" customHeight="1" x14ac:dyDescent="0.25">
      <c r="A1233" s="282" t="s">
        <v>581</v>
      </c>
      <c r="B1233" s="282" t="s">
        <v>616</v>
      </c>
      <c r="C1233" s="282" t="s">
        <v>617</v>
      </c>
      <c r="D1233" s="283" t="s">
        <v>1904</v>
      </c>
      <c r="E1233" s="404">
        <v>44620</v>
      </c>
      <c r="F1233" s="404">
        <v>46446</v>
      </c>
      <c r="G1233" s="286" t="s">
        <v>608</v>
      </c>
      <c r="H1233" s="282" t="s">
        <v>1878</v>
      </c>
      <c r="I1233" s="282"/>
      <c r="J1233" s="282" t="s">
        <v>156</v>
      </c>
      <c r="K1233" s="286" t="s">
        <v>1879</v>
      </c>
      <c r="L1233" s="282" t="s">
        <v>574</v>
      </c>
      <c r="M1233" s="287">
        <v>2400</v>
      </c>
      <c r="N1233" s="287"/>
      <c r="O1233" s="287"/>
      <c r="P1233" s="287"/>
      <c r="Q1233" s="288">
        <v>252</v>
      </c>
      <c r="R1233" s="288"/>
      <c r="S1233" s="288"/>
      <c r="T1233" s="288"/>
      <c r="U1233" s="288">
        <v>0</v>
      </c>
      <c r="V1233" s="289">
        <v>252</v>
      </c>
      <c r="W1233" s="289">
        <v>0</v>
      </c>
      <c r="X1233" s="288">
        <v>0.105</v>
      </c>
      <c r="Y1233" s="288">
        <v>0</v>
      </c>
      <c r="Z1233" s="288">
        <v>0</v>
      </c>
      <c r="AA1233" s="288">
        <v>0</v>
      </c>
      <c r="AB1233" s="288">
        <v>0</v>
      </c>
      <c r="AC1233" s="289">
        <v>0.105</v>
      </c>
      <c r="AD1233" s="289">
        <v>0</v>
      </c>
    </row>
    <row r="1234" spans="1:30" ht="15" customHeight="1" x14ac:dyDescent="0.25">
      <c r="A1234" s="282" t="s">
        <v>581</v>
      </c>
      <c r="B1234" s="282" t="s">
        <v>616</v>
      </c>
      <c r="C1234" s="282" t="s">
        <v>617</v>
      </c>
      <c r="D1234" s="283" t="s">
        <v>1905</v>
      </c>
      <c r="E1234" s="404">
        <v>44620</v>
      </c>
      <c r="F1234" s="404">
        <v>46446</v>
      </c>
      <c r="G1234" s="286" t="s">
        <v>608</v>
      </c>
      <c r="H1234" s="282" t="s">
        <v>1878</v>
      </c>
      <c r="I1234" s="282"/>
      <c r="J1234" s="282" t="s">
        <v>156</v>
      </c>
      <c r="K1234" s="286" t="s">
        <v>1879</v>
      </c>
      <c r="L1234" s="282" t="s">
        <v>574</v>
      </c>
      <c r="M1234" s="287">
        <v>2400</v>
      </c>
      <c r="N1234" s="287"/>
      <c r="O1234" s="287"/>
      <c r="P1234" s="287"/>
      <c r="Q1234" s="288">
        <v>255</v>
      </c>
      <c r="R1234" s="288"/>
      <c r="S1234" s="288"/>
      <c r="T1234" s="288"/>
      <c r="U1234" s="288">
        <v>0</v>
      </c>
      <c r="V1234" s="289">
        <v>255</v>
      </c>
      <c r="W1234" s="289">
        <v>0</v>
      </c>
      <c r="X1234" s="288">
        <v>0.10625</v>
      </c>
      <c r="Y1234" s="288">
        <v>0</v>
      </c>
      <c r="Z1234" s="288">
        <v>0</v>
      </c>
      <c r="AA1234" s="288">
        <v>0</v>
      </c>
      <c r="AB1234" s="288">
        <v>0</v>
      </c>
      <c r="AC1234" s="289">
        <v>0.10625</v>
      </c>
      <c r="AD1234" s="289">
        <v>0</v>
      </c>
    </row>
    <row r="1235" spans="1:30" ht="15" customHeight="1" x14ac:dyDescent="0.25">
      <c r="A1235" s="282" t="s">
        <v>581</v>
      </c>
      <c r="B1235" s="282" t="s">
        <v>606</v>
      </c>
      <c r="C1235" s="282" t="s">
        <v>260</v>
      </c>
      <c r="D1235" s="283" t="s">
        <v>1906</v>
      </c>
      <c r="E1235" s="404">
        <v>44620</v>
      </c>
      <c r="F1235" s="404">
        <v>46446</v>
      </c>
      <c r="G1235" s="286" t="s">
        <v>608</v>
      </c>
      <c r="H1235" s="282" t="s">
        <v>1878</v>
      </c>
      <c r="I1235" s="282"/>
      <c r="J1235" s="282" t="s">
        <v>156</v>
      </c>
      <c r="K1235" s="286" t="s">
        <v>1879</v>
      </c>
      <c r="L1235" s="282" t="s">
        <v>574</v>
      </c>
      <c r="M1235" s="287">
        <v>2400</v>
      </c>
      <c r="N1235" s="287"/>
      <c r="O1235" s="287"/>
      <c r="P1235" s="287"/>
      <c r="Q1235" s="288">
        <v>235</v>
      </c>
      <c r="R1235" s="288"/>
      <c r="S1235" s="288"/>
      <c r="T1235" s="288"/>
      <c r="U1235" s="288">
        <v>0</v>
      </c>
      <c r="V1235" s="289">
        <v>235</v>
      </c>
      <c r="W1235" s="289">
        <v>0</v>
      </c>
      <c r="X1235" s="288">
        <v>9.7916666666666666E-2</v>
      </c>
      <c r="Y1235" s="288">
        <v>0</v>
      </c>
      <c r="Z1235" s="288">
        <v>0</v>
      </c>
      <c r="AA1235" s="288">
        <v>0</v>
      </c>
      <c r="AB1235" s="288">
        <v>0</v>
      </c>
      <c r="AC1235" s="289">
        <v>9.7916666666666666E-2</v>
      </c>
      <c r="AD1235" s="289">
        <v>0</v>
      </c>
    </row>
    <row r="1236" spans="1:30" ht="15" customHeight="1" x14ac:dyDescent="0.25">
      <c r="A1236" s="282" t="s">
        <v>581</v>
      </c>
      <c r="B1236" s="282" t="s">
        <v>606</v>
      </c>
      <c r="C1236" s="282" t="s">
        <v>260</v>
      </c>
      <c r="D1236" s="283" t="s">
        <v>1907</v>
      </c>
      <c r="E1236" s="404">
        <v>44620</v>
      </c>
      <c r="F1236" s="404">
        <v>46446</v>
      </c>
      <c r="G1236" s="286" t="s">
        <v>608</v>
      </c>
      <c r="H1236" s="282" t="s">
        <v>1878</v>
      </c>
      <c r="I1236" s="282"/>
      <c r="J1236" s="282" t="s">
        <v>156</v>
      </c>
      <c r="K1236" s="286" t="s">
        <v>1879</v>
      </c>
      <c r="L1236" s="282" t="s">
        <v>574</v>
      </c>
      <c r="M1236" s="287">
        <v>2400</v>
      </c>
      <c r="N1236" s="287"/>
      <c r="O1236" s="287"/>
      <c r="P1236" s="287"/>
      <c r="Q1236" s="288">
        <v>122</v>
      </c>
      <c r="R1236" s="288"/>
      <c r="S1236" s="288"/>
      <c r="T1236" s="288"/>
      <c r="U1236" s="288">
        <v>0</v>
      </c>
      <c r="V1236" s="289">
        <v>122</v>
      </c>
      <c r="W1236" s="289">
        <v>0</v>
      </c>
      <c r="X1236" s="288">
        <v>5.0833333333333335E-2</v>
      </c>
      <c r="Y1236" s="288">
        <v>0</v>
      </c>
      <c r="Z1236" s="288">
        <v>0</v>
      </c>
      <c r="AA1236" s="288">
        <v>0</v>
      </c>
      <c r="AB1236" s="288">
        <v>0</v>
      </c>
      <c r="AC1236" s="289">
        <v>5.0833333333333335E-2</v>
      </c>
      <c r="AD1236" s="289">
        <v>0</v>
      </c>
    </row>
    <row r="1237" spans="1:30" ht="15" customHeight="1" x14ac:dyDescent="0.25">
      <c r="A1237" s="282" t="s">
        <v>581</v>
      </c>
      <c r="B1237" s="282" t="s">
        <v>606</v>
      </c>
      <c r="C1237" s="282" t="s">
        <v>260</v>
      </c>
      <c r="D1237" s="283" t="s">
        <v>1908</v>
      </c>
      <c r="E1237" s="404">
        <v>44620</v>
      </c>
      <c r="F1237" s="404">
        <v>46446</v>
      </c>
      <c r="G1237" s="286" t="s">
        <v>608</v>
      </c>
      <c r="H1237" s="282" t="s">
        <v>1878</v>
      </c>
      <c r="I1237" s="282"/>
      <c r="J1237" s="282" t="s">
        <v>156</v>
      </c>
      <c r="K1237" s="286" t="s">
        <v>1879</v>
      </c>
      <c r="L1237" s="282" t="s">
        <v>574</v>
      </c>
      <c r="M1237" s="287">
        <v>2400</v>
      </c>
      <c r="N1237" s="287"/>
      <c r="O1237" s="287"/>
      <c r="P1237" s="287"/>
      <c r="Q1237" s="288">
        <v>173</v>
      </c>
      <c r="R1237" s="288"/>
      <c r="S1237" s="288"/>
      <c r="T1237" s="288"/>
      <c r="U1237" s="288">
        <v>0</v>
      </c>
      <c r="V1237" s="289">
        <v>173</v>
      </c>
      <c r="W1237" s="289">
        <v>0</v>
      </c>
      <c r="X1237" s="288">
        <v>7.2083333333333333E-2</v>
      </c>
      <c r="Y1237" s="288">
        <v>0</v>
      </c>
      <c r="Z1237" s="288">
        <v>0</v>
      </c>
      <c r="AA1237" s="288">
        <v>0</v>
      </c>
      <c r="AB1237" s="288">
        <v>0</v>
      </c>
      <c r="AC1237" s="289">
        <v>7.2083333333333333E-2</v>
      </c>
      <c r="AD1237" s="289">
        <v>0</v>
      </c>
    </row>
    <row r="1238" spans="1:30" ht="15" customHeight="1" x14ac:dyDescent="0.25">
      <c r="A1238" s="282" t="s">
        <v>581</v>
      </c>
      <c r="B1238" s="282" t="s">
        <v>1909</v>
      </c>
      <c r="C1238" s="282" t="s">
        <v>260</v>
      </c>
      <c r="D1238" s="283" t="s">
        <v>1910</v>
      </c>
      <c r="E1238" s="404">
        <v>44620</v>
      </c>
      <c r="F1238" s="404">
        <v>46446</v>
      </c>
      <c r="G1238" s="286" t="s">
        <v>608</v>
      </c>
      <c r="H1238" s="282" t="s">
        <v>1878</v>
      </c>
      <c r="I1238" s="282"/>
      <c r="J1238" s="282" t="s">
        <v>156</v>
      </c>
      <c r="K1238" s="286" t="s">
        <v>1879</v>
      </c>
      <c r="L1238" s="282" t="s">
        <v>574</v>
      </c>
      <c r="M1238" s="287">
        <v>2400</v>
      </c>
      <c r="N1238" s="287"/>
      <c r="O1238" s="287"/>
      <c r="P1238" s="287"/>
      <c r="Q1238" s="288">
        <v>1240</v>
      </c>
      <c r="R1238" s="288"/>
      <c r="S1238" s="288"/>
      <c r="T1238" s="288"/>
      <c r="U1238" s="288">
        <v>0</v>
      </c>
      <c r="V1238" s="289">
        <v>1240</v>
      </c>
      <c r="W1238" s="289">
        <v>0</v>
      </c>
      <c r="X1238" s="288">
        <v>0.51666666666666672</v>
      </c>
      <c r="Y1238" s="288">
        <v>0</v>
      </c>
      <c r="Z1238" s="288">
        <v>0</v>
      </c>
      <c r="AA1238" s="288">
        <v>0</v>
      </c>
      <c r="AB1238" s="288">
        <v>0</v>
      </c>
      <c r="AC1238" s="289">
        <v>0.51666666666666672</v>
      </c>
      <c r="AD1238" s="289">
        <v>0</v>
      </c>
    </row>
    <row r="1239" spans="1:30" ht="15" customHeight="1" x14ac:dyDescent="0.25">
      <c r="A1239" s="282" t="s">
        <v>581</v>
      </c>
      <c r="B1239" s="282" t="s">
        <v>1909</v>
      </c>
      <c r="C1239" s="282" t="s">
        <v>260</v>
      </c>
      <c r="D1239" s="283" t="s">
        <v>1911</v>
      </c>
      <c r="E1239" s="404">
        <v>44620</v>
      </c>
      <c r="F1239" s="404">
        <v>46446</v>
      </c>
      <c r="G1239" s="286" t="s">
        <v>608</v>
      </c>
      <c r="H1239" s="282" t="s">
        <v>1878</v>
      </c>
      <c r="I1239" s="282"/>
      <c r="J1239" s="282" t="s">
        <v>156</v>
      </c>
      <c r="K1239" s="286" t="s">
        <v>1879</v>
      </c>
      <c r="L1239" s="282" t="s">
        <v>574</v>
      </c>
      <c r="M1239" s="287">
        <v>2400</v>
      </c>
      <c r="N1239" s="287"/>
      <c r="O1239" s="287"/>
      <c r="P1239" s="287"/>
      <c r="Q1239" s="288">
        <v>1270</v>
      </c>
      <c r="R1239" s="288"/>
      <c r="S1239" s="288"/>
      <c r="T1239" s="288"/>
      <c r="U1239" s="288">
        <v>0</v>
      </c>
      <c r="V1239" s="289">
        <v>1270</v>
      </c>
      <c r="W1239" s="289">
        <v>0</v>
      </c>
      <c r="X1239" s="288">
        <v>0.52916666666666667</v>
      </c>
      <c r="Y1239" s="288">
        <v>0</v>
      </c>
      <c r="Z1239" s="288">
        <v>0</v>
      </c>
      <c r="AA1239" s="288">
        <v>0</v>
      </c>
      <c r="AB1239" s="288">
        <v>0</v>
      </c>
      <c r="AC1239" s="289">
        <v>0.52916666666666667</v>
      </c>
      <c r="AD1239" s="289">
        <v>0</v>
      </c>
    </row>
    <row r="1240" spans="1:30" ht="15" customHeight="1" x14ac:dyDescent="0.25">
      <c r="A1240" s="282" t="s">
        <v>581</v>
      </c>
      <c r="B1240" s="282" t="s">
        <v>1909</v>
      </c>
      <c r="C1240" s="282" t="s">
        <v>260</v>
      </c>
      <c r="D1240" s="283" t="s">
        <v>1912</v>
      </c>
      <c r="E1240" s="404">
        <v>44620</v>
      </c>
      <c r="F1240" s="404">
        <v>46446</v>
      </c>
      <c r="G1240" s="286" t="s">
        <v>608</v>
      </c>
      <c r="H1240" s="282" t="s">
        <v>1878</v>
      </c>
      <c r="I1240" s="282"/>
      <c r="J1240" s="282" t="s">
        <v>156</v>
      </c>
      <c r="K1240" s="286" t="s">
        <v>1879</v>
      </c>
      <c r="L1240" s="282" t="s">
        <v>574</v>
      </c>
      <c r="M1240" s="287">
        <v>2400</v>
      </c>
      <c r="N1240" s="287"/>
      <c r="O1240" s="287"/>
      <c r="P1240" s="287"/>
      <c r="Q1240" s="288">
        <v>579</v>
      </c>
      <c r="R1240" s="288"/>
      <c r="S1240" s="288"/>
      <c r="T1240" s="288"/>
      <c r="U1240" s="288">
        <v>0</v>
      </c>
      <c r="V1240" s="289">
        <v>579</v>
      </c>
      <c r="W1240" s="289">
        <v>0</v>
      </c>
      <c r="X1240" s="288">
        <v>0.24124999999999999</v>
      </c>
      <c r="Y1240" s="288">
        <v>0</v>
      </c>
      <c r="Z1240" s="288">
        <v>0</v>
      </c>
      <c r="AA1240" s="288">
        <v>0</v>
      </c>
      <c r="AB1240" s="288">
        <v>0</v>
      </c>
      <c r="AC1240" s="289">
        <v>0.24124999999999999</v>
      </c>
      <c r="AD1240" s="289">
        <v>0</v>
      </c>
    </row>
    <row r="1241" spans="1:30" ht="15" customHeight="1" x14ac:dyDescent="0.25">
      <c r="A1241" s="282" t="s">
        <v>581</v>
      </c>
      <c r="B1241" s="282" t="s">
        <v>1909</v>
      </c>
      <c r="C1241" s="282" t="s">
        <v>260</v>
      </c>
      <c r="D1241" s="283" t="s">
        <v>1913</v>
      </c>
      <c r="E1241" s="404">
        <v>44620</v>
      </c>
      <c r="F1241" s="404">
        <v>46446</v>
      </c>
      <c r="G1241" s="286" t="s">
        <v>608</v>
      </c>
      <c r="H1241" s="282" t="s">
        <v>1878</v>
      </c>
      <c r="I1241" s="282"/>
      <c r="J1241" s="282" t="s">
        <v>156</v>
      </c>
      <c r="K1241" s="286" t="s">
        <v>1879</v>
      </c>
      <c r="L1241" s="282" t="s">
        <v>574</v>
      </c>
      <c r="M1241" s="287">
        <v>2400</v>
      </c>
      <c r="N1241" s="287"/>
      <c r="O1241" s="287"/>
      <c r="P1241" s="287"/>
      <c r="Q1241" s="288">
        <v>587</v>
      </c>
      <c r="R1241" s="288"/>
      <c r="S1241" s="288"/>
      <c r="T1241" s="288"/>
      <c r="U1241" s="288">
        <v>0</v>
      </c>
      <c r="V1241" s="289">
        <v>587</v>
      </c>
      <c r="W1241" s="289">
        <v>0</v>
      </c>
      <c r="X1241" s="288">
        <v>0.24458333333333335</v>
      </c>
      <c r="Y1241" s="288">
        <v>0</v>
      </c>
      <c r="Z1241" s="288">
        <v>0</v>
      </c>
      <c r="AA1241" s="288">
        <v>0</v>
      </c>
      <c r="AB1241" s="288">
        <v>0</v>
      </c>
      <c r="AC1241" s="289">
        <v>0.24458333333333335</v>
      </c>
      <c r="AD1241" s="289">
        <v>0</v>
      </c>
    </row>
    <row r="1242" spans="1:30" ht="15" customHeight="1" x14ac:dyDescent="0.25">
      <c r="A1242" s="282" t="s">
        <v>581</v>
      </c>
      <c r="B1242" s="282" t="s">
        <v>1909</v>
      </c>
      <c r="C1242" s="282" t="s">
        <v>260</v>
      </c>
      <c r="D1242" s="283" t="s">
        <v>1914</v>
      </c>
      <c r="E1242" s="404">
        <v>44620</v>
      </c>
      <c r="F1242" s="404">
        <v>46446</v>
      </c>
      <c r="G1242" s="286" t="s">
        <v>608</v>
      </c>
      <c r="H1242" s="282" t="s">
        <v>1878</v>
      </c>
      <c r="I1242" s="282"/>
      <c r="J1242" s="282" t="s">
        <v>156</v>
      </c>
      <c r="K1242" s="286" t="s">
        <v>1879</v>
      </c>
      <c r="L1242" s="282" t="s">
        <v>574</v>
      </c>
      <c r="M1242" s="287">
        <v>2400</v>
      </c>
      <c r="N1242" s="287"/>
      <c r="O1242" s="287"/>
      <c r="P1242" s="287"/>
      <c r="Q1242" s="288">
        <v>296</v>
      </c>
      <c r="R1242" s="288"/>
      <c r="S1242" s="288"/>
      <c r="T1242" s="288"/>
      <c r="U1242" s="288">
        <v>0</v>
      </c>
      <c r="V1242" s="289">
        <v>296</v>
      </c>
      <c r="W1242" s="289">
        <v>0</v>
      </c>
      <c r="X1242" s="288">
        <v>0.12333333333333334</v>
      </c>
      <c r="Y1242" s="288">
        <v>0</v>
      </c>
      <c r="Z1242" s="288">
        <v>0</v>
      </c>
      <c r="AA1242" s="288">
        <v>0</v>
      </c>
      <c r="AB1242" s="288">
        <v>0</v>
      </c>
      <c r="AC1242" s="289">
        <v>0.12333333333333334</v>
      </c>
      <c r="AD1242" s="289">
        <v>0</v>
      </c>
    </row>
    <row r="1243" spans="1:30" ht="15" customHeight="1" x14ac:dyDescent="0.25">
      <c r="A1243" s="282" t="s">
        <v>581</v>
      </c>
      <c r="B1243" s="282" t="s">
        <v>1909</v>
      </c>
      <c r="C1243" s="282" t="s">
        <v>260</v>
      </c>
      <c r="D1243" s="283" t="s">
        <v>1915</v>
      </c>
      <c r="E1243" s="404">
        <v>44620</v>
      </c>
      <c r="F1243" s="404">
        <v>46446</v>
      </c>
      <c r="G1243" s="286" t="s">
        <v>608</v>
      </c>
      <c r="H1243" s="282" t="s">
        <v>1878</v>
      </c>
      <c r="I1243" s="282"/>
      <c r="J1243" s="282" t="s">
        <v>156</v>
      </c>
      <c r="K1243" s="286" t="s">
        <v>1879</v>
      </c>
      <c r="L1243" s="282" t="s">
        <v>574</v>
      </c>
      <c r="M1243" s="287">
        <v>2400</v>
      </c>
      <c r="N1243" s="287"/>
      <c r="O1243" s="287"/>
      <c r="P1243" s="287"/>
      <c r="Q1243" s="288">
        <v>481</v>
      </c>
      <c r="R1243" s="288"/>
      <c r="S1243" s="288"/>
      <c r="T1243" s="288"/>
      <c r="U1243" s="288">
        <v>0</v>
      </c>
      <c r="V1243" s="289">
        <v>481</v>
      </c>
      <c r="W1243" s="289">
        <v>0</v>
      </c>
      <c r="X1243" s="288">
        <v>0.20041666666666666</v>
      </c>
      <c r="Y1243" s="288">
        <v>0</v>
      </c>
      <c r="Z1243" s="288">
        <v>0</v>
      </c>
      <c r="AA1243" s="288">
        <v>0</v>
      </c>
      <c r="AB1243" s="288">
        <v>0</v>
      </c>
      <c r="AC1243" s="289">
        <v>0.20041666666666666</v>
      </c>
      <c r="AD1243" s="289">
        <v>0</v>
      </c>
    </row>
    <row r="1244" spans="1:30" ht="15" customHeight="1" x14ac:dyDescent="0.25">
      <c r="A1244" s="282" t="s">
        <v>581</v>
      </c>
      <c r="B1244" s="282" t="s">
        <v>1909</v>
      </c>
      <c r="C1244" s="282" t="s">
        <v>260</v>
      </c>
      <c r="D1244" s="283" t="s">
        <v>1916</v>
      </c>
      <c r="E1244" s="404">
        <v>44620</v>
      </c>
      <c r="F1244" s="404">
        <v>46446</v>
      </c>
      <c r="G1244" s="286" t="s">
        <v>608</v>
      </c>
      <c r="H1244" s="282" t="s">
        <v>1878</v>
      </c>
      <c r="I1244" s="282"/>
      <c r="J1244" s="282" t="s">
        <v>156</v>
      </c>
      <c r="K1244" s="286" t="s">
        <v>1879</v>
      </c>
      <c r="L1244" s="282" t="s">
        <v>574</v>
      </c>
      <c r="M1244" s="287">
        <v>2400</v>
      </c>
      <c r="N1244" s="287"/>
      <c r="O1244" s="287"/>
      <c r="P1244" s="287"/>
      <c r="Q1244" s="288">
        <v>296</v>
      </c>
      <c r="R1244" s="288"/>
      <c r="S1244" s="288"/>
      <c r="T1244" s="288"/>
      <c r="U1244" s="288">
        <v>0</v>
      </c>
      <c r="V1244" s="289">
        <v>296</v>
      </c>
      <c r="W1244" s="289">
        <v>0</v>
      </c>
      <c r="X1244" s="288">
        <v>0.12333333333333334</v>
      </c>
      <c r="Y1244" s="288">
        <v>0</v>
      </c>
      <c r="Z1244" s="288">
        <v>0</v>
      </c>
      <c r="AA1244" s="288">
        <v>0</v>
      </c>
      <c r="AB1244" s="288">
        <v>0</v>
      </c>
      <c r="AC1244" s="289">
        <v>0.12333333333333334</v>
      </c>
      <c r="AD1244" s="289">
        <v>0</v>
      </c>
    </row>
    <row r="1245" spans="1:30" ht="15" customHeight="1" x14ac:dyDescent="0.25">
      <c r="A1245" s="282" t="s">
        <v>581</v>
      </c>
      <c r="B1245" s="282" t="s">
        <v>1909</v>
      </c>
      <c r="C1245" s="282" t="s">
        <v>260</v>
      </c>
      <c r="D1245" s="283" t="s">
        <v>1917</v>
      </c>
      <c r="E1245" s="404">
        <v>44620</v>
      </c>
      <c r="F1245" s="404">
        <v>46446</v>
      </c>
      <c r="G1245" s="286" t="s">
        <v>608</v>
      </c>
      <c r="H1245" s="282" t="s">
        <v>1878</v>
      </c>
      <c r="I1245" s="282"/>
      <c r="J1245" s="282" t="s">
        <v>156</v>
      </c>
      <c r="K1245" s="286" t="s">
        <v>1879</v>
      </c>
      <c r="L1245" s="282" t="s">
        <v>574</v>
      </c>
      <c r="M1245" s="287">
        <v>2400</v>
      </c>
      <c r="N1245" s="287"/>
      <c r="O1245" s="287"/>
      <c r="P1245" s="287"/>
      <c r="Q1245" s="288">
        <v>481</v>
      </c>
      <c r="R1245" s="288"/>
      <c r="S1245" s="288"/>
      <c r="T1245" s="288"/>
      <c r="U1245" s="288">
        <v>0</v>
      </c>
      <c r="V1245" s="289">
        <v>481</v>
      </c>
      <c r="W1245" s="289">
        <v>0</v>
      </c>
      <c r="X1245" s="288">
        <v>0.20041666666666666</v>
      </c>
      <c r="Y1245" s="288">
        <v>0</v>
      </c>
      <c r="Z1245" s="288">
        <v>0</v>
      </c>
      <c r="AA1245" s="288">
        <v>0</v>
      </c>
      <c r="AB1245" s="288">
        <v>0</v>
      </c>
      <c r="AC1245" s="289">
        <v>0.20041666666666666</v>
      </c>
      <c r="AD1245" s="289">
        <v>0</v>
      </c>
    </row>
    <row r="1246" spans="1:30" ht="15" customHeight="1" x14ac:dyDescent="0.25">
      <c r="A1246" s="282" t="s">
        <v>581</v>
      </c>
      <c r="B1246" s="282" t="s">
        <v>695</v>
      </c>
      <c r="C1246" s="282" t="s">
        <v>696</v>
      </c>
      <c r="D1246" s="283" t="s">
        <v>1918</v>
      </c>
      <c r="E1246" s="404">
        <v>44620</v>
      </c>
      <c r="F1246" s="404">
        <v>46446</v>
      </c>
      <c r="G1246" s="286" t="s">
        <v>608</v>
      </c>
      <c r="H1246" s="282" t="s">
        <v>1878</v>
      </c>
      <c r="I1246" s="282"/>
      <c r="J1246" s="282" t="s">
        <v>156</v>
      </c>
      <c r="K1246" s="286" t="s">
        <v>1879</v>
      </c>
      <c r="L1246" s="282" t="s">
        <v>574</v>
      </c>
      <c r="M1246" s="287">
        <v>2400</v>
      </c>
      <c r="N1246" s="287"/>
      <c r="O1246" s="287"/>
      <c r="P1246" s="287"/>
      <c r="Q1246" s="288">
        <v>539</v>
      </c>
      <c r="R1246" s="288"/>
      <c r="S1246" s="288"/>
      <c r="T1246" s="288"/>
      <c r="U1246" s="288">
        <v>0</v>
      </c>
      <c r="V1246" s="289">
        <v>539</v>
      </c>
      <c r="W1246" s="289">
        <v>0</v>
      </c>
      <c r="X1246" s="288">
        <v>0.22458333333333333</v>
      </c>
      <c r="Y1246" s="288">
        <v>0</v>
      </c>
      <c r="Z1246" s="288">
        <v>0</v>
      </c>
      <c r="AA1246" s="288">
        <v>0</v>
      </c>
      <c r="AB1246" s="288">
        <v>0</v>
      </c>
      <c r="AC1246" s="289">
        <v>0.22458333333333333</v>
      </c>
      <c r="AD1246" s="289">
        <v>0</v>
      </c>
    </row>
    <row r="1247" spans="1:30" ht="15" customHeight="1" x14ac:dyDescent="0.25">
      <c r="A1247" s="282" t="s">
        <v>581</v>
      </c>
      <c r="B1247" s="282" t="s">
        <v>585</v>
      </c>
      <c r="C1247" s="282" t="s">
        <v>586</v>
      </c>
      <c r="D1247" s="283" t="s">
        <v>1919</v>
      </c>
      <c r="E1247" s="404">
        <v>44620</v>
      </c>
      <c r="F1247" s="404">
        <v>46446</v>
      </c>
      <c r="G1247" s="286" t="s">
        <v>608</v>
      </c>
      <c r="H1247" s="282" t="s">
        <v>1878</v>
      </c>
      <c r="I1247" s="282"/>
      <c r="J1247" s="282" t="s">
        <v>156</v>
      </c>
      <c r="K1247" s="286" t="s">
        <v>1879</v>
      </c>
      <c r="L1247" s="282" t="s">
        <v>574</v>
      </c>
      <c r="M1247" s="287">
        <v>2400</v>
      </c>
      <c r="N1247" s="287"/>
      <c r="O1247" s="287"/>
      <c r="P1247" s="287"/>
      <c r="Q1247" s="288">
        <v>242</v>
      </c>
      <c r="R1247" s="288"/>
      <c r="S1247" s="288"/>
      <c r="T1247" s="288"/>
      <c r="U1247" s="288">
        <v>0</v>
      </c>
      <c r="V1247" s="289">
        <v>242</v>
      </c>
      <c r="W1247" s="289">
        <v>0</v>
      </c>
      <c r="X1247" s="288">
        <v>0.10083333333333333</v>
      </c>
      <c r="Y1247" s="288">
        <v>0</v>
      </c>
      <c r="Z1247" s="288">
        <v>0</v>
      </c>
      <c r="AA1247" s="288">
        <v>0</v>
      </c>
      <c r="AB1247" s="288">
        <v>0</v>
      </c>
      <c r="AC1247" s="289">
        <v>0.10083333333333333</v>
      </c>
      <c r="AD1247" s="289">
        <v>0</v>
      </c>
    </row>
    <row r="1248" spans="1:30" ht="15" customHeight="1" x14ac:dyDescent="0.25">
      <c r="A1248" s="282" t="s">
        <v>581</v>
      </c>
      <c r="B1248" s="282" t="s">
        <v>585</v>
      </c>
      <c r="C1248" s="282" t="s">
        <v>586</v>
      </c>
      <c r="D1248" s="283" t="s">
        <v>1920</v>
      </c>
      <c r="E1248" s="404">
        <v>44620</v>
      </c>
      <c r="F1248" s="404">
        <v>46446</v>
      </c>
      <c r="G1248" s="286" t="s">
        <v>608</v>
      </c>
      <c r="H1248" s="282" t="s">
        <v>1878</v>
      </c>
      <c r="I1248" s="282"/>
      <c r="J1248" s="282" t="s">
        <v>156</v>
      </c>
      <c r="K1248" s="286" t="s">
        <v>1879</v>
      </c>
      <c r="L1248" s="282" t="s">
        <v>574</v>
      </c>
      <c r="M1248" s="287">
        <v>2400</v>
      </c>
      <c r="N1248" s="287"/>
      <c r="O1248" s="287"/>
      <c r="P1248" s="287"/>
      <c r="Q1248" s="288">
        <v>254</v>
      </c>
      <c r="R1248" s="288"/>
      <c r="S1248" s="288"/>
      <c r="T1248" s="288"/>
      <c r="U1248" s="288">
        <v>0</v>
      </c>
      <c r="V1248" s="289">
        <v>254</v>
      </c>
      <c r="W1248" s="289">
        <v>0</v>
      </c>
      <c r="X1248" s="288">
        <v>0.10583333333333333</v>
      </c>
      <c r="Y1248" s="288">
        <v>0</v>
      </c>
      <c r="Z1248" s="288">
        <v>0</v>
      </c>
      <c r="AA1248" s="288">
        <v>0</v>
      </c>
      <c r="AB1248" s="288">
        <v>0</v>
      </c>
      <c r="AC1248" s="289">
        <v>0.10583333333333333</v>
      </c>
      <c r="AD1248" s="289">
        <v>0</v>
      </c>
    </row>
    <row r="1249" spans="1:30" ht="15" customHeight="1" x14ac:dyDescent="0.25">
      <c r="A1249" s="282" t="s">
        <v>581</v>
      </c>
      <c r="B1249" s="282" t="s">
        <v>616</v>
      </c>
      <c r="C1249" s="282" t="s">
        <v>617</v>
      </c>
      <c r="D1249" s="283" t="s">
        <v>1921</v>
      </c>
      <c r="E1249" s="404">
        <v>44620</v>
      </c>
      <c r="F1249" s="404">
        <v>46446</v>
      </c>
      <c r="G1249" s="286" t="s">
        <v>608</v>
      </c>
      <c r="H1249" s="282" t="s">
        <v>1878</v>
      </c>
      <c r="I1249" s="282"/>
      <c r="J1249" s="282" t="s">
        <v>156</v>
      </c>
      <c r="K1249" s="286" t="s">
        <v>1879</v>
      </c>
      <c r="L1249" s="282" t="s">
        <v>574</v>
      </c>
      <c r="M1249" s="287">
        <v>2400</v>
      </c>
      <c r="N1249" s="287"/>
      <c r="O1249" s="287"/>
      <c r="P1249" s="287"/>
      <c r="Q1249" s="288">
        <v>259</v>
      </c>
      <c r="R1249" s="288"/>
      <c r="S1249" s="288"/>
      <c r="T1249" s="288"/>
      <c r="U1249" s="288">
        <v>0</v>
      </c>
      <c r="V1249" s="289">
        <v>259</v>
      </c>
      <c r="W1249" s="289">
        <v>0</v>
      </c>
      <c r="X1249" s="288">
        <v>0.10791666666666666</v>
      </c>
      <c r="Y1249" s="288">
        <v>0</v>
      </c>
      <c r="Z1249" s="288">
        <v>0</v>
      </c>
      <c r="AA1249" s="288">
        <v>0</v>
      </c>
      <c r="AB1249" s="288">
        <v>0</v>
      </c>
      <c r="AC1249" s="289">
        <v>0.10791666666666666</v>
      </c>
      <c r="AD1249" s="289">
        <v>0</v>
      </c>
    </row>
    <row r="1250" spans="1:30" ht="15" customHeight="1" x14ac:dyDescent="0.25">
      <c r="A1250" s="282" t="s">
        <v>581</v>
      </c>
      <c r="B1250" s="282" t="s">
        <v>616</v>
      </c>
      <c r="C1250" s="282" t="s">
        <v>617</v>
      </c>
      <c r="D1250" s="283" t="s">
        <v>1922</v>
      </c>
      <c r="E1250" s="404">
        <v>44620</v>
      </c>
      <c r="F1250" s="404">
        <v>46446</v>
      </c>
      <c r="G1250" s="286" t="s">
        <v>608</v>
      </c>
      <c r="H1250" s="282" t="s">
        <v>1878</v>
      </c>
      <c r="I1250" s="282"/>
      <c r="J1250" s="282" t="s">
        <v>156</v>
      </c>
      <c r="K1250" s="286" t="s">
        <v>1879</v>
      </c>
      <c r="L1250" s="282" t="s">
        <v>574</v>
      </c>
      <c r="M1250" s="287">
        <v>2400</v>
      </c>
      <c r="N1250" s="287"/>
      <c r="O1250" s="287"/>
      <c r="P1250" s="287"/>
      <c r="Q1250" s="288">
        <v>271</v>
      </c>
      <c r="R1250" s="288"/>
      <c r="S1250" s="288"/>
      <c r="T1250" s="288"/>
      <c r="U1250" s="288">
        <v>0</v>
      </c>
      <c r="V1250" s="289">
        <v>271</v>
      </c>
      <c r="W1250" s="289">
        <v>0</v>
      </c>
      <c r="X1250" s="288">
        <v>0.11291666666666667</v>
      </c>
      <c r="Y1250" s="288">
        <v>0</v>
      </c>
      <c r="Z1250" s="288">
        <v>0</v>
      </c>
      <c r="AA1250" s="288">
        <v>0</v>
      </c>
      <c r="AB1250" s="288">
        <v>0</v>
      </c>
      <c r="AC1250" s="289">
        <v>0.11291666666666667</v>
      </c>
      <c r="AD1250" s="289">
        <v>0</v>
      </c>
    </row>
    <row r="1251" spans="1:30" ht="15" customHeight="1" x14ac:dyDescent="0.25">
      <c r="A1251" s="282" t="s">
        <v>581</v>
      </c>
      <c r="B1251" s="282" t="s">
        <v>695</v>
      </c>
      <c r="C1251" s="282" t="s">
        <v>696</v>
      </c>
      <c r="D1251" s="283" t="s">
        <v>1923</v>
      </c>
      <c r="E1251" s="404">
        <v>44620</v>
      </c>
      <c r="F1251" s="404">
        <v>46446</v>
      </c>
      <c r="G1251" s="286" t="s">
        <v>608</v>
      </c>
      <c r="H1251" s="282" t="s">
        <v>1878</v>
      </c>
      <c r="I1251" s="282"/>
      <c r="J1251" s="282" t="s">
        <v>156</v>
      </c>
      <c r="K1251" s="286" t="s">
        <v>1879</v>
      </c>
      <c r="L1251" s="282" t="s">
        <v>574</v>
      </c>
      <c r="M1251" s="287">
        <v>2400</v>
      </c>
      <c r="N1251" s="287"/>
      <c r="O1251" s="287"/>
      <c r="P1251" s="287"/>
      <c r="Q1251" s="288">
        <v>285</v>
      </c>
      <c r="R1251" s="288"/>
      <c r="S1251" s="288"/>
      <c r="T1251" s="288"/>
      <c r="U1251" s="288">
        <v>0</v>
      </c>
      <c r="V1251" s="289">
        <v>285</v>
      </c>
      <c r="W1251" s="289">
        <v>0</v>
      </c>
      <c r="X1251" s="288">
        <v>0.11874999999999999</v>
      </c>
      <c r="Y1251" s="288">
        <v>0</v>
      </c>
      <c r="Z1251" s="288">
        <v>0</v>
      </c>
      <c r="AA1251" s="288">
        <v>0</v>
      </c>
      <c r="AB1251" s="288">
        <v>0</v>
      </c>
      <c r="AC1251" s="289">
        <v>0.11874999999999999</v>
      </c>
      <c r="AD1251" s="289">
        <v>0</v>
      </c>
    </row>
    <row r="1252" spans="1:30" ht="15" customHeight="1" x14ac:dyDescent="0.25">
      <c r="A1252" s="282" t="s">
        <v>581</v>
      </c>
      <c r="B1252" s="282" t="s">
        <v>695</v>
      </c>
      <c r="C1252" s="282" t="s">
        <v>696</v>
      </c>
      <c r="D1252" s="283" t="s">
        <v>1924</v>
      </c>
      <c r="E1252" s="404">
        <v>44620</v>
      </c>
      <c r="F1252" s="404">
        <v>46446</v>
      </c>
      <c r="G1252" s="286" t="s">
        <v>608</v>
      </c>
      <c r="H1252" s="282" t="s">
        <v>1878</v>
      </c>
      <c r="I1252" s="282"/>
      <c r="J1252" s="282" t="s">
        <v>156</v>
      </c>
      <c r="K1252" s="286" t="s">
        <v>1879</v>
      </c>
      <c r="L1252" s="282" t="s">
        <v>574</v>
      </c>
      <c r="M1252" s="287">
        <v>2400</v>
      </c>
      <c r="N1252" s="287"/>
      <c r="O1252" s="287"/>
      <c r="P1252" s="287"/>
      <c r="Q1252" s="288">
        <v>298</v>
      </c>
      <c r="R1252" s="288"/>
      <c r="S1252" s="288"/>
      <c r="T1252" s="288"/>
      <c r="U1252" s="288">
        <v>0</v>
      </c>
      <c r="V1252" s="289">
        <v>298</v>
      </c>
      <c r="W1252" s="289">
        <v>0</v>
      </c>
      <c r="X1252" s="288">
        <v>0.12416666666666666</v>
      </c>
      <c r="Y1252" s="288">
        <v>0</v>
      </c>
      <c r="Z1252" s="288">
        <v>0</v>
      </c>
      <c r="AA1252" s="288">
        <v>0</v>
      </c>
      <c r="AB1252" s="288">
        <v>0</v>
      </c>
      <c r="AC1252" s="289">
        <v>0.12416666666666666</v>
      </c>
      <c r="AD1252" s="289">
        <v>0</v>
      </c>
    </row>
    <row r="1253" spans="1:30" ht="15" customHeight="1" x14ac:dyDescent="0.25">
      <c r="A1253" s="282" t="s">
        <v>581</v>
      </c>
      <c r="B1253" s="282" t="s">
        <v>585</v>
      </c>
      <c r="C1253" s="282" t="s">
        <v>586</v>
      </c>
      <c r="D1253" s="283" t="s">
        <v>1925</v>
      </c>
      <c r="E1253" s="404">
        <v>44620</v>
      </c>
      <c r="F1253" s="404">
        <v>46446</v>
      </c>
      <c r="G1253" s="286" t="s">
        <v>608</v>
      </c>
      <c r="H1253" s="282" t="s">
        <v>1878</v>
      </c>
      <c r="I1253" s="282"/>
      <c r="J1253" s="282" t="s">
        <v>156</v>
      </c>
      <c r="K1253" s="286" t="s">
        <v>1879</v>
      </c>
      <c r="L1253" s="282" t="s">
        <v>574</v>
      </c>
      <c r="M1253" s="287">
        <v>2400</v>
      </c>
      <c r="N1253" s="287"/>
      <c r="O1253" s="287"/>
      <c r="P1253" s="287"/>
      <c r="Q1253" s="288">
        <v>460</v>
      </c>
      <c r="R1253" s="288"/>
      <c r="S1253" s="288"/>
      <c r="T1253" s="288"/>
      <c r="U1253" s="288">
        <v>0</v>
      </c>
      <c r="V1253" s="289">
        <v>460</v>
      </c>
      <c r="W1253" s="289">
        <v>0</v>
      </c>
      <c r="X1253" s="288">
        <v>0.19166666666666668</v>
      </c>
      <c r="Y1253" s="288">
        <v>0</v>
      </c>
      <c r="Z1253" s="288">
        <v>0</v>
      </c>
      <c r="AA1253" s="288">
        <v>0</v>
      </c>
      <c r="AB1253" s="288">
        <v>0</v>
      </c>
      <c r="AC1253" s="289">
        <v>0.19166666666666668</v>
      </c>
      <c r="AD1253" s="289">
        <v>0</v>
      </c>
    </row>
    <row r="1254" spans="1:30" ht="15" customHeight="1" x14ac:dyDescent="0.25">
      <c r="A1254" s="282" t="s">
        <v>581</v>
      </c>
      <c r="B1254" s="282" t="s">
        <v>585</v>
      </c>
      <c r="C1254" s="282" t="s">
        <v>586</v>
      </c>
      <c r="D1254" s="283" t="s">
        <v>1926</v>
      </c>
      <c r="E1254" s="404">
        <v>44620</v>
      </c>
      <c r="F1254" s="404">
        <v>46446</v>
      </c>
      <c r="G1254" s="286" t="s">
        <v>608</v>
      </c>
      <c r="H1254" s="282" t="s">
        <v>1878</v>
      </c>
      <c r="I1254" s="282"/>
      <c r="J1254" s="282" t="s">
        <v>156</v>
      </c>
      <c r="K1254" s="286" t="s">
        <v>1879</v>
      </c>
      <c r="L1254" s="282" t="s">
        <v>574</v>
      </c>
      <c r="M1254" s="287">
        <v>2400</v>
      </c>
      <c r="N1254" s="287"/>
      <c r="O1254" s="287"/>
      <c r="P1254" s="287"/>
      <c r="Q1254" s="288">
        <v>470</v>
      </c>
      <c r="R1254" s="288"/>
      <c r="S1254" s="288"/>
      <c r="T1254" s="288"/>
      <c r="U1254" s="288">
        <v>0</v>
      </c>
      <c r="V1254" s="289">
        <v>470</v>
      </c>
      <c r="W1254" s="289">
        <v>0</v>
      </c>
      <c r="X1254" s="288">
        <v>0.19583333333333333</v>
      </c>
      <c r="Y1254" s="288">
        <v>0</v>
      </c>
      <c r="Z1254" s="288">
        <v>0</v>
      </c>
      <c r="AA1254" s="288">
        <v>0</v>
      </c>
      <c r="AB1254" s="288">
        <v>0</v>
      </c>
      <c r="AC1254" s="289">
        <v>0.19583333333333333</v>
      </c>
      <c r="AD1254" s="289">
        <v>0</v>
      </c>
    </row>
    <row r="1255" spans="1:30" ht="15" customHeight="1" x14ac:dyDescent="0.25">
      <c r="A1255" s="282" t="s">
        <v>581</v>
      </c>
      <c r="B1255" s="282" t="s">
        <v>585</v>
      </c>
      <c r="C1255" s="282" t="s">
        <v>586</v>
      </c>
      <c r="D1255" s="283" t="s">
        <v>1927</v>
      </c>
      <c r="E1255" s="404">
        <v>44620</v>
      </c>
      <c r="F1255" s="404">
        <v>46446</v>
      </c>
      <c r="G1255" s="286" t="s">
        <v>608</v>
      </c>
      <c r="H1255" s="282" t="s">
        <v>1878</v>
      </c>
      <c r="I1255" s="282"/>
      <c r="J1255" s="282" t="s">
        <v>156</v>
      </c>
      <c r="K1255" s="286" t="s">
        <v>1879</v>
      </c>
      <c r="L1255" s="282" t="s">
        <v>574</v>
      </c>
      <c r="M1255" s="287">
        <v>2400</v>
      </c>
      <c r="N1255" s="287"/>
      <c r="O1255" s="287"/>
      <c r="P1255" s="287"/>
      <c r="Q1255" s="288">
        <v>460</v>
      </c>
      <c r="R1255" s="288"/>
      <c r="S1255" s="288"/>
      <c r="T1255" s="288"/>
      <c r="U1255" s="288">
        <v>0</v>
      </c>
      <c r="V1255" s="289">
        <v>460</v>
      </c>
      <c r="W1255" s="289">
        <v>0</v>
      </c>
      <c r="X1255" s="288">
        <v>0.19166666666666668</v>
      </c>
      <c r="Y1255" s="288">
        <v>0</v>
      </c>
      <c r="Z1255" s="288">
        <v>0</v>
      </c>
      <c r="AA1255" s="288">
        <v>0</v>
      </c>
      <c r="AB1255" s="288">
        <v>0</v>
      </c>
      <c r="AC1255" s="289">
        <v>0.19166666666666668</v>
      </c>
      <c r="AD1255" s="289">
        <v>0</v>
      </c>
    </row>
    <row r="1256" spans="1:30" ht="15" customHeight="1" x14ac:dyDescent="0.25">
      <c r="A1256" s="282" t="s">
        <v>581</v>
      </c>
      <c r="B1256" s="282" t="s">
        <v>616</v>
      </c>
      <c r="C1256" s="282" t="s">
        <v>617</v>
      </c>
      <c r="D1256" s="283" t="s">
        <v>1928</v>
      </c>
      <c r="E1256" s="404">
        <v>44620</v>
      </c>
      <c r="F1256" s="404">
        <v>46446</v>
      </c>
      <c r="G1256" s="286" t="s">
        <v>608</v>
      </c>
      <c r="H1256" s="282" t="s">
        <v>1878</v>
      </c>
      <c r="I1256" s="282"/>
      <c r="J1256" s="282" t="s">
        <v>156</v>
      </c>
      <c r="K1256" s="286" t="s">
        <v>1879</v>
      </c>
      <c r="L1256" s="282" t="s">
        <v>574</v>
      </c>
      <c r="M1256" s="287">
        <v>2400</v>
      </c>
      <c r="N1256" s="287"/>
      <c r="O1256" s="287"/>
      <c r="P1256" s="287"/>
      <c r="Q1256" s="288">
        <v>517</v>
      </c>
      <c r="R1256" s="288"/>
      <c r="S1256" s="288"/>
      <c r="T1256" s="288"/>
      <c r="U1256" s="288">
        <v>0</v>
      </c>
      <c r="V1256" s="289">
        <v>517</v>
      </c>
      <c r="W1256" s="289">
        <v>0</v>
      </c>
      <c r="X1256" s="288">
        <v>0.21541666666666667</v>
      </c>
      <c r="Y1256" s="288">
        <v>0</v>
      </c>
      <c r="Z1256" s="288">
        <v>0</v>
      </c>
      <c r="AA1256" s="288">
        <v>0</v>
      </c>
      <c r="AB1256" s="288">
        <v>0</v>
      </c>
      <c r="AC1256" s="289">
        <v>0.21541666666666667</v>
      </c>
      <c r="AD1256" s="289">
        <v>0</v>
      </c>
    </row>
    <row r="1257" spans="1:30" ht="15" customHeight="1" x14ac:dyDescent="0.25">
      <c r="A1257" s="282" t="s">
        <v>581</v>
      </c>
      <c r="B1257" s="282" t="s">
        <v>616</v>
      </c>
      <c r="C1257" s="282" t="s">
        <v>617</v>
      </c>
      <c r="D1257" s="283" t="s">
        <v>1929</v>
      </c>
      <c r="E1257" s="404">
        <v>44620</v>
      </c>
      <c r="F1257" s="404">
        <v>46446</v>
      </c>
      <c r="G1257" s="286" t="s">
        <v>608</v>
      </c>
      <c r="H1257" s="282" t="s">
        <v>1878</v>
      </c>
      <c r="I1257" s="282"/>
      <c r="J1257" s="282" t="s">
        <v>156</v>
      </c>
      <c r="K1257" s="286" t="s">
        <v>1879</v>
      </c>
      <c r="L1257" s="282" t="s">
        <v>574</v>
      </c>
      <c r="M1257" s="287">
        <v>2400</v>
      </c>
      <c r="N1257" s="287"/>
      <c r="O1257" s="287"/>
      <c r="P1257" s="287"/>
      <c r="Q1257" s="288">
        <v>521</v>
      </c>
      <c r="R1257" s="288"/>
      <c r="S1257" s="288"/>
      <c r="T1257" s="288"/>
      <c r="U1257" s="288">
        <v>0</v>
      </c>
      <c r="V1257" s="289">
        <v>521</v>
      </c>
      <c r="W1257" s="289">
        <v>0</v>
      </c>
      <c r="X1257" s="288">
        <v>0.21708333333333332</v>
      </c>
      <c r="Y1257" s="288">
        <v>0</v>
      </c>
      <c r="Z1257" s="288">
        <v>0</v>
      </c>
      <c r="AA1257" s="288">
        <v>0</v>
      </c>
      <c r="AB1257" s="288">
        <v>0</v>
      </c>
      <c r="AC1257" s="289">
        <v>0.21708333333333332</v>
      </c>
      <c r="AD1257" s="289">
        <v>0</v>
      </c>
    </row>
    <row r="1258" spans="1:30" ht="15" customHeight="1" x14ac:dyDescent="0.25">
      <c r="A1258" s="282" t="s">
        <v>581</v>
      </c>
      <c r="B1258" s="282" t="s">
        <v>616</v>
      </c>
      <c r="C1258" s="282" t="s">
        <v>617</v>
      </c>
      <c r="D1258" s="283" t="s">
        <v>1930</v>
      </c>
      <c r="E1258" s="404">
        <v>44620</v>
      </c>
      <c r="F1258" s="404">
        <v>46446</v>
      </c>
      <c r="G1258" s="286" t="s">
        <v>608</v>
      </c>
      <c r="H1258" s="282" t="s">
        <v>1878</v>
      </c>
      <c r="I1258" s="282"/>
      <c r="J1258" s="282" t="s">
        <v>156</v>
      </c>
      <c r="K1258" s="286" t="s">
        <v>1879</v>
      </c>
      <c r="L1258" s="282" t="s">
        <v>574</v>
      </c>
      <c r="M1258" s="287">
        <v>2400</v>
      </c>
      <c r="N1258" s="287"/>
      <c r="O1258" s="287"/>
      <c r="P1258" s="287"/>
      <c r="Q1258" s="288">
        <v>514</v>
      </c>
      <c r="R1258" s="288"/>
      <c r="S1258" s="288"/>
      <c r="T1258" s="288"/>
      <c r="U1258" s="288">
        <v>0</v>
      </c>
      <c r="V1258" s="289">
        <v>514</v>
      </c>
      <c r="W1258" s="289">
        <v>0</v>
      </c>
      <c r="X1258" s="288">
        <v>0.21416666666666667</v>
      </c>
      <c r="Y1258" s="288">
        <v>0</v>
      </c>
      <c r="Z1258" s="288">
        <v>0</v>
      </c>
      <c r="AA1258" s="288">
        <v>0</v>
      </c>
      <c r="AB1258" s="288">
        <v>0</v>
      </c>
      <c r="AC1258" s="289">
        <v>0.21416666666666667</v>
      </c>
      <c r="AD1258" s="289">
        <v>0</v>
      </c>
    </row>
    <row r="1259" spans="1:30" ht="15" customHeight="1" x14ac:dyDescent="0.25">
      <c r="A1259" s="282" t="s">
        <v>581</v>
      </c>
      <c r="B1259" s="282" t="s">
        <v>616</v>
      </c>
      <c r="C1259" s="282" t="s">
        <v>617</v>
      </c>
      <c r="D1259" s="283" t="s">
        <v>1931</v>
      </c>
      <c r="E1259" s="404">
        <v>44620</v>
      </c>
      <c r="F1259" s="404">
        <v>46446</v>
      </c>
      <c r="G1259" s="286" t="s">
        <v>608</v>
      </c>
      <c r="H1259" s="282" t="s">
        <v>1878</v>
      </c>
      <c r="I1259" s="282"/>
      <c r="J1259" s="282" t="s">
        <v>156</v>
      </c>
      <c r="K1259" s="286" t="s">
        <v>1879</v>
      </c>
      <c r="L1259" s="282" t="s">
        <v>574</v>
      </c>
      <c r="M1259" s="287">
        <v>2400</v>
      </c>
      <c r="N1259" s="287"/>
      <c r="O1259" s="287"/>
      <c r="P1259" s="287"/>
      <c r="Q1259" s="288">
        <v>518</v>
      </c>
      <c r="R1259" s="288"/>
      <c r="S1259" s="288"/>
      <c r="T1259" s="288"/>
      <c r="U1259" s="288">
        <v>0</v>
      </c>
      <c r="V1259" s="289">
        <v>518</v>
      </c>
      <c r="W1259" s="289">
        <v>0</v>
      </c>
      <c r="X1259" s="288">
        <v>0.21583333333333332</v>
      </c>
      <c r="Y1259" s="288">
        <v>0</v>
      </c>
      <c r="Z1259" s="288">
        <v>0</v>
      </c>
      <c r="AA1259" s="288">
        <v>0</v>
      </c>
      <c r="AB1259" s="288">
        <v>0</v>
      </c>
      <c r="AC1259" s="289">
        <v>0.21583333333333332</v>
      </c>
      <c r="AD1259" s="289">
        <v>0</v>
      </c>
    </row>
    <row r="1260" spans="1:30" ht="15" customHeight="1" x14ac:dyDescent="0.25">
      <c r="A1260" s="282" t="s">
        <v>581</v>
      </c>
      <c r="B1260" s="282" t="s">
        <v>616</v>
      </c>
      <c r="C1260" s="282" t="s">
        <v>617</v>
      </c>
      <c r="D1260" s="283" t="s">
        <v>1932</v>
      </c>
      <c r="E1260" s="404">
        <v>44620</v>
      </c>
      <c r="F1260" s="404">
        <v>46446</v>
      </c>
      <c r="G1260" s="286" t="s">
        <v>608</v>
      </c>
      <c r="H1260" s="282" t="s">
        <v>1878</v>
      </c>
      <c r="I1260" s="282"/>
      <c r="J1260" s="282" t="s">
        <v>156</v>
      </c>
      <c r="K1260" s="286" t="s">
        <v>1879</v>
      </c>
      <c r="L1260" s="282" t="s">
        <v>574</v>
      </c>
      <c r="M1260" s="287">
        <v>2400</v>
      </c>
      <c r="N1260" s="287"/>
      <c r="O1260" s="287"/>
      <c r="P1260" s="287"/>
      <c r="Q1260" s="288">
        <v>519</v>
      </c>
      <c r="R1260" s="288"/>
      <c r="S1260" s="288"/>
      <c r="T1260" s="288"/>
      <c r="U1260" s="288">
        <v>0</v>
      </c>
      <c r="V1260" s="289">
        <v>519</v>
      </c>
      <c r="W1260" s="289">
        <v>0</v>
      </c>
      <c r="X1260" s="288">
        <v>0.21625</v>
      </c>
      <c r="Y1260" s="288">
        <v>0</v>
      </c>
      <c r="Z1260" s="288">
        <v>0</v>
      </c>
      <c r="AA1260" s="288">
        <v>0</v>
      </c>
      <c r="AB1260" s="288">
        <v>0</v>
      </c>
      <c r="AC1260" s="289">
        <v>0.21625</v>
      </c>
      <c r="AD1260" s="289">
        <v>0</v>
      </c>
    </row>
    <row r="1261" spans="1:30" ht="15" customHeight="1" x14ac:dyDescent="0.25">
      <c r="A1261" s="282" t="s">
        <v>581</v>
      </c>
      <c r="B1261" s="282" t="s">
        <v>616</v>
      </c>
      <c r="C1261" s="282" t="s">
        <v>617</v>
      </c>
      <c r="D1261" s="283" t="s">
        <v>1933</v>
      </c>
      <c r="E1261" s="404">
        <v>44620</v>
      </c>
      <c r="F1261" s="404">
        <v>46446</v>
      </c>
      <c r="G1261" s="286" t="s">
        <v>608</v>
      </c>
      <c r="H1261" s="282" t="s">
        <v>1878</v>
      </c>
      <c r="I1261" s="282"/>
      <c r="J1261" s="282" t="s">
        <v>156</v>
      </c>
      <c r="K1261" s="286" t="s">
        <v>1879</v>
      </c>
      <c r="L1261" s="282" t="s">
        <v>574</v>
      </c>
      <c r="M1261" s="287">
        <v>2400</v>
      </c>
      <c r="N1261" s="287"/>
      <c r="O1261" s="287"/>
      <c r="P1261" s="287"/>
      <c r="Q1261" s="288">
        <v>421</v>
      </c>
      <c r="R1261" s="288"/>
      <c r="S1261" s="288"/>
      <c r="T1261" s="288"/>
      <c r="U1261" s="288">
        <v>0</v>
      </c>
      <c r="V1261" s="289">
        <v>421</v>
      </c>
      <c r="W1261" s="289">
        <v>0</v>
      </c>
      <c r="X1261" s="288">
        <v>0.17541666666666667</v>
      </c>
      <c r="Y1261" s="288">
        <v>0</v>
      </c>
      <c r="Z1261" s="288">
        <v>0</v>
      </c>
      <c r="AA1261" s="288">
        <v>0</v>
      </c>
      <c r="AB1261" s="288">
        <v>0</v>
      </c>
      <c r="AC1261" s="289">
        <v>0.17541666666666667</v>
      </c>
      <c r="AD1261" s="289">
        <v>0</v>
      </c>
    </row>
    <row r="1262" spans="1:30" ht="15" customHeight="1" x14ac:dyDescent="0.25">
      <c r="A1262" s="282" t="s">
        <v>581</v>
      </c>
      <c r="B1262" s="282" t="s">
        <v>616</v>
      </c>
      <c r="C1262" s="282" t="s">
        <v>617</v>
      </c>
      <c r="D1262" s="283" t="s">
        <v>1934</v>
      </c>
      <c r="E1262" s="404">
        <v>44620</v>
      </c>
      <c r="F1262" s="404">
        <v>46446</v>
      </c>
      <c r="G1262" s="286" t="s">
        <v>608</v>
      </c>
      <c r="H1262" s="282" t="s">
        <v>1878</v>
      </c>
      <c r="I1262" s="282"/>
      <c r="J1262" s="282" t="s">
        <v>156</v>
      </c>
      <c r="K1262" s="286" t="s">
        <v>1879</v>
      </c>
      <c r="L1262" s="282" t="s">
        <v>574</v>
      </c>
      <c r="M1262" s="287">
        <v>2400</v>
      </c>
      <c r="N1262" s="287"/>
      <c r="O1262" s="287"/>
      <c r="P1262" s="287"/>
      <c r="Q1262" s="288">
        <v>478</v>
      </c>
      <c r="R1262" s="288"/>
      <c r="S1262" s="288"/>
      <c r="T1262" s="288"/>
      <c r="U1262" s="288">
        <v>0</v>
      </c>
      <c r="V1262" s="289">
        <v>478</v>
      </c>
      <c r="W1262" s="289">
        <v>0</v>
      </c>
      <c r="X1262" s="288">
        <v>0.19916666666666666</v>
      </c>
      <c r="Y1262" s="288">
        <v>0</v>
      </c>
      <c r="Z1262" s="288">
        <v>0</v>
      </c>
      <c r="AA1262" s="288">
        <v>0</v>
      </c>
      <c r="AB1262" s="288">
        <v>0</v>
      </c>
      <c r="AC1262" s="289">
        <v>0.19916666666666666</v>
      </c>
      <c r="AD1262" s="289">
        <v>0</v>
      </c>
    </row>
    <row r="1263" spans="1:30" ht="15" customHeight="1" x14ac:dyDescent="0.25">
      <c r="A1263" s="282" t="s">
        <v>581</v>
      </c>
      <c r="B1263" s="282" t="s">
        <v>585</v>
      </c>
      <c r="C1263" s="282" t="s">
        <v>586</v>
      </c>
      <c r="D1263" s="283" t="s">
        <v>1935</v>
      </c>
      <c r="E1263" s="404">
        <v>44620</v>
      </c>
      <c r="F1263" s="404">
        <v>46446</v>
      </c>
      <c r="G1263" s="286" t="s">
        <v>608</v>
      </c>
      <c r="H1263" s="282" t="s">
        <v>1878</v>
      </c>
      <c r="I1263" s="282"/>
      <c r="J1263" s="282" t="s">
        <v>156</v>
      </c>
      <c r="K1263" s="286" t="s">
        <v>1879</v>
      </c>
      <c r="L1263" s="282" t="s">
        <v>574</v>
      </c>
      <c r="M1263" s="287">
        <v>2400</v>
      </c>
      <c r="N1263" s="287"/>
      <c r="O1263" s="287"/>
      <c r="P1263" s="287"/>
      <c r="Q1263" s="288">
        <v>367</v>
      </c>
      <c r="R1263" s="288"/>
      <c r="S1263" s="288"/>
      <c r="T1263" s="288"/>
      <c r="U1263" s="288">
        <v>0</v>
      </c>
      <c r="V1263" s="289">
        <v>367</v>
      </c>
      <c r="W1263" s="289">
        <v>0</v>
      </c>
      <c r="X1263" s="288">
        <v>0.15291666666666667</v>
      </c>
      <c r="Y1263" s="288">
        <v>0</v>
      </c>
      <c r="Z1263" s="288">
        <v>0</v>
      </c>
      <c r="AA1263" s="288">
        <v>0</v>
      </c>
      <c r="AB1263" s="288">
        <v>0</v>
      </c>
      <c r="AC1263" s="289">
        <v>0.15291666666666667</v>
      </c>
      <c r="AD1263" s="289">
        <v>0</v>
      </c>
    </row>
    <row r="1264" spans="1:30" ht="15" customHeight="1" x14ac:dyDescent="0.25">
      <c r="A1264" s="282" t="s">
        <v>581</v>
      </c>
      <c r="B1264" s="282" t="s">
        <v>585</v>
      </c>
      <c r="C1264" s="282" t="s">
        <v>586</v>
      </c>
      <c r="D1264" s="283" t="s">
        <v>1936</v>
      </c>
      <c r="E1264" s="404">
        <v>44620</v>
      </c>
      <c r="F1264" s="404">
        <v>46446</v>
      </c>
      <c r="G1264" s="286" t="s">
        <v>608</v>
      </c>
      <c r="H1264" s="282" t="s">
        <v>1878</v>
      </c>
      <c r="I1264" s="282"/>
      <c r="J1264" s="282" t="s">
        <v>156</v>
      </c>
      <c r="K1264" s="286" t="s">
        <v>1879</v>
      </c>
      <c r="L1264" s="282" t="s">
        <v>574</v>
      </c>
      <c r="M1264" s="287">
        <v>2400</v>
      </c>
      <c r="N1264" s="287"/>
      <c r="O1264" s="287"/>
      <c r="P1264" s="287"/>
      <c r="Q1264" s="288">
        <v>499</v>
      </c>
      <c r="R1264" s="288"/>
      <c r="S1264" s="288"/>
      <c r="T1264" s="288"/>
      <c r="U1264" s="288">
        <v>0</v>
      </c>
      <c r="V1264" s="289">
        <v>499</v>
      </c>
      <c r="W1264" s="289">
        <v>0</v>
      </c>
      <c r="X1264" s="288">
        <v>0.20791666666666667</v>
      </c>
      <c r="Y1264" s="288">
        <v>0</v>
      </c>
      <c r="Z1264" s="288">
        <v>0</v>
      </c>
      <c r="AA1264" s="288">
        <v>0</v>
      </c>
      <c r="AB1264" s="288">
        <v>0</v>
      </c>
      <c r="AC1264" s="289">
        <v>0.20791666666666667</v>
      </c>
      <c r="AD1264" s="289">
        <v>0</v>
      </c>
    </row>
    <row r="1265" spans="1:30" ht="15" customHeight="1" x14ac:dyDescent="0.25">
      <c r="A1265" s="282" t="s">
        <v>581</v>
      </c>
      <c r="B1265" s="282" t="s">
        <v>977</v>
      </c>
      <c r="C1265" s="282" t="s">
        <v>978</v>
      </c>
      <c r="D1265" s="283" t="s">
        <v>1937</v>
      </c>
      <c r="E1265" s="404">
        <v>44620</v>
      </c>
      <c r="F1265" s="404">
        <v>46446</v>
      </c>
      <c r="G1265" s="286" t="s">
        <v>608</v>
      </c>
      <c r="H1265" s="282" t="s">
        <v>1878</v>
      </c>
      <c r="I1265" s="282"/>
      <c r="J1265" s="282" t="s">
        <v>156</v>
      </c>
      <c r="K1265" s="286" t="s">
        <v>1879</v>
      </c>
      <c r="L1265" s="282" t="s">
        <v>574</v>
      </c>
      <c r="M1265" s="287">
        <v>1750</v>
      </c>
      <c r="N1265" s="287"/>
      <c r="O1265" s="287"/>
      <c r="P1265" s="287"/>
      <c r="Q1265" s="288">
        <v>124</v>
      </c>
      <c r="R1265" s="288"/>
      <c r="S1265" s="288"/>
      <c r="T1265" s="288"/>
      <c r="U1265" s="288">
        <v>0</v>
      </c>
      <c r="V1265" s="289">
        <v>124</v>
      </c>
      <c r="W1265" s="289">
        <v>0</v>
      </c>
      <c r="X1265" s="288">
        <v>7.0857142857142855E-2</v>
      </c>
      <c r="Y1265" s="288">
        <v>0</v>
      </c>
      <c r="Z1265" s="288">
        <v>0</v>
      </c>
      <c r="AA1265" s="288">
        <v>0</v>
      </c>
      <c r="AB1265" s="288">
        <v>0</v>
      </c>
      <c r="AC1265" s="289">
        <v>7.0857142857142855E-2</v>
      </c>
      <c r="AD1265" s="289">
        <v>0</v>
      </c>
    </row>
    <row r="1266" spans="1:30" ht="15" customHeight="1" x14ac:dyDescent="0.25">
      <c r="A1266" s="282" t="s">
        <v>581</v>
      </c>
      <c r="B1266" s="282" t="s">
        <v>977</v>
      </c>
      <c r="C1266" s="282" t="s">
        <v>978</v>
      </c>
      <c r="D1266" s="283" t="s">
        <v>1938</v>
      </c>
      <c r="E1266" s="404">
        <v>44620</v>
      </c>
      <c r="F1266" s="404">
        <v>46446</v>
      </c>
      <c r="G1266" s="286" t="s">
        <v>608</v>
      </c>
      <c r="H1266" s="282" t="s">
        <v>1878</v>
      </c>
      <c r="I1266" s="282"/>
      <c r="J1266" s="282" t="s">
        <v>156</v>
      </c>
      <c r="K1266" s="286" t="s">
        <v>1879</v>
      </c>
      <c r="L1266" s="282" t="s">
        <v>574</v>
      </c>
      <c r="M1266" s="287">
        <v>1750</v>
      </c>
      <c r="N1266" s="287"/>
      <c r="O1266" s="287"/>
      <c r="P1266" s="287"/>
      <c r="Q1266" s="288">
        <v>179</v>
      </c>
      <c r="R1266" s="288"/>
      <c r="S1266" s="288"/>
      <c r="T1266" s="288"/>
      <c r="U1266" s="288">
        <v>0</v>
      </c>
      <c r="V1266" s="289">
        <v>179</v>
      </c>
      <c r="W1266" s="289">
        <v>0</v>
      </c>
      <c r="X1266" s="288">
        <v>0.10228571428571429</v>
      </c>
      <c r="Y1266" s="288">
        <v>0</v>
      </c>
      <c r="Z1266" s="288">
        <v>0</v>
      </c>
      <c r="AA1266" s="288">
        <v>0</v>
      </c>
      <c r="AB1266" s="288">
        <v>0</v>
      </c>
      <c r="AC1266" s="289">
        <v>0.10228571428571429</v>
      </c>
      <c r="AD1266" s="289">
        <v>0</v>
      </c>
    </row>
    <row r="1267" spans="1:30" ht="15" customHeight="1" x14ac:dyDescent="0.25">
      <c r="A1267" s="282" t="s">
        <v>581</v>
      </c>
      <c r="B1267" s="282" t="s">
        <v>977</v>
      </c>
      <c r="C1267" s="282" t="s">
        <v>978</v>
      </c>
      <c r="D1267" s="283" t="s">
        <v>1939</v>
      </c>
      <c r="E1267" s="404">
        <v>44620</v>
      </c>
      <c r="F1267" s="404">
        <v>46446</v>
      </c>
      <c r="G1267" s="286" t="s">
        <v>608</v>
      </c>
      <c r="H1267" s="282" t="s">
        <v>1878</v>
      </c>
      <c r="I1267" s="282"/>
      <c r="J1267" s="282" t="s">
        <v>156</v>
      </c>
      <c r="K1267" s="286" t="s">
        <v>1879</v>
      </c>
      <c r="L1267" s="282" t="s">
        <v>574</v>
      </c>
      <c r="M1267" s="287">
        <v>1750</v>
      </c>
      <c r="N1267" s="287"/>
      <c r="O1267" s="287"/>
      <c r="P1267" s="287"/>
      <c r="Q1267" s="288">
        <v>289</v>
      </c>
      <c r="R1267" s="288"/>
      <c r="S1267" s="288"/>
      <c r="T1267" s="288"/>
      <c r="U1267" s="288">
        <v>0</v>
      </c>
      <c r="V1267" s="289">
        <v>289</v>
      </c>
      <c r="W1267" s="289">
        <v>0</v>
      </c>
      <c r="X1267" s="288">
        <v>0.16514285714285715</v>
      </c>
      <c r="Y1267" s="288">
        <v>0</v>
      </c>
      <c r="Z1267" s="288">
        <v>0</v>
      </c>
      <c r="AA1267" s="288">
        <v>0</v>
      </c>
      <c r="AB1267" s="288">
        <v>0</v>
      </c>
      <c r="AC1267" s="289">
        <v>0.16514285714285715</v>
      </c>
      <c r="AD1267" s="289">
        <v>0</v>
      </c>
    </row>
    <row r="1268" spans="1:30" ht="15" customHeight="1" x14ac:dyDescent="0.25">
      <c r="A1268" s="282" t="s">
        <v>581</v>
      </c>
      <c r="B1268" s="282" t="s">
        <v>977</v>
      </c>
      <c r="C1268" s="282" t="s">
        <v>978</v>
      </c>
      <c r="D1268" s="283" t="s">
        <v>1940</v>
      </c>
      <c r="E1268" s="404">
        <v>44620</v>
      </c>
      <c r="F1268" s="404">
        <v>46446</v>
      </c>
      <c r="G1268" s="286" t="s">
        <v>608</v>
      </c>
      <c r="H1268" s="282" t="s">
        <v>1878</v>
      </c>
      <c r="I1268" s="282"/>
      <c r="J1268" s="282" t="s">
        <v>156</v>
      </c>
      <c r="K1268" s="286" t="s">
        <v>1879</v>
      </c>
      <c r="L1268" s="282" t="s">
        <v>574</v>
      </c>
      <c r="M1268" s="287">
        <v>1750</v>
      </c>
      <c r="N1268" s="287"/>
      <c r="O1268" s="287"/>
      <c r="P1268" s="287"/>
      <c r="Q1268" s="288">
        <v>344</v>
      </c>
      <c r="R1268" s="288"/>
      <c r="S1268" s="288"/>
      <c r="T1268" s="288"/>
      <c r="U1268" s="288">
        <v>0</v>
      </c>
      <c r="V1268" s="289">
        <v>344</v>
      </c>
      <c r="W1268" s="289">
        <v>0</v>
      </c>
      <c r="X1268" s="288">
        <v>0.19657142857142856</v>
      </c>
      <c r="Y1268" s="288">
        <v>0</v>
      </c>
      <c r="Z1268" s="288">
        <v>0</v>
      </c>
      <c r="AA1268" s="288">
        <v>0</v>
      </c>
      <c r="AB1268" s="288">
        <v>0</v>
      </c>
      <c r="AC1268" s="289">
        <v>0.19657142857142856</v>
      </c>
      <c r="AD1268" s="289">
        <v>0</v>
      </c>
    </row>
    <row r="1269" spans="1:30" ht="15" customHeight="1" x14ac:dyDescent="0.25">
      <c r="A1269" s="282" t="s">
        <v>581</v>
      </c>
      <c r="B1269" s="282" t="s">
        <v>977</v>
      </c>
      <c r="C1269" s="282" t="s">
        <v>978</v>
      </c>
      <c r="D1269" s="283" t="s">
        <v>1941</v>
      </c>
      <c r="E1269" s="404">
        <v>44620</v>
      </c>
      <c r="F1269" s="404">
        <v>46446</v>
      </c>
      <c r="G1269" s="286" t="s">
        <v>608</v>
      </c>
      <c r="H1269" s="282" t="s">
        <v>1878</v>
      </c>
      <c r="I1269" s="282"/>
      <c r="J1269" s="282" t="s">
        <v>156</v>
      </c>
      <c r="K1269" s="286" t="s">
        <v>1879</v>
      </c>
      <c r="L1269" s="282" t="s">
        <v>574</v>
      </c>
      <c r="M1269" s="287">
        <v>1750</v>
      </c>
      <c r="N1269" s="287"/>
      <c r="O1269" s="287"/>
      <c r="P1269" s="287"/>
      <c r="Q1269" s="288">
        <v>67.8</v>
      </c>
      <c r="R1269" s="288"/>
      <c r="S1269" s="288"/>
      <c r="T1269" s="288"/>
      <c r="U1269" s="288">
        <v>0</v>
      </c>
      <c r="V1269" s="289">
        <v>67.8</v>
      </c>
      <c r="W1269" s="289">
        <v>0</v>
      </c>
      <c r="X1269" s="288">
        <v>3.8742857142857141E-2</v>
      </c>
      <c r="Y1269" s="288">
        <v>0</v>
      </c>
      <c r="Z1269" s="288">
        <v>0</v>
      </c>
      <c r="AA1269" s="288">
        <v>0</v>
      </c>
      <c r="AB1269" s="288">
        <v>0</v>
      </c>
      <c r="AC1269" s="289">
        <v>3.8742857142857141E-2</v>
      </c>
      <c r="AD1269" s="289">
        <v>0</v>
      </c>
    </row>
    <row r="1270" spans="1:30" ht="15" customHeight="1" x14ac:dyDescent="0.25">
      <c r="A1270" s="282" t="s">
        <v>581</v>
      </c>
      <c r="B1270" s="282" t="s">
        <v>977</v>
      </c>
      <c r="C1270" s="282" t="s">
        <v>978</v>
      </c>
      <c r="D1270" s="283" t="s">
        <v>1942</v>
      </c>
      <c r="E1270" s="404">
        <v>44620</v>
      </c>
      <c r="F1270" s="404">
        <v>46446</v>
      </c>
      <c r="G1270" s="286" t="s">
        <v>608</v>
      </c>
      <c r="H1270" s="282" t="s">
        <v>1878</v>
      </c>
      <c r="I1270" s="282"/>
      <c r="J1270" s="282" t="s">
        <v>156</v>
      </c>
      <c r="K1270" s="286" t="s">
        <v>1879</v>
      </c>
      <c r="L1270" s="282" t="s">
        <v>574</v>
      </c>
      <c r="M1270" s="287">
        <v>1750</v>
      </c>
      <c r="N1270" s="287"/>
      <c r="O1270" s="287"/>
      <c r="P1270" s="287"/>
      <c r="Q1270" s="288">
        <v>108</v>
      </c>
      <c r="R1270" s="288"/>
      <c r="S1270" s="288"/>
      <c r="T1270" s="288"/>
      <c r="U1270" s="288">
        <v>0</v>
      </c>
      <c r="V1270" s="289">
        <v>108</v>
      </c>
      <c r="W1270" s="289">
        <v>0</v>
      </c>
      <c r="X1270" s="288">
        <v>6.1714285714285715E-2</v>
      </c>
      <c r="Y1270" s="288">
        <v>0</v>
      </c>
      <c r="Z1270" s="288">
        <v>0</v>
      </c>
      <c r="AA1270" s="288">
        <v>0</v>
      </c>
      <c r="AB1270" s="288">
        <v>0</v>
      </c>
      <c r="AC1270" s="289">
        <v>6.1714285714285715E-2</v>
      </c>
      <c r="AD1270" s="289">
        <v>0</v>
      </c>
    </row>
    <row r="1271" spans="1:30" ht="15" customHeight="1" x14ac:dyDescent="0.25">
      <c r="A1271" s="282" t="s">
        <v>581</v>
      </c>
      <c r="B1271" s="282" t="s">
        <v>977</v>
      </c>
      <c r="C1271" s="282" t="s">
        <v>978</v>
      </c>
      <c r="D1271" s="283" t="s">
        <v>1943</v>
      </c>
      <c r="E1271" s="404">
        <v>44620</v>
      </c>
      <c r="F1271" s="404">
        <v>46446</v>
      </c>
      <c r="G1271" s="286" t="s">
        <v>608</v>
      </c>
      <c r="H1271" s="282" t="s">
        <v>1878</v>
      </c>
      <c r="I1271" s="282"/>
      <c r="J1271" s="282" t="s">
        <v>156</v>
      </c>
      <c r="K1271" s="286" t="s">
        <v>1879</v>
      </c>
      <c r="L1271" s="282" t="s">
        <v>574</v>
      </c>
      <c r="M1271" s="287">
        <v>1750</v>
      </c>
      <c r="N1271" s="287"/>
      <c r="O1271" s="287"/>
      <c r="P1271" s="287"/>
      <c r="Q1271" s="288">
        <v>138</v>
      </c>
      <c r="R1271" s="288"/>
      <c r="S1271" s="288"/>
      <c r="T1271" s="288"/>
      <c r="U1271" s="288">
        <v>0</v>
      </c>
      <c r="V1271" s="289">
        <v>138</v>
      </c>
      <c r="W1271" s="289">
        <v>0</v>
      </c>
      <c r="X1271" s="288">
        <v>7.8857142857142862E-2</v>
      </c>
      <c r="Y1271" s="288">
        <v>0</v>
      </c>
      <c r="Z1271" s="288">
        <v>0</v>
      </c>
      <c r="AA1271" s="288">
        <v>0</v>
      </c>
      <c r="AB1271" s="288">
        <v>0</v>
      </c>
      <c r="AC1271" s="289">
        <v>7.8857142857142862E-2</v>
      </c>
      <c r="AD1271" s="289">
        <v>0</v>
      </c>
    </row>
    <row r="1272" spans="1:30" ht="15" customHeight="1" x14ac:dyDescent="0.25">
      <c r="A1272" s="282" t="s">
        <v>581</v>
      </c>
      <c r="B1272" s="282" t="s">
        <v>977</v>
      </c>
      <c r="C1272" s="282" t="s">
        <v>978</v>
      </c>
      <c r="D1272" s="283" t="s">
        <v>1944</v>
      </c>
      <c r="E1272" s="404">
        <v>44620</v>
      </c>
      <c r="F1272" s="404">
        <v>46446</v>
      </c>
      <c r="G1272" s="286" t="s">
        <v>608</v>
      </c>
      <c r="H1272" s="282" t="s">
        <v>1878</v>
      </c>
      <c r="I1272" s="282"/>
      <c r="J1272" s="282" t="s">
        <v>156</v>
      </c>
      <c r="K1272" s="286" t="s">
        <v>1879</v>
      </c>
      <c r="L1272" s="282" t="s">
        <v>574</v>
      </c>
      <c r="M1272" s="287">
        <v>1750</v>
      </c>
      <c r="N1272" s="287"/>
      <c r="O1272" s="287"/>
      <c r="P1272" s="287"/>
      <c r="Q1272" s="288">
        <v>221</v>
      </c>
      <c r="R1272" s="288"/>
      <c r="S1272" s="288"/>
      <c r="T1272" s="288"/>
      <c r="U1272" s="288">
        <v>0</v>
      </c>
      <c r="V1272" s="289">
        <v>221</v>
      </c>
      <c r="W1272" s="289">
        <v>0</v>
      </c>
      <c r="X1272" s="288">
        <v>0.12628571428571428</v>
      </c>
      <c r="Y1272" s="288">
        <v>0</v>
      </c>
      <c r="Z1272" s="288">
        <v>0</v>
      </c>
      <c r="AA1272" s="288">
        <v>0</v>
      </c>
      <c r="AB1272" s="288">
        <v>0</v>
      </c>
      <c r="AC1272" s="289">
        <v>0.12628571428571428</v>
      </c>
      <c r="AD1272" s="289">
        <v>0</v>
      </c>
    </row>
    <row r="1273" spans="1:30" ht="15" customHeight="1" x14ac:dyDescent="0.25">
      <c r="A1273" s="282" t="s">
        <v>581</v>
      </c>
      <c r="B1273" s="282" t="s">
        <v>977</v>
      </c>
      <c r="C1273" s="282" t="s">
        <v>978</v>
      </c>
      <c r="D1273" s="283" t="s">
        <v>1945</v>
      </c>
      <c r="E1273" s="404">
        <v>44620</v>
      </c>
      <c r="F1273" s="404">
        <v>46446</v>
      </c>
      <c r="G1273" s="286" t="s">
        <v>608</v>
      </c>
      <c r="H1273" s="282" t="s">
        <v>1878</v>
      </c>
      <c r="I1273" s="282"/>
      <c r="J1273" s="282" t="s">
        <v>156</v>
      </c>
      <c r="K1273" s="291" t="s">
        <v>1879</v>
      </c>
      <c r="L1273" s="282" t="s">
        <v>574</v>
      </c>
      <c r="M1273" s="287">
        <v>1750</v>
      </c>
      <c r="N1273" s="287"/>
      <c r="O1273" s="287"/>
      <c r="P1273" s="287"/>
      <c r="Q1273" s="288">
        <v>267</v>
      </c>
      <c r="R1273" s="288"/>
      <c r="S1273" s="288"/>
      <c r="T1273" s="288"/>
      <c r="U1273" s="288">
        <v>0</v>
      </c>
      <c r="V1273" s="289">
        <v>267</v>
      </c>
      <c r="W1273" s="289">
        <v>0</v>
      </c>
      <c r="X1273" s="288">
        <v>0.15257142857142858</v>
      </c>
      <c r="Y1273" s="288">
        <v>0</v>
      </c>
      <c r="Z1273" s="288">
        <v>0</v>
      </c>
      <c r="AA1273" s="288">
        <v>0</v>
      </c>
      <c r="AB1273" s="288">
        <v>0</v>
      </c>
      <c r="AC1273" s="289">
        <v>0.15257142857142858</v>
      </c>
      <c r="AD1273" s="289">
        <v>0</v>
      </c>
    </row>
    <row r="1274" spans="1:30" ht="15" customHeight="1" x14ac:dyDescent="0.25">
      <c r="A1274" s="282" t="s">
        <v>581</v>
      </c>
      <c r="B1274" s="282" t="s">
        <v>585</v>
      </c>
      <c r="C1274" s="282" t="s">
        <v>586</v>
      </c>
      <c r="D1274" s="283" t="s">
        <v>1946</v>
      </c>
      <c r="E1274" s="404">
        <v>44620</v>
      </c>
      <c r="F1274" s="404">
        <v>46446</v>
      </c>
      <c r="G1274" s="286" t="s">
        <v>608</v>
      </c>
      <c r="H1274" s="282" t="s">
        <v>1878</v>
      </c>
      <c r="I1274" s="282"/>
      <c r="J1274" s="282" t="s">
        <v>156</v>
      </c>
      <c r="K1274" s="286" t="s">
        <v>1879</v>
      </c>
      <c r="L1274" s="282" t="s">
        <v>574</v>
      </c>
      <c r="M1274" s="287">
        <v>2400</v>
      </c>
      <c r="N1274" s="287"/>
      <c r="O1274" s="287"/>
      <c r="P1274" s="287"/>
      <c r="Q1274" s="288">
        <v>485</v>
      </c>
      <c r="R1274" s="288"/>
      <c r="S1274" s="288"/>
      <c r="T1274" s="288"/>
      <c r="U1274" s="288">
        <v>0</v>
      </c>
      <c r="V1274" s="289">
        <v>485</v>
      </c>
      <c r="W1274" s="289">
        <v>0</v>
      </c>
      <c r="X1274" s="288">
        <v>0.20208333333333334</v>
      </c>
      <c r="Y1274" s="288">
        <v>0</v>
      </c>
      <c r="Z1274" s="288">
        <v>0</v>
      </c>
      <c r="AA1274" s="288">
        <v>0</v>
      </c>
      <c r="AB1274" s="288">
        <v>0</v>
      </c>
      <c r="AC1274" s="289">
        <v>0.20208333333333334</v>
      </c>
      <c r="AD1274" s="289">
        <v>0</v>
      </c>
    </row>
    <row r="1275" spans="1:30" ht="15" customHeight="1" x14ac:dyDescent="0.25">
      <c r="A1275" s="282" t="s">
        <v>581</v>
      </c>
      <c r="B1275" s="282" t="s">
        <v>594</v>
      </c>
      <c r="C1275" s="282" t="s">
        <v>595</v>
      </c>
      <c r="D1275" s="283" t="s">
        <v>1947</v>
      </c>
      <c r="E1275" s="404">
        <v>44620</v>
      </c>
      <c r="F1275" s="404">
        <v>46446</v>
      </c>
      <c r="G1275" s="286" t="s">
        <v>1948</v>
      </c>
      <c r="H1275" s="282" t="s">
        <v>1878</v>
      </c>
      <c r="I1275" s="282"/>
      <c r="J1275" s="282" t="s">
        <v>156</v>
      </c>
      <c r="K1275" s="286" t="s">
        <v>1879</v>
      </c>
      <c r="L1275" s="282" t="s">
        <v>574</v>
      </c>
      <c r="M1275" s="287">
        <v>2400</v>
      </c>
      <c r="N1275" s="287"/>
      <c r="O1275" s="287"/>
      <c r="P1275" s="287"/>
      <c r="Q1275" s="288">
        <v>149</v>
      </c>
      <c r="R1275" s="288"/>
      <c r="S1275" s="288"/>
      <c r="T1275" s="288"/>
      <c r="U1275" s="288">
        <v>0</v>
      </c>
      <c r="V1275" s="289">
        <v>149</v>
      </c>
      <c r="W1275" s="289">
        <v>0</v>
      </c>
      <c r="X1275" s="288">
        <v>6.2083333333333331E-2</v>
      </c>
      <c r="Y1275" s="288">
        <v>0</v>
      </c>
      <c r="Z1275" s="288">
        <v>0</v>
      </c>
      <c r="AA1275" s="288">
        <v>0</v>
      </c>
      <c r="AB1275" s="288">
        <v>0</v>
      </c>
      <c r="AC1275" s="289">
        <v>6.2083333333333331E-2</v>
      </c>
      <c r="AD1275" s="289">
        <v>0</v>
      </c>
    </row>
    <row r="1276" spans="1:30" ht="15" customHeight="1" x14ac:dyDescent="0.25">
      <c r="A1276" s="282" t="s">
        <v>581</v>
      </c>
      <c r="B1276" s="282" t="s">
        <v>628</v>
      </c>
      <c r="C1276" s="282" t="s">
        <v>629</v>
      </c>
      <c r="D1276" s="283" t="s">
        <v>1949</v>
      </c>
      <c r="E1276" s="404">
        <v>44620</v>
      </c>
      <c r="F1276" s="404">
        <v>46446</v>
      </c>
      <c r="G1276" s="286" t="s">
        <v>1948</v>
      </c>
      <c r="H1276" s="282" t="s">
        <v>1878</v>
      </c>
      <c r="I1276" s="282"/>
      <c r="J1276" s="282" t="s">
        <v>156</v>
      </c>
      <c r="K1276" s="286" t="s">
        <v>1879</v>
      </c>
      <c r="L1276" s="282" t="s">
        <v>574</v>
      </c>
      <c r="M1276" s="287">
        <v>2400</v>
      </c>
      <c r="N1276" s="287"/>
      <c r="O1276" s="287"/>
      <c r="P1276" s="287"/>
      <c r="Q1276" s="288">
        <v>164</v>
      </c>
      <c r="R1276" s="288"/>
      <c r="S1276" s="288"/>
      <c r="T1276" s="288"/>
      <c r="U1276" s="288">
        <v>0</v>
      </c>
      <c r="V1276" s="289">
        <v>164</v>
      </c>
      <c r="W1276" s="289">
        <v>0</v>
      </c>
      <c r="X1276" s="288">
        <v>6.8333333333333329E-2</v>
      </c>
      <c r="Y1276" s="288">
        <v>0</v>
      </c>
      <c r="Z1276" s="288">
        <v>0</v>
      </c>
      <c r="AA1276" s="288">
        <v>0</v>
      </c>
      <c r="AB1276" s="288">
        <v>0</v>
      </c>
      <c r="AC1276" s="289">
        <v>6.8333333333333329E-2</v>
      </c>
      <c r="AD1276" s="289">
        <v>0</v>
      </c>
    </row>
    <row r="1277" spans="1:30" ht="15" customHeight="1" x14ac:dyDescent="0.25">
      <c r="A1277" s="282" t="s">
        <v>581</v>
      </c>
      <c r="B1277" s="282" t="s">
        <v>611</v>
      </c>
      <c r="C1277" s="282" t="s">
        <v>612</v>
      </c>
      <c r="D1277" s="283" t="s">
        <v>1950</v>
      </c>
      <c r="E1277" s="404">
        <v>44620</v>
      </c>
      <c r="F1277" s="404">
        <v>46446</v>
      </c>
      <c r="G1277" s="286" t="s">
        <v>1948</v>
      </c>
      <c r="H1277" s="282" t="s">
        <v>1878</v>
      </c>
      <c r="I1277" s="282"/>
      <c r="J1277" s="282" t="s">
        <v>156</v>
      </c>
      <c r="K1277" s="286" t="s">
        <v>1879</v>
      </c>
      <c r="L1277" s="282" t="s">
        <v>574</v>
      </c>
      <c r="M1277" s="287">
        <v>2400</v>
      </c>
      <c r="N1277" s="287"/>
      <c r="O1277" s="287"/>
      <c r="P1277" s="287"/>
      <c r="Q1277" s="288">
        <v>187</v>
      </c>
      <c r="R1277" s="288"/>
      <c r="S1277" s="288"/>
      <c r="T1277" s="288"/>
      <c r="U1277" s="288">
        <v>0</v>
      </c>
      <c r="V1277" s="289">
        <v>187</v>
      </c>
      <c r="W1277" s="289">
        <v>0</v>
      </c>
      <c r="X1277" s="288">
        <v>7.7916666666666662E-2</v>
      </c>
      <c r="Y1277" s="288">
        <v>0</v>
      </c>
      <c r="Z1277" s="288">
        <v>0</v>
      </c>
      <c r="AA1277" s="288">
        <v>0</v>
      </c>
      <c r="AB1277" s="288">
        <v>0</v>
      </c>
      <c r="AC1277" s="289">
        <v>7.7916666666666662E-2</v>
      </c>
      <c r="AD1277" s="289">
        <v>0</v>
      </c>
    </row>
    <row r="1278" spans="1:30" ht="15" customHeight="1" x14ac:dyDescent="0.25">
      <c r="A1278" s="282" t="s">
        <v>581</v>
      </c>
      <c r="B1278" s="282" t="s">
        <v>585</v>
      </c>
      <c r="C1278" s="282" t="s">
        <v>586</v>
      </c>
      <c r="D1278" s="283" t="s">
        <v>1951</v>
      </c>
      <c r="E1278" s="404">
        <v>44620</v>
      </c>
      <c r="F1278" s="404">
        <v>46446</v>
      </c>
      <c r="G1278" s="286" t="s">
        <v>1948</v>
      </c>
      <c r="H1278" s="282" t="s">
        <v>1878</v>
      </c>
      <c r="I1278" s="282"/>
      <c r="J1278" s="282" t="s">
        <v>156</v>
      </c>
      <c r="K1278" s="286" t="s">
        <v>1879</v>
      </c>
      <c r="L1278" s="282" t="s">
        <v>574</v>
      </c>
      <c r="M1278" s="287">
        <v>2400</v>
      </c>
      <c r="N1278" s="287"/>
      <c r="O1278" s="287"/>
      <c r="P1278" s="287"/>
      <c r="Q1278" s="288">
        <v>219</v>
      </c>
      <c r="R1278" s="288"/>
      <c r="S1278" s="288"/>
      <c r="T1278" s="288"/>
      <c r="U1278" s="288">
        <v>0</v>
      </c>
      <c r="V1278" s="289">
        <v>219</v>
      </c>
      <c r="W1278" s="289">
        <v>0</v>
      </c>
      <c r="X1278" s="288">
        <v>9.1249999999999998E-2</v>
      </c>
      <c r="Y1278" s="288">
        <v>0</v>
      </c>
      <c r="Z1278" s="288">
        <v>0</v>
      </c>
      <c r="AA1278" s="288">
        <v>0</v>
      </c>
      <c r="AB1278" s="288">
        <v>0</v>
      </c>
      <c r="AC1278" s="289">
        <v>9.1249999999999998E-2</v>
      </c>
      <c r="AD1278" s="289">
        <v>0</v>
      </c>
    </row>
    <row r="1279" spans="1:30" ht="15" customHeight="1" x14ac:dyDescent="0.25">
      <c r="A1279" s="282" t="s">
        <v>581</v>
      </c>
      <c r="B1279" s="282" t="s">
        <v>616</v>
      </c>
      <c r="C1279" s="282" t="s">
        <v>617</v>
      </c>
      <c r="D1279" s="283" t="s">
        <v>1952</v>
      </c>
      <c r="E1279" s="404">
        <v>44620</v>
      </c>
      <c r="F1279" s="404">
        <v>46446</v>
      </c>
      <c r="G1279" s="286" t="s">
        <v>1948</v>
      </c>
      <c r="H1279" s="282" t="s">
        <v>1878</v>
      </c>
      <c r="I1279" s="282"/>
      <c r="J1279" s="282" t="s">
        <v>156</v>
      </c>
      <c r="K1279" s="286" t="s">
        <v>1879</v>
      </c>
      <c r="L1279" s="282" t="s">
        <v>574</v>
      </c>
      <c r="M1279" s="287">
        <v>2400</v>
      </c>
      <c r="N1279" s="287"/>
      <c r="O1279" s="287"/>
      <c r="P1279" s="287"/>
      <c r="Q1279" s="288">
        <v>272</v>
      </c>
      <c r="R1279" s="288"/>
      <c r="S1279" s="288"/>
      <c r="T1279" s="288"/>
      <c r="U1279" s="288">
        <v>0</v>
      </c>
      <c r="V1279" s="289">
        <v>272</v>
      </c>
      <c r="W1279" s="289">
        <v>0</v>
      </c>
      <c r="X1279" s="288">
        <v>0.11333333333333333</v>
      </c>
      <c r="Y1279" s="288">
        <v>0</v>
      </c>
      <c r="Z1279" s="288">
        <v>0</v>
      </c>
      <c r="AA1279" s="288">
        <v>0</v>
      </c>
      <c r="AB1279" s="288">
        <v>0</v>
      </c>
      <c r="AC1279" s="289">
        <v>0.11333333333333333</v>
      </c>
      <c r="AD1279" s="289">
        <v>0</v>
      </c>
    </row>
    <row r="1280" spans="1:30" ht="15" customHeight="1" x14ac:dyDescent="0.25">
      <c r="A1280" s="282" t="s">
        <v>581</v>
      </c>
      <c r="B1280" s="282" t="s">
        <v>695</v>
      </c>
      <c r="C1280" s="282" t="s">
        <v>696</v>
      </c>
      <c r="D1280" s="283" t="s">
        <v>1953</v>
      </c>
      <c r="E1280" s="404">
        <v>44620</v>
      </c>
      <c r="F1280" s="404">
        <v>46446</v>
      </c>
      <c r="G1280" s="286" t="s">
        <v>1948</v>
      </c>
      <c r="H1280" s="282" t="s">
        <v>1878</v>
      </c>
      <c r="I1280" s="282"/>
      <c r="J1280" s="282" t="s">
        <v>156</v>
      </c>
      <c r="K1280" s="286" t="s">
        <v>1879</v>
      </c>
      <c r="L1280" s="282" t="s">
        <v>574</v>
      </c>
      <c r="M1280" s="287">
        <v>2400</v>
      </c>
      <c r="N1280" s="287"/>
      <c r="O1280" s="287"/>
      <c r="P1280" s="287"/>
      <c r="Q1280" s="288">
        <v>277</v>
      </c>
      <c r="R1280" s="288"/>
      <c r="S1280" s="288"/>
      <c r="T1280" s="288"/>
      <c r="U1280" s="288">
        <v>0</v>
      </c>
      <c r="V1280" s="289">
        <v>277</v>
      </c>
      <c r="W1280" s="289">
        <v>0</v>
      </c>
      <c r="X1280" s="288">
        <v>0.11541666666666667</v>
      </c>
      <c r="Y1280" s="288">
        <v>0</v>
      </c>
      <c r="Z1280" s="288">
        <v>0</v>
      </c>
      <c r="AA1280" s="288">
        <v>0</v>
      </c>
      <c r="AB1280" s="288">
        <v>0</v>
      </c>
      <c r="AC1280" s="289">
        <v>0.11541666666666667</v>
      </c>
      <c r="AD1280" s="289">
        <v>0</v>
      </c>
    </row>
    <row r="1281" spans="1:30" ht="15" customHeight="1" x14ac:dyDescent="0.25">
      <c r="A1281" s="282" t="s">
        <v>581</v>
      </c>
      <c r="B1281" s="282" t="s">
        <v>839</v>
      </c>
      <c r="C1281" s="282" t="s">
        <v>840</v>
      </c>
      <c r="D1281" s="283" t="s">
        <v>1954</v>
      </c>
      <c r="E1281" s="404">
        <v>44620</v>
      </c>
      <c r="F1281" s="404">
        <v>46446</v>
      </c>
      <c r="G1281" s="286" t="s">
        <v>1948</v>
      </c>
      <c r="H1281" s="282" t="s">
        <v>1878</v>
      </c>
      <c r="I1281" s="282"/>
      <c r="J1281" s="282" t="s">
        <v>156</v>
      </c>
      <c r="K1281" s="286" t="s">
        <v>1879</v>
      </c>
      <c r="L1281" s="282" t="s">
        <v>574</v>
      </c>
      <c r="M1281" s="287">
        <v>2400</v>
      </c>
      <c r="N1281" s="287"/>
      <c r="O1281" s="287"/>
      <c r="P1281" s="287"/>
      <c r="Q1281" s="288">
        <v>301</v>
      </c>
      <c r="R1281" s="288"/>
      <c r="S1281" s="288"/>
      <c r="T1281" s="288"/>
      <c r="U1281" s="288">
        <v>0</v>
      </c>
      <c r="V1281" s="289">
        <v>301</v>
      </c>
      <c r="W1281" s="289">
        <v>0</v>
      </c>
      <c r="X1281" s="288">
        <v>0.12541666666666668</v>
      </c>
      <c r="Y1281" s="288">
        <v>0</v>
      </c>
      <c r="Z1281" s="288">
        <v>0</v>
      </c>
      <c r="AA1281" s="288">
        <v>0</v>
      </c>
      <c r="AB1281" s="288">
        <v>0</v>
      </c>
      <c r="AC1281" s="289">
        <v>0.12541666666666668</v>
      </c>
      <c r="AD1281" s="289">
        <v>0</v>
      </c>
    </row>
    <row r="1282" spans="1:30" ht="15" customHeight="1" x14ac:dyDescent="0.25">
      <c r="A1282" s="282" t="s">
        <v>581</v>
      </c>
      <c r="B1282" s="282" t="s">
        <v>594</v>
      </c>
      <c r="C1282" s="282" t="s">
        <v>595</v>
      </c>
      <c r="D1282" s="283" t="s">
        <v>1955</v>
      </c>
      <c r="E1282" s="404">
        <v>44620</v>
      </c>
      <c r="F1282" s="404">
        <v>46446</v>
      </c>
      <c r="G1282" s="286" t="s">
        <v>1948</v>
      </c>
      <c r="H1282" s="282" t="s">
        <v>1878</v>
      </c>
      <c r="I1282" s="282"/>
      <c r="J1282" s="282" t="s">
        <v>156</v>
      </c>
      <c r="K1282" s="286" t="s">
        <v>1879</v>
      </c>
      <c r="L1282" s="282" t="s">
        <v>574</v>
      </c>
      <c r="M1282" s="287">
        <v>2400</v>
      </c>
      <c r="N1282" s="287"/>
      <c r="O1282" s="287"/>
      <c r="P1282" s="287"/>
      <c r="Q1282" s="288">
        <v>171</v>
      </c>
      <c r="R1282" s="288"/>
      <c r="S1282" s="288"/>
      <c r="T1282" s="288"/>
      <c r="U1282" s="288">
        <v>0</v>
      </c>
      <c r="V1282" s="289">
        <v>171</v>
      </c>
      <c r="W1282" s="289">
        <v>0</v>
      </c>
      <c r="X1282" s="288">
        <v>7.1249999999999994E-2</v>
      </c>
      <c r="Y1282" s="288">
        <v>0</v>
      </c>
      <c r="Z1282" s="288">
        <v>0</v>
      </c>
      <c r="AA1282" s="288">
        <v>0</v>
      </c>
      <c r="AB1282" s="288">
        <v>0</v>
      </c>
      <c r="AC1282" s="289">
        <v>7.1249999999999994E-2</v>
      </c>
      <c r="AD1282" s="289">
        <v>0</v>
      </c>
    </row>
    <row r="1283" spans="1:30" ht="15" customHeight="1" x14ac:dyDescent="0.25">
      <c r="A1283" s="282" t="s">
        <v>581</v>
      </c>
      <c r="B1283" s="282" t="s">
        <v>628</v>
      </c>
      <c r="C1283" s="282" t="s">
        <v>629</v>
      </c>
      <c r="D1283" s="283" t="s">
        <v>1956</v>
      </c>
      <c r="E1283" s="404">
        <v>44620</v>
      </c>
      <c r="F1283" s="404">
        <v>46446</v>
      </c>
      <c r="G1283" s="286" t="s">
        <v>1948</v>
      </c>
      <c r="H1283" s="282" t="s">
        <v>1878</v>
      </c>
      <c r="I1283" s="282"/>
      <c r="J1283" s="282" t="s">
        <v>156</v>
      </c>
      <c r="K1283" s="286" t="s">
        <v>1879</v>
      </c>
      <c r="L1283" s="282" t="s">
        <v>574</v>
      </c>
      <c r="M1283" s="287">
        <v>2400</v>
      </c>
      <c r="N1283" s="287"/>
      <c r="O1283" s="287"/>
      <c r="P1283" s="287"/>
      <c r="Q1283" s="288">
        <v>187</v>
      </c>
      <c r="R1283" s="288"/>
      <c r="S1283" s="288"/>
      <c r="T1283" s="288"/>
      <c r="U1283" s="288">
        <v>0</v>
      </c>
      <c r="V1283" s="289">
        <v>187</v>
      </c>
      <c r="W1283" s="289">
        <v>0</v>
      </c>
      <c r="X1283" s="288">
        <v>7.7916666666666662E-2</v>
      </c>
      <c r="Y1283" s="288">
        <v>0</v>
      </c>
      <c r="Z1283" s="288">
        <v>0</v>
      </c>
      <c r="AA1283" s="288">
        <v>0</v>
      </c>
      <c r="AB1283" s="288">
        <v>0</v>
      </c>
      <c r="AC1283" s="289">
        <v>7.7916666666666662E-2</v>
      </c>
      <c r="AD1283" s="289">
        <v>0</v>
      </c>
    </row>
    <row r="1284" spans="1:30" ht="15" customHeight="1" x14ac:dyDescent="0.25">
      <c r="A1284" s="282" t="s">
        <v>581</v>
      </c>
      <c r="B1284" s="282" t="s">
        <v>611</v>
      </c>
      <c r="C1284" s="282" t="s">
        <v>612</v>
      </c>
      <c r="D1284" s="283" t="s">
        <v>1957</v>
      </c>
      <c r="E1284" s="404">
        <v>44620</v>
      </c>
      <c r="F1284" s="404">
        <v>46446</v>
      </c>
      <c r="G1284" s="286" t="s">
        <v>1948</v>
      </c>
      <c r="H1284" s="282" t="s">
        <v>1878</v>
      </c>
      <c r="I1284" s="282"/>
      <c r="J1284" s="282" t="s">
        <v>156</v>
      </c>
      <c r="K1284" s="286" t="s">
        <v>1879</v>
      </c>
      <c r="L1284" s="282" t="s">
        <v>574</v>
      </c>
      <c r="M1284" s="287">
        <v>2400</v>
      </c>
      <c r="N1284" s="287"/>
      <c r="O1284" s="287"/>
      <c r="P1284" s="287"/>
      <c r="Q1284" s="288">
        <v>215</v>
      </c>
      <c r="R1284" s="288"/>
      <c r="S1284" s="288"/>
      <c r="T1284" s="288"/>
      <c r="U1284" s="288">
        <v>0</v>
      </c>
      <c r="V1284" s="289">
        <v>215</v>
      </c>
      <c r="W1284" s="289">
        <v>0</v>
      </c>
      <c r="X1284" s="288">
        <v>8.9583333333333334E-2</v>
      </c>
      <c r="Y1284" s="288">
        <v>0</v>
      </c>
      <c r="Z1284" s="288">
        <v>0</v>
      </c>
      <c r="AA1284" s="288">
        <v>0</v>
      </c>
      <c r="AB1284" s="288">
        <v>0</v>
      </c>
      <c r="AC1284" s="289">
        <v>8.9583333333333334E-2</v>
      </c>
      <c r="AD1284" s="289">
        <v>0</v>
      </c>
    </row>
    <row r="1285" spans="1:30" ht="15" customHeight="1" x14ac:dyDescent="0.25">
      <c r="A1285" s="282" t="s">
        <v>581</v>
      </c>
      <c r="B1285" s="282" t="s">
        <v>585</v>
      </c>
      <c r="C1285" s="282" t="s">
        <v>586</v>
      </c>
      <c r="D1285" s="283" t="s">
        <v>1958</v>
      </c>
      <c r="E1285" s="404">
        <v>44620</v>
      </c>
      <c r="F1285" s="404">
        <v>46446</v>
      </c>
      <c r="G1285" s="286" t="s">
        <v>1948</v>
      </c>
      <c r="H1285" s="282" t="s">
        <v>1878</v>
      </c>
      <c r="I1285" s="282"/>
      <c r="J1285" s="282" t="s">
        <v>156</v>
      </c>
      <c r="K1285" s="286" t="s">
        <v>1879</v>
      </c>
      <c r="L1285" s="282" t="s">
        <v>574</v>
      </c>
      <c r="M1285" s="287">
        <v>2400</v>
      </c>
      <c r="N1285" s="287"/>
      <c r="O1285" s="287"/>
      <c r="P1285" s="287"/>
      <c r="Q1285" s="288">
        <v>253</v>
      </c>
      <c r="R1285" s="288"/>
      <c r="S1285" s="288"/>
      <c r="T1285" s="288"/>
      <c r="U1285" s="288">
        <v>0</v>
      </c>
      <c r="V1285" s="289">
        <v>253</v>
      </c>
      <c r="W1285" s="289">
        <v>0</v>
      </c>
      <c r="X1285" s="288">
        <v>0.10541666666666667</v>
      </c>
      <c r="Y1285" s="288">
        <v>0</v>
      </c>
      <c r="Z1285" s="288">
        <v>0</v>
      </c>
      <c r="AA1285" s="288">
        <v>0</v>
      </c>
      <c r="AB1285" s="288">
        <v>0</v>
      </c>
      <c r="AC1285" s="289">
        <v>0.10541666666666667</v>
      </c>
      <c r="AD1285" s="289">
        <v>0</v>
      </c>
    </row>
    <row r="1286" spans="1:30" ht="15" customHeight="1" x14ac:dyDescent="0.25">
      <c r="A1286" s="282" t="s">
        <v>581</v>
      </c>
      <c r="B1286" s="282" t="s">
        <v>616</v>
      </c>
      <c r="C1286" s="282" t="s">
        <v>617</v>
      </c>
      <c r="D1286" s="283" t="s">
        <v>1959</v>
      </c>
      <c r="E1286" s="404">
        <v>44620</v>
      </c>
      <c r="F1286" s="404">
        <v>46446</v>
      </c>
      <c r="G1286" s="286" t="s">
        <v>1948</v>
      </c>
      <c r="H1286" s="282" t="s">
        <v>1878</v>
      </c>
      <c r="I1286" s="282"/>
      <c r="J1286" s="282" t="s">
        <v>156</v>
      </c>
      <c r="K1286" s="286" t="s">
        <v>1879</v>
      </c>
      <c r="L1286" s="282" t="s">
        <v>574</v>
      </c>
      <c r="M1286" s="287">
        <v>2400</v>
      </c>
      <c r="N1286" s="287"/>
      <c r="O1286" s="287"/>
      <c r="P1286" s="287"/>
      <c r="Q1286" s="288">
        <v>314</v>
      </c>
      <c r="R1286" s="288"/>
      <c r="S1286" s="288"/>
      <c r="T1286" s="288"/>
      <c r="U1286" s="288">
        <v>0</v>
      </c>
      <c r="V1286" s="289">
        <v>314</v>
      </c>
      <c r="W1286" s="289">
        <v>0</v>
      </c>
      <c r="X1286" s="288">
        <v>0.13083333333333333</v>
      </c>
      <c r="Y1286" s="288">
        <v>0</v>
      </c>
      <c r="Z1286" s="288">
        <v>0</v>
      </c>
      <c r="AA1286" s="288">
        <v>0</v>
      </c>
      <c r="AB1286" s="288">
        <v>0</v>
      </c>
      <c r="AC1286" s="289">
        <v>0.13083333333333333</v>
      </c>
      <c r="AD1286" s="289">
        <v>0</v>
      </c>
    </row>
    <row r="1287" spans="1:30" ht="15" customHeight="1" x14ac:dyDescent="0.25">
      <c r="A1287" s="282" t="s">
        <v>581</v>
      </c>
      <c r="B1287" s="282" t="s">
        <v>594</v>
      </c>
      <c r="C1287" s="282" t="s">
        <v>595</v>
      </c>
      <c r="D1287" s="283" t="s">
        <v>1960</v>
      </c>
      <c r="E1287" s="404">
        <v>44620</v>
      </c>
      <c r="F1287" s="404">
        <v>46446</v>
      </c>
      <c r="G1287" s="286" t="s">
        <v>1948</v>
      </c>
      <c r="H1287" s="282" t="s">
        <v>1878</v>
      </c>
      <c r="I1287" s="282"/>
      <c r="J1287" s="282" t="s">
        <v>156</v>
      </c>
      <c r="K1287" s="286" t="s">
        <v>1879</v>
      </c>
      <c r="L1287" s="282" t="s">
        <v>574</v>
      </c>
      <c r="M1287" s="287">
        <v>2400</v>
      </c>
      <c r="N1287" s="287"/>
      <c r="O1287" s="287"/>
      <c r="P1287" s="287"/>
      <c r="Q1287" s="288">
        <v>213</v>
      </c>
      <c r="R1287" s="288"/>
      <c r="S1287" s="288"/>
      <c r="T1287" s="288"/>
      <c r="U1287" s="288">
        <v>0</v>
      </c>
      <c r="V1287" s="289">
        <v>213</v>
      </c>
      <c r="W1287" s="289">
        <v>0</v>
      </c>
      <c r="X1287" s="288">
        <v>8.8749999999999996E-2</v>
      </c>
      <c r="Y1287" s="288">
        <v>0</v>
      </c>
      <c r="Z1287" s="288">
        <v>0</v>
      </c>
      <c r="AA1287" s="288">
        <v>0</v>
      </c>
      <c r="AB1287" s="288">
        <v>0</v>
      </c>
      <c r="AC1287" s="289">
        <v>8.8749999999999996E-2</v>
      </c>
      <c r="AD1287" s="289">
        <v>0</v>
      </c>
    </row>
    <row r="1288" spans="1:30" ht="15" customHeight="1" x14ac:dyDescent="0.25">
      <c r="A1288" s="282" t="s">
        <v>581</v>
      </c>
      <c r="B1288" s="282" t="s">
        <v>628</v>
      </c>
      <c r="C1288" s="282" t="s">
        <v>629</v>
      </c>
      <c r="D1288" s="283" t="s">
        <v>1961</v>
      </c>
      <c r="E1288" s="404">
        <v>44620</v>
      </c>
      <c r="F1288" s="404">
        <v>46446</v>
      </c>
      <c r="G1288" s="286" t="s">
        <v>1948</v>
      </c>
      <c r="H1288" s="282" t="s">
        <v>1878</v>
      </c>
      <c r="I1288" s="282"/>
      <c r="J1288" s="282" t="s">
        <v>156</v>
      </c>
      <c r="K1288" s="286" t="s">
        <v>1879</v>
      </c>
      <c r="L1288" s="282" t="s">
        <v>574</v>
      </c>
      <c r="M1288" s="287">
        <v>2400</v>
      </c>
      <c r="N1288" s="287"/>
      <c r="O1288" s="287"/>
      <c r="P1288" s="287"/>
      <c r="Q1288" s="288">
        <v>240</v>
      </c>
      <c r="R1288" s="288"/>
      <c r="S1288" s="288"/>
      <c r="T1288" s="288"/>
      <c r="U1288" s="288">
        <v>0</v>
      </c>
      <c r="V1288" s="289">
        <v>240</v>
      </c>
      <c r="W1288" s="289">
        <v>0</v>
      </c>
      <c r="X1288" s="288">
        <v>0.1</v>
      </c>
      <c r="Y1288" s="288">
        <v>0</v>
      </c>
      <c r="Z1288" s="288">
        <v>0</v>
      </c>
      <c r="AA1288" s="288">
        <v>0</v>
      </c>
      <c r="AB1288" s="288">
        <v>0</v>
      </c>
      <c r="AC1288" s="289">
        <v>0.1</v>
      </c>
      <c r="AD1288" s="289">
        <v>0</v>
      </c>
    </row>
    <row r="1289" spans="1:30" ht="15" customHeight="1" x14ac:dyDescent="0.25">
      <c r="A1289" s="282" t="s">
        <v>581</v>
      </c>
      <c r="B1289" s="282" t="s">
        <v>611</v>
      </c>
      <c r="C1289" s="282" t="s">
        <v>612</v>
      </c>
      <c r="D1289" s="283" t="s">
        <v>1962</v>
      </c>
      <c r="E1289" s="404">
        <v>44620</v>
      </c>
      <c r="F1289" s="404">
        <v>46446</v>
      </c>
      <c r="G1289" s="286" t="s">
        <v>1948</v>
      </c>
      <c r="H1289" s="282" t="s">
        <v>1878</v>
      </c>
      <c r="I1289" s="282"/>
      <c r="J1289" s="282" t="s">
        <v>156</v>
      </c>
      <c r="K1289" s="286" t="s">
        <v>1879</v>
      </c>
      <c r="L1289" s="282" t="s">
        <v>574</v>
      </c>
      <c r="M1289" s="287">
        <v>2400</v>
      </c>
      <c r="N1289" s="287"/>
      <c r="O1289" s="287"/>
      <c r="P1289" s="287"/>
      <c r="Q1289" s="288">
        <v>274</v>
      </c>
      <c r="R1289" s="288"/>
      <c r="S1289" s="288"/>
      <c r="T1289" s="288"/>
      <c r="U1289" s="288">
        <v>0</v>
      </c>
      <c r="V1289" s="289">
        <v>274</v>
      </c>
      <c r="W1289" s="289">
        <v>0</v>
      </c>
      <c r="X1289" s="288">
        <v>0.11416666666666667</v>
      </c>
      <c r="Y1289" s="288">
        <v>0</v>
      </c>
      <c r="Z1289" s="288">
        <v>0</v>
      </c>
      <c r="AA1289" s="288">
        <v>0</v>
      </c>
      <c r="AB1289" s="288">
        <v>0</v>
      </c>
      <c r="AC1289" s="289">
        <v>0.11416666666666667</v>
      </c>
      <c r="AD1289" s="289">
        <v>0</v>
      </c>
    </row>
    <row r="1290" spans="1:30" ht="15" customHeight="1" x14ac:dyDescent="0.25">
      <c r="A1290" s="282" t="s">
        <v>581</v>
      </c>
      <c r="B1290" s="282" t="s">
        <v>585</v>
      </c>
      <c r="C1290" s="282" t="s">
        <v>586</v>
      </c>
      <c r="D1290" s="283" t="s">
        <v>1963</v>
      </c>
      <c r="E1290" s="404">
        <v>44620</v>
      </c>
      <c r="F1290" s="404">
        <v>46446</v>
      </c>
      <c r="G1290" s="286" t="s">
        <v>1948</v>
      </c>
      <c r="H1290" s="282" t="s">
        <v>1878</v>
      </c>
      <c r="I1290" s="282"/>
      <c r="J1290" s="282" t="s">
        <v>156</v>
      </c>
      <c r="K1290" s="286" t="s">
        <v>1879</v>
      </c>
      <c r="L1290" s="282" t="s">
        <v>574</v>
      </c>
      <c r="M1290" s="287">
        <v>2400</v>
      </c>
      <c r="N1290" s="287"/>
      <c r="O1290" s="287"/>
      <c r="P1290" s="287"/>
      <c r="Q1290" s="288">
        <v>326</v>
      </c>
      <c r="R1290" s="288"/>
      <c r="S1290" s="288"/>
      <c r="T1290" s="288"/>
      <c r="U1290" s="288">
        <v>0</v>
      </c>
      <c r="V1290" s="289">
        <v>326</v>
      </c>
      <c r="W1290" s="289">
        <v>0</v>
      </c>
      <c r="X1290" s="288">
        <v>0.13583333333333333</v>
      </c>
      <c r="Y1290" s="288">
        <v>0</v>
      </c>
      <c r="Z1290" s="288">
        <v>0</v>
      </c>
      <c r="AA1290" s="288">
        <v>0</v>
      </c>
      <c r="AB1290" s="288">
        <v>0</v>
      </c>
      <c r="AC1290" s="289">
        <v>0.13583333333333333</v>
      </c>
      <c r="AD1290" s="289">
        <v>0</v>
      </c>
    </row>
    <row r="1291" spans="1:30" ht="15" customHeight="1" x14ac:dyDescent="0.25">
      <c r="A1291" s="282" t="s">
        <v>581</v>
      </c>
      <c r="B1291" s="282" t="s">
        <v>616</v>
      </c>
      <c r="C1291" s="282" t="s">
        <v>617</v>
      </c>
      <c r="D1291" s="283" t="s">
        <v>1964</v>
      </c>
      <c r="E1291" s="404">
        <v>44620</v>
      </c>
      <c r="F1291" s="404">
        <v>46446</v>
      </c>
      <c r="G1291" s="286" t="s">
        <v>1948</v>
      </c>
      <c r="H1291" s="282" t="s">
        <v>1878</v>
      </c>
      <c r="I1291" s="282"/>
      <c r="J1291" s="282" t="s">
        <v>156</v>
      </c>
      <c r="K1291" s="286" t="s">
        <v>1879</v>
      </c>
      <c r="L1291" s="282" t="s">
        <v>574</v>
      </c>
      <c r="M1291" s="287">
        <v>2400</v>
      </c>
      <c r="N1291" s="287"/>
      <c r="O1291" s="287"/>
      <c r="P1291" s="287"/>
      <c r="Q1291" s="288">
        <v>395</v>
      </c>
      <c r="R1291" s="288"/>
      <c r="S1291" s="288"/>
      <c r="T1291" s="288"/>
      <c r="U1291" s="288">
        <v>0</v>
      </c>
      <c r="V1291" s="289">
        <v>395</v>
      </c>
      <c r="W1291" s="289">
        <v>0</v>
      </c>
      <c r="X1291" s="288">
        <v>0.16458333333333333</v>
      </c>
      <c r="Y1291" s="288">
        <v>0</v>
      </c>
      <c r="Z1291" s="288">
        <v>0</v>
      </c>
      <c r="AA1291" s="288">
        <v>0</v>
      </c>
      <c r="AB1291" s="288">
        <v>0</v>
      </c>
      <c r="AC1291" s="289">
        <v>0.16458333333333333</v>
      </c>
      <c r="AD1291" s="289">
        <v>0</v>
      </c>
    </row>
    <row r="1292" spans="1:30" ht="15" customHeight="1" x14ac:dyDescent="0.25">
      <c r="A1292" s="282" t="s">
        <v>581</v>
      </c>
      <c r="B1292" s="282" t="s">
        <v>594</v>
      </c>
      <c r="C1292" s="282" t="s">
        <v>595</v>
      </c>
      <c r="D1292" s="283" t="s">
        <v>1965</v>
      </c>
      <c r="E1292" s="404">
        <v>44620</v>
      </c>
      <c r="F1292" s="404">
        <v>46446</v>
      </c>
      <c r="G1292" s="286" t="s">
        <v>1948</v>
      </c>
      <c r="H1292" s="282" t="s">
        <v>1878</v>
      </c>
      <c r="I1292" s="282"/>
      <c r="J1292" s="282" t="s">
        <v>156</v>
      </c>
      <c r="K1292" s="286" t="s">
        <v>1879</v>
      </c>
      <c r="L1292" s="282" t="s">
        <v>574</v>
      </c>
      <c r="M1292" s="287">
        <v>2400</v>
      </c>
      <c r="N1292" s="287"/>
      <c r="O1292" s="287"/>
      <c r="P1292" s="287"/>
      <c r="Q1292" s="288">
        <v>185</v>
      </c>
      <c r="R1292" s="288"/>
      <c r="S1292" s="288"/>
      <c r="T1292" s="288"/>
      <c r="U1292" s="288">
        <v>0</v>
      </c>
      <c r="V1292" s="289">
        <v>185</v>
      </c>
      <c r="W1292" s="289">
        <v>0</v>
      </c>
      <c r="X1292" s="288">
        <v>7.7083333333333337E-2</v>
      </c>
      <c r="Y1292" s="288">
        <v>0</v>
      </c>
      <c r="Z1292" s="288">
        <v>0</v>
      </c>
      <c r="AA1292" s="288">
        <v>0</v>
      </c>
      <c r="AB1292" s="288">
        <v>0</v>
      </c>
      <c r="AC1292" s="289">
        <v>7.7083333333333337E-2</v>
      </c>
      <c r="AD1292" s="289">
        <v>0</v>
      </c>
    </row>
    <row r="1293" spans="1:30" ht="15" customHeight="1" x14ac:dyDescent="0.25">
      <c r="A1293" s="282" t="s">
        <v>581</v>
      </c>
      <c r="B1293" s="282" t="s">
        <v>628</v>
      </c>
      <c r="C1293" s="282" t="s">
        <v>629</v>
      </c>
      <c r="D1293" s="283" t="s">
        <v>1966</v>
      </c>
      <c r="E1293" s="404">
        <v>44620</v>
      </c>
      <c r="F1293" s="404">
        <v>46446</v>
      </c>
      <c r="G1293" s="286" t="s">
        <v>1948</v>
      </c>
      <c r="H1293" s="282" t="s">
        <v>1878</v>
      </c>
      <c r="I1293" s="282"/>
      <c r="J1293" s="282" t="s">
        <v>156</v>
      </c>
      <c r="K1293" s="286" t="s">
        <v>1879</v>
      </c>
      <c r="L1293" s="282" t="s">
        <v>574</v>
      </c>
      <c r="M1293" s="287">
        <v>2400</v>
      </c>
      <c r="N1293" s="287"/>
      <c r="O1293" s="287"/>
      <c r="P1293" s="287"/>
      <c r="Q1293" s="288">
        <v>200</v>
      </c>
      <c r="R1293" s="288"/>
      <c r="S1293" s="288"/>
      <c r="T1293" s="288"/>
      <c r="U1293" s="288">
        <v>0</v>
      </c>
      <c r="V1293" s="289">
        <v>200</v>
      </c>
      <c r="W1293" s="289">
        <v>0</v>
      </c>
      <c r="X1293" s="288">
        <v>8.3333333333333329E-2</v>
      </c>
      <c r="Y1293" s="288">
        <v>0</v>
      </c>
      <c r="Z1293" s="288">
        <v>0</v>
      </c>
      <c r="AA1293" s="288">
        <v>0</v>
      </c>
      <c r="AB1293" s="288">
        <v>0</v>
      </c>
      <c r="AC1293" s="289">
        <v>8.3333333333333329E-2</v>
      </c>
      <c r="AD1293" s="289">
        <v>0</v>
      </c>
    </row>
    <row r="1294" spans="1:30" ht="15" customHeight="1" x14ac:dyDescent="0.25">
      <c r="A1294" s="282" t="s">
        <v>581</v>
      </c>
      <c r="B1294" s="282" t="s">
        <v>611</v>
      </c>
      <c r="C1294" s="282" t="s">
        <v>612</v>
      </c>
      <c r="D1294" s="283" t="s">
        <v>1967</v>
      </c>
      <c r="E1294" s="404">
        <v>44620</v>
      </c>
      <c r="F1294" s="404">
        <v>46446</v>
      </c>
      <c r="G1294" s="286" t="s">
        <v>1948</v>
      </c>
      <c r="H1294" s="282" t="s">
        <v>1878</v>
      </c>
      <c r="I1294" s="282"/>
      <c r="J1294" s="282" t="s">
        <v>156</v>
      </c>
      <c r="K1294" s="286" t="s">
        <v>1879</v>
      </c>
      <c r="L1294" s="282" t="s">
        <v>574</v>
      </c>
      <c r="M1294" s="287">
        <v>2400</v>
      </c>
      <c r="N1294" s="287"/>
      <c r="O1294" s="287"/>
      <c r="P1294" s="287"/>
      <c r="Q1294" s="288">
        <v>224</v>
      </c>
      <c r="R1294" s="288"/>
      <c r="S1294" s="288"/>
      <c r="T1294" s="288"/>
      <c r="U1294" s="288">
        <v>0</v>
      </c>
      <c r="V1294" s="289">
        <v>224</v>
      </c>
      <c r="W1294" s="289">
        <v>0</v>
      </c>
      <c r="X1294" s="288">
        <v>9.3333333333333338E-2</v>
      </c>
      <c r="Y1294" s="288">
        <v>0</v>
      </c>
      <c r="Z1294" s="288">
        <v>0</v>
      </c>
      <c r="AA1294" s="288">
        <v>0</v>
      </c>
      <c r="AB1294" s="288">
        <v>0</v>
      </c>
      <c r="AC1294" s="289">
        <v>9.3333333333333338E-2</v>
      </c>
      <c r="AD1294" s="289">
        <v>0</v>
      </c>
    </row>
    <row r="1295" spans="1:30" ht="15" customHeight="1" x14ac:dyDescent="0.25">
      <c r="A1295" s="282" t="s">
        <v>581</v>
      </c>
      <c r="B1295" s="282" t="s">
        <v>585</v>
      </c>
      <c r="C1295" s="282" t="s">
        <v>586</v>
      </c>
      <c r="D1295" s="283" t="s">
        <v>1968</v>
      </c>
      <c r="E1295" s="404">
        <v>44620</v>
      </c>
      <c r="F1295" s="404">
        <v>46446</v>
      </c>
      <c r="G1295" s="286" t="s">
        <v>1948</v>
      </c>
      <c r="H1295" s="282" t="s">
        <v>1878</v>
      </c>
      <c r="I1295" s="282"/>
      <c r="J1295" s="282" t="s">
        <v>156</v>
      </c>
      <c r="K1295" s="286" t="s">
        <v>1879</v>
      </c>
      <c r="L1295" s="282" t="s">
        <v>574</v>
      </c>
      <c r="M1295" s="287">
        <v>2400</v>
      </c>
      <c r="N1295" s="287"/>
      <c r="O1295" s="287"/>
      <c r="P1295" s="287"/>
      <c r="Q1295" s="288">
        <v>267</v>
      </c>
      <c r="R1295" s="288"/>
      <c r="S1295" s="288"/>
      <c r="T1295" s="288"/>
      <c r="U1295" s="288">
        <v>0</v>
      </c>
      <c r="V1295" s="289">
        <v>267</v>
      </c>
      <c r="W1295" s="289">
        <v>0</v>
      </c>
      <c r="X1295" s="288">
        <v>0.11125</v>
      </c>
      <c r="Y1295" s="288">
        <v>0</v>
      </c>
      <c r="Z1295" s="288">
        <v>0</v>
      </c>
      <c r="AA1295" s="288">
        <v>0</v>
      </c>
      <c r="AB1295" s="288">
        <v>0</v>
      </c>
      <c r="AC1295" s="289">
        <v>0.11125</v>
      </c>
      <c r="AD1295" s="289">
        <v>0</v>
      </c>
    </row>
    <row r="1296" spans="1:30" ht="15" customHeight="1" x14ac:dyDescent="0.25">
      <c r="A1296" s="282" t="s">
        <v>581</v>
      </c>
      <c r="B1296" s="282" t="s">
        <v>616</v>
      </c>
      <c r="C1296" s="282" t="s">
        <v>617</v>
      </c>
      <c r="D1296" s="283" t="s">
        <v>1969</v>
      </c>
      <c r="E1296" s="404">
        <v>44620</v>
      </c>
      <c r="F1296" s="404">
        <v>46446</v>
      </c>
      <c r="G1296" s="286" t="s">
        <v>1948</v>
      </c>
      <c r="H1296" s="282" t="s">
        <v>1878</v>
      </c>
      <c r="I1296" s="282"/>
      <c r="J1296" s="282" t="s">
        <v>156</v>
      </c>
      <c r="K1296" s="286" t="s">
        <v>1879</v>
      </c>
      <c r="L1296" s="282" t="s">
        <v>574</v>
      </c>
      <c r="M1296" s="287">
        <v>2400</v>
      </c>
      <c r="N1296" s="287"/>
      <c r="O1296" s="287"/>
      <c r="P1296" s="287"/>
      <c r="Q1296" s="288">
        <v>326</v>
      </c>
      <c r="R1296" s="288"/>
      <c r="S1296" s="288"/>
      <c r="T1296" s="288"/>
      <c r="U1296" s="288">
        <v>0</v>
      </c>
      <c r="V1296" s="289">
        <v>326</v>
      </c>
      <c r="W1296" s="289">
        <v>0</v>
      </c>
      <c r="X1296" s="288">
        <v>0.13583333333333333</v>
      </c>
      <c r="Y1296" s="288">
        <v>0</v>
      </c>
      <c r="Z1296" s="288">
        <v>0</v>
      </c>
      <c r="AA1296" s="288">
        <v>0</v>
      </c>
      <c r="AB1296" s="288">
        <v>0</v>
      </c>
      <c r="AC1296" s="289">
        <v>0.13583333333333333</v>
      </c>
      <c r="AD1296" s="289">
        <v>0</v>
      </c>
    </row>
    <row r="1297" spans="1:30" ht="15" customHeight="1" x14ac:dyDescent="0.25">
      <c r="A1297" s="282" t="s">
        <v>581</v>
      </c>
      <c r="B1297" s="282" t="s">
        <v>606</v>
      </c>
      <c r="C1297" s="282" t="s">
        <v>260</v>
      </c>
      <c r="D1297" s="283" t="s">
        <v>1970</v>
      </c>
      <c r="E1297" s="404">
        <v>44620</v>
      </c>
      <c r="F1297" s="404">
        <v>46446</v>
      </c>
      <c r="G1297" s="286" t="s">
        <v>1948</v>
      </c>
      <c r="H1297" s="282" t="s">
        <v>1878</v>
      </c>
      <c r="I1297" s="282"/>
      <c r="J1297" s="282" t="s">
        <v>156</v>
      </c>
      <c r="K1297" s="286" t="s">
        <v>1879</v>
      </c>
      <c r="L1297" s="282" t="s">
        <v>574</v>
      </c>
      <c r="M1297" s="287">
        <v>2400</v>
      </c>
      <c r="N1297" s="287"/>
      <c r="O1297" s="287"/>
      <c r="P1297" s="287"/>
      <c r="Q1297" s="288">
        <v>339</v>
      </c>
      <c r="R1297" s="288"/>
      <c r="S1297" s="288"/>
      <c r="T1297" s="288"/>
      <c r="U1297" s="288">
        <v>0</v>
      </c>
      <c r="V1297" s="289">
        <v>339</v>
      </c>
      <c r="W1297" s="289">
        <v>0</v>
      </c>
      <c r="X1297" s="288">
        <v>0.14124999999999999</v>
      </c>
      <c r="Y1297" s="288">
        <v>0</v>
      </c>
      <c r="Z1297" s="288">
        <v>0</v>
      </c>
      <c r="AA1297" s="288">
        <v>0</v>
      </c>
      <c r="AB1297" s="288">
        <v>0</v>
      </c>
      <c r="AC1297" s="289">
        <v>0.14124999999999999</v>
      </c>
      <c r="AD1297" s="289">
        <v>0</v>
      </c>
    </row>
    <row r="1298" spans="1:30" ht="15" customHeight="1" x14ac:dyDescent="0.25">
      <c r="A1298" s="282" t="s">
        <v>581</v>
      </c>
      <c r="B1298" s="282" t="s">
        <v>594</v>
      </c>
      <c r="C1298" s="282" t="s">
        <v>595</v>
      </c>
      <c r="D1298" s="283" t="s">
        <v>1971</v>
      </c>
      <c r="E1298" s="404">
        <v>44620</v>
      </c>
      <c r="F1298" s="404">
        <v>46446</v>
      </c>
      <c r="G1298" s="286" t="s">
        <v>1948</v>
      </c>
      <c r="H1298" s="282" t="s">
        <v>1878</v>
      </c>
      <c r="I1298" s="282"/>
      <c r="J1298" s="282" t="s">
        <v>156</v>
      </c>
      <c r="K1298" s="286" t="s">
        <v>1879</v>
      </c>
      <c r="L1298" s="282" t="s">
        <v>574</v>
      </c>
      <c r="M1298" s="287">
        <v>2400</v>
      </c>
      <c r="N1298" s="287"/>
      <c r="O1298" s="287"/>
      <c r="P1298" s="287"/>
      <c r="Q1298" s="288">
        <v>194</v>
      </c>
      <c r="R1298" s="288"/>
      <c r="S1298" s="288"/>
      <c r="T1298" s="288"/>
      <c r="U1298" s="288">
        <v>0</v>
      </c>
      <c r="V1298" s="289">
        <v>194</v>
      </c>
      <c r="W1298" s="289">
        <v>0</v>
      </c>
      <c r="X1298" s="288">
        <v>8.0833333333333326E-2</v>
      </c>
      <c r="Y1298" s="288">
        <v>0</v>
      </c>
      <c r="Z1298" s="288">
        <v>0</v>
      </c>
      <c r="AA1298" s="288">
        <v>0</v>
      </c>
      <c r="AB1298" s="288">
        <v>0</v>
      </c>
      <c r="AC1298" s="289">
        <v>8.0833333333333326E-2</v>
      </c>
      <c r="AD1298" s="289">
        <v>0</v>
      </c>
    </row>
    <row r="1299" spans="1:30" ht="15" customHeight="1" x14ac:dyDescent="0.25">
      <c r="A1299" s="282" t="s">
        <v>581</v>
      </c>
      <c r="B1299" s="282" t="s">
        <v>628</v>
      </c>
      <c r="C1299" s="282" t="s">
        <v>629</v>
      </c>
      <c r="D1299" s="283" t="s">
        <v>1972</v>
      </c>
      <c r="E1299" s="404">
        <v>44620</v>
      </c>
      <c r="F1299" s="404">
        <v>46446</v>
      </c>
      <c r="G1299" s="286" t="s">
        <v>1948</v>
      </c>
      <c r="H1299" s="282" t="s">
        <v>1878</v>
      </c>
      <c r="I1299" s="282"/>
      <c r="J1299" s="282" t="s">
        <v>156</v>
      </c>
      <c r="K1299" s="286" t="s">
        <v>1879</v>
      </c>
      <c r="L1299" s="282" t="s">
        <v>574</v>
      </c>
      <c r="M1299" s="287">
        <v>2400</v>
      </c>
      <c r="N1299" s="287"/>
      <c r="O1299" s="287"/>
      <c r="P1299" s="287"/>
      <c r="Q1299" s="288">
        <v>212</v>
      </c>
      <c r="R1299" s="288"/>
      <c r="S1299" s="288"/>
      <c r="T1299" s="288"/>
      <c r="U1299" s="288">
        <v>0</v>
      </c>
      <c r="V1299" s="289">
        <v>212</v>
      </c>
      <c r="W1299" s="289">
        <v>0</v>
      </c>
      <c r="X1299" s="288">
        <v>8.8333333333333333E-2</v>
      </c>
      <c r="Y1299" s="288">
        <v>0</v>
      </c>
      <c r="Z1299" s="288">
        <v>0</v>
      </c>
      <c r="AA1299" s="288">
        <v>0</v>
      </c>
      <c r="AB1299" s="288">
        <v>0</v>
      </c>
      <c r="AC1299" s="289">
        <v>8.8333333333333333E-2</v>
      </c>
      <c r="AD1299" s="289">
        <v>0</v>
      </c>
    </row>
    <row r="1300" spans="1:30" ht="15" customHeight="1" x14ac:dyDescent="0.25">
      <c r="A1300" s="282" t="s">
        <v>581</v>
      </c>
      <c r="B1300" s="282" t="s">
        <v>611</v>
      </c>
      <c r="C1300" s="282" t="s">
        <v>612</v>
      </c>
      <c r="D1300" s="283" t="s">
        <v>1973</v>
      </c>
      <c r="E1300" s="404">
        <v>44620</v>
      </c>
      <c r="F1300" s="404">
        <v>46446</v>
      </c>
      <c r="G1300" s="286" t="s">
        <v>1948</v>
      </c>
      <c r="H1300" s="282" t="s">
        <v>1878</v>
      </c>
      <c r="I1300" s="282"/>
      <c r="J1300" s="282" t="s">
        <v>156</v>
      </c>
      <c r="K1300" s="286" t="s">
        <v>1879</v>
      </c>
      <c r="L1300" s="282" t="s">
        <v>574</v>
      </c>
      <c r="M1300" s="287">
        <v>2400</v>
      </c>
      <c r="N1300" s="287"/>
      <c r="O1300" s="287"/>
      <c r="P1300" s="287"/>
      <c r="Q1300" s="288">
        <v>239</v>
      </c>
      <c r="R1300" s="288"/>
      <c r="S1300" s="288"/>
      <c r="T1300" s="288"/>
      <c r="U1300" s="288">
        <v>0</v>
      </c>
      <c r="V1300" s="289">
        <v>239</v>
      </c>
      <c r="W1300" s="289">
        <v>0</v>
      </c>
      <c r="X1300" s="288">
        <v>9.9583333333333329E-2</v>
      </c>
      <c r="Y1300" s="288">
        <v>0</v>
      </c>
      <c r="Z1300" s="288">
        <v>0</v>
      </c>
      <c r="AA1300" s="288">
        <v>0</v>
      </c>
      <c r="AB1300" s="288">
        <v>0</v>
      </c>
      <c r="AC1300" s="289">
        <v>9.9583333333333329E-2</v>
      </c>
      <c r="AD1300" s="289">
        <v>0</v>
      </c>
    </row>
    <row r="1301" spans="1:30" ht="15" customHeight="1" x14ac:dyDescent="0.25">
      <c r="A1301" s="282" t="s">
        <v>581</v>
      </c>
      <c r="B1301" s="282" t="s">
        <v>585</v>
      </c>
      <c r="C1301" s="282" t="s">
        <v>586</v>
      </c>
      <c r="D1301" s="283" t="s">
        <v>1974</v>
      </c>
      <c r="E1301" s="404">
        <v>44620</v>
      </c>
      <c r="F1301" s="404">
        <v>46446</v>
      </c>
      <c r="G1301" s="286" t="s">
        <v>1948</v>
      </c>
      <c r="H1301" s="282" t="s">
        <v>1878</v>
      </c>
      <c r="I1301" s="282"/>
      <c r="J1301" s="282" t="s">
        <v>156</v>
      </c>
      <c r="K1301" s="286" t="s">
        <v>1879</v>
      </c>
      <c r="L1301" s="282" t="s">
        <v>574</v>
      </c>
      <c r="M1301" s="287">
        <v>2400</v>
      </c>
      <c r="N1301" s="287"/>
      <c r="O1301" s="287"/>
      <c r="P1301" s="287"/>
      <c r="Q1301" s="288">
        <v>280</v>
      </c>
      <c r="R1301" s="288"/>
      <c r="S1301" s="288"/>
      <c r="T1301" s="288"/>
      <c r="U1301" s="288">
        <v>0</v>
      </c>
      <c r="V1301" s="289">
        <v>280</v>
      </c>
      <c r="W1301" s="289">
        <v>0</v>
      </c>
      <c r="X1301" s="288">
        <v>0.11666666666666667</v>
      </c>
      <c r="Y1301" s="288">
        <v>0</v>
      </c>
      <c r="Z1301" s="288">
        <v>0</v>
      </c>
      <c r="AA1301" s="288">
        <v>0</v>
      </c>
      <c r="AB1301" s="288">
        <v>0</v>
      </c>
      <c r="AC1301" s="289">
        <v>0.11666666666666667</v>
      </c>
      <c r="AD1301" s="289">
        <v>0</v>
      </c>
    </row>
    <row r="1302" spans="1:30" ht="15" customHeight="1" x14ac:dyDescent="0.25">
      <c r="A1302" s="282" t="s">
        <v>581</v>
      </c>
      <c r="B1302" s="282" t="s">
        <v>616</v>
      </c>
      <c r="C1302" s="282" t="s">
        <v>617</v>
      </c>
      <c r="D1302" s="283" t="s">
        <v>1975</v>
      </c>
      <c r="E1302" s="404">
        <v>44620</v>
      </c>
      <c r="F1302" s="404">
        <v>46446</v>
      </c>
      <c r="G1302" s="286" t="s">
        <v>1948</v>
      </c>
      <c r="H1302" s="282" t="s">
        <v>1878</v>
      </c>
      <c r="I1302" s="282"/>
      <c r="J1302" s="282" t="s">
        <v>156</v>
      </c>
      <c r="K1302" s="286" t="s">
        <v>1879</v>
      </c>
      <c r="L1302" s="282" t="s">
        <v>574</v>
      </c>
      <c r="M1302" s="287">
        <v>2400</v>
      </c>
      <c r="N1302" s="287"/>
      <c r="O1302" s="287"/>
      <c r="P1302" s="287"/>
      <c r="Q1302" s="288">
        <v>348</v>
      </c>
      <c r="R1302" s="288"/>
      <c r="S1302" s="288"/>
      <c r="T1302" s="288"/>
      <c r="U1302" s="288">
        <v>0</v>
      </c>
      <c r="V1302" s="289">
        <v>348</v>
      </c>
      <c r="W1302" s="289">
        <v>0</v>
      </c>
      <c r="X1302" s="288">
        <v>0.14499999999999999</v>
      </c>
      <c r="Y1302" s="288">
        <v>0</v>
      </c>
      <c r="Z1302" s="288">
        <v>0</v>
      </c>
      <c r="AA1302" s="288">
        <v>0</v>
      </c>
      <c r="AB1302" s="288">
        <v>0</v>
      </c>
      <c r="AC1302" s="289">
        <v>0.14499999999999999</v>
      </c>
      <c r="AD1302" s="289">
        <v>0</v>
      </c>
    </row>
    <row r="1303" spans="1:30" ht="15" customHeight="1" x14ac:dyDescent="0.25">
      <c r="A1303" s="282" t="s">
        <v>581</v>
      </c>
      <c r="B1303" s="282" t="s">
        <v>695</v>
      </c>
      <c r="C1303" s="282" t="s">
        <v>696</v>
      </c>
      <c r="D1303" s="283" t="s">
        <v>1976</v>
      </c>
      <c r="E1303" s="404">
        <v>44620</v>
      </c>
      <c r="F1303" s="404">
        <v>46446</v>
      </c>
      <c r="G1303" s="286" t="s">
        <v>1948</v>
      </c>
      <c r="H1303" s="282" t="s">
        <v>1878</v>
      </c>
      <c r="I1303" s="282"/>
      <c r="J1303" s="282" t="s">
        <v>156</v>
      </c>
      <c r="K1303" s="286" t="s">
        <v>1879</v>
      </c>
      <c r="L1303" s="282" t="s">
        <v>574</v>
      </c>
      <c r="M1303" s="287">
        <v>2400</v>
      </c>
      <c r="N1303" s="287"/>
      <c r="O1303" s="287"/>
      <c r="P1303" s="287"/>
      <c r="Q1303" s="288">
        <v>357</v>
      </c>
      <c r="R1303" s="288"/>
      <c r="S1303" s="288"/>
      <c r="T1303" s="288"/>
      <c r="U1303" s="288">
        <v>0</v>
      </c>
      <c r="V1303" s="289">
        <v>357</v>
      </c>
      <c r="W1303" s="289">
        <v>0</v>
      </c>
      <c r="X1303" s="288">
        <v>0.14874999999999999</v>
      </c>
      <c r="Y1303" s="288">
        <v>0</v>
      </c>
      <c r="Z1303" s="288">
        <v>0</v>
      </c>
      <c r="AA1303" s="288">
        <v>0</v>
      </c>
      <c r="AB1303" s="288">
        <v>0</v>
      </c>
      <c r="AC1303" s="289">
        <v>0.14874999999999999</v>
      </c>
      <c r="AD1303" s="289">
        <v>0</v>
      </c>
    </row>
    <row r="1304" spans="1:30" ht="15" customHeight="1" x14ac:dyDescent="0.25">
      <c r="A1304" s="282" t="s">
        <v>581</v>
      </c>
      <c r="B1304" s="282" t="s">
        <v>594</v>
      </c>
      <c r="C1304" s="282" t="s">
        <v>595</v>
      </c>
      <c r="D1304" s="283" t="s">
        <v>1977</v>
      </c>
      <c r="E1304" s="404">
        <v>44620</v>
      </c>
      <c r="F1304" s="404">
        <v>46446</v>
      </c>
      <c r="G1304" s="286" t="s">
        <v>1948</v>
      </c>
      <c r="H1304" s="282" t="s">
        <v>1878</v>
      </c>
      <c r="I1304" s="282"/>
      <c r="J1304" s="282" t="s">
        <v>156</v>
      </c>
      <c r="K1304" s="286" t="s">
        <v>1879</v>
      </c>
      <c r="L1304" s="282" t="s">
        <v>574</v>
      </c>
      <c r="M1304" s="287">
        <v>2400</v>
      </c>
      <c r="N1304" s="287"/>
      <c r="O1304" s="287"/>
      <c r="P1304" s="287"/>
      <c r="Q1304" s="288">
        <v>249</v>
      </c>
      <c r="R1304" s="288"/>
      <c r="S1304" s="288"/>
      <c r="T1304" s="288"/>
      <c r="U1304" s="288">
        <v>0</v>
      </c>
      <c r="V1304" s="289">
        <v>249</v>
      </c>
      <c r="W1304" s="289">
        <v>0</v>
      </c>
      <c r="X1304" s="288">
        <v>0.10375</v>
      </c>
      <c r="Y1304" s="288">
        <v>0</v>
      </c>
      <c r="Z1304" s="288">
        <v>0</v>
      </c>
      <c r="AA1304" s="288">
        <v>0</v>
      </c>
      <c r="AB1304" s="288">
        <v>0</v>
      </c>
      <c r="AC1304" s="289">
        <v>0.10375</v>
      </c>
      <c r="AD1304" s="289">
        <v>0</v>
      </c>
    </row>
    <row r="1305" spans="1:30" ht="15" customHeight="1" x14ac:dyDescent="0.25">
      <c r="A1305" s="282" t="s">
        <v>581</v>
      </c>
      <c r="B1305" s="282" t="s">
        <v>628</v>
      </c>
      <c r="C1305" s="282" t="s">
        <v>629</v>
      </c>
      <c r="D1305" s="283" t="s">
        <v>1978</v>
      </c>
      <c r="E1305" s="404">
        <v>44620</v>
      </c>
      <c r="F1305" s="404">
        <v>46446</v>
      </c>
      <c r="G1305" s="286" t="s">
        <v>1948</v>
      </c>
      <c r="H1305" s="282" t="s">
        <v>1878</v>
      </c>
      <c r="I1305" s="282"/>
      <c r="J1305" s="282" t="s">
        <v>156</v>
      </c>
      <c r="K1305" s="286" t="s">
        <v>1879</v>
      </c>
      <c r="L1305" s="282" t="s">
        <v>574</v>
      </c>
      <c r="M1305" s="287">
        <v>2400</v>
      </c>
      <c r="N1305" s="287"/>
      <c r="O1305" s="287"/>
      <c r="P1305" s="287"/>
      <c r="Q1305" s="288">
        <v>273</v>
      </c>
      <c r="R1305" s="288"/>
      <c r="S1305" s="288"/>
      <c r="T1305" s="288"/>
      <c r="U1305" s="288">
        <v>0</v>
      </c>
      <c r="V1305" s="289">
        <v>273</v>
      </c>
      <c r="W1305" s="289">
        <v>0</v>
      </c>
      <c r="X1305" s="288">
        <v>0.11375</v>
      </c>
      <c r="Y1305" s="288">
        <v>0</v>
      </c>
      <c r="Z1305" s="288">
        <v>0</v>
      </c>
      <c r="AA1305" s="288">
        <v>0</v>
      </c>
      <c r="AB1305" s="288">
        <v>0</v>
      </c>
      <c r="AC1305" s="289">
        <v>0.11375</v>
      </c>
      <c r="AD1305" s="289">
        <v>0</v>
      </c>
    </row>
    <row r="1306" spans="1:30" ht="15" customHeight="1" x14ac:dyDescent="0.25">
      <c r="A1306" s="282" t="s">
        <v>581</v>
      </c>
      <c r="B1306" s="282" t="s">
        <v>611</v>
      </c>
      <c r="C1306" s="282" t="s">
        <v>612</v>
      </c>
      <c r="D1306" s="283" t="s">
        <v>1979</v>
      </c>
      <c r="E1306" s="404">
        <v>44620</v>
      </c>
      <c r="F1306" s="404">
        <v>46446</v>
      </c>
      <c r="G1306" s="286" t="s">
        <v>1948</v>
      </c>
      <c r="H1306" s="282" t="s">
        <v>1878</v>
      </c>
      <c r="I1306" s="282"/>
      <c r="J1306" s="282" t="s">
        <v>156</v>
      </c>
      <c r="K1306" s="286" t="s">
        <v>1879</v>
      </c>
      <c r="L1306" s="282" t="s">
        <v>574</v>
      </c>
      <c r="M1306" s="287">
        <v>2400</v>
      </c>
      <c r="N1306" s="287"/>
      <c r="O1306" s="287"/>
      <c r="P1306" s="287"/>
      <c r="Q1306" s="288">
        <v>297</v>
      </c>
      <c r="R1306" s="288"/>
      <c r="S1306" s="288"/>
      <c r="T1306" s="288"/>
      <c r="U1306" s="288">
        <v>0</v>
      </c>
      <c r="V1306" s="289">
        <v>297</v>
      </c>
      <c r="W1306" s="289">
        <v>0</v>
      </c>
      <c r="X1306" s="288">
        <v>0.12375</v>
      </c>
      <c r="Y1306" s="288">
        <v>0</v>
      </c>
      <c r="Z1306" s="288">
        <v>0</v>
      </c>
      <c r="AA1306" s="288">
        <v>0</v>
      </c>
      <c r="AB1306" s="288">
        <v>0</v>
      </c>
      <c r="AC1306" s="289">
        <v>0.12375</v>
      </c>
      <c r="AD1306" s="289">
        <v>0</v>
      </c>
    </row>
    <row r="1307" spans="1:30" ht="15" customHeight="1" x14ac:dyDescent="0.25">
      <c r="A1307" s="282" t="s">
        <v>581</v>
      </c>
      <c r="B1307" s="282" t="s">
        <v>585</v>
      </c>
      <c r="C1307" s="282" t="s">
        <v>586</v>
      </c>
      <c r="D1307" s="283" t="s">
        <v>1980</v>
      </c>
      <c r="E1307" s="404">
        <v>44620</v>
      </c>
      <c r="F1307" s="404">
        <v>46446</v>
      </c>
      <c r="G1307" s="286" t="s">
        <v>1948</v>
      </c>
      <c r="H1307" s="282" t="s">
        <v>1878</v>
      </c>
      <c r="I1307" s="282"/>
      <c r="J1307" s="282" t="s">
        <v>156</v>
      </c>
      <c r="K1307" s="286" t="s">
        <v>1879</v>
      </c>
      <c r="L1307" s="282" t="s">
        <v>574</v>
      </c>
      <c r="M1307" s="287">
        <v>2400</v>
      </c>
      <c r="N1307" s="287"/>
      <c r="O1307" s="287"/>
      <c r="P1307" s="287"/>
      <c r="Q1307" s="288">
        <v>341</v>
      </c>
      <c r="R1307" s="288"/>
      <c r="S1307" s="288"/>
      <c r="T1307" s="288"/>
      <c r="U1307" s="288">
        <v>0</v>
      </c>
      <c r="V1307" s="289">
        <v>341</v>
      </c>
      <c r="W1307" s="289">
        <v>0</v>
      </c>
      <c r="X1307" s="288">
        <v>0.14208333333333334</v>
      </c>
      <c r="Y1307" s="288">
        <v>0</v>
      </c>
      <c r="Z1307" s="288">
        <v>0</v>
      </c>
      <c r="AA1307" s="288">
        <v>0</v>
      </c>
      <c r="AB1307" s="288">
        <v>0</v>
      </c>
      <c r="AC1307" s="289">
        <v>0.14208333333333334</v>
      </c>
      <c r="AD1307" s="289">
        <v>0</v>
      </c>
    </row>
    <row r="1308" spans="1:30" ht="15" customHeight="1" x14ac:dyDescent="0.25">
      <c r="A1308" s="282" t="s">
        <v>581</v>
      </c>
      <c r="B1308" s="282" t="s">
        <v>616</v>
      </c>
      <c r="C1308" s="282" t="s">
        <v>617</v>
      </c>
      <c r="D1308" s="283" t="s">
        <v>1981</v>
      </c>
      <c r="E1308" s="404">
        <v>44620</v>
      </c>
      <c r="F1308" s="404">
        <v>46446</v>
      </c>
      <c r="G1308" s="286" t="s">
        <v>1948</v>
      </c>
      <c r="H1308" s="282" t="s">
        <v>1878</v>
      </c>
      <c r="I1308" s="282"/>
      <c r="J1308" s="282" t="s">
        <v>156</v>
      </c>
      <c r="K1308" s="286" t="s">
        <v>1879</v>
      </c>
      <c r="L1308" s="282" t="s">
        <v>574</v>
      </c>
      <c r="M1308" s="287">
        <v>2400</v>
      </c>
      <c r="N1308" s="287"/>
      <c r="O1308" s="287"/>
      <c r="P1308" s="287"/>
      <c r="Q1308" s="288">
        <v>435</v>
      </c>
      <c r="R1308" s="288"/>
      <c r="S1308" s="288"/>
      <c r="T1308" s="288"/>
      <c r="U1308" s="288">
        <v>0</v>
      </c>
      <c r="V1308" s="289">
        <v>435</v>
      </c>
      <c r="W1308" s="289">
        <v>0</v>
      </c>
      <c r="X1308" s="288">
        <v>0.18124999999999999</v>
      </c>
      <c r="Y1308" s="288">
        <v>0</v>
      </c>
      <c r="Z1308" s="288">
        <v>0</v>
      </c>
      <c r="AA1308" s="288">
        <v>0</v>
      </c>
      <c r="AB1308" s="288">
        <v>0</v>
      </c>
      <c r="AC1308" s="289">
        <v>0.18124999999999999</v>
      </c>
      <c r="AD1308" s="289">
        <v>0</v>
      </c>
    </row>
    <row r="1309" spans="1:30" ht="15" customHeight="1" x14ac:dyDescent="0.25">
      <c r="A1309" s="282" t="s">
        <v>581</v>
      </c>
      <c r="B1309" s="282" t="s">
        <v>606</v>
      </c>
      <c r="C1309" s="282" t="s">
        <v>260</v>
      </c>
      <c r="D1309" s="283" t="s">
        <v>1982</v>
      </c>
      <c r="E1309" s="404">
        <v>44620</v>
      </c>
      <c r="F1309" s="404">
        <v>46446</v>
      </c>
      <c r="G1309" s="286" t="s">
        <v>1948</v>
      </c>
      <c r="H1309" s="282" t="s">
        <v>1878</v>
      </c>
      <c r="I1309" s="282"/>
      <c r="J1309" s="282" t="s">
        <v>156</v>
      </c>
      <c r="K1309" s="286" t="s">
        <v>1879</v>
      </c>
      <c r="L1309" s="282" t="s">
        <v>574</v>
      </c>
      <c r="M1309" s="287">
        <v>2400</v>
      </c>
      <c r="N1309" s="287"/>
      <c r="O1309" s="287"/>
      <c r="P1309" s="287"/>
      <c r="Q1309" s="288">
        <v>342</v>
      </c>
      <c r="R1309" s="288"/>
      <c r="S1309" s="288"/>
      <c r="T1309" s="288"/>
      <c r="U1309" s="288">
        <v>0</v>
      </c>
      <c r="V1309" s="289">
        <v>342</v>
      </c>
      <c r="W1309" s="289">
        <v>0</v>
      </c>
      <c r="X1309" s="288">
        <v>0.14249999999999999</v>
      </c>
      <c r="Y1309" s="288">
        <v>0</v>
      </c>
      <c r="Z1309" s="288">
        <v>0</v>
      </c>
      <c r="AA1309" s="288">
        <v>0</v>
      </c>
      <c r="AB1309" s="288">
        <v>0</v>
      </c>
      <c r="AC1309" s="289">
        <v>0.14249999999999999</v>
      </c>
      <c r="AD1309" s="289">
        <v>0</v>
      </c>
    </row>
    <row r="1310" spans="1:30" ht="15" customHeight="1" x14ac:dyDescent="0.25">
      <c r="A1310" s="282" t="s">
        <v>581</v>
      </c>
      <c r="B1310" s="282" t="s">
        <v>616</v>
      </c>
      <c r="C1310" s="282" t="s">
        <v>617</v>
      </c>
      <c r="D1310" s="283" t="s">
        <v>1983</v>
      </c>
      <c r="E1310" s="404">
        <v>44620</v>
      </c>
      <c r="F1310" s="404">
        <v>46446</v>
      </c>
      <c r="G1310" s="286" t="s">
        <v>1948</v>
      </c>
      <c r="H1310" s="282" t="s">
        <v>1878</v>
      </c>
      <c r="I1310" s="282"/>
      <c r="J1310" s="282" t="s">
        <v>156</v>
      </c>
      <c r="K1310" s="286" t="s">
        <v>1879</v>
      </c>
      <c r="L1310" s="282" t="s">
        <v>574</v>
      </c>
      <c r="M1310" s="287">
        <v>2400</v>
      </c>
      <c r="N1310" s="287"/>
      <c r="O1310" s="287"/>
      <c r="P1310" s="287"/>
      <c r="Q1310" s="288">
        <v>377</v>
      </c>
      <c r="R1310" s="288"/>
      <c r="S1310" s="288"/>
      <c r="T1310" s="288"/>
      <c r="U1310" s="288">
        <v>0</v>
      </c>
      <c r="V1310" s="289">
        <v>377</v>
      </c>
      <c r="W1310" s="289">
        <v>0</v>
      </c>
      <c r="X1310" s="288">
        <v>0.15708333333333332</v>
      </c>
      <c r="Y1310" s="288">
        <v>0</v>
      </c>
      <c r="Z1310" s="288">
        <v>0</v>
      </c>
      <c r="AA1310" s="288">
        <v>0</v>
      </c>
      <c r="AB1310" s="288">
        <v>0</v>
      </c>
      <c r="AC1310" s="289">
        <v>0.15708333333333332</v>
      </c>
      <c r="AD1310" s="289">
        <v>0</v>
      </c>
    </row>
    <row r="1311" spans="1:30" ht="15" customHeight="1" x14ac:dyDescent="0.25">
      <c r="A1311" s="282" t="s">
        <v>581</v>
      </c>
      <c r="B1311" s="282" t="s">
        <v>695</v>
      </c>
      <c r="C1311" s="282" t="s">
        <v>696</v>
      </c>
      <c r="D1311" s="283" t="s">
        <v>1984</v>
      </c>
      <c r="E1311" s="404">
        <v>44620</v>
      </c>
      <c r="F1311" s="404">
        <v>46446</v>
      </c>
      <c r="G1311" s="286" t="s">
        <v>1948</v>
      </c>
      <c r="H1311" s="282" t="s">
        <v>1878</v>
      </c>
      <c r="I1311" s="282"/>
      <c r="J1311" s="282" t="s">
        <v>156</v>
      </c>
      <c r="K1311" s="286" t="s">
        <v>1879</v>
      </c>
      <c r="L1311" s="282" t="s">
        <v>574</v>
      </c>
      <c r="M1311" s="287">
        <v>2400</v>
      </c>
      <c r="N1311" s="287"/>
      <c r="O1311" s="287"/>
      <c r="P1311" s="287"/>
      <c r="Q1311" s="288">
        <v>400</v>
      </c>
      <c r="R1311" s="288"/>
      <c r="S1311" s="288"/>
      <c r="T1311" s="288"/>
      <c r="U1311" s="288">
        <v>0</v>
      </c>
      <c r="V1311" s="289">
        <v>400</v>
      </c>
      <c r="W1311" s="289">
        <v>0</v>
      </c>
      <c r="X1311" s="288">
        <v>0.16666666666666666</v>
      </c>
      <c r="Y1311" s="288">
        <v>0</v>
      </c>
      <c r="Z1311" s="288">
        <v>0</v>
      </c>
      <c r="AA1311" s="288">
        <v>0</v>
      </c>
      <c r="AB1311" s="288">
        <v>0</v>
      </c>
      <c r="AC1311" s="289">
        <v>0.16666666666666666</v>
      </c>
      <c r="AD1311" s="289">
        <v>0</v>
      </c>
    </row>
    <row r="1312" spans="1:30" ht="15" customHeight="1" x14ac:dyDescent="0.25">
      <c r="A1312" s="282" t="s">
        <v>581</v>
      </c>
      <c r="B1312" s="282" t="s">
        <v>839</v>
      </c>
      <c r="C1312" s="282" t="s">
        <v>840</v>
      </c>
      <c r="D1312" s="283" t="s">
        <v>1985</v>
      </c>
      <c r="E1312" s="404">
        <v>44620</v>
      </c>
      <c r="F1312" s="404">
        <v>46446</v>
      </c>
      <c r="G1312" s="286" t="s">
        <v>1948</v>
      </c>
      <c r="H1312" s="282" t="s">
        <v>1878</v>
      </c>
      <c r="I1312" s="282"/>
      <c r="J1312" s="282" t="s">
        <v>156</v>
      </c>
      <c r="K1312" s="286" t="s">
        <v>1879</v>
      </c>
      <c r="L1312" s="282" t="s">
        <v>574</v>
      </c>
      <c r="M1312" s="287">
        <v>2400</v>
      </c>
      <c r="N1312" s="287"/>
      <c r="O1312" s="287"/>
      <c r="P1312" s="287"/>
      <c r="Q1312" s="288">
        <v>413</v>
      </c>
      <c r="R1312" s="288"/>
      <c r="S1312" s="288"/>
      <c r="T1312" s="288"/>
      <c r="U1312" s="288">
        <v>0</v>
      </c>
      <c r="V1312" s="289">
        <v>413</v>
      </c>
      <c r="W1312" s="289">
        <v>0</v>
      </c>
      <c r="X1312" s="288">
        <v>0.17208333333333334</v>
      </c>
      <c r="Y1312" s="288">
        <v>0</v>
      </c>
      <c r="Z1312" s="288">
        <v>0</v>
      </c>
      <c r="AA1312" s="288">
        <v>0</v>
      </c>
      <c r="AB1312" s="288">
        <v>0</v>
      </c>
      <c r="AC1312" s="289">
        <v>0.17208333333333334</v>
      </c>
      <c r="AD1312" s="289">
        <v>0</v>
      </c>
    </row>
    <row r="1313" spans="1:30" ht="15" customHeight="1" x14ac:dyDescent="0.25">
      <c r="A1313" s="282" t="s">
        <v>581</v>
      </c>
      <c r="B1313" s="282" t="s">
        <v>628</v>
      </c>
      <c r="C1313" s="282" t="s">
        <v>629</v>
      </c>
      <c r="D1313" s="283" t="s">
        <v>1986</v>
      </c>
      <c r="E1313" s="404">
        <v>44620</v>
      </c>
      <c r="F1313" s="404">
        <v>46446</v>
      </c>
      <c r="G1313" s="286" t="s">
        <v>1948</v>
      </c>
      <c r="H1313" s="282" t="s">
        <v>1878</v>
      </c>
      <c r="I1313" s="282"/>
      <c r="J1313" s="282" t="s">
        <v>156</v>
      </c>
      <c r="K1313" s="286" t="s">
        <v>1879</v>
      </c>
      <c r="L1313" s="282" t="s">
        <v>574</v>
      </c>
      <c r="M1313" s="287">
        <v>2400</v>
      </c>
      <c r="N1313" s="287"/>
      <c r="O1313" s="287"/>
      <c r="P1313" s="287"/>
      <c r="Q1313" s="288">
        <v>162</v>
      </c>
      <c r="R1313" s="288"/>
      <c r="S1313" s="288"/>
      <c r="T1313" s="288"/>
      <c r="U1313" s="288">
        <v>0</v>
      </c>
      <c r="V1313" s="289">
        <v>162</v>
      </c>
      <c r="W1313" s="289">
        <v>0</v>
      </c>
      <c r="X1313" s="288">
        <v>6.7500000000000004E-2</v>
      </c>
      <c r="Y1313" s="288">
        <v>0</v>
      </c>
      <c r="Z1313" s="288">
        <v>0</v>
      </c>
      <c r="AA1313" s="288">
        <v>0</v>
      </c>
      <c r="AB1313" s="288">
        <v>0</v>
      </c>
      <c r="AC1313" s="289">
        <v>6.7500000000000004E-2</v>
      </c>
      <c r="AD1313" s="289">
        <v>0</v>
      </c>
    </row>
    <row r="1314" spans="1:30" ht="15" customHeight="1" x14ac:dyDescent="0.25">
      <c r="A1314" s="282" t="s">
        <v>581</v>
      </c>
      <c r="B1314" s="282" t="s">
        <v>611</v>
      </c>
      <c r="C1314" s="282" t="s">
        <v>612</v>
      </c>
      <c r="D1314" s="283" t="s">
        <v>1987</v>
      </c>
      <c r="E1314" s="404">
        <v>44620</v>
      </c>
      <c r="F1314" s="404">
        <v>46446</v>
      </c>
      <c r="G1314" s="286" t="s">
        <v>1948</v>
      </c>
      <c r="H1314" s="282" t="s">
        <v>1878</v>
      </c>
      <c r="I1314" s="282"/>
      <c r="J1314" s="282" t="s">
        <v>156</v>
      </c>
      <c r="K1314" s="286" t="s">
        <v>1879</v>
      </c>
      <c r="L1314" s="282" t="s">
        <v>574</v>
      </c>
      <c r="M1314" s="287">
        <v>2400</v>
      </c>
      <c r="N1314" s="287"/>
      <c r="O1314" s="287"/>
      <c r="P1314" s="287"/>
      <c r="Q1314" s="288">
        <v>180</v>
      </c>
      <c r="R1314" s="288"/>
      <c r="S1314" s="288"/>
      <c r="T1314" s="288"/>
      <c r="U1314" s="288">
        <v>0</v>
      </c>
      <c r="V1314" s="289">
        <v>180</v>
      </c>
      <c r="W1314" s="289">
        <v>0</v>
      </c>
      <c r="X1314" s="288">
        <v>7.4999999999999997E-2</v>
      </c>
      <c r="Y1314" s="288">
        <v>0</v>
      </c>
      <c r="Z1314" s="288">
        <v>0</v>
      </c>
      <c r="AA1314" s="288">
        <v>0</v>
      </c>
      <c r="AB1314" s="288">
        <v>0</v>
      </c>
      <c r="AC1314" s="289">
        <v>7.4999999999999997E-2</v>
      </c>
      <c r="AD1314" s="289">
        <v>0</v>
      </c>
    </row>
    <row r="1315" spans="1:30" ht="15" customHeight="1" x14ac:dyDescent="0.25">
      <c r="A1315" s="282" t="s">
        <v>581</v>
      </c>
      <c r="B1315" s="282" t="s">
        <v>585</v>
      </c>
      <c r="C1315" s="282" t="s">
        <v>586</v>
      </c>
      <c r="D1315" s="283" t="s">
        <v>1988</v>
      </c>
      <c r="E1315" s="404">
        <v>44620</v>
      </c>
      <c r="F1315" s="404">
        <v>46446</v>
      </c>
      <c r="G1315" s="286" t="s">
        <v>1948</v>
      </c>
      <c r="H1315" s="282" t="s">
        <v>1878</v>
      </c>
      <c r="I1315" s="282"/>
      <c r="J1315" s="282" t="s">
        <v>156</v>
      </c>
      <c r="K1315" s="286" t="s">
        <v>1879</v>
      </c>
      <c r="L1315" s="282" t="s">
        <v>574</v>
      </c>
      <c r="M1315" s="287">
        <v>2400</v>
      </c>
      <c r="N1315" s="287"/>
      <c r="O1315" s="287"/>
      <c r="P1315" s="287"/>
      <c r="Q1315" s="288">
        <v>325</v>
      </c>
      <c r="R1315" s="288"/>
      <c r="S1315" s="288"/>
      <c r="T1315" s="288"/>
      <c r="U1315" s="288">
        <v>0</v>
      </c>
      <c r="V1315" s="289">
        <v>325</v>
      </c>
      <c r="W1315" s="289">
        <v>0</v>
      </c>
      <c r="X1315" s="288">
        <v>0.13541666666666666</v>
      </c>
      <c r="Y1315" s="288">
        <v>0</v>
      </c>
      <c r="Z1315" s="288">
        <v>0</v>
      </c>
      <c r="AA1315" s="288">
        <v>0</v>
      </c>
      <c r="AB1315" s="288">
        <v>0</v>
      </c>
      <c r="AC1315" s="289">
        <v>0.13541666666666666</v>
      </c>
      <c r="AD1315" s="289">
        <v>0</v>
      </c>
    </row>
    <row r="1316" spans="1:30" ht="15" customHeight="1" x14ac:dyDescent="0.25">
      <c r="A1316" s="282" t="s">
        <v>581</v>
      </c>
      <c r="B1316" s="282" t="s">
        <v>585</v>
      </c>
      <c r="C1316" s="282" t="s">
        <v>586</v>
      </c>
      <c r="D1316" s="283" t="s">
        <v>1988</v>
      </c>
      <c r="E1316" s="404">
        <v>44620</v>
      </c>
      <c r="F1316" s="404">
        <v>46446</v>
      </c>
      <c r="G1316" s="286" t="s">
        <v>1948</v>
      </c>
      <c r="H1316" s="282" t="s">
        <v>1878</v>
      </c>
      <c r="I1316" s="282"/>
      <c r="J1316" s="282" t="s">
        <v>156</v>
      </c>
      <c r="K1316" s="286" t="s">
        <v>1879</v>
      </c>
      <c r="L1316" s="282" t="s">
        <v>574</v>
      </c>
      <c r="M1316" s="287">
        <v>2400</v>
      </c>
      <c r="N1316" s="287"/>
      <c r="O1316" s="287"/>
      <c r="P1316" s="287"/>
      <c r="Q1316" s="288">
        <v>314</v>
      </c>
      <c r="R1316" s="288"/>
      <c r="S1316" s="288"/>
      <c r="T1316" s="288"/>
      <c r="U1316" s="288">
        <v>0</v>
      </c>
      <c r="V1316" s="289">
        <v>314</v>
      </c>
      <c r="W1316" s="289">
        <v>0</v>
      </c>
      <c r="X1316" s="288">
        <v>0.13083333333333333</v>
      </c>
      <c r="Y1316" s="288">
        <v>0</v>
      </c>
      <c r="Z1316" s="288">
        <v>0</v>
      </c>
      <c r="AA1316" s="288">
        <v>0</v>
      </c>
      <c r="AB1316" s="288">
        <v>0</v>
      </c>
      <c r="AC1316" s="289">
        <v>0.13083333333333333</v>
      </c>
      <c r="AD1316" s="289">
        <v>0</v>
      </c>
    </row>
    <row r="1317" spans="1:30" ht="15" customHeight="1" x14ac:dyDescent="0.25">
      <c r="A1317" s="282" t="s">
        <v>581</v>
      </c>
      <c r="B1317" s="282" t="s">
        <v>585</v>
      </c>
      <c r="C1317" s="282" t="s">
        <v>586</v>
      </c>
      <c r="D1317" s="283" t="s">
        <v>1988</v>
      </c>
      <c r="E1317" s="404">
        <v>44620</v>
      </c>
      <c r="F1317" s="404">
        <v>46446</v>
      </c>
      <c r="G1317" s="286" t="s">
        <v>1948</v>
      </c>
      <c r="H1317" s="282" t="s">
        <v>1878</v>
      </c>
      <c r="I1317" s="282"/>
      <c r="J1317" s="282" t="s">
        <v>156</v>
      </c>
      <c r="K1317" s="286" t="s">
        <v>1879</v>
      </c>
      <c r="L1317" s="282" t="s">
        <v>574</v>
      </c>
      <c r="M1317" s="287">
        <v>2400</v>
      </c>
      <c r="N1317" s="287"/>
      <c r="O1317" s="287"/>
      <c r="P1317" s="287"/>
      <c r="Q1317" s="288">
        <v>297</v>
      </c>
      <c r="R1317" s="288"/>
      <c r="S1317" s="288"/>
      <c r="T1317" s="288"/>
      <c r="U1317" s="288">
        <v>0</v>
      </c>
      <c r="V1317" s="289">
        <v>297</v>
      </c>
      <c r="W1317" s="289">
        <v>0</v>
      </c>
      <c r="X1317" s="288">
        <v>0.12375</v>
      </c>
      <c r="Y1317" s="288">
        <v>0</v>
      </c>
      <c r="Z1317" s="288">
        <v>0</v>
      </c>
      <c r="AA1317" s="288">
        <v>0</v>
      </c>
      <c r="AB1317" s="288">
        <v>0</v>
      </c>
      <c r="AC1317" s="289">
        <v>0.12375</v>
      </c>
      <c r="AD1317" s="289">
        <v>0</v>
      </c>
    </row>
    <row r="1318" spans="1:30" ht="15" customHeight="1" x14ac:dyDescent="0.25">
      <c r="A1318" s="282" t="s">
        <v>581</v>
      </c>
      <c r="B1318" s="282" t="s">
        <v>585</v>
      </c>
      <c r="C1318" s="282" t="s">
        <v>586</v>
      </c>
      <c r="D1318" s="283" t="s">
        <v>1989</v>
      </c>
      <c r="E1318" s="404">
        <v>44620</v>
      </c>
      <c r="F1318" s="404">
        <v>46446</v>
      </c>
      <c r="G1318" s="286" t="s">
        <v>1948</v>
      </c>
      <c r="H1318" s="282" t="s">
        <v>1878</v>
      </c>
      <c r="I1318" s="282"/>
      <c r="J1318" s="282" t="s">
        <v>156</v>
      </c>
      <c r="K1318" s="286" t="s">
        <v>1879</v>
      </c>
      <c r="L1318" s="282" t="s">
        <v>574</v>
      </c>
      <c r="M1318" s="287">
        <v>2400</v>
      </c>
      <c r="N1318" s="287"/>
      <c r="O1318" s="287"/>
      <c r="P1318" s="287"/>
      <c r="Q1318" s="288">
        <v>317</v>
      </c>
      <c r="R1318" s="288"/>
      <c r="S1318" s="288"/>
      <c r="T1318" s="288"/>
      <c r="U1318" s="288">
        <v>0</v>
      </c>
      <c r="V1318" s="289">
        <v>317</v>
      </c>
      <c r="W1318" s="289">
        <v>0</v>
      </c>
      <c r="X1318" s="288">
        <v>0.13208333333333333</v>
      </c>
      <c r="Y1318" s="288">
        <v>0</v>
      </c>
      <c r="Z1318" s="288">
        <v>0</v>
      </c>
      <c r="AA1318" s="288">
        <v>0</v>
      </c>
      <c r="AB1318" s="288">
        <v>0</v>
      </c>
      <c r="AC1318" s="289">
        <v>0.13208333333333333</v>
      </c>
      <c r="AD1318" s="289">
        <v>0</v>
      </c>
    </row>
    <row r="1319" spans="1:30" ht="15" customHeight="1" x14ac:dyDescent="0.25">
      <c r="A1319" s="282" t="s">
        <v>581</v>
      </c>
      <c r="B1319" s="282" t="s">
        <v>616</v>
      </c>
      <c r="C1319" s="282" t="s">
        <v>617</v>
      </c>
      <c r="D1319" s="283" t="s">
        <v>1990</v>
      </c>
      <c r="E1319" s="404">
        <v>44620</v>
      </c>
      <c r="F1319" s="404">
        <v>46446</v>
      </c>
      <c r="G1319" s="286" t="s">
        <v>1948</v>
      </c>
      <c r="H1319" s="282" t="s">
        <v>1878</v>
      </c>
      <c r="I1319" s="282"/>
      <c r="J1319" s="282" t="s">
        <v>156</v>
      </c>
      <c r="K1319" s="286" t="s">
        <v>1879</v>
      </c>
      <c r="L1319" s="282" t="s">
        <v>574</v>
      </c>
      <c r="M1319" s="287">
        <v>2400</v>
      </c>
      <c r="N1319" s="287"/>
      <c r="O1319" s="287"/>
      <c r="P1319" s="287"/>
      <c r="Q1319" s="288">
        <v>378</v>
      </c>
      <c r="R1319" s="288"/>
      <c r="S1319" s="288"/>
      <c r="T1319" s="288"/>
      <c r="U1319" s="288">
        <v>0</v>
      </c>
      <c r="V1319" s="289">
        <v>378</v>
      </c>
      <c r="W1319" s="289">
        <v>0</v>
      </c>
      <c r="X1319" s="288">
        <v>0.1575</v>
      </c>
      <c r="Y1319" s="288">
        <v>0</v>
      </c>
      <c r="Z1319" s="288">
        <v>0</v>
      </c>
      <c r="AA1319" s="288">
        <v>0</v>
      </c>
      <c r="AB1319" s="288">
        <v>0</v>
      </c>
      <c r="AC1319" s="289">
        <v>0.1575</v>
      </c>
      <c r="AD1319" s="289">
        <v>0</v>
      </c>
    </row>
    <row r="1320" spans="1:30" ht="15" customHeight="1" x14ac:dyDescent="0.25">
      <c r="A1320" s="282" t="s">
        <v>581</v>
      </c>
      <c r="B1320" s="282" t="s">
        <v>585</v>
      </c>
      <c r="C1320" s="282" t="s">
        <v>586</v>
      </c>
      <c r="D1320" s="283" t="s">
        <v>1991</v>
      </c>
      <c r="E1320" s="404">
        <v>44620</v>
      </c>
      <c r="F1320" s="404">
        <v>46446</v>
      </c>
      <c r="G1320" s="286" t="s">
        <v>1948</v>
      </c>
      <c r="H1320" s="282" t="s">
        <v>1878</v>
      </c>
      <c r="I1320" s="282"/>
      <c r="J1320" s="282" t="s">
        <v>156</v>
      </c>
      <c r="K1320" s="286" t="s">
        <v>1879</v>
      </c>
      <c r="L1320" s="282" t="s">
        <v>574</v>
      </c>
      <c r="M1320" s="287">
        <v>2400</v>
      </c>
      <c r="N1320" s="287"/>
      <c r="O1320" s="287"/>
      <c r="P1320" s="287"/>
      <c r="Q1320" s="288">
        <v>317</v>
      </c>
      <c r="R1320" s="288"/>
      <c r="S1320" s="288"/>
      <c r="T1320" s="288"/>
      <c r="U1320" s="288">
        <v>0</v>
      </c>
      <c r="V1320" s="289">
        <v>317</v>
      </c>
      <c r="W1320" s="289">
        <v>0</v>
      </c>
      <c r="X1320" s="288">
        <v>0.13208333333333333</v>
      </c>
      <c r="Y1320" s="288">
        <v>0</v>
      </c>
      <c r="Z1320" s="288">
        <v>0</v>
      </c>
      <c r="AA1320" s="288">
        <v>0</v>
      </c>
      <c r="AB1320" s="288">
        <v>0</v>
      </c>
      <c r="AC1320" s="289">
        <v>0.13208333333333333</v>
      </c>
      <c r="AD1320" s="289">
        <v>0</v>
      </c>
    </row>
    <row r="1321" spans="1:30" ht="15" customHeight="1" x14ac:dyDescent="0.25">
      <c r="A1321" s="282" t="s">
        <v>581</v>
      </c>
      <c r="B1321" s="282" t="s">
        <v>585</v>
      </c>
      <c r="C1321" s="282" t="s">
        <v>586</v>
      </c>
      <c r="D1321" s="283" t="s">
        <v>1992</v>
      </c>
      <c r="E1321" s="404">
        <v>44620</v>
      </c>
      <c r="F1321" s="404">
        <v>46446</v>
      </c>
      <c r="G1321" s="286" t="s">
        <v>1948</v>
      </c>
      <c r="H1321" s="282" t="s">
        <v>1878</v>
      </c>
      <c r="I1321" s="282"/>
      <c r="J1321" s="282" t="s">
        <v>156</v>
      </c>
      <c r="K1321" s="286" t="s">
        <v>1879</v>
      </c>
      <c r="L1321" s="282" t="s">
        <v>574</v>
      </c>
      <c r="M1321" s="287">
        <v>2400</v>
      </c>
      <c r="N1321" s="287"/>
      <c r="O1321" s="287"/>
      <c r="P1321" s="287"/>
      <c r="Q1321" s="288">
        <v>248</v>
      </c>
      <c r="R1321" s="288"/>
      <c r="S1321" s="288"/>
      <c r="T1321" s="288"/>
      <c r="U1321" s="288">
        <v>0</v>
      </c>
      <c r="V1321" s="289">
        <v>248</v>
      </c>
      <c r="W1321" s="289">
        <v>0</v>
      </c>
      <c r="X1321" s="288">
        <v>0.10333333333333333</v>
      </c>
      <c r="Y1321" s="288">
        <v>0</v>
      </c>
      <c r="Z1321" s="288">
        <v>0</v>
      </c>
      <c r="AA1321" s="288">
        <v>0</v>
      </c>
      <c r="AB1321" s="288">
        <v>0</v>
      </c>
      <c r="AC1321" s="289">
        <v>0.10333333333333333</v>
      </c>
      <c r="AD1321" s="289">
        <v>0</v>
      </c>
    </row>
    <row r="1322" spans="1:30" ht="15" customHeight="1" x14ac:dyDescent="0.25">
      <c r="A1322" s="282" t="s">
        <v>581</v>
      </c>
      <c r="B1322" s="282" t="s">
        <v>616</v>
      </c>
      <c r="C1322" s="282" t="s">
        <v>617</v>
      </c>
      <c r="D1322" s="283" t="s">
        <v>1993</v>
      </c>
      <c r="E1322" s="404">
        <v>44620</v>
      </c>
      <c r="F1322" s="404">
        <v>46446</v>
      </c>
      <c r="G1322" s="286" t="s">
        <v>1948</v>
      </c>
      <c r="H1322" s="282" t="s">
        <v>1878</v>
      </c>
      <c r="I1322" s="282"/>
      <c r="J1322" s="282" t="s">
        <v>156</v>
      </c>
      <c r="K1322" s="286" t="s">
        <v>1879</v>
      </c>
      <c r="L1322" s="282" t="s">
        <v>574</v>
      </c>
      <c r="M1322" s="287">
        <v>2400</v>
      </c>
      <c r="N1322" s="287"/>
      <c r="O1322" s="287"/>
      <c r="P1322" s="287"/>
      <c r="Q1322" s="288">
        <v>250</v>
      </c>
      <c r="R1322" s="288"/>
      <c r="S1322" s="288"/>
      <c r="T1322" s="288"/>
      <c r="U1322" s="288">
        <v>0</v>
      </c>
      <c r="V1322" s="289">
        <v>250</v>
      </c>
      <c r="W1322" s="289">
        <v>0</v>
      </c>
      <c r="X1322" s="288">
        <v>0.10416666666666667</v>
      </c>
      <c r="Y1322" s="288">
        <v>0</v>
      </c>
      <c r="Z1322" s="288">
        <v>0</v>
      </c>
      <c r="AA1322" s="288">
        <v>0</v>
      </c>
      <c r="AB1322" s="288">
        <v>0</v>
      </c>
      <c r="AC1322" s="289">
        <v>0.10416666666666667</v>
      </c>
      <c r="AD1322" s="289">
        <v>0</v>
      </c>
    </row>
    <row r="1323" spans="1:30" ht="15" customHeight="1" x14ac:dyDescent="0.25">
      <c r="A1323" s="282" t="s">
        <v>581</v>
      </c>
      <c r="B1323" s="282" t="s">
        <v>616</v>
      </c>
      <c r="C1323" s="282" t="s">
        <v>617</v>
      </c>
      <c r="D1323" s="283" t="s">
        <v>1994</v>
      </c>
      <c r="E1323" s="404">
        <v>44620</v>
      </c>
      <c r="F1323" s="404">
        <v>46446</v>
      </c>
      <c r="G1323" s="286" t="s">
        <v>1948</v>
      </c>
      <c r="H1323" s="282" t="s">
        <v>1878</v>
      </c>
      <c r="I1323" s="282"/>
      <c r="J1323" s="282" t="s">
        <v>156</v>
      </c>
      <c r="K1323" s="286" t="s">
        <v>1879</v>
      </c>
      <c r="L1323" s="282" t="s">
        <v>574</v>
      </c>
      <c r="M1323" s="287">
        <v>2400</v>
      </c>
      <c r="N1323" s="287"/>
      <c r="O1323" s="287"/>
      <c r="P1323" s="287"/>
      <c r="Q1323" s="288">
        <v>405</v>
      </c>
      <c r="R1323" s="288"/>
      <c r="S1323" s="288"/>
      <c r="T1323" s="288"/>
      <c r="U1323" s="288">
        <v>0</v>
      </c>
      <c r="V1323" s="289">
        <v>405</v>
      </c>
      <c r="W1323" s="289">
        <v>0</v>
      </c>
      <c r="X1323" s="288">
        <v>0.16875000000000001</v>
      </c>
      <c r="Y1323" s="288">
        <v>0</v>
      </c>
      <c r="Z1323" s="288">
        <v>0</v>
      </c>
      <c r="AA1323" s="288">
        <v>0</v>
      </c>
      <c r="AB1323" s="288">
        <v>0</v>
      </c>
      <c r="AC1323" s="289">
        <v>0.16875000000000001</v>
      </c>
      <c r="AD1323" s="289">
        <v>0</v>
      </c>
    </row>
    <row r="1324" spans="1:30" ht="15" customHeight="1" x14ac:dyDescent="0.25">
      <c r="A1324" s="282" t="s">
        <v>581</v>
      </c>
      <c r="B1324" s="282" t="s">
        <v>616</v>
      </c>
      <c r="C1324" s="282" t="s">
        <v>617</v>
      </c>
      <c r="D1324" s="283" t="s">
        <v>1995</v>
      </c>
      <c r="E1324" s="404">
        <v>44620</v>
      </c>
      <c r="F1324" s="404">
        <v>46446</v>
      </c>
      <c r="G1324" s="286" t="s">
        <v>1948</v>
      </c>
      <c r="H1324" s="282" t="s">
        <v>1878</v>
      </c>
      <c r="I1324" s="282"/>
      <c r="J1324" s="282" t="s">
        <v>156</v>
      </c>
      <c r="K1324" s="286" t="s">
        <v>1879</v>
      </c>
      <c r="L1324" s="282" t="s">
        <v>574</v>
      </c>
      <c r="M1324" s="287">
        <v>2400</v>
      </c>
      <c r="N1324" s="287"/>
      <c r="O1324" s="287"/>
      <c r="P1324" s="287"/>
      <c r="Q1324" s="288">
        <v>251</v>
      </c>
      <c r="R1324" s="288"/>
      <c r="S1324" s="288"/>
      <c r="T1324" s="288"/>
      <c r="U1324" s="288">
        <v>0</v>
      </c>
      <c r="V1324" s="289">
        <v>251</v>
      </c>
      <c r="W1324" s="289">
        <v>0</v>
      </c>
      <c r="X1324" s="288">
        <v>0.10458333333333333</v>
      </c>
      <c r="Y1324" s="288">
        <v>0</v>
      </c>
      <c r="Z1324" s="288">
        <v>0</v>
      </c>
      <c r="AA1324" s="288">
        <v>0</v>
      </c>
      <c r="AB1324" s="288">
        <v>0</v>
      </c>
      <c r="AC1324" s="289">
        <v>0.10458333333333333</v>
      </c>
      <c r="AD1324" s="289">
        <v>0</v>
      </c>
    </row>
    <row r="1325" spans="1:30" ht="15" customHeight="1" x14ac:dyDescent="0.25">
      <c r="A1325" s="282" t="s">
        <v>581</v>
      </c>
      <c r="B1325" s="282" t="s">
        <v>977</v>
      </c>
      <c r="C1325" s="282" t="s">
        <v>978</v>
      </c>
      <c r="D1325" s="283" t="s">
        <v>1996</v>
      </c>
      <c r="E1325" s="404">
        <v>44620</v>
      </c>
      <c r="F1325" s="404">
        <v>46446</v>
      </c>
      <c r="G1325" s="286" t="s">
        <v>1948</v>
      </c>
      <c r="H1325" s="282" t="s">
        <v>1878</v>
      </c>
      <c r="I1325" s="282"/>
      <c r="J1325" s="282" t="s">
        <v>156</v>
      </c>
      <c r="K1325" s="286" t="s">
        <v>1879</v>
      </c>
      <c r="L1325" s="282" t="s">
        <v>574</v>
      </c>
      <c r="M1325" s="287">
        <v>1750</v>
      </c>
      <c r="N1325" s="287"/>
      <c r="O1325" s="287"/>
      <c r="P1325" s="287"/>
      <c r="Q1325" s="288">
        <v>182</v>
      </c>
      <c r="R1325" s="288"/>
      <c r="S1325" s="288"/>
      <c r="T1325" s="288"/>
      <c r="U1325" s="288">
        <v>0</v>
      </c>
      <c r="V1325" s="289">
        <v>182</v>
      </c>
      <c r="W1325" s="289">
        <v>0</v>
      </c>
      <c r="X1325" s="288">
        <v>0.104</v>
      </c>
      <c r="Y1325" s="288">
        <v>0</v>
      </c>
      <c r="Z1325" s="288">
        <v>0</v>
      </c>
      <c r="AA1325" s="288">
        <v>0</v>
      </c>
      <c r="AB1325" s="288">
        <v>0</v>
      </c>
      <c r="AC1325" s="289">
        <v>0.104</v>
      </c>
      <c r="AD1325" s="289">
        <v>0</v>
      </c>
    </row>
    <row r="1326" spans="1:30" ht="15" customHeight="1" x14ac:dyDescent="0.25">
      <c r="A1326" s="282" t="s">
        <v>581</v>
      </c>
      <c r="B1326" s="282" t="s">
        <v>594</v>
      </c>
      <c r="C1326" s="282" t="s">
        <v>595</v>
      </c>
      <c r="D1326" s="283" t="s">
        <v>1997</v>
      </c>
      <c r="E1326" s="404">
        <v>44620</v>
      </c>
      <c r="F1326" s="404">
        <v>46446</v>
      </c>
      <c r="G1326" s="286" t="s">
        <v>1948</v>
      </c>
      <c r="H1326" s="282" t="s">
        <v>1878</v>
      </c>
      <c r="I1326" s="282"/>
      <c r="J1326" s="282" t="s">
        <v>156</v>
      </c>
      <c r="K1326" s="286" t="s">
        <v>1879</v>
      </c>
      <c r="L1326" s="282" t="s">
        <v>574</v>
      </c>
      <c r="M1326" s="287">
        <v>2400</v>
      </c>
      <c r="N1326" s="287"/>
      <c r="O1326" s="287"/>
      <c r="P1326" s="287"/>
      <c r="Q1326" s="288">
        <v>158</v>
      </c>
      <c r="R1326" s="288"/>
      <c r="S1326" s="288"/>
      <c r="T1326" s="288"/>
      <c r="U1326" s="288">
        <v>0</v>
      </c>
      <c r="V1326" s="289">
        <v>158</v>
      </c>
      <c r="W1326" s="289">
        <v>0</v>
      </c>
      <c r="X1326" s="288">
        <v>6.5833333333333327E-2</v>
      </c>
      <c r="Y1326" s="288">
        <v>0</v>
      </c>
      <c r="Z1326" s="288">
        <v>0</v>
      </c>
      <c r="AA1326" s="288">
        <v>0</v>
      </c>
      <c r="AB1326" s="288">
        <v>0</v>
      </c>
      <c r="AC1326" s="289">
        <v>6.5833333333333327E-2</v>
      </c>
      <c r="AD1326" s="289">
        <v>0</v>
      </c>
    </row>
    <row r="1327" spans="1:30" ht="15" customHeight="1" x14ac:dyDescent="0.25">
      <c r="A1327" s="282" t="s">
        <v>581</v>
      </c>
      <c r="B1327" s="282" t="s">
        <v>628</v>
      </c>
      <c r="C1327" s="282" t="s">
        <v>629</v>
      </c>
      <c r="D1327" s="283" t="s">
        <v>1998</v>
      </c>
      <c r="E1327" s="404">
        <v>44620</v>
      </c>
      <c r="F1327" s="404">
        <v>46446</v>
      </c>
      <c r="G1327" s="286" t="s">
        <v>1948</v>
      </c>
      <c r="H1327" s="282" t="s">
        <v>1878</v>
      </c>
      <c r="I1327" s="282"/>
      <c r="J1327" s="282" t="s">
        <v>156</v>
      </c>
      <c r="K1327" s="286" t="s">
        <v>1879</v>
      </c>
      <c r="L1327" s="282" t="s">
        <v>574</v>
      </c>
      <c r="M1327" s="287">
        <v>2400</v>
      </c>
      <c r="N1327" s="287"/>
      <c r="O1327" s="287"/>
      <c r="P1327" s="287"/>
      <c r="Q1327" s="288">
        <v>175</v>
      </c>
      <c r="R1327" s="288"/>
      <c r="S1327" s="288"/>
      <c r="T1327" s="288"/>
      <c r="U1327" s="288">
        <v>0</v>
      </c>
      <c r="V1327" s="289">
        <v>175</v>
      </c>
      <c r="W1327" s="289">
        <v>0</v>
      </c>
      <c r="X1327" s="288">
        <v>7.2916666666666671E-2</v>
      </c>
      <c r="Y1327" s="288">
        <v>0</v>
      </c>
      <c r="Z1327" s="288">
        <v>0</v>
      </c>
      <c r="AA1327" s="288">
        <v>0</v>
      </c>
      <c r="AB1327" s="288">
        <v>0</v>
      </c>
      <c r="AC1327" s="289">
        <v>7.2916666666666671E-2</v>
      </c>
      <c r="AD1327" s="289">
        <v>0</v>
      </c>
    </row>
    <row r="1328" spans="1:30" ht="15" customHeight="1" x14ac:dyDescent="0.25">
      <c r="A1328" s="282" t="s">
        <v>581</v>
      </c>
      <c r="B1328" s="282" t="s">
        <v>611</v>
      </c>
      <c r="C1328" s="282" t="s">
        <v>612</v>
      </c>
      <c r="D1328" s="283" t="s">
        <v>1999</v>
      </c>
      <c r="E1328" s="404">
        <v>44620</v>
      </c>
      <c r="F1328" s="404">
        <v>46446</v>
      </c>
      <c r="G1328" s="286" t="s">
        <v>1948</v>
      </c>
      <c r="H1328" s="282" t="s">
        <v>1878</v>
      </c>
      <c r="I1328" s="282"/>
      <c r="J1328" s="282" t="s">
        <v>156</v>
      </c>
      <c r="K1328" s="286" t="s">
        <v>1879</v>
      </c>
      <c r="L1328" s="282" t="s">
        <v>574</v>
      </c>
      <c r="M1328" s="287">
        <v>2400</v>
      </c>
      <c r="N1328" s="287"/>
      <c r="O1328" s="287"/>
      <c r="P1328" s="287"/>
      <c r="Q1328" s="288">
        <v>204</v>
      </c>
      <c r="R1328" s="288"/>
      <c r="S1328" s="288"/>
      <c r="T1328" s="288"/>
      <c r="U1328" s="288">
        <v>0</v>
      </c>
      <c r="V1328" s="289">
        <v>204</v>
      </c>
      <c r="W1328" s="289">
        <v>0</v>
      </c>
      <c r="X1328" s="288">
        <v>8.5000000000000006E-2</v>
      </c>
      <c r="Y1328" s="288">
        <v>0</v>
      </c>
      <c r="Z1328" s="288">
        <v>0</v>
      </c>
      <c r="AA1328" s="288">
        <v>0</v>
      </c>
      <c r="AB1328" s="288">
        <v>0</v>
      </c>
      <c r="AC1328" s="289">
        <v>8.5000000000000006E-2</v>
      </c>
      <c r="AD1328" s="289">
        <v>0</v>
      </c>
    </row>
    <row r="1329" spans="1:30" ht="15" customHeight="1" x14ac:dyDescent="0.25">
      <c r="A1329" s="282" t="s">
        <v>581</v>
      </c>
      <c r="B1329" s="282" t="s">
        <v>585</v>
      </c>
      <c r="C1329" s="282" t="s">
        <v>586</v>
      </c>
      <c r="D1329" s="283" t="s">
        <v>2000</v>
      </c>
      <c r="E1329" s="404">
        <v>44620</v>
      </c>
      <c r="F1329" s="404">
        <v>46446</v>
      </c>
      <c r="G1329" s="286" t="s">
        <v>1948</v>
      </c>
      <c r="H1329" s="282" t="s">
        <v>1878</v>
      </c>
      <c r="I1329" s="282"/>
      <c r="J1329" s="282" t="s">
        <v>156</v>
      </c>
      <c r="K1329" s="286" t="s">
        <v>1879</v>
      </c>
      <c r="L1329" s="282" t="s">
        <v>574</v>
      </c>
      <c r="M1329" s="287">
        <v>2400</v>
      </c>
      <c r="N1329" s="287"/>
      <c r="O1329" s="287"/>
      <c r="P1329" s="287"/>
      <c r="Q1329" s="288">
        <v>233</v>
      </c>
      <c r="R1329" s="288"/>
      <c r="S1329" s="288"/>
      <c r="T1329" s="288"/>
      <c r="U1329" s="288">
        <v>0</v>
      </c>
      <c r="V1329" s="289">
        <v>233</v>
      </c>
      <c r="W1329" s="289">
        <v>0</v>
      </c>
      <c r="X1329" s="288">
        <v>9.7083333333333327E-2</v>
      </c>
      <c r="Y1329" s="288">
        <v>0</v>
      </c>
      <c r="Z1329" s="288">
        <v>0</v>
      </c>
      <c r="AA1329" s="288">
        <v>0</v>
      </c>
      <c r="AB1329" s="288">
        <v>0</v>
      </c>
      <c r="AC1329" s="289">
        <v>9.7083333333333327E-2</v>
      </c>
      <c r="AD1329" s="289">
        <v>0</v>
      </c>
    </row>
    <row r="1330" spans="1:30" ht="15" customHeight="1" x14ac:dyDescent="0.25">
      <c r="A1330" s="282" t="s">
        <v>581</v>
      </c>
      <c r="B1330" s="282" t="s">
        <v>616</v>
      </c>
      <c r="C1330" s="282" t="s">
        <v>617</v>
      </c>
      <c r="D1330" s="283" t="s">
        <v>2001</v>
      </c>
      <c r="E1330" s="404">
        <v>44620</v>
      </c>
      <c r="F1330" s="404">
        <v>46446</v>
      </c>
      <c r="G1330" s="286" t="s">
        <v>1948</v>
      </c>
      <c r="H1330" s="282" t="s">
        <v>1878</v>
      </c>
      <c r="I1330" s="282"/>
      <c r="J1330" s="282" t="s">
        <v>156</v>
      </c>
      <c r="K1330" s="286" t="s">
        <v>1879</v>
      </c>
      <c r="L1330" s="282" t="s">
        <v>574</v>
      </c>
      <c r="M1330" s="287">
        <v>2400</v>
      </c>
      <c r="N1330" s="287"/>
      <c r="O1330" s="287"/>
      <c r="P1330" s="287"/>
      <c r="Q1330" s="288">
        <v>287</v>
      </c>
      <c r="R1330" s="288"/>
      <c r="S1330" s="288"/>
      <c r="T1330" s="288"/>
      <c r="U1330" s="288">
        <v>0</v>
      </c>
      <c r="V1330" s="289">
        <v>287</v>
      </c>
      <c r="W1330" s="289">
        <v>0</v>
      </c>
      <c r="X1330" s="288">
        <v>0.11958333333333333</v>
      </c>
      <c r="Y1330" s="288">
        <v>0</v>
      </c>
      <c r="Z1330" s="288">
        <v>0</v>
      </c>
      <c r="AA1330" s="288">
        <v>0</v>
      </c>
      <c r="AB1330" s="288">
        <v>0</v>
      </c>
      <c r="AC1330" s="289">
        <v>0.11958333333333333</v>
      </c>
      <c r="AD1330" s="289">
        <v>0</v>
      </c>
    </row>
    <row r="1331" spans="1:30" ht="15" customHeight="1" x14ac:dyDescent="0.25">
      <c r="A1331" s="282" t="s">
        <v>581</v>
      </c>
      <c r="B1331" s="282" t="s">
        <v>594</v>
      </c>
      <c r="C1331" s="282" t="s">
        <v>595</v>
      </c>
      <c r="D1331" s="283" t="s">
        <v>2002</v>
      </c>
      <c r="E1331" s="404">
        <v>44620</v>
      </c>
      <c r="F1331" s="404">
        <v>46446</v>
      </c>
      <c r="G1331" s="286" t="s">
        <v>1948</v>
      </c>
      <c r="H1331" s="282" t="s">
        <v>1878</v>
      </c>
      <c r="I1331" s="282"/>
      <c r="J1331" s="282" t="s">
        <v>156</v>
      </c>
      <c r="K1331" s="286" t="s">
        <v>1879</v>
      </c>
      <c r="L1331" s="282" t="s">
        <v>574</v>
      </c>
      <c r="M1331" s="287">
        <v>2400</v>
      </c>
      <c r="N1331" s="287"/>
      <c r="O1331" s="287"/>
      <c r="P1331" s="287"/>
      <c r="Q1331" s="288">
        <v>182</v>
      </c>
      <c r="R1331" s="288"/>
      <c r="S1331" s="288"/>
      <c r="T1331" s="288"/>
      <c r="U1331" s="288">
        <v>0</v>
      </c>
      <c r="V1331" s="289">
        <v>182</v>
      </c>
      <c r="W1331" s="289">
        <v>0</v>
      </c>
      <c r="X1331" s="288">
        <v>7.5833333333333336E-2</v>
      </c>
      <c r="Y1331" s="288">
        <v>0</v>
      </c>
      <c r="Z1331" s="288">
        <v>0</v>
      </c>
      <c r="AA1331" s="288">
        <v>0</v>
      </c>
      <c r="AB1331" s="288">
        <v>0</v>
      </c>
      <c r="AC1331" s="289">
        <v>7.5833333333333336E-2</v>
      </c>
      <c r="AD1331" s="289">
        <v>0</v>
      </c>
    </row>
    <row r="1332" spans="1:30" ht="15" customHeight="1" x14ac:dyDescent="0.25">
      <c r="A1332" s="282" t="s">
        <v>581</v>
      </c>
      <c r="B1332" s="282" t="s">
        <v>628</v>
      </c>
      <c r="C1332" s="282" t="s">
        <v>629</v>
      </c>
      <c r="D1332" s="283" t="s">
        <v>2003</v>
      </c>
      <c r="E1332" s="404">
        <v>44620</v>
      </c>
      <c r="F1332" s="404">
        <v>46446</v>
      </c>
      <c r="G1332" s="286" t="s">
        <v>1948</v>
      </c>
      <c r="H1332" s="282" t="s">
        <v>1878</v>
      </c>
      <c r="I1332" s="282"/>
      <c r="J1332" s="282" t="s">
        <v>156</v>
      </c>
      <c r="K1332" s="286" t="s">
        <v>1879</v>
      </c>
      <c r="L1332" s="282" t="s">
        <v>574</v>
      </c>
      <c r="M1332" s="287">
        <v>2400</v>
      </c>
      <c r="N1332" s="287"/>
      <c r="O1332" s="287"/>
      <c r="P1332" s="287"/>
      <c r="Q1332" s="288">
        <v>196</v>
      </c>
      <c r="R1332" s="288"/>
      <c r="S1332" s="288"/>
      <c r="T1332" s="288"/>
      <c r="U1332" s="288">
        <v>0</v>
      </c>
      <c r="V1332" s="289">
        <v>196</v>
      </c>
      <c r="W1332" s="289">
        <v>0</v>
      </c>
      <c r="X1332" s="288">
        <v>8.1666666666666665E-2</v>
      </c>
      <c r="Y1332" s="288">
        <v>0</v>
      </c>
      <c r="Z1332" s="288">
        <v>0</v>
      </c>
      <c r="AA1332" s="288">
        <v>0</v>
      </c>
      <c r="AB1332" s="288">
        <v>0</v>
      </c>
      <c r="AC1332" s="289">
        <v>8.1666666666666665E-2</v>
      </c>
      <c r="AD1332" s="289">
        <v>0</v>
      </c>
    </row>
    <row r="1333" spans="1:30" ht="15" customHeight="1" x14ac:dyDescent="0.25">
      <c r="A1333" s="282" t="s">
        <v>581</v>
      </c>
      <c r="B1333" s="282" t="s">
        <v>611</v>
      </c>
      <c r="C1333" s="282" t="s">
        <v>612</v>
      </c>
      <c r="D1333" s="283" t="s">
        <v>2004</v>
      </c>
      <c r="E1333" s="404">
        <v>44620</v>
      </c>
      <c r="F1333" s="404">
        <v>46446</v>
      </c>
      <c r="G1333" s="286" t="s">
        <v>1948</v>
      </c>
      <c r="H1333" s="282" t="s">
        <v>1878</v>
      </c>
      <c r="I1333" s="282"/>
      <c r="J1333" s="282" t="s">
        <v>156</v>
      </c>
      <c r="K1333" s="286" t="s">
        <v>1879</v>
      </c>
      <c r="L1333" s="282" t="s">
        <v>574</v>
      </c>
      <c r="M1333" s="287">
        <v>2400</v>
      </c>
      <c r="N1333" s="287"/>
      <c r="O1333" s="287"/>
      <c r="P1333" s="287"/>
      <c r="Q1333" s="288">
        <v>223</v>
      </c>
      <c r="R1333" s="288"/>
      <c r="S1333" s="288"/>
      <c r="T1333" s="288"/>
      <c r="U1333" s="288">
        <v>0</v>
      </c>
      <c r="V1333" s="289">
        <v>223</v>
      </c>
      <c r="W1333" s="289">
        <v>0</v>
      </c>
      <c r="X1333" s="288">
        <v>9.2916666666666661E-2</v>
      </c>
      <c r="Y1333" s="288">
        <v>0</v>
      </c>
      <c r="Z1333" s="288">
        <v>0</v>
      </c>
      <c r="AA1333" s="288">
        <v>0</v>
      </c>
      <c r="AB1333" s="288">
        <v>0</v>
      </c>
      <c r="AC1333" s="289">
        <v>9.2916666666666661E-2</v>
      </c>
      <c r="AD1333" s="289">
        <v>0</v>
      </c>
    </row>
    <row r="1334" spans="1:30" ht="15" customHeight="1" x14ac:dyDescent="0.25">
      <c r="A1334" s="282" t="s">
        <v>581</v>
      </c>
      <c r="B1334" s="282" t="s">
        <v>585</v>
      </c>
      <c r="C1334" s="282" t="s">
        <v>586</v>
      </c>
      <c r="D1334" s="283" t="s">
        <v>2005</v>
      </c>
      <c r="E1334" s="404">
        <v>44620</v>
      </c>
      <c r="F1334" s="404">
        <v>46446</v>
      </c>
      <c r="G1334" s="286" t="s">
        <v>1948</v>
      </c>
      <c r="H1334" s="282" t="s">
        <v>1878</v>
      </c>
      <c r="I1334" s="282"/>
      <c r="J1334" s="282" t="s">
        <v>156</v>
      </c>
      <c r="K1334" s="286" t="s">
        <v>1879</v>
      </c>
      <c r="L1334" s="282" t="s">
        <v>574</v>
      </c>
      <c r="M1334" s="287">
        <v>2400</v>
      </c>
      <c r="N1334" s="287"/>
      <c r="O1334" s="287"/>
      <c r="P1334" s="287"/>
      <c r="Q1334" s="288">
        <v>262</v>
      </c>
      <c r="R1334" s="288"/>
      <c r="S1334" s="288"/>
      <c r="T1334" s="288"/>
      <c r="U1334" s="288">
        <v>0</v>
      </c>
      <c r="V1334" s="289">
        <v>262</v>
      </c>
      <c r="W1334" s="289">
        <v>0</v>
      </c>
      <c r="X1334" s="288">
        <v>0.10916666666666666</v>
      </c>
      <c r="Y1334" s="288">
        <v>0</v>
      </c>
      <c r="Z1334" s="288">
        <v>0</v>
      </c>
      <c r="AA1334" s="288">
        <v>0</v>
      </c>
      <c r="AB1334" s="288">
        <v>0</v>
      </c>
      <c r="AC1334" s="289">
        <v>0.10916666666666666</v>
      </c>
      <c r="AD1334" s="289">
        <v>0</v>
      </c>
    </row>
    <row r="1335" spans="1:30" ht="15" customHeight="1" x14ac:dyDescent="0.25">
      <c r="A1335" s="282" t="s">
        <v>581</v>
      </c>
      <c r="B1335" s="282" t="s">
        <v>616</v>
      </c>
      <c r="C1335" s="282" t="s">
        <v>617</v>
      </c>
      <c r="D1335" s="283" t="s">
        <v>2006</v>
      </c>
      <c r="E1335" s="404">
        <v>44620</v>
      </c>
      <c r="F1335" s="404">
        <v>46446</v>
      </c>
      <c r="G1335" s="286" t="s">
        <v>1948</v>
      </c>
      <c r="H1335" s="282" t="s">
        <v>1878</v>
      </c>
      <c r="I1335" s="282"/>
      <c r="J1335" s="282" t="s">
        <v>156</v>
      </c>
      <c r="K1335" s="286" t="s">
        <v>1879</v>
      </c>
      <c r="L1335" s="282" t="s">
        <v>574</v>
      </c>
      <c r="M1335" s="287">
        <v>2400</v>
      </c>
      <c r="N1335" s="287"/>
      <c r="O1335" s="287"/>
      <c r="P1335" s="287"/>
      <c r="Q1335" s="288">
        <v>323</v>
      </c>
      <c r="R1335" s="288"/>
      <c r="S1335" s="288"/>
      <c r="T1335" s="288"/>
      <c r="U1335" s="288">
        <v>0</v>
      </c>
      <c r="V1335" s="289">
        <v>323</v>
      </c>
      <c r="W1335" s="289">
        <v>0</v>
      </c>
      <c r="X1335" s="288">
        <v>0.13458333333333333</v>
      </c>
      <c r="Y1335" s="288">
        <v>0</v>
      </c>
      <c r="Z1335" s="288">
        <v>0</v>
      </c>
      <c r="AA1335" s="288">
        <v>0</v>
      </c>
      <c r="AB1335" s="288">
        <v>0</v>
      </c>
      <c r="AC1335" s="289">
        <v>0.13458333333333333</v>
      </c>
      <c r="AD1335" s="289">
        <v>0</v>
      </c>
    </row>
    <row r="1336" spans="1:30" ht="15" customHeight="1" x14ac:dyDescent="0.25">
      <c r="A1336" s="282" t="s">
        <v>581</v>
      </c>
      <c r="B1336" s="282" t="s">
        <v>594</v>
      </c>
      <c r="C1336" s="282" t="s">
        <v>595</v>
      </c>
      <c r="D1336" s="283" t="s">
        <v>2007</v>
      </c>
      <c r="E1336" s="404">
        <v>44620</v>
      </c>
      <c r="F1336" s="404">
        <v>46446</v>
      </c>
      <c r="G1336" s="286" t="s">
        <v>1948</v>
      </c>
      <c r="H1336" s="282" t="s">
        <v>1878</v>
      </c>
      <c r="I1336" s="282"/>
      <c r="J1336" s="282" t="s">
        <v>156</v>
      </c>
      <c r="K1336" s="286" t="s">
        <v>1879</v>
      </c>
      <c r="L1336" s="282" t="s">
        <v>574</v>
      </c>
      <c r="M1336" s="287">
        <v>2400</v>
      </c>
      <c r="N1336" s="287"/>
      <c r="O1336" s="287"/>
      <c r="P1336" s="287"/>
      <c r="Q1336" s="288">
        <v>201</v>
      </c>
      <c r="R1336" s="288"/>
      <c r="S1336" s="288"/>
      <c r="T1336" s="288"/>
      <c r="U1336" s="288">
        <v>0</v>
      </c>
      <c r="V1336" s="289">
        <v>201</v>
      </c>
      <c r="W1336" s="289">
        <v>0</v>
      </c>
      <c r="X1336" s="288">
        <v>8.3750000000000005E-2</v>
      </c>
      <c r="Y1336" s="288">
        <v>0</v>
      </c>
      <c r="Z1336" s="288">
        <v>0</v>
      </c>
      <c r="AA1336" s="288">
        <v>0</v>
      </c>
      <c r="AB1336" s="288">
        <v>0</v>
      </c>
      <c r="AC1336" s="289">
        <v>8.3750000000000005E-2</v>
      </c>
      <c r="AD1336" s="289">
        <v>0</v>
      </c>
    </row>
    <row r="1337" spans="1:30" ht="15" customHeight="1" x14ac:dyDescent="0.25">
      <c r="A1337" s="282" t="s">
        <v>581</v>
      </c>
      <c r="B1337" s="282" t="s">
        <v>628</v>
      </c>
      <c r="C1337" s="282" t="s">
        <v>629</v>
      </c>
      <c r="D1337" s="283" t="s">
        <v>2008</v>
      </c>
      <c r="E1337" s="404">
        <v>44620</v>
      </c>
      <c r="F1337" s="404">
        <v>46446</v>
      </c>
      <c r="G1337" s="286" t="s">
        <v>1948</v>
      </c>
      <c r="H1337" s="282" t="s">
        <v>1878</v>
      </c>
      <c r="I1337" s="282"/>
      <c r="J1337" s="282" t="s">
        <v>156</v>
      </c>
      <c r="K1337" s="286" t="s">
        <v>1879</v>
      </c>
      <c r="L1337" s="282" t="s">
        <v>574</v>
      </c>
      <c r="M1337" s="287">
        <v>2400</v>
      </c>
      <c r="N1337" s="287"/>
      <c r="O1337" s="287"/>
      <c r="P1337" s="287"/>
      <c r="Q1337" s="288">
        <v>225</v>
      </c>
      <c r="R1337" s="288"/>
      <c r="S1337" s="288"/>
      <c r="T1337" s="288"/>
      <c r="U1337" s="288">
        <v>0</v>
      </c>
      <c r="V1337" s="289">
        <v>225</v>
      </c>
      <c r="W1337" s="289">
        <v>0</v>
      </c>
      <c r="X1337" s="288">
        <v>9.375E-2</v>
      </c>
      <c r="Y1337" s="288">
        <v>0</v>
      </c>
      <c r="Z1337" s="288">
        <v>0</v>
      </c>
      <c r="AA1337" s="288">
        <v>0</v>
      </c>
      <c r="AB1337" s="288">
        <v>0</v>
      </c>
      <c r="AC1337" s="289">
        <v>9.375E-2</v>
      </c>
      <c r="AD1337" s="289">
        <v>0</v>
      </c>
    </row>
    <row r="1338" spans="1:30" ht="15" customHeight="1" x14ac:dyDescent="0.25">
      <c r="A1338" s="282" t="s">
        <v>581</v>
      </c>
      <c r="B1338" s="282" t="s">
        <v>611</v>
      </c>
      <c r="C1338" s="282" t="s">
        <v>612</v>
      </c>
      <c r="D1338" s="283" t="s">
        <v>2009</v>
      </c>
      <c r="E1338" s="404">
        <v>44620</v>
      </c>
      <c r="F1338" s="404">
        <v>46446</v>
      </c>
      <c r="G1338" s="286" t="s">
        <v>1948</v>
      </c>
      <c r="H1338" s="282" t="s">
        <v>1878</v>
      </c>
      <c r="I1338" s="282"/>
      <c r="J1338" s="282" t="s">
        <v>156</v>
      </c>
      <c r="K1338" s="286" t="s">
        <v>1879</v>
      </c>
      <c r="L1338" s="282" t="s">
        <v>574</v>
      </c>
      <c r="M1338" s="287">
        <v>2400</v>
      </c>
      <c r="N1338" s="287"/>
      <c r="O1338" s="287"/>
      <c r="P1338" s="287"/>
      <c r="Q1338" s="288">
        <v>266</v>
      </c>
      <c r="R1338" s="288"/>
      <c r="S1338" s="288"/>
      <c r="T1338" s="288"/>
      <c r="U1338" s="288">
        <v>0</v>
      </c>
      <c r="V1338" s="289">
        <v>266</v>
      </c>
      <c r="W1338" s="289">
        <v>0</v>
      </c>
      <c r="X1338" s="288">
        <v>0.11083333333333334</v>
      </c>
      <c r="Y1338" s="288">
        <v>0</v>
      </c>
      <c r="Z1338" s="288">
        <v>0</v>
      </c>
      <c r="AA1338" s="288">
        <v>0</v>
      </c>
      <c r="AB1338" s="288">
        <v>0</v>
      </c>
      <c r="AC1338" s="289">
        <v>0.11083333333333334</v>
      </c>
      <c r="AD1338" s="289">
        <v>0</v>
      </c>
    </row>
    <row r="1339" spans="1:30" ht="15" customHeight="1" x14ac:dyDescent="0.25">
      <c r="A1339" s="282" t="s">
        <v>581</v>
      </c>
      <c r="B1339" s="282" t="s">
        <v>585</v>
      </c>
      <c r="C1339" s="282" t="s">
        <v>586</v>
      </c>
      <c r="D1339" s="283" t="s">
        <v>2010</v>
      </c>
      <c r="E1339" s="404">
        <v>44620</v>
      </c>
      <c r="F1339" s="404">
        <v>46446</v>
      </c>
      <c r="G1339" s="286" t="s">
        <v>1948</v>
      </c>
      <c r="H1339" s="282" t="s">
        <v>1878</v>
      </c>
      <c r="I1339" s="282"/>
      <c r="J1339" s="282" t="s">
        <v>156</v>
      </c>
      <c r="K1339" s="286" t="s">
        <v>1879</v>
      </c>
      <c r="L1339" s="282" t="s">
        <v>574</v>
      </c>
      <c r="M1339" s="287">
        <v>2400</v>
      </c>
      <c r="N1339" s="287"/>
      <c r="O1339" s="287"/>
      <c r="P1339" s="287"/>
      <c r="Q1339" s="288">
        <v>306</v>
      </c>
      <c r="R1339" s="288"/>
      <c r="S1339" s="288"/>
      <c r="T1339" s="288"/>
      <c r="U1339" s="288">
        <v>0</v>
      </c>
      <c r="V1339" s="289">
        <v>306</v>
      </c>
      <c r="W1339" s="289">
        <v>0</v>
      </c>
      <c r="X1339" s="288">
        <v>0.1275</v>
      </c>
      <c r="Y1339" s="288">
        <v>0</v>
      </c>
      <c r="Z1339" s="288">
        <v>0</v>
      </c>
      <c r="AA1339" s="288">
        <v>0</v>
      </c>
      <c r="AB1339" s="288">
        <v>0</v>
      </c>
      <c r="AC1339" s="289">
        <v>0.1275</v>
      </c>
      <c r="AD1339" s="289">
        <v>0</v>
      </c>
    </row>
    <row r="1340" spans="1:30" ht="15" customHeight="1" x14ac:dyDescent="0.25">
      <c r="A1340" s="282" t="s">
        <v>581</v>
      </c>
      <c r="B1340" s="282" t="s">
        <v>616</v>
      </c>
      <c r="C1340" s="282" t="s">
        <v>617</v>
      </c>
      <c r="D1340" s="283" t="s">
        <v>2011</v>
      </c>
      <c r="E1340" s="404">
        <v>44620</v>
      </c>
      <c r="F1340" s="404">
        <v>46446</v>
      </c>
      <c r="G1340" s="286" t="s">
        <v>1948</v>
      </c>
      <c r="H1340" s="282" t="s">
        <v>1878</v>
      </c>
      <c r="I1340" s="282"/>
      <c r="J1340" s="282" t="s">
        <v>156</v>
      </c>
      <c r="K1340" s="286" t="s">
        <v>1879</v>
      </c>
      <c r="L1340" s="282" t="s">
        <v>574</v>
      </c>
      <c r="M1340" s="287">
        <v>2400</v>
      </c>
      <c r="N1340" s="287"/>
      <c r="O1340" s="287"/>
      <c r="P1340" s="287"/>
      <c r="Q1340" s="288">
        <v>391</v>
      </c>
      <c r="R1340" s="288"/>
      <c r="S1340" s="288"/>
      <c r="T1340" s="288"/>
      <c r="U1340" s="288">
        <v>0</v>
      </c>
      <c r="V1340" s="289">
        <v>391</v>
      </c>
      <c r="W1340" s="289">
        <v>0</v>
      </c>
      <c r="X1340" s="288">
        <v>0.16291666666666665</v>
      </c>
      <c r="Y1340" s="288">
        <v>0</v>
      </c>
      <c r="Z1340" s="288">
        <v>0</v>
      </c>
      <c r="AA1340" s="288">
        <v>0</v>
      </c>
      <c r="AB1340" s="288">
        <v>0</v>
      </c>
      <c r="AC1340" s="289">
        <v>0.16291666666666665</v>
      </c>
      <c r="AD1340" s="289">
        <v>0</v>
      </c>
    </row>
    <row r="1341" spans="1:30" ht="15" customHeight="1" x14ac:dyDescent="0.25">
      <c r="A1341" s="282" t="s">
        <v>581</v>
      </c>
      <c r="B1341" s="282" t="s">
        <v>594</v>
      </c>
      <c r="C1341" s="282" t="s">
        <v>595</v>
      </c>
      <c r="D1341" s="283" t="s">
        <v>2012</v>
      </c>
      <c r="E1341" s="404">
        <v>44620</v>
      </c>
      <c r="F1341" s="404">
        <v>46446</v>
      </c>
      <c r="G1341" s="286" t="s">
        <v>2013</v>
      </c>
      <c r="H1341" s="282" t="s">
        <v>1878</v>
      </c>
      <c r="I1341" s="282"/>
      <c r="J1341" s="282" t="s">
        <v>156</v>
      </c>
      <c r="K1341" s="286" t="s">
        <v>1879</v>
      </c>
      <c r="L1341" s="282" t="s">
        <v>574</v>
      </c>
      <c r="M1341" s="287">
        <v>2400</v>
      </c>
      <c r="N1341" s="287"/>
      <c r="O1341" s="287"/>
      <c r="P1341" s="287"/>
      <c r="Q1341" s="288">
        <v>211</v>
      </c>
      <c r="R1341" s="288"/>
      <c r="S1341" s="288"/>
      <c r="T1341" s="288"/>
      <c r="U1341" s="288">
        <v>0</v>
      </c>
      <c r="V1341" s="289">
        <v>211</v>
      </c>
      <c r="W1341" s="289">
        <v>0</v>
      </c>
      <c r="X1341" s="288">
        <v>8.7916666666666671E-2</v>
      </c>
      <c r="Y1341" s="288">
        <v>0</v>
      </c>
      <c r="Z1341" s="288">
        <v>0</v>
      </c>
      <c r="AA1341" s="288">
        <v>0</v>
      </c>
      <c r="AB1341" s="288">
        <v>0</v>
      </c>
      <c r="AC1341" s="289">
        <v>8.7916666666666671E-2</v>
      </c>
      <c r="AD1341" s="289">
        <v>0</v>
      </c>
    </row>
    <row r="1342" spans="1:30" ht="15" customHeight="1" x14ac:dyDescent="0.25">
      <c r="A1342" s="282" t="s">
        <v>581</v>
      </c>
      <c r="B1342" s="282" t="s">
        <v>628</v>
      </c>
      <c r="C1342" s="282" t="s">
        <v>629</v>
      </c>
      <c r="D1342" s="283" t="s">
        <v>2014</v>
      </c>
      <c r="E1342" s="404">
        <v>44620</v>
      </c>
      <c r="F1342" s="404">
        <v>46446</v>
      </c>
      <c r="G1342" s="286" t="s">
        <v>2013</v>
      </c>
      <c r="H1342" s="282" t="s">
        <v>1878</v>
      </c>
      <c r="I1342" s="282"/>
      <c r="J1342" s="282" t="s">
        <v>156</v>
      </c>
      <c r="K1342" s="286" t="s">
        <v>1879</v>
      </c>
      <c r="L1342" s="282" t="s">
        <v>574</v>
      </c>
      <c r="M1342" s="287">
        <v>2400</v>
      </c>
      <c r="N1342" s="287"/>
      <c r="O1342" s="287"/>
      <c r="P1342" s="287"/>
      <c r="Q1342" s="288">
        <v>228</v>
      </c>
      <c r="R1342" s="288"/>
      <c r="S1342" s="288"/>
      <c r="T1342" s="288"/>
      <c r="U1342" s="288">
        <v>0</v>
      </c>
      <c r="V1342" s="289">
        <v>228</v>
      </c>
      <c r="W1342" s="289">
        <v>0</v>
      </c>
      <c r="X1342" s="288">
        <v>9.5000000000000001E-2</v>
      </c>
      <c r="Y1342" s="288">
        <v>0</v>
      </c>
      <c r="Z1342" s="288">
        <v>0</v>
      </c>
      <c r="AA1342" s="288">
        <v>0</v>
      </c>
      <c r="AB1342" s="288">
        <v>0</v>
      </c>
      <c r="AC1342" s="289">
        <v>9.5000000000000001E-2</v>
      </c>
      <c r="AD1342" s="289">
        <v>0</v>
      </c>
    </row>
    <row r="1343" spans="1:30" ht="15" customHeight="1" x14ac:dyDescent="0.25">
      <c r="A1343" s="282" t="s">
        <v>581</v>
      </c>
      <c r="B1343" s="282" t="s">
        <v>611</v>
      </c>
      <c r="C1343" s="282" t="s">
        <v>612</v>
      </c>
      <c r="D1343" s="283" t="s">
        <v>2015</v>
      </c>
      <c r="E1343" s="404">
        <v>44620</v>
      </c>
      <c r="F1343" s="404">
        <v>46446</v>
      </c>
      <c r="G1343" s="286" t="s">
        <v>2013</v>
      </c>
      <c r="H1343" s="282" t="s">
        <v>1878</v>
      </c>
      <c r="I1343" s="282"/>
      <c r="J1343" s="282" t="s">
        <v>156</v>
      </c>
      <c r="K1343" s="286" t="s">
        <v>1879</v>
      </c>
      <c r="L1343" s="282" t="s">
        <v>574</v>
      </c>
      <c r="M1343" s="287">
        <v>2400</v>
      </c>
      <c r="N1343" s="287"/>
      <c r="O1343" s="287"/>
      <c r="P1343" s="287"/>
      <c r="Q1343" s="288">
        <v>270</v>
      </c>
      <c r="R1343" s="288"/>
      <c r="S1343" s="288"/>
      <c r="T1343" s="288"/>
      <c r="U1343" s="288">
        <v>0</v>
      </c>
      <c r="V1343" s="289">
        <v>270</v>
      </c>
      <c r="W1343" s="289">
        <v>0</v>
      </c>
      <c r="X1343" s="288">
        <v>0.1125</v>
      </c>
      <c r="Y1343" s="288">
        <v>0</v>
      </c>
      <c r="Z1343" s="288">
        <v>0</v>
      </c>
      <c r="AA1343" s="288">
        <v>0</v>
      </c>
      <c r="AB1343" s="288">
        <v>0</v>
      </c>
      <c r="AC1343" s="289">
        <v>0.1125</v>
      </c>
      <c r="AD1343" s="289">
        <v>0</v>
      </c>
    </row>
    <row r="1344" spans="1:30" ht="15" customHeight="1" x14ac:dyDescent="0.25">
      <c r="A1344" s="282" t="s">
        <v>581</v>
      </c>
      <c r="B1344" s="282" t="s">
        <v>585</v>
      </c>
      <c r="C1344" s="282" t="s">
        <v>586</v>
      </c>
      <c r="D1344" s="283" t="s">
        <v>2016</v>
      </c>
      <c r="E1344" s="404">
        <v>44620</v>
      </c>
      <c r="F1344" s="404">
        <v>46446</v>
      </c>
      <c r="G1344" s="286" t="s">
        <v>2013</v>
      </c>
      <c r="H1344" s="282" t="s">
        <v>1878</v>
      </c>
      <c r="I1344" s="282"/>
      <c r="J1344" s="282" t="s">
        <v>156</v>
      </c>
      <c r="K1344" s="286" t="s">
        <v>1879</v>
      </c>
      <c r="L1344" s="282" t="s">
        <v>574</v>
      </c>
      <c r="M1344" s="287">
        <v>2400</v>
      </c>
      <c r="N1344" s="287"/>
      <c r="O1344" s="287"/>
      <c r="P1344" s="287"/>
      <c r="Q1344" s="288">
        <v>320</v>
      </c>
      <c r="R1344" s="288"/>
      <c r="S1344" s="288"/>
      <c r="T1344" s="288"/>
      <c r="U1344" s="288">
        <v>0</v>
      </c>
      <c r="V1344" s="289">
        <v>320</v>
      </c>
      <c r="W1344" s="289">
        <v>0</v>
      </c>
      <c r="X1344" s="288">
        <v>0.13333333333333333</v>
      </c>
      <c r="Y1344" s="288">
        <v>0</v>
      </c>
      <c r="Z1344" s="288">
        <v>0</v>
      </c>
      <c r="AA1344" s="288">
        <v>0</v>
      </c>
      <c r="AB1344" s="288">
        <v>0</v>
      </c>
      <c r="AC1344" s="289">
        <v>0.13333333333333333</v>
      </c>
      <c r="AD1344" s="289">
        <v>0</v>
      </c>
    </row>
    <row r="1345" spans="1:30" ht="15" customHeight="1" x14ac:dyDescent="0.25">
      <c r="A1345" s="282" t="s">
        <v>581</v>
      </c>
      <c r="B1345" s="282" t="s">
        <v>616</v>
      </c>
      <c r="C1345" s="282" t="s">
        <v>617</v>
      </c>
      <c r="D1345" s="283" t="s">
        <v>2017</v>
      </c>
      <c r="E1345" s="404">
        <v>44620</v>
      </c>
      <c r="F1345" s="404">
        <v>46446</v>
      </c>
      <c r="G1345" s="286" t="s">
        <v>2013</v>
      </c>
      <c r="H1345" s="282" t="s">
        <v>1878</v>
      </c>
      <c r="I1345" s="282"/>
      <c r="J1345" s="282" t="s">
        <v>156</v>
      </c>
      <c r="K1345" s="286" t="s">
        <v>1879</v>
      </c>
      <c r="L1345" s="282" t="s">
        <v>574</v>
      </c>
      <c r="M1345" s="287">
        <v>2400</v>
      </c>
      <c r="N1345" s="287"/>
      <c r="O1345" s="287"/>
      <c r="P1345" s="287"/>
      <c r="Q1345" s="288">
        <v>393</v>
      </c>
      <c r="R1345" s="288"/>
      <c r="S1345" s="288"/>
      <c r="T1345" s="288"/>
      <c r="U1345" s="288">
        <v>0</v>
      </c>
      <c r="V1345" s="289">
        <v>393</v>
      </c>
      <c r="W1345" s="289">
        <v>0</v>
      </c>
      <c r="X1345" s="288">
        <v>0.16375000000000001</v>
      </c>
      <c r="Y1345" s="288">
        <v>0</v>
      </c>
      <c r="Z1345" s="288">
        <v>0</v>
      </c>
      <c r="AA1345" s="288">
        <v>0</v>
      </c>
      <c r="AB1345" s="288">
        <v>0</v>
      </c>
      <c r="AC1345" s="289">
        <v>0.16375000000000001</v>
      </c>
      <c r="AD1345" s="289">
        <v>0</v>
      </c>
    </row>
    <row r="1346" spans="1:30" ht="15" customHeight="1" x14ac:dyDescent="0.25">
      <c r="A1346" s="282" t="s">
        <v>581</v>
      </c>
      <c r="B1346" s="282" t="s">
        <v>594</v>
      </c>
      <c r="C1346" s="282" t="s">
        <v>595</v>
      </c>
      <c r="D1346" s="283" t="s">
        <v>2018</v>
      </c>
      <c r="E1346" s="404">
        <v>44620</v>
      </c>
      <c r="F1346" s="404">
        <v>46446</v>
      </c>
      <c r="G1346" s="286" t="s">
        <v>2013</v>
      </c>
      <c r="H1346" s="282" t="s">
        <v>1878</v>
      </c>
      <c r="I1346" s="282"/>
      <c r="J1346" s="282" t="s">
        <v>156</v>
      </c>
      <c r="K1346" s="286" t="s">
        <v>1879</v>
      </c>
      <c r="L1346" s="282" t="s">
        <v>574</v>
      </c>
      <c r="M1346" s="287">
        <v>2400</v>
      </c>
      <c r="N1346" s="287"/>
      <c r="O1346" s="287"/>
      <c r="P1346" s="287"/>
      <c r="Q1346" s="288">
        <v>251</v>
      </c>
      <c r="R1346" s="288"/>
      <c r="S1346" s="288"/>
      <c r="T1346" s="288"/>
      <c r="U1346" s="288">
        <v>0</v>
      </c>
      <c r="V1346" s="289">
        <v>251</v>
      </c>
      <c r="W1346" s="289">
        <v>0</v>
      </c>
      <c r="X1346" s="288">
        <v>0.10458333333333333</v>
      </c>
      <c r="Y1346" s="288">
        <v>0</v>
      </c>
      <c r="Z1346" s="288">
        <v>0</v>
      </c>
      <c r="AA1346" s="288">
        <v>0</v>
      </c>
      <c r="AB1346" s="288">
        <v>0</v>
      </c>
      <c r="AC1346" s="289">
        <v>0.10458333333333333</v>
      </c>
      <c r="AD1346" s="289">
        <v>0</v>
      </c>
    </row>
    <row r="1347" spans="1:30" ht="15" customHeight="1" x14ac:dyDescent="0.25">
      <c r="A1347" s="282" t="s">
        <v>581</v>
      </c>
      <c r="B1347" s="282" t="s">
        <v>628</v>
      </c>
      <c r="C1347" s="282" t="s">
        <v>629</v>
      </c>
      <c r="D1347" s="283" t="s">
        <v>2019</v>
      </c>
      <c r="E1347" s="404">
        <v>44620</v>
      </c>
      <c r="F1347" s="404">
        <v>46446</v>
      </c>
      <c r="G1347" s="286" t="s">
        <v>2013</v>
      </c>
      <c r="H1347" s="282" t="s">
        <v>1878</v>
      </c>
      <c r="I1347" s="282"/>
      <c r="J1347" s="282" t="s">
        <v>156</v>
      </c>
      <c r="K1347" s="286" t="s">
        <v>1879</v>
      </c>
      <c r="L1347" s="282" t="s">
        <v>574</v>
      </c>
      <c r="M1347" s="287">
        <v>2400</v>
      </c>
      <c r="N1347" s="287"/>
      <c r="O1347" s="287"/>
      <c r="P1347" s="287"/>
      <c r="Q1347" s="288">
        <v>272</v>
      </c>
      <c r="R1347" s="288"/>
      <c r="S1347" s="288"/>
      <c r="T1347" s="288"/>
      <c r="U1347" s="288">
        <v>0</v>
      </c>
      <c r="V1347" s="289">
        <v>272</v>
      </c>
      <c r="W1347" s="289">
        <v>0</v>
      </c>
      <c r="X1347" s="288">
        <v>0.11333333333333333</v>
      </c>
      <c r="Y1347" s="288">
        <v>0</v>
      </c>
      <c r="Z1347" s="288">
        <v>0</v>
      </c>
      <c r="AA1347" s="288">
        <v>0</v>
      </c>
      <c r="AB1347" s="288">
        <v>0</v>
      </c>
      <c r="AC1347" s="289">
        <v>0.11333333333333333</v>
      </c>
      <c r="AD1347" s="289">
        <v>0</v>
      </c>
    </row>
    <row r="1348" spans="1:30" ht="15" customHeight="1" x14ac:dyDescent="0.25">
      <c r="A1348" s="282" t="s">
        <v>581</v>
      </c>
      <c r="B1348" s="282" t="s">
        <v>611</v>
      </c>
      <c r="C1348" s="282" t="s">
        <v>612</v>
      </c>
      <c r="D1348" s="283" t="s">
        <v>2020</v>
      </c>
      <c r="E1348" s="404">
        <v>44620</v>
      </c>
      <c r="F1348" s="404">
        <v>46446</v>
      </c>
      <c r="G1348" s="286" t="s">
        <v>2013</v>
      </c>
      <c r="H1348" s="282" t="s">
        <v>1878</v>
      </c>
      <c r="I1348" s="282"/>
      <c r="J1348" s="282" t="s">
        <v>156</v>
      </c>
      <c r="K1348" s="286" t="s">
        <v>1879</v>
      </c>
      <c r="L1348" s="282" t="s">
        <v>574</v>
      </c>
      <c r="M1348" s="287">
        <v>2400</v>
      </c>
      <c r="N1348" s="287"/>
      <c r="O1348" s="287"/>
      <c r="P1348" s="287"/>
      <c r="Q1348" s="288">
        <v>302</v>
      </c>
      <c r="R1348" s="288"/>
      <c r="S1348" s="288"/>
      <c r="T1348" s="288"/>
      <c r="U1348" s="288">
        <v>0</v>
      </c>
      <c r="V1348" s="289">
        <v>302</v>
      </c>
      <c r="W1348" s="289">
        <v>0</v>
      </c>
      <c r="X1348" s="288">
        <v>0.12583333333333332</v>
      </c>
      <c r="Y1348" s="288">
        <v>0</v>
      </c>
      <c r="Z1348" s="288">
        <v>0</v>
      </c>
      <c r="AA1348" s="288">
        <v>0</v>
      </c>
      <c r="AB1348" s="288">
        <v>0</v>
      </c>
      <c r="AC1348" s="289">
        <v>0.12583333333333332</v>
      </c>
      <c r="AD1348" s="289">
        <v>0</v>
      </c>
    </row>
    <row r="1349" spans="1:30" ht="15" customHeight="1" x14ac:dyDescent="0.25">
      <c r="A1349" s="282" t="s">
        <v>581</v>
      </c>
      <c r="B1349" s="282" t="s">
        <v>585</v>
      </c>
      <c r="C1349" s="282" t="s">
        <v>586</v>
      </c>
      <c r="D1349" s="283" t="s">
        <v>2021</v>
      </c>
      <c r="E1349" s="404">
        <v>44620</v>
      </c>
      <c r="F1349" s="404">
        <v>46446</v>
      </c>
      <c r="G1349" s="286" t="s">
        <v>2013</v>
      </c>
      <c r="H1349" s="282" t="s">
        <v>1878</v>
      </c>
      <c r="I1349" s="282"/>
      <c r="J1349" s="282" t="s">
        <v>156</v>
      </c>
      <c r="K1349" s="286" t="s">
        <v>1879</v>
      </c>
      <c r="L1349" s="282" t="s">
        <v>574</v>
      </c>
      <c r="M1349" s="287">
        <v>2400</v>
      </c>
      <c r="N1349" s="287"/>
      <c r="O1349" s="287"/>
      <c r="P1349" s="287"/>
      <c r="Q1349" s="288">
        <v>369</v>
      </c>
      <c r="R1349" s="288"/>
      <c r="S1349" s="288"/>
      <c r="T1349" s="288"/>
      <c r="U1349" s="288">
        <v>0</v>
      </c>
      <c r="V1349" s="289">
        <v>369</v>
      </c>
      <c r="W1349" s="289">
        <v>0</v>
      </c>
      <c r="X1349" s="288">
        <v>0.15375</v>
      </c>
      <c r="Y1349" s="288">
        <v>0</v>
      </c>
      <c r="Z1349" s="288">
        <v>0</v>
      </c>
      <c r="AA1349" s="288">
        <v>0</v>
      </c>
      <c r="AB1349" s="288">
        <v>0</v>
      </c>
      <c r="AC1349" s="289">
        <v>0.15375</v>
      </c>
      <c r="AD1349" s="289">
        <v>0</v>
      </c>
    </row>
    <row r="1350" spans="1:30" ht="15" customHeight="1" x14ac:dyDescent="0.25">
      <c r="A1350" s="282" t="s">
        <v>581</v>
      </c>
      <c r="B1350" s="282" t="s">
        <v>616</v>
      </c>
      <c r="C1350" s="282" t="s">
        <v>617</v>
      </c>
      <c r="D1350" s="283" t="s">
        <v>2022</v>
      </c>
      <c r="E1350" s="404">
        <v>44620</v>
      </c>
      <c r="F1350" s="404">
        <v>46446</v>
      </c>
      <c r="G1350" s="286" t="s">
        <v>2013</v>
      </c>
      <c r="H1350" s="282" t="s">
        <v>1878</v>
      </c>
      <c r="I1350" s="282"/>
      <c r="J1350" s="282" t="s">
        <v>156</v>
      </c>
      <c r="K1350" s="286" t="s">
        <v>1879</v>
      </c>
      <c r="L1350" s="282" t="s">
        <v>574</v>
      </c>
      <c r="M1350" s="287">
        <v>2400</v>
      </c>
      <c r="N1350" s="287"/>
      <c r="O1350" s="287"/>
      <c r="P1350" s="287"/>
      <c r="Q1350" s="288">
        <v>446</v>
      </c>
      <c r="R1350" s="288"/>
      <c r="S1350" s="288"/>
      <c r="T1350" s="288"/>
      <c r="U1350" s="288">
        <v>0</v>
      </c>
      <c r="V1350" s="289">
        <v>446</v>
      </c>
      <c r="W1350" s="289">
        <v>0</v>
      </c>
      <c r="X1350" s="288">
        <v>0.18583333333333332</v>
      </c>
      <c r="Y1350" s="288">
        <v>0</v>
      </c>
      <c r="Z1350" s="288">
        <v>0</v>
      </c>
      <c r="AA1350" s="288">
        <v>0</v>
      </c>
      <c r="AB1350" s="288">
        <v>0</v>
      </c>
      <c r="AC1350" s="289">
        <v>0.18583333333333332</v>
      </c>
      <c r="AD1350" s="289">
        <v>0</v>
      </c>
    </row>
    <row r="1351" spans="1:30" ht="15" customHeight="1" x14ac:dyDescent="0.25">
      <c r="A1351" s="282" t="s">
        <v>581</v>
      </c>
      <c r="B1351" s="282" t="s">
        <v>606</v>
      </c>
      <c r="C1351" s="282" t="s">
        <v>260</v>
      </c>
      <c r="D1351" s="283" t="s">
        <v>2023</v>
      </c>
      <c r="E1351" s="404">
        <v>44620</v>
      </c>
      <c r="F1351" s="404">
        <v>46446</v>
      </c>
      <c r="G1351" s="286" t="s">
        <v>2013</v>
      </c>
      <c r="H1351" s="282" t="s">
        <v>1878</v>
      </c>
      <c r="I1351" s="282"/>
      <c r="J1351" s="282" t="s">
        <v>156</v>
      </c>
      <c r="K1351" s="286" t="s">
        <v>1879</v>
      </c>
      <c r="L1351" s="282" t="s">
        <v>574</v>
      </c>
      <c r="M1351" s="287">
        <v>2400</v>
      </c>
      <c r="N1351" s="287"/>
      <c r="O1351" s="287"/>
      <c r="P1351" s="287"/>
      <c r="Q1351" s="288">
        <v>232</v>
      </c>
      <c r="R1351" s="288"/>
      <c r="S1351" s="288"/>
      <c r="T1351" s="288"/>
      <c r="U1351" s="288">
        <v>0</v>
      </c>
      <c r="V1351" s="289">
        <v>232</v>
      </c>
      <c r="W1351" s="289">
        <v>0</v>
      </c>
      <c r="X1351" s="288">
        <v>9.6666666666666665E-2</v>
      </c>
      <c r="Y1351" s="288">
        <v>0</v>
      </c>
      <c r="Z1351" s="288">
        <v>0</v>
      </c>
      <c r="AA1351" s="288">
        <v>0</v>
      </c>
      <c r="AB1351" s="288">
        <v>0</v>
      </c>
      <c r="AC1351" s="289">
        <v>9.6666666666666665E-2</v>
      </c>
      <c r="AD1351" s="289">
        <v>0</v>
      </c>
    </row>
    <row r="1352" spans="1:30" ht="15" customHeight="1" x14ac:dyDescent="0.25">
      <c r="A1352" s="282" t="s">
        <v>581</v>
      </c>
      <c r="B1352" s="282" t="s">
        <v>585</v>
      </c>
      <c r="C1352" s="282" t="s">
        <v>586</v>
      </c>
      <c r="D1352" s="283" t="s">
        <v>2024</v>
      </c>
      <c r="E1352" s="404">
        <v>44620</v>
      </c>
      <c r="F1352" s="404">
        <v>46446</v>
      </c>
      <c r="G1352" s="286" t="s">
        <v>2013</v>
      </c>
      <c r="H1352" s="282" t="s">
        <v>1878</v>
      </c>
      <c r="I1352" s="282"/>
      <c r="J1352" s="282" t="s">
        <v>156</v>
      </c>
      <c r="K1352" s="286" t="s">
        <v>1879</v>
      </c>
      <c r="L1352" s="282" t="s">
        <v>574</v>
      </c>
      <c r="M1352" s="287">
        <v>2400</v>
      </c>
      <c r="N1352" s="287"/>
      <c r="O1352" s="287"/>
      <c r="P1352" s="287"/>
      <c r="Q1352" s="288">
        <v>371</v>
      </c>
      <c r="R1352" s="288"/>
      <c r="S1352" s="288"/>
      <c r="T1352" s="288"/>
      <c r="U1352" s="288">
        <v>0</v>
      </c>
      <c r="V1352" s="289">
        <v>371</v>
      </c>
      <c r="W1352" s="289">
        <v>0</v>
      </c>
      <c r="X1352" s="288">
        <v>0.15458333333333332</v>
      </c>
      <c r="Y1352" s="288">
        <v>0</v>
      </c>
      <c r="Z1352" s="288">
        <v>0</v>
      </c>
      <c r="AA1352" s="288">
        <v>0</v>
      </c>
      <c r="AB1352" s="288">
        <v>0</v>
      </c>
      <c r="AC1352" s="289">
        <v>0.15458333333333332</v>
      </c>
      <c r="AD1352" s="289">
        <v>0</v>
      </c>
    </row>
    <row r="1353" spans="1:30" ht="15" customHeight="1" x14ac:dyDescent="0.25">
      <c r="A1353" s="282" t="s">
        <v>581</v>
      </c>
      <c r="B1353" s="282" t="s">
        <v>606</v>
      </c>
      <c r="C1353" s="282" t="s">
        <v>260</v>
      </c>
      <c r="D1353" s="283" t="s">
        <v>2025</v>
      </c>
      <c r="E1353" s="404">
        <v>44620</v>
      </c>
      <c r="F1353" s="404">
        <v>46446</v>
      </c>
      <c r="G1353" s="286" t="s">
        <v>2013</v>
      </c>
      <c r="H1353" s="282" t="s">
        <v>1878</v>
      </c>
      <c r="I1353" s="282"/>
      <c r="J1353" s="282" t="s">
        <v>156</v>
      </c>
      <c r="K1353" s="286" t="s">
        <v>1879</v>
      </c>
      <c r="L1353" s="282" t="s">
        <v>574</v>
      </c>
      <c r="M1353" s="287">
        <v>2400</v>
      </c>
      <c r="N1353" s="287"/>
      <c r="O1353" s="287"/>
      <c r="P1353" s="287"/>
      <c r="Q1353" s="288">
        <v>295</v>
      </c>
      <c r="R1353" s="288"/>
      <c r="S1353" s="288"/>
      <c r="T1353" s="288"/>
      <c r="U1353" s="288">
        <v>0</v>
      </c>
      <c r="V1353" s="289">
        <v>295</v>
      </c>
      <c r="W1353" s="289">
        <v>0</v>
      </c>
      <c r="X1353" s="288">
        <v>0.12291666666666666</v>
      </c>
      <c r="Y1353" s="288">
        <v>0</v>
      </c>
      <c r="Z1353" s="288">
        <v>0</v>
      </c>
      <c r="AA1353" s="288">
        <v>0</v>
      </c>
      <c r="AB1353" s="288">
        <v>0</v>
      </c>
      <c r="AC1353" s="289">
        <v>0.12291666666666666</v>
      </c>
      <c r="AD1353" s="289">
        <v>0</v>
      </c>
    </row>
    <row r="1354" spans="1:30" ht="15" customHeight="1" x14ac:dyDescent="0.25">
      <c r="A1354" s="282" t="s">
        <v>581</v>
      </c>
      <c r="B1354" s="282" t="s">
        <v>616</v>
      </c>
      <c r="C1354" s="282" t="s">
        <v>617</v>
      </c>
      <c r="D1354" s="283" t="s">
        <v>2026</v>
      </c>
      <c r="E1354" s="404">
        <v>44620</v>
      </c>
      <c r="F1354" s="404">
        <v>46446</v>
      </c>
      <c r="G1354" s="286" t="s">
        <v>2013</v>
      </c>
      <c r="H1354" s="282" t="s">
        <v>1878</v>
      </c>
      <c r="I1354" s="282"/>
      <c r="J1354" s="282" t="s">
        <v>156</v>
      </c>
      <c r="K1354" s="286" t="s">
        <v>1879</v>
      </c>
      <c r="L1354" s="282" t="s">
        <v>574</v>
      </c>
      <c r="M1354" s="287">
        <v>2400</v>
      </c>
      <c r="N1354" s="287"/>
      <c r="O1354" s="287"/>
      <c r="P1354" s="287"/>
      <c r="Q1354" s="288">
        <v>398</v>
      </c>
      <c r="R1354" s="288"/>
      <c r="S1354" s="288"/>
      <c r="T1354" s="288"/>
      <c r="U1354" s="288">
        <v>0</v>
      </c>
      <c r="V1354" s="289">
        <v>398</v>
      </c>
      <c r="W1354" s="289">
        <v>0</v>
      </c>
      <c r="X1354" s="288">
        <v>0.16583333333333333</v>
      </c>
      <c r="Y1354" s="288">
        <v>0</v>
      </c>
      <c r="Z1354" s="288">
        <v>0</v>
      </c>
      <c r="AA1354" s="288">
        <v>0</v>
      </c>
      <c r="AB1354" s="288">
        <v>0</v>
      </c>
      <c r="AC1354" s="289">
        <v>0.16583333333333333</v>
      </c>
      <c r="AD1354" s="289">
        <v>0</v>
      </c>
    </row>
    <row r="1355" spans="1:30" ht="15" customHeight="1" x14ac:dyDescent="0.25">
      <c r="A1355" s="282" t="s">
        <v>581</v>
      </c>
      <c r="B1355" s="282" t="s">
        <v>628</v>
      </c>
      <c r="C1355" s="282" t="s">
        <v>629</v>
      </c>
      <c r="D1355" s="283" t="s">
        <v>2027</v>
      </c>
      <c r="E1355" s="404">
        <v>44620</v>
      </c>
      <c r="F1355" s="404">
        <v>46446</v>
      </c>
      <c r="G1355" s="286" t="s">
        <v>2013</v>
      </c>
      <c r="H1355" s="282" t="s">
        <v>1878</v>
      </c>
      <c r="I1355" s="282"/>
      <c r="J1355" s="282" t="s">
        <v>156</v>
      </c>
      <c r="K1355" s="286" t="s">
        <v>1879</v>
      </c>
      <c r="L1355" s="282" t="s">
        <v>574</v>
      </c>
      <c r="M1355" s="287">
        <v>2400</v>
      </c>
      <c r="N1355" s="287"/>
      <c r="O1355" s="287"/>
      <c r="P1355" s="287"/>
      <c r="Q1355" s="288">
        <v>255</v>
      </c>
      <c r="R1355" s="288"/>
      <c r="S1355" s="288"/>
      <c r="T1355" s="288"/>
      <c r="U1355" s="288">
        <v>0</v>
      </c>
      <c r="V1355" s="289">
        <v>255</v>
      </c>
      <c r="W1355" s="289">
        <v>0</v>
      </c>
      <c r="X1355" s="288">
        <v>0.10625</v>
      </c>
      <c r="Y1355" s="288">
        <v>0</v>
      </c>
      <c r="Z1355" s="288">
        <v>0</v>
      </c>
      <c r="AA1355" s="288">
        <v>0</v>
      </c>
      <c r="AB1355" s="288">
        <v>0</v>
      </c>
      <c r="AC1355" s="289">
        <v>0.10625</v>
      </c>
      <c r="AD1355" s="289">
        <v>0</v>
      </c>
    </row>
    <row r="1356" spans="1:30" ht="15" customHeight="1" x14ac:dyDescent="0.25">
      <c r="A1356" s="282" t="s">
        <v>581</v>
      </c>
      <c r="B1356" s="282" t="s">
        <v>611</v>
      </c>
      <c r="C1356" s="282" t="s">
        <v>612</v>
      </c>
      <c r="D1356" s="283" t="s">
        <v>2028</v>
      </c>
      <c r="E1356" s="404">
        <v>44620</v>
      </c>
      <c r="F1356" s="404">
        <v>46446</v>
      </c>
      <c r="G1356" s="286" t="s">
        <v>2013</v>
      </c>
      <c r="H1356" s="282" t="s">
        <v>1878</v>
      </c>
      <c r="I1356" s="282"/>
      <c r="J1356" s="282" t="s">
        <v>156</v>
      </c>
      <c r="K1356" s="286" t="s">
        <v>1879</v>
      </c>
      <c r="L1356" s="282" t="s">
        <v>574</v>
      </c>
      <c r="M1356" s="287">
        <v>2400</v>
      </c>
      <c r="N1356" s="287"/>
      <c r="O1356" s="287"/>
      <c r="P1356" s="287"/>
      <c r="Q1356" s="288">
        <v>281</v>
      </c>
      <c r="R1356" s="288"/>
      <c r="S1356" s="288"/>
      <c r="T1356" s="288"/>
      <c r="U1356" s="288">
        <v>0</v>
      </c>
      <c r="V1356" s="289">
        <v>281</v>
      </c>
      <c r="W1356" s="289">
        <v>0</v>
      </c>
      <c r="X1356" s="288">
        <v>0.11708333333333333</v>
      </c>
      <c r="Y1356" s="288">
        <v>0</v>
      </c>
      <c r="Z1356" s="288">
        <v>0</v>
      </c>
      <c r="AA1356" s="288">
        <v>0</v>
      </c>
      <c r="AB1356" s="288">
        <v>0</v>
      </c>
      <c r="AC1356" s="289">
        <v>0.11708333333333333</v>
      </c>
      <c r="AD1356" s="289">
        <v>0</v>
      </c>
    </row>
    <row r="1357" spans="1:30" ht="15" customHeight="1" x14ac:dyDescent="0.25">
      <c r="A1357" s="282" t="s">
        <v>581</v>
      </c>
      <c r="B1357" s="282" t="s">
        <v>594</v>
      </c>
      <c r="C1357" s="282" t="s">
        <v>595</v>
      </c>
      <c r="D1357" s="283" t="s">
        <v>2029</v>
      </c>
      <c r="E1357" s="404">
        <v>44620</v>
      </c>
      <c r="F1357" s="404">
        <v>46446</v>
      </c>
      <c r="G1357" s="286" t="s">
        <v>1416</v>
      </c>
      <c r="H1357" s="282" t="s">
        <v>1878</v>
      </c>
      <c r="I1357" s="282"/>
      <c r="J1357" s="282" t="s">
        <v>156</v>
      </c>
      <c r="K1357" s="286" t="s">
        <v>1879</v>
      </c>
      <c r="L1357" s="282" t="s">
        <v>574</v>
      </c>
      <c r="M1357" s="287">
        <v>2400</v>
      </c>
      <c r="N1357" s="287"/>
      <c r="O1357" s="287"/>
      <c r="P1357" s="287"/>
      <c r="Q1357" s="288">
        <v>222</v>
      </c>
      <c r="R1357" s="288"/>
      <c r="S1357" s="288"/>
      <c r="T1357" s="288"/>
      <c r="U1357" s="288">
        <v>0</v>
      </c>
      <c r="V1357" s="289">
        <v>222</v>
      </c>
      <c r="W1357" s="289">
        <v>0</v>
      </c>
      <c r="X1357" s="288">
        <v>9.2499999999999999E-2</v>
      </c>
      <c r="Y1357" s="288">
        <v>0</v>
      </c>
      <c r="Z1357" s="288">
        <v>0</v>
      </c>
      <c r="AA1357" s="288">
        <v>0</v>
      </c>
      <c r="AB1357" s="288">
        <v>0</v>
      </c>
      <c r="AC1357" s="289">
        <v>9.2499999999999999E-2</v>
      </c>
      <c r="AD1357" s="289">
        <v>0</v>
      </c>
    </row>
    <row r="1358" spans="1:30" ht="15" customHeight="1" x14ac:dyDescent="0.25">
      <c r="A1358" s="282" t="s">
        <v>581</v>
      </c>
      <c r="B1358" s="282" t="s">
        <v>628</v>
      </c>
      <c r="C1358" s="282" t="s">
        <v>629</v>
      </c>
      <c r="D1358" s="283" t="s">
        <v>2030</v>
      </c>
      <c r="E1358" s="404">
        <v>44620</v>
      </c>
      <c r="F1358" s="404">
        <v>46446</v>
      </c>
      <c r="G1358" s="286" t="s">
        <v>1416</v>
      </c>
      <c r="H1358" s="282" t="s">
        <v>1878</v>
      </c>
      <c r="I1358" s="282"/>
      <c r="J1358" s="282" t="s">
        <v>156</v>
      </c>
      <c r="K1358" s="286" t="s">
        <v>1879</v>
      </c>
      <c r="L1358" s="282" t="s">
        <v>574</v>
      </c>
      <c r="M1358" s="287">
        <v>2400</v>
      </c>
      <c r="N1358" s="287"/>
      <c r="O1358" s="287"/>
      <c r="P1358" s="287"/>
      <c r="Q1358" s="288">
        <v>246</v>
      </c>
      <c r="R1358" s="288"/>
      <c r="S1358" s="288"/>
      <c r="T1358" s="288"/>
      <c r="U1358" s="288">
        <v>0</v>
      </c>
      <c r="V1358" s="289">
        <v>246</v>
      </c>
      <c r="W1358" s="289">
        <v>0</v>
      </c>
      <c r="X1358" s="288">
        <v>0.10249999999999999</v>
      </c>
      <c r="Y1358" s="288">
        <v>0</v>
      </c>
      <c r="Z1358" s="288">
        <v>0</v>
      </c>
      <c r="AA1358" s="288">
        <v>0</v>
      </c>
      <c r="AB1358" s="288">
        <v>0</v>
      </c>
      <c r="AC1358" s="289">
        <v>0.10249999999999999</v>
      </c>
      <c r="AD1358" s="289">
        <v>0</v>
      </c>
    </row>
    <row r="1359" spans="1:30" ht="15" customHeight="1" x14ac:dyDescent="0.25">
      <c r="A1359" s="282" t="s">
        <v>581</v>
      </c>
      <c r="B1359" s="282" t="s">
        <v>611</v>
      </c>
      <c r="C1359" s="282" t="s">
        <v>612</v>
      </c>
      <c r="D1359" s="283" t="s">
        <v>2031</v>
      </c>
      <c r="E1359" s="404">
        <v>44620</v>
      </c>
      <c r="F1359" s="404">
        <v>46446</v>
      </c>
      <c r="G1359" s="286" t="s">
        <v>1416</v>
      </c>
      <c r="H1359" s="282" t="s">
        <v>1878</v>
      </c>
      <c r="I1359" s="282"/>
      <c r="J1359" s="282" t="s">
        <v>156</v>
      </c>
      <c r="K1359" s="286" t="s">
        <v>1879</v>
      </c>
      <c r="L1359" s="282" t="s">
        <v>574</v>
      </c>
      <c r="M1359" s="287">
        <v>2400</v>
      </c>
      <c r="N1359" s="287"/>
      <c r="O1359" s="287"/>
      <c r="P1359" s="287"/>
      <c r="Q1359" s="288">
        <v>268</v>
      </c>
      <c r="R1359" s="288"/>
      <c r="S1359" s="288"/>
      <c r="T1359" s="288"/>
      <c r="U1359" s="288">
        <v>0</v>
      </c>
      <c r="V1359" s="289">
        <v>268</v>
      </c>
      <c r="W1359" s="289">
        <v>0</v>
      </c>
      <c r="X1359" s="288">
        <v>0.11166666666666666</v>
      </c>
      <c r="Y1359" s="288">
        <v>0</v>
      </c>
      <c r="Z1359" s="288">
        <v>0</v>
      </c>
      <c r="AA1359" s="288">
        <v>0</v>
      </c>
      <c r="AB1359" s="288">
        <v>0</v>
      </c>
      <c r="AC1359" s="289">
        <v>0.11166666666666666</v>
      </c>
      <c r="AD1359" s="289">
        <v>0</v>
      </c>
    </row>
    <row r="1360" spans="1:30" ht="15" customHeight="1" x14ac:dyDescent="0.25">
      <c r="A1360" s="282" t="s">
        <v>581</v>
      </c>
      <c r="B1360" s="282" t="s">
        <v>585</v>
      </c>
      <c r="C1360" s="282" t="s">
        <v>586</v>
      </c>
      <c r="D1360" s="283" t="s">
        <v>2032</v>
      </c>
      <c r="E1360" s="404">
        <v>44620</v>
      </c>
      <c r="F1360" s="404">
        <v>46446</v>
      </c>
      <c r="G1360" s="286" t="s">
        <v>1416</v>
      </c>
      <c r="H1360" s="282" t="s">
        <v>1878</v>
      </c>
      <c r="I1360" s="282"/>
      <c r="J1360" s="282" t="s">
        <v>156</v>
      </c>
      <c r="K1360" s="286" t="s">
        <v>1879</v>
      </c>
      <c r="L1360" s="282" t="s">
        <v>574</v>
      </c>
      <c r="M1360" s="287">
        <v>2400</v>
      </c>
      <c r="N1360" s="287"/>
      <c r="O1360" s="287"/>
      <c r="P1360" s="287"/>
      <c r="Q1360" s="288">
        <v>330</v>
      </c>
      <c r="R1360" s="288"/>
      <c r="S1360" s="288"/>
      <c r="T1360" s="288"/>
      <c r="U1360" s="288">
        <v>0</v>
      </c>
      <c r="V1360" s="289">
        <v>330</v>
      </c>
      <c r="W1360" s="289">
        <v>0</v>
      </c>
      <c r="X1360" s="288">
        <v>0.13750000000000001</v>
      </c>
      <c r="Y1360" s="288">
        <v>0</v>
      </c>
      <c r="Z1360" s="288">
        <v>0</v>
      </c>
      <c r="AA1360" s="288">
        <v>0</v>
      </c>
      <c r="AB1360" s="288">
        <v>0</v>
      </c>
      <c r="AC1360" s="289">
        <v>0.13750000000000001</v>
      </c>
      <c r="AD1360" s="289">
        <v>0</v>
      </c>
    </row>
    <row r="1361" spans="1:30" ht="15" customHeight="1" x14ac:dyDescent="0.25">
      <c r="A1361" s="282" t="s">
        <v>581</v>
      </c>
      <c r="B1361" s="282" t="s">
        <v>616</v>
      </c>
      <c r="C1361" s="282" t="s">
        <v>617</v>
      </c>
      <c r="D1361" s="283" t="s">
        <v>2033</v>
      </c>
      <c r="E1361" s="404">
        <v>44620</v>
      </c>
      <c r="F1361" s="404">
        <v>46446</v>
      </c>
      <c r="G1361" s="286" t="s">
        <v>1416</v>
      </c>
      <c r="H1361" s="282" t="s">
        <v>1878</v>
      </c>
      <c r="I1361" s="282"/>
      <c r="J1361" s="282" t="s">
        <v>156</v>
      </c>
      <c r="K1361" s="286" t="s">
        <v>1879</v>
      </c>
      <c r="L1361" s="282" t="s">
        <v>574</v>
      </c>
      <c r="M1361" s="287">
        <v>2400</v>
      </c>
      <c r="N1361" s="287"/>
      <c r="O1361" s="287"/>
      <c r="P1361" s="287"/>
      <c r="Q1361" s="288">
        <v>408</v>
      </c>
      <c r="R1361" s="288"/>
      <c r="S1361" s="288"/>
      <c r="T1361" s="288"/>
      <c r="U1361" s="288">
        <v>0</v>
      </c>
      <c r="V1361" s="289">
        <v>408</v>
      </c>
      <c r="W1361" s="289">
        <v>0</v>
      </c>
      <c r="X1361" s="288">
        <v>0.17</v>
      </c>
      <c r="Y1361" s="288">
        <v>0</v>
      </c>
      <c r="Z1361" s="288">
        <v>0</v>
      </c>
      <c r="AA1361" s="288">
        <v>0</v>
      </c>
      <c r="AB1361" s="288">
        <v>0</v>
      </c>
      <c r="AC1361" s="289">
        <v>0.17</v>
      </c>
      <c r="AD1361" s="289">
        <v>0</v>
      </c>
    </row>
    <row r="1362" spans="1:30" ht="15" customHeight="1" x14ac:dyDescent="0.25">
      <c r="A1362" s="282" t="s">
        <v>581</v>
      </c>
      <c r="B1362" s="282" t="s">
        <v>594</v>
      </c>
      <c r="C1362" s="282" t="s">
        <v>595</v>
      </c>
      <c r="D1362" s="283" t="s">
        <v>2034</v>
      </c>
      <c r="E1362" s="404">
        <v>44620</v>
      </c>
      <c r="F1362" s="404">
        <v>46446</v>
      </c>
      <c r="G1362" s="286" t="s">
        <v>1416</v>
      </c>
      <c r="H1362" s="282" t="s">
        <v>1878</v>
      </c>
      <c r="I1362" s="282"/>
      <c r="J1362" s="282" t="s">
        <v>156</v>
      </c>
      <c r="K1362" s="286" t="s">
        <v>1879</v>
      </c>
      <c r="L1362" s="282" t="s">
        <v>574</v>
      </c>
      <c r="M1362" s="287">
        <v>2400</v>
      </c>
      <c r="N1362" s="287"/>
      <c r="O1362" s="287"/>
      <c r="P1362" s="287"/>
      <c r="Q1362" s="288">
        <v>271</v>
      </c>
      <c r="R1362" s="288"/>
      <c r="S1362" s="288"/>
      <c r="T1362" s="288"/>
      <c r="U1362" s="288">
        <v>0</v>
      </c>
      <c r="V1362" s="289">
        <v>271</v>
      </c>
      <c r="W1362" s="289">
        <v>0</v>
      </c>
      <c r="X1362" s="288">
        <v>0.11291666666666667</v>
      </c>
      <c r="Y1362" s="288">
        <v>0</v>
      </c>
      <c r="Z1362" s="288">
        <v>0</v>
      </c>
      <c r="AA1362" s="288">
        <v>0</v>
      </c>
      <c r="AB1362" s="288">
        <v>0</v>
      </c>
      <c r="AC1362" s="289">
        <v>0.11291666666666667</v>
      </c>
      <c r="AD1362" s="289">
        <v>0</v>
      </c>
    </row>
    <row r="1363" spans="1:30" ht="15" customHeight="1" x14ac:dyDescent="0.25">
      <c r="A1363" s="282" t="s">
        <v>581</v>
      </c>
      <c r="B1363" s="282" t="s">
        <v>628</v>
      </c>
      <c r="C1363" s="282" t="s">
        <v>629</v>
      </c>
      <c r="D1363" s="283" t="s">
        <v>2035</v>
      </c>
      <c r="E1363" s="404">
        <v>44620</v>
      </c>
      <c r="F1363" s="404">
        <v>46446</v>
      </c>
      <c r="G1363" s="286" t="s">
        <v>1416</v>
      </c>
      <c r="H1363" s="282" t="s">
        <v>1878</v>
      </c>
      <c r="I1363" s="282"/>
      <c r="J1363" s="282" t="s">
        <v>156</v>
      </c>
      <c r="K1363" s="286" t="s">
        <v>1879</v>
      </c>
      <c r="L1363" s="282" t="s">
        <v>574</v>
      </c>
      <c r="M1363" s="287">
        <v>2400</v>
      </c>
      <c r="N1363" s="287"/>
      <c r="O1363" s="287"/>
      <c r="P1363" s="287"/>
      <c r="Q1363" s="288">
        <v>280</v>
      </c>
      <c r="R1363" s="288"/>
      <c r="S1363" s="288"/>
      <c r="T1363" s="288"/>
      <c r="U1363" s="288">
        <v>0</v>
      </c>
      <c r="V1363" s="289">
        <v>280</v>
      </c>
      <c r="W1363" s="289">
        <v>0</v>
      </c>
      <c r="X1363" s="288">
        <v>0.11666666666666667</v>
      </c>
      <c r="Y1363" s="288">
        <v>0</v>
      </c>
      <c r="Z1363" s="288">
        <v>0</v>
      </c>
      <c r="AA1363" s="288">
        <v>0</v>
      </c>
      <c r="AB1363" s="288">
        <v>0</v>
      </c>
      <c r="AC1363" s="289">
        <v>0.11666666666666667</v>
      </c>
      <c r="AD1363" s="289">
        <v>0</v>
      </c>
    </row>
    <row r="1364" spans="1:30" ht="15" customHeight="1" x14ac:dyDescent="0.25">
      <c r="A1364" s="282" t="s">
        <v>581</v>
      </c>
      <c r="B1364" s="282" t="s">
        <v>611</v>
      </c>
      <c r="C1364" s="282" t="s">
        <v>612</v>
      </c>
      <c r="D1364" s="283" t="s">
        <v>2036</v>
      </c>
      <c r="E1364" s="404">
        <v>44620</v>
      </c>
      <c r="F1364" s="404">
        <v>46446</v>
      </c>
      <c r="G1364" s="286" t="s">
        <v>1416</v>
      </c>
      <c r="H1364" s="282" t="s">
        <v>1878</v>
      </c>
      <c r="I1364" s="282"/>
      <c r="J1364" s="282" t="s">
        <v>156</v>
      </c>
      <c r="K1364" s="286" t="s">
        <v>1879</v>
      </c>
      <c r="L1364" s="282" t="s">
        <v>574</v>
      </c>
      <c r="M1364" s="287">
        <v>2400</v>
      </c>
      <c r="N1364" s="287"/>
      <c r="O1364" s="287"/>
      <c r="P1364" s="287"/>
      <c r="Q1364" s="288">
        <v>323</v>
      </c>
      <c r="R1364" s="288"/>
      <c r="S1364" s="288"/>
      <c r="T1364" s="288"/>
      <c r="U1364" s="288">
        <v>0</v>
      </c>
      <c r="V1364" s="289">
        <v>323</v>
      </c>
      <c r="W1364" s="289">
        <v>0</v>
      </c>
      <c r="X1364" s="288">
        <v>0.13458333333333333</v>
      </c>
      <c r="Y1364" s="288">
        <v>0</v>
      </c>
      <c r="Z1364" s="288">
        <v>0</v>
      </c>
      <c r="AA1364" s="288">
        <v>0</v>
      </c>
      <c r="AB1364" s="288">
        <v>0</v>
      </c>
      <c r="AC1364" s="289">
        <v>0.13458333333333333</v>
      </c>
      <c r="AD1364" s="289">
        <v>0</v>
      </c>
    </row>
    <row r="1365" spans="1:30" ht="15" customHeight="1" x14ac:dyDescent="0.25">
      <c r="A1365" s="282" t="s">
        <v>581</v>
      </c>
      <c r="B1365" s="282" t="s">
        <v>585</v>
      </c>
      <c r="C1365" s="282" t="s">
        <v>586</v>
      </c>
      <c r="D1365" s="283" t="s">
        <v>2037</v>
      </c>
      <c r="E1365" s="404">
        <v>44620</v>
      </c>
      <c r="F1365" s="404">
        <v>46446</v>
      </c>
      <c r="G1365" s="286" t="s">
        <v>1416</v>
      </c>
      <c r="H1365" s="282" t="s">
        <v>1878</v>
      </c>
      <c r="I1365" s="282"/>
      <c r="J1365" s="282" t="s">
        <v>156</v>
      </c>
      <c r="K1365" s="286" t="s">
        <v>1879</v>
      </c>
      <c r="L1365" s="282" t="s">
        <v>574</v>
      </c>
      <c r="M1365" s="287">
        <v>2400</v>
      </c>
      <c r="N1365" s="287"/>
      <c r="O1365" s="287"/>
      <c r="P1365" s="287"/>
      <c r="Q1365" s="288">
        <v>367</v>
      </c>
      <c r="R1365" s="288"/>
      <c r="S1365" s="288"/>
      <c r="T1365" s="288"/>
      <c r="U1365" s="288">
        <v>0</v>
      </c>
      <c r="V1365" s="289">
        <v>367</v>
      </c>
      <c r="W1365" s="289">
        <v>0</v>
      </c>
      <c r="X1365" s="288">
        <v>0.15291666666666667</v>
      </c>
      <c r="Y1365" s="288">
        <v>0</v>
      </c>
      <c r="Z1365" s="288">
        <v>0</v>
      </c>
      <c r="AA1365" s="288">
        <v>0</v>
      </c>
      <c r="AB1365" s="288">
        <v>0</v>
      </c>
      <c r="AC1365" s="289">
        <v>0.15291666666666667</v>
      </c>
      <c r="AD1365" s="289">
        <v>0</v>
      </c>
    </row>
    <row r="1366" spans="1:30" ht="15" customHeight="1" x14ac:dyDescent="0.25">
      <c r="A1366" s="282" t="s">
        <v>581</v>
      </c>
      <c r="B1366" s="282" t="s">
        <v>606</v>
      </c>
      <c r="C1366" s="282" t="s">
        <v>260</v>
      </c>
      <c r="D1366" s="283" t="s">
        <v>2038</v>
      </c>
      <c r="E1366" s="404">
        <v>44620</v>
      </c>
      <c r="F1366" s="404">
        <v>46446</v>
      </c>
      <c r="G1366" s="286" t="s">
        <v>1416</v>
      </c>
      <c r="H1366" s="282" t="s">
        <v>1878</v>
      </c>
      <c r="I1366" s="282"/>
      <c r="J1366" s="282" t="s">
        <v>156</v>
      </c>
      <c r="K1366" s="286" t="s">
        <v>1879</v>
      </c>
      <c r="L1366" s="282" t="s">
        <v>574</v>
      </c>
      <c r="M1366" s="287">
        <v>2400</v>
      </c>
      <c r="N1366" s="287"/>
      <c r="O1366" s="287"/>
      <c r="P1366" s="287"/>
      <c r="Q1366" s="288">
        <v>243</v>
      </c>
      <c r="R1366" s="288"/>
      <c r="S1366" s="288"/>
      <c r="T1366" s="288"/>
      <c r="U1366" s="288">
        <v>0</v>
      </c>
      <c r="V1366" s="289">
        <v>243</v>
      </c>
      <c r="W1366" s="289">
        <v>0</v>
      </c>
      <c r="X1366" s="288">
        <v>0.10125000000000001</v>
      </c>
      <c r="Y1366" s="288">
        <v>0</v>
      </c>
      <c r="Z1366" s="288">
        <v>0</v>
      </c>
      <c r="AA1366" s="288">
        <v>0</v>
      </c>
      <c r="AB1366" s="288">
        <v>0</v>
      </c>
      <c r="AC1366" s="289">
        <v>0.10125000000000001</v>
      </c>
      <c r="AD1366" s="289">
        <v>0</v>
      </c>
    </row>
    <row r="1367" spans="1:30" ht="15" customHeight="1" x14ac:dyDescent="0.25">
      <c r="A1367" s="282" t="s">
        <v>581</v>
      </c>
      <c r="B1367" s="282" t="s">
        <v>585</v>
      </c>
      <c r="C1367" s="282" t="s">
        <v>586</v>
      </c>
      <c r="D1367" s="283" t="s">
        <v>2039</v>
      </c>
      <c r="E1367" s="404">
        <v>44620</v>
      </c>
      <c r="F1367" s="404">
        <v>46446</v>
      </c>
      <c r="G1367" s="286" t="s">
        <v>1416</v>
      </c>
      <c r="H1367" s="282" t="s">
        <v>1878</v>
      </c>
      <c r="I1367" s="282"/>
      <c r="J1367" s="282" t="s">
        <v>156</v>
      </c>
      <c r="K1367" s="286" t="s">
        <v>1879</v>
      </c>
      <c r="L1367" s="282" t="s">
        <v>574</v>
      </c>
      <c r="M1367" s="287">
        <v>2400</v>
      </c>
      <c r="N1367" s="287"/>
      <c r="O1367" s="287"/>
      <c r="P1367" s="287"/>
      <c r="Q1367" s="288">
        <v>313</v>
      </c>
      <c r="R1367" s="288"/>
      <c r="S1367" s="288"/>
      <c r="T1367" s="288"/>
      <c r="U1367" s="288">
        <v>0</v>
      </c>
      <c r="V1367" s="289">
        <v>313</v>
      </c>
      <c r="W1367" s="289">
        <v>0</v>
      </c>
      <c r="X1367" s="288">
        <v>0.13041666666666665</v>
      </c>
      <c r="Y1367" s="288">
        <v>0</v>
      </c>
      <c r="Z1367" s="288">
        <v>0</v>
      </c>
      <c r="AA1367" s="288">
        <v>0</v>
      </c>
      <c r="AB1367" s="288">
        <v>0</v>
      </c>
      <c r="AC1367" s="289">
        <v>0.13041666666666665</v>
      </c>
      <c r="AD1367" s="289">
        <v>0</v>
      </c>
    </row>
    <row r="1368" spans="1:30" ht="15" customHeight="1" x14ac:dyDescent="0.25">
      <c r="A1368" s="282" t="s">
        <v>581</v>
      </c>
      <c r="B1368" s="282" t="s">
        <v>585</v>
      </c>
      <c r="C1368" s="282" t="s">
        <v>586</v>
      </c>
      <c r="D1368" s="283" t="s">
        <v>2040</v>
      </c>
      <c r="E1368" s="404">
        <v>44620</v>
      </c>
      <c r="F1368" s="404">
        <v>46446</v>
      </c>
      <c r="G1368" s="286" t="s">
        <v>1416</v>
      </c>
      <c r="H1368" s="282" t="s">
        <v>1878</v>
      </c>
      <c r="I1368" s="282"/>
      <c r="J1368" s="282" t="s">
        <v>156</v>
      </c>
      <c r="K1368" s="286" t="s">
        <v>1879</v>
      </c>
      <c r="L1368" s="282" t="s">
        <v>574</v>
      </c>
      <c r="M1368" s="287">
        <v>2400</v>
      </c>
      <c r="N1368" s="287"/>
      <c r="O1368" s="287"/>
      <c r="P1368" s="287"/>
      <c r="Q1368" s="288">
        <v>363</v>
      </c>
      <c r="R1368" s="288"/>
      <c r="S1368" s="288"/>
      <c r="T1368" s="288"/>
      <c r="U1368" s="288">
        <v>0</v>
      </c>
      <c r="V1368" s="289">
        <v>363</v>
      </c>
      <c r="W1368" s="289">
        <v>0</v>
      </c>
      <c r="X1368" s="288">
        <v>0.15125</v>
      </c>
      <c r="Y1368" s="288">
        <v>0</v>
      </c>
      <c r="Z1368" s="288">
        <v>0</v>
      </c>
      <c r="AA1368" s="288">
        <v>0</v>
      </c>
      <c r="AB1368" s="288">
        <v>0</v>
      </c>
      <c r="AC1368" s="289">
        <v>0.15125</v>
      </c>
      <c r="AD1368" s="289">
        <v>0</v>
      </c>
    </row>
    <row r="1369" spans="1:30" ht="15" customHeight="1" x14ac:dyDescent="0.25">
      <c r="A1369" s="282" t="s">
        <v>581</v>
      </c>
      <c r="B1369" s="282" t="s">
        <v>585</v>
      </c>
      <c r="C1369" s="282" t="s">
        <v>586</v>
      </c>
      <c r="D1369" s="283" t="s">
        <v>2041</v>
      </c>
      <c r="E1369" s="404">
        <v>44620</v>
      </c>
      <c r="F1369" s="404">
        <v>46446</v>
      </c>
      <c r="G1369" s="286" t="s">
        <v>1416</v>
      </c>
      <c r="H1369" s="282" t="s">
        <v>1878</v>
      </c>
      <c r="I1369" s="282"/>
      <c r="J1369" s="282" t="s">
        <v>156</v>
      </c>
      <c r="K1369" s="286" t="s">
        <v>1879</v>
      </c>
      <c r="L1369" s="282" t="s">
        <v>574</v>
      </c>
      <c r="M1369" s="287">
        <v>2400</v>
      </c>
      <c r="N1369" s="287"/>
      <c r="O1369" s="287"/>
      <c r="P1369" s="287"/>
      <c r="Q1369" s="288">
        <v>322</v>
      </c>
      <c r="R1369" s="288"/>
      <c r="S1369" s="288"/>
      <c r="T1369" s="288"/>
      <c r="U1369" s="288">
        <v>0</v>
      </c>
      <c r="V1369" s="289">
        <v>322</v>
      </c>
      <c r="W1369" s="289">
        <v>0</v>
      </c>
      <c r="X1369" s="288">
        <v>0.13416666666666666</v>
      </c>
      <c r="Y1369" s="288">
        <v>0</v>
      </c>
      <c r="Z1369" s="288">
        <v>0</v>
      </c>
      <c r="AA1369" s="288">
        <v>0</v>
      </c>
      <c r="AB1369" s="288">
        <v>0</v>
      </c>
      <c r="AC1369" s="289">
        <v>0.13416666666666666</v>
      </c>
      <c r="AD1369" s="289">
        <v>0</v>
      </c>
    </row>
    <row r="1370" spans="1:30" ht="15" customHeight="1" x14ac:dyDescent="0.25">
      <c r="A1370" s="282" t="s">
        <v>581</v>
      </c>
      <c r="B1370" s="282" t="s">
        <v>585</v>
      </c>
      <c r="C1370" s="282" t="s">
        <v>586</v>
      </c>
      <c r="D1370" s="283" t="s">
        <v>2042</v>
      </c>
      <c r="E1370" s="404">
        <v>44620</v>
      </c>
      <c r="F1370" s="404">
        <v>46446</v>
      </c>
      <c r="G1370" s="286" t="s">
        <v>1416</v>
      </c>
      <c r="H1370" s="282" t="s">
        <v>1878</v>
      </c>
      <c r="I1370" s="282"/>
      <c r="J1370" s="282" t="s">
        <v>156</v>
      </c>
      <c r="K1370" s="286" t="s">
        <v>1879</v>
      </c>
      <c r="L1370" s="282" t="s">
        <v>574</v>
      </c>
      <c r="M1370" s="287">
        <v>2400</v>
      </c>
      <c r="N1370" s="287"/>
      <c r="O1370" s="287"/>
      <c r="P1370" s="287"/>
      <c r="Q1370" s="288">
        <v>366</v>
      </c>
      <c r="R1370" s="288"/>
      <c r="S1370" s="288"/>
      <c r="T1370" s="288"/>
      <c r="U1370" s="288">
        <v>0</v>
      </c>
      <c r="V1370" s="289">
        <v>366</v>
      </c>
      <c r="W1370" s="289">
        <v>0</v>
      </c>
      <c r="X1370" s="288">
        <v>0.1525</v>
      </c>
      <c r="Y1370" s="288">
        <v>0</v>
      </c>
      <c r="Z1370" s="288">
        <v>0</v>
      </c>
      <c r="AA1370" s="288">
        <v>0</v>
      </c>
      <c r="AB1370" s="288">
        <v>0</v>
      </c>
      <c r="AC1370" s="289">
        <v>0.1525</v>
      </c>
      <c r="AD1370" s="289">
        <v>0</v>
      </c>
    </row>
    <row r="1371" spans="1:30" ht="15" customHeight="1" x14ac:dyDescent="0.25">
      <c r="A1371" s="282" t="s">
        <v>581</v>
      </c>
      <c r="B1371" s="282" t="s">
        <v>628</v>
      </c>
      <c r="C1371" s="282" t="s">
        <v>629</v>
      </c>
      <c r="D1371" s="283" t="s">
        <v>2043</v>
      </c>
      <c r="E1371" s="404">
        <v>44620</v>
      </c>
      <c r="F1371" s="404">
        <v>46446</v>
      </c>
      <c r="G1371" s="286" t="s">
        <v>1416</v>
      </c>
      <c r="H1371" s="282" t="s">
        <v>1878</v>
      </c>
      <c r="I1371" s="282"/>
      <c r="J1371" s="282" t="s">
        <v>156</v>
      </c>
      <c r="K1371" s="286" t="s">
        <v>1879</v>
      </c>
      <c r="L1371" s="282" t="s">
        <v>574</v>
      </c>
      <c r="M1371" s="287">
        <v>2400</v>
      </c>
      <c r="N1371" s="287"/>
      <c r="O1371" s="287"/>
      <c r="P1371" s="287"/>
      <c r="Q1371" s="288">
        <v>245</v>
      </c>
      <c r="R1371" s="288"/>
      <c r="S1371" s="288"/>
      <c r="T1371" s="288"/>
      <c r="U1371" s="288">
        <v>0</v>
      </c>
      <c r="V1371" s="289">
        <v>245</v>
      </c>
      <c r="W1371" s="289">
        <v>0</v>
      </c>
      <c r="X1371" s="288">
        <v>0.10208333333333333</v>
      </c>
      <c r="Y1371" s="288">
        <v>0</v>
      </c>
      <c r="Z1371" s="288">
        <v>0</v>
      </c>
      <c r="AA1371" s="288">
        <v>0</v>
      </c>
      <c r="AB1371" s="288">
        <v>0</v>
      </c>
      <c r="AC1371" s="289">
        <v>0.10208333333333333</v>
      </c>
      <c r="AD1371" s="289">
        <v>0</v>
      </c>
    </row>
    <row r="1372" spans="1:30" ht="15" customHeight="1" x14ac:dyDescent="0.25">
      <c r="A1372" s="282" t="s">
        <v>581</v>
      </c>
      <c r="B1372" s="282" t="s">
        <v>611</v>
      </c>
      <c r="C1372" s="282" t="s">
        <v>612</v>
      </c>
      <c r="D1372" s="283" t="s">
        <v>2044</v>
      </c>
      <c r="E1372" s="404">
        <v>44620</v>
      </c>
      <c r="F1372" s="404">
        <v>46446</v>
      </c>
      <c r="G1372" s="286" t="s">
        <v>1416</v>
      </c>
      <c r="H1372" s="282" t="s">
        <v>1878</v>
      </c>
      <c r="I1372" s="282"/>
      <c r="J1372" s="282" t="s">
        <v>156</v>
      </c>
      <c r="K1372" s="286" t="s">
        <v>1879</v>
      </c>
      <c r="L1372" s="282" t="s">
        <v>574</v>
      </c>
      <c r="M1372" s="287">
        <v>2400</v>
      </c>
      <c r="N1372" s="287"/>
      <c r="O1372" s="287"/>
      <c r="P1372" s="287"/>
      <c r="Q1372" s="288">
        <v>271</v>
      </c>
      <c r="R1372" s="288"/>
      <c r="S1372" s="288"/>
      <c r="T1372" s="288"/>
      <c r="U1372" s="288">
        <v>0</v>
      </c>
      <c r="V1372" s="289">
        <v>271</v>
      </c>
      <c r="W1372" s="289">
        <v>0</v>
      </c>
      <c r="X1372" s="288">
        <v>0.11291666666666667</v>
      </c>
      <c r="Y1372" s="288">
        <v>0</v>
      </c>
      <c r="Z1372" s="288">
        <v>0</v>
      </c>
      <c r="AA1372" s="288">
        <v>0</v>
      </c>
      <c r="AB1372" s="288">
        <v>0</v>
      </c>
      <c r="AC1372" s="289">
        <v>0.11291666666666667</v>
      </c>
      <c r="AD1372" s="289">
        <v>0</v>
      </c>
    </row>
    <row r="1373" spans="1:30" ht="15" customHeight="1" x14ac:dyDescent="0.25">
      <c r="A1373" s="282" t="s">
        <v>581</v>
      </c>
      <c r="B1373" s="282" t="s">
        <v>628</v>
      </c>
      <c r="C1373" s="282" t="s">
        <v>629</v>
      </c>
      <c r="D1373" s="283" t="s">
        <v>2045</v>
      </c>
      <c r="E1373" s="404">
        <v>45016</v>
      </c>
      <c r="F1373" s="404">
        <v>46843</v>
      </c>
      <c r="G1373" s="286" t="s">
        <v>264</v>
      </c>
      <c r="H1373" s="282" t="s">
        <v>1222</v>
      </c>
      <c r="I1373" s="282" t="s">
        <v>590</v>
      </c>
      <c r="J1373" s="282" t="s">
        <v>156</v>
      </c>
      <c r="K1373" s="286" t="s">
        <v>1223</v>
      </c>
      <c r="L1373" s="282" t="s">
        <v>574</v>
      </c>
      <c r="M1373" s="287">
        <v>2400</v>
      </c>
      <c r="N1373" s="287">
        <v>0</v>
      </c>
      <c r="O1373" s="287">
        <v>0</v>
      </c>
      <c r="P1373" s="287"/>
      <c r="Q1373" s="288">
        <v>229.2</v>
      </c>
      <c r="R1373" s="288">
        <v>229.17</v>
      </c>
      <c r="S1373" s="288">
        <v>2.9899999999999999E-2</v>
      </c>
      <c r="T1373" s="288"/>
      <c r="U1373" s="288">
        <v>0</v>
      </c>
      <c r="V1373" s="289">
        <v>229.19989999999999</v>
      </c>
      <c r="W1373" s="289">
        <v>0</v>
      </c>
      <c r="X1373" s="288">
        <v>9.5500000000000002E-2</v>
      </c>
      <c r="Y1373" s="288">
        <v>9.5487499999999989E-2</v>
      </c>
      <c r="Z1373" s="288">
        <v>1.2458333333333332E-5</v>
      </c>
      <c r="AA1373" s="288">
        <v>0</v>
      </c>
      <c r="AB1373" s="288">
        <v>0</v>
      </c>
      <c r="AC1373" s="289">
        <v>9.5499958333333329E-2</v>
      </c>
      <c r="AD1373" s="289">
        <v>0</v>
      </c>
    </row>
    <row r="1374" spans="1:30" ht="15" customHeight="1" x14ac:dyDescent="0.25">
      <c r="A1374" s="282" t="s">
        <v>581</v>
      </c>
      <c r="B1374" s="282" t="s">
        <v>616</v>
      </c>
      <c r="C1374" s="282" t="s">
        <v>617</v>
      </c>
      <c r="D1374" s="283" t="s">
        <v>2046</v>
      </c>
      <c r="E1374" s="404">
        <v>45016</v>
      </c>
      <c r="F1374" s="404">
        <v>46843</v>
      </c>
      <c r="G1374" s="286" t="s">
        <v>264</v>
      </c>
      <c r="H1374" s="282" t="s">
        <v>1222</v>
      </c>
      <c r="I1374" s="282" t="s">
        <v>590</v>
      </c>
      <c r="J1374" s="282" t="s">
        <v>156</v>
      </c>
      <c r="K1374" s="286" t="s">
        <v>1223</v>
      </c>
      <c r="L1374" s="282" t="s">
        <v>574</v>
      </c>
      <c r="M1374" s="287">
        <v>2400</v>
      </c>
      <c r="N1374" s="287">
        <v>0</v>
      </c>
      <c r="O1374" s="287">
        <v>0</v>
      </c>
      <c r="P1374" s="287"/>
      <c r="Q1374" s="288">
        <v>319.12</v>
      </c>
      <c r="R1374" s="288">
        <v>319.08</v>
      </c>
      <c r="S1374" s="288">
        <v>3.9800000000000002E-2</v>
      </c>
      <c r="T1374" s="288"/>
      <c r="U1374" s="288">
        <v>0</v>
      </c>
      <c r="V1374" s="289">
        <v>319.1198</v>
      </c>
      <c r="W1374" s="289">
        <v>0</v>
      </c>
      <c r="X1374" s="288">
        <v>0.13296666666666668</v>
      </c>
      <c r="Y1374" s="288">
        <v>0.13294999999999998</v>
      </c>
      <c r="Z1374" s="288">
        <v>1.6583333333333334E-5</v>
      </c>
      <c r="AA1374" s="288">
        <v>0</v>
      </c>
      <c r="AB1374" s="288">
        <v>0</v>
      </c>
      <c r="AC1374" s="289">
        <v>0.1329665833333333</v>
      </c>
      <c r="AD1374" s="289">
        <v>0</v>
      </c>
    </row>
    <row r="1375" spans="1:30" ht="15" customHeight="1" x14ac:dyDescent="0.25">
      <c r="A1375" s="282" t="s">
        <v>581</v>
      </c>
      <c r="B1375" s="282" t="s">
        <v>616</v>
      </c>
      <c r="C1375" s="282" t="s">
        <v>617</v>
      </c>
      <c r="D1375" s="283" t="s">
        <v>2047</v>
      </c>
      <c r="E1375" s="404">
        <v>45016</v>
      </c>
      <c r="F1375" s="404">
        <v>46843</v>
      </c>
      <c r="G1375" s="286" t="s">
        <v>264</v>
      </c>
      <c r="H1375" s="282" t="s">
        <v>1222</v>
      </c>
      <c r="I1375" s="282" t="s">
        <v>590</v>
      </c>
      <c r="J1375" s="282" t="s">
        <v>156</v>
      </c>
      <c r="K1375" s="286" t="s">
        <v>1223</v>
      </c>
      <c r="L1375" s="282" t="s">
        <v>574</v>
      </c>
      <c r="M1375" s="287">
        <v>2400</v>
      </c>
      <c r="N1375" s="287">
        <v>0</v>
      </c>
      <c r="O1375" s="287">
        <v>0</v>
      </c>
      <c r="P1375" s="287"/>
      <c r="Q1375" s="288">
        <v>319.12</v>
      </c>
      <c r="R1375" s="288">
        <v>319.08</v>
      </c>
      <c r="S1375" s="288">
        <v>3.9800000000000002E-2</v>
      </c>
      <c r="T1375" s="288"/>
      <c r="U1375" s="288">
        <v>0</v>
      </c>
      <c r="V1375" s="289">
        <v>319.1198</v>
      </c>
      <c r="W1375" s="289">
        <v>0</v>
      </c>
      <c r="X1375" s="288">
        <v>0.13296666666666668</v>
      </c>
      <c r="Y1375" s="288">
        <v>0.13294999999999998</v>
      </c>
      <c r="Z1375" s="288">
        <v>1.6583333333333334E-5</v>
      </c>
      <c r="AA1375" s="288">
        <v>0</v>
      </c>
      <c r="AB1375" s="288">
        <v>0</v>
      </c>
      <c r="AC1375" s="289">
        <v>0.1329665833333333</v>
      </c>
      <c r="AD1375" s="289">
        <v>0</v>
      </c>
    </row>
    <row r="1376" spans="1:30" ht="15" customHeight="1" x14ac:dyDescent="0.25">
      <c r="A1376" s="282" t="s">
        <v>581</v>
      </c>
      <c r="B1376" s="282" t="s">
        <v>616</v>
      </c>
      <c r="C1376" s="282" t="s">
        <v>617</v>
      </c>
      <c r="D1376" s="283" t="s">
        <v>2048</v>
      </c>
      <c r="E1376" s="404">
        <v>45016</v>
      </c>
      <c r="F1376" s="404">
        <v>46843</v>
      </c>
      <c r="G1376" s="286" t="s">
        <v>264</v>
      </c>
      <c r="H1376" s="282" t="s">
        <v>1222</v>
      </c>
      <c r="I1376" s="282" t="s">
        <v>590</v>
      </c>
      <c r="J1376" s="282" t="s">
        <v>156</v>
      </c>
      <c r="K1376" s="286" t="s">
        <v>1223</v>
      </c>
      <c r="L1376" s="282" t="s">
        <v>574</v>
      </c>
      <c r="M1376" s="287">
        <v>2400</v>
      </c>
      <c r="N1376" s="287">
        <v>0</v>
      </c>
      <c r="O1376" s="287">
        <v>0</v>
      </c>
      <c r="P1376" s="287"/>
      <c r="Q1376" s="288">
        <v>316.02</v>
      </c>
      <c r="R1376" s="288">
        <v>315.98</v>
      </c>
      <c r="S1376" s="288">
        <v>3.9800000000000002E-2</v>
      </c>
      <c r="T1376" s="288"/>
      <c r="U1376" s="288">
        <v>0</v>
      </c>
      <c r="V1376" s="289">
        <v>316.01980000000003</v>
      </c>
      <c r="W1376" s="289">
        <v>0</v>
      </c>
      <c r="X1376" s="288">
        <v>0.13167499999999999</v>
      </c>
      <c r="Y1376" s="288">
        <v>0.13165833333333335</v>
      </c>
      <c r="Z1376" s="288">
        <v>1.6583333333333334E-5</v>
      </c>
      <c r="AA1376" s="288">
        <v>0</v>
      </c>
      <c r="AB1376" s="288">
        <v>0</v>
      </c>
      <c r="AC1376" s="289">
        <v>0.13167491666666667</v>
      </c>
      <c r="AD1376" s="289">
        <v>0</v>
      </c>
    </row>
    <row r="1377" spans="1:30" ht="15" customHeight="1" x14ac:dyDescent="0.25">
      <c r="A1377" s="282" t="s">
        <v>581</v>
      </c>
      <c r="B1377" s="282" t="s">
        <v>606</v>
      </c>
      <c r="C1377" s="282" t="s">
        <v>260</v>
      </c>
      <c r="D1377" s="283" t="s">
        <v>2049</v>
      </c>
      <c r="E1377" s="404">
        <v>45016</v>
      </c>
      <c r="F1377" s="404">
        <v>46843</v>
      </c>
      <c r="G1377" s="286" t="s">
        <v>264</v>
      </c>
      <c r="H1377" s="282" t="s">
        <v>1222</v>
      </c>
      <c r="I1377" s="282" t="s">
        <v>590</v>
      </c>
      <c r="J1377" s="282" t="s">
        <v>156</v>
      </c>
      <c r="K1377" s="286" t="s">
        <v>1223</v>
      </c>
      <c r="L1377" s="282" t="s">
        <v>574</v>
      </c>
      <c r="M1377" s="287">
        <v>2400</v>
      </c>
      <c r="N1377" s="287">
        <v>0</v>
      </c>
      <c r="O1377" s="287">
        <v>0</v>
      </c>
      <c r="P1377" s="287"/>
      <c r="Q1377" s="288">
        <v>320.11</v>
      </c>
      <c r="R1377" s="288">
        <v>320.06</v>
      </c>
      <c r="S1377" s="288">
        <v>4.9500000000000002E-2</v>
      </c>
      <c r="T1377" s="288"/>
      <c r="U1377" s="288">
        <v>0</v>
      </c>
      <c r="V1377" s="289">
        <v>320.10950000000003</v>
      </c>
      <c r="W1377" s="289">
        <v>0</v>
      </c>
      <c r="X1377" s="288">
        <v>0.13337916666666666</v>
      </c>
      <c r="Y1377" s="288">
        <v>0.13335833333333333</v>
      </c>
      <c r="Z1377" s="288">
        <v>2.0625E-5</v>
      </c>
      <c r="AA1377" s="288">
        <v>0</v>
      </c>
      <c r="AB1377" s="288">
        <v>0</v>
      </c>
      <c r="AC1377" s="289">
        <v>0.13337895833333333</v>
      </c>
      <c r="AD1377" s="289">
        <v>0</v>
      </c>
    </row>
    <row r="1378" spans="1:30" ht="15" customHeight="1" x14ac:dyDescent="0.25">
      <c r="A1378" s="282" t="s">
        <v>581</v>
      </c>
      <c r="B1378" s="282" t="s">
        <v>616</v>
      </c>
      <c r="C1378" s="282" t="s">
        <v>617</v>
      </c>
      <c r="D1378" s="283" t="s">
        <v>2050</v>
      </c>
      <c r="E1378" s="404">
        <v>45016</v>
      </c>
      <c r="F1378" s="404">
        <v>46843</v>
      </c>
      <c r="G1378" s="286" t="s">
        <v>264</v>
      </c>
      <c r="H1378" s="282" t="s">
        <v>1222</v>
      </c>
      <c r="I1378" s="282" t="s">
        <v>590</v>
      </c>
      <c r="J1378" s="282" t="s">
        <v>156</v>
      </c>
      <c r="K1378" s="286" t="s">
        <v>1223</v>
      </c>
      <c r="L1378" s="282" t="s">
        <v>574</v>
      </c>
      <c r="M1378" s="287">
        <v>2400</v>
      </c>
      <c r="N1378" s="287">
        <v>0</v>
      </c>
      <c r="O1378" s="287">
        <v>0</v>
      </c>
      <c r="P1378" s="287"/>
      <c r="Q1378" s="288">
        <v>313.64</v>
      </c>
      <c r="R1378" s="288">
        <v>313.60000000000002</v>
      </c>
      <c r="S1378" s="288">
        <v>3.9399999999999998E-2</v>
      </c>
      <c r="T1378" s="288"/>
      <c r="U1378" s="288">
        <v>0</v>
      </c>
      <c r="V1378" s="289">
        <v>313.63940000000002</v>
      </c>
      <c r="W1378" s="289">
        <v>0</v>
      </c>
      <c r="X1378" s="288">
        <v>0.13068333333333332</v>
      </c>
      <c r="Y1378" s="288">
        <v>0.13066666666666668</v>
      </c>
      <c r="Z1378" s="288">
        <v>1.6416666666666665E-5</v>
      </c>
      <c r="AA1378" s="288">
        <v>0</v>
      </c>
      <c r="AB1378" s="288">
        <v>0</v>
      </c>
      <c r="AC1378" s="289">
        <v>0.13068308333333334</v>
      </c>
      <c r="AD1378" s="289">
        <v>0</v>
      </c>
    </row>
    <row r="1379" spans="1:30" ht="15" customHeight="1" x14ac:dyDescent="0.25">
      <c r="A1379" s="282" t="s">
        <v>581</v>
      </c>
      <c r="B1379" s="282" t="s">
        <v>1488</v>
      </c>
      <c r="C1379" s="282" t="s">
        <v>595</v>
      </c>
      <c r="D1379" s="283" t="s">
        <v>2051</v>
      </c>
      <c r="E1379" s="404">
        <v>45016</v>
      </c>
      <c r="F1379" s="404">
        <v>46843</v>
      </c>
      <c r="G1379" s="286" t="s">
        <v>264</v>
      </c>
      <c r="H1379" s="282" t="s">
        <v>1222</v>
      </c>
      <c r="I1379" s="282" t="s">
        <v>590</v>
      </c>
      <c r="J1379" s="282" t="s">
        <v>156</v>
      </c>
      <c r="K1379" s="286" t="s">
        <v>1223</v>
      </c>
      <c r="L1379" s="282" t="s">
        <v>574</v>
      </c>
      <c r="M1379" s="287">
        <v>2400</v>
      </c>
      <c r="N1379" s="287">
        <v>0</v>
      </c>
      <c r="O1379" s="287">
        <v>0</v>
      </c>
      <c r="P1379" s="287"/>
      <c r="Q1379" s="288">
        <v>183.55</v>
      </c>
      <c r="R1379" s="288">
        <v>183.54</v>
      </c>
      <c r="S1379" s="288">
        <v>9.4000000000000004E-3</v>
      </c>
      <c r="T1379" s="288"/>
      <c r="U1379" s="288">
        <v>0</v>
      </c>
      <c r="V1379" s="289">
        <v>183.54939999999999</v>
      </c>
      <c r="W1379" s="289">
        <v>0</v>
      </c>
      <c r="X1379" s="288">
        <v>7.6479166666666668E-2</v>
      </c>
      <c r="Y1379" s="288">
        <v>7.6475000000000001E-2</v>
      </c>
      <c r="Z1379" s="288">
        <v>3.9166666666666667E-6</v>
      </c>
      <c r="AA1379" s="288">
        <v>0</v>
      </c>
      <c r="AB1379" s="288">
        <v>0</v>
      </c>
      <c r="AC1379" s="289">
        <v>7.6478916666666674E-2</v>
      </c>
      <c r="AD1379" s="289">
        <v>0</v>
      </c>
    </row>
    <row r="1380" spans="1:30" ht="15" customHeight="1" x14ac:dyDescent="0.25">
      <c r="A1380" s="282" t="s">
        <v>581</v>
      </c>
      <c r="B1380" s="282" t="s">
        <v>585</v>
      </c>
      <c r="C1380" s="282" t="s">
        <v>586</v>
      </c>
      <c r="D1380" s="283" t="s">
        <v>2052</v>
      </c>
      <c r="E1380" s="404">
        <v>45016</v>
      </c>
      <c r="F1380" s="404">
        <v>46843</v>
      </c>
      <c r="G1380" s="286" t="s">
        <v>264</v>
      </c>
      <c r="H1380" s="282" t="s">
        <v>1222</v>
      </c>
      <c r="I1380" s="282" t="s">
        <v>590</v>
      </c>
      <c r="J1380" s="282" t="s">
        <v>156</v>
      </c>
      <c r="K1380" s="286" t="s">
        <v>1223</v>
      </c>
      <c r="L1380" s="282" t="s">
        <v>574</v>
      </c>
      <c r="M1380" s="287">
        <v>2400</v>
      </c>
      <c r="N1380" s="287">
        <v>0</v>
      </c>
      <c r="O1380" s="287">
        <v>0</v>
      </c>
      <c r="P1380" s="287"/>
      <c r="Q1380" s="288">
        <v>324.89</v>
      </c>
      <c r="R1380" s="288">
        <v>324.87</v>
      </c>
      <c r="S1380" s="288">
        <v>1.8599999999999998E-2</v>
      </c>
      <c r="T1380" s="288"/>
      <c r="U1380" s="288">
        <v>0</v>
      </c>
      <c r="V1380" s="289">
        <v>324.8886</v>
      </c>
      <c r="W1380" s="289">
        <v>0</v>
      </c>
      <c r="X1380" s="288">
        <v>0.13537083333333333</v>
      </c>
      <c r="Y1380" s="288">
        <v>0.1353625</v>
      </c>
      <c r="Z1380" s="288">
        <v>7.7499999999999986E-6</v>
      </c>
      <c r="AA1380" s="288">
        <v>0</v>
      </c>
      <c r="AB1380" s="288">
        <v>0</v>
      </c>
      <c r="AC1380" s="289">
        <v>0.13537025</v>
      </c>
      <c r="AD1380" s="289">
        <v>0</v>
      </c>
    </row>
    <row r="1381" spans="1:30" ht="15" customHeight="1" x14ac:dyDescent="0.25">
      <c r="A1381" s="282" t="s">
        <v>581</v>
      </c>
      <c r="B1381" s="282" t="s">
        <v>606</v>
      </c>
      <c r="C1381" s="282" t="s">
        <v>260</v>
      </c>
      <c r="D1381" s="283" t="s">
        <v>2053</v>
      </c>
      <c r="E1381" s="404">
        <v>45016</v>
      </c>
      <c r="F1381" s="404">
        <v>46843</v>
      </c>
      <c r="G1381" s="286" t="s">
        <v>264</v>
      </c>
      <c r="H1381" s="282" t="s">
        <v>1222</v>
      </c>
      <c r="I1381" s="282" t="s">
        <v>590</v>
      </c>
      <c r="J1381" s="282" t="s">
        <v>156</v>
      </c>
      <c r="K1381" s="286" t="s">
        <v>1223</v>
      </c>
      <c r="L1381" s="282" t="s">
        <v>574</v>
      </c>
      <c r="M1381" s="287">
        <v>2400</v>
      </c>
      <c r="N1381" s="287">
        <v>0</v>
      </c>
      <c r="O1381" s="287">
        <v>0</v>
      </c>
      <c r="P1381" s="287"/>
      <c r="Q1381" s="288">
        <v>332.26</v>
      </c>
      <c r="R1381" s="288">
        <v>332.23</v>
      </c>
      <c r="S1381" s="288">
        <v>2.8299999999999999E-2</v>
      </c>
      <c r="T1381" s="288"/>
      <c r="U1381" s="288">
        <v>0</v>
      </c>
      <c r="V1381" s="289">
        <v>332.25830000000002</v>
      </c>
      <c r="W1381" s="289">
        <v>0</v>
      </c>
      <c r="X1381" s="288">
        <v>0.13844166666666666</v>
      </c>
      <c r="Y1381" s="288">
        <v>0.13842916666666669</v>
      </c>
      <c r="Z1381" s="288">
        <v>1.1791666666666666E-5</v>
      </c>
      <c r="AA1381" s="288">
        <v>0</v>
      </c>
      <c r="AB1381" s="288">
        <v>0</v>
      </c>
      <c r="AC1381" s="289">
        <v>0.13844095833333336</v>
      </c>
      <c r="AD1381" s="289">
        <v>0</v>
      </c>
    </row>
    <row r="1382" spans="1:30" ht="15" customHeight="1" x14ac:dyDescent="0.25">
      <c r="A1382" s="282" t="s">
        <v>581</v>
      </c>
      <c r="B1382" s="282" t="s">
        <v>616</v>
      </c>
      <c r="C1382" s="282" t="s">
        <v>617</v>
      </c>
      <c r="D1382" s="283" t="s">
        <v>2054</v>
      </c>
      <c r="E1382" s="404">
        <v>45016</v>
      </c>
      <c r="F1382" s="404">
        <v>46843</v>
      </c>
      <c r="G1382" s="286" t="s">
        <v>264</v>
      </c>
      <c r="H1382" s="282" t="s">
        <v>1222</v>
      </c>
      <c r="I1382" s="282" t="s">
        <v>590</v>
      </c>
      <c r="J1382" s="282" t="s">
        <v>156</v>
      </c>
      <c r="K1382" s="286" t="s">
        <v>1223</v>
      </c>
      <c r="L1382" s="282" t="s">
        <v>574</v>
      </c>
      <c r="M1382" s="287">
        <v>2400</v>
      </c>
      <c r="N1382" s="287">
        <v>0</v>
      </c>
      <c r="O1382" s="287">
        <v>0</v>
      </c>
      <c r="P1382" s="287"/>
      <c r="Q1382" s="288">
        <v>450.93</v>
      </c>
      <c r="R1382" s="288">
        <v>450.9</v>
      </c>
      <c r="S1382" s="288">
        <v>2.76E-2</v>
      </c>
      <c r="T1382" s="288"/>
      <c r="U1382" s="288">
        <v>0</v>
      </c>
      <c r="V1382" s="289">
        <v>450.92759999999998</v>
      </c>
      <c r="W1382" s="289">
        <v>0</v>
      </c>
      <c r="X1382" s="288">
        <v>0.18788750000000001</v>
      </c>
      <c r="Y1382" s="288">
        <v>0.18787499999999999</v>
      </c>
      <c r="Z1382" s="288">
        <v>1.15E-5</v>
      </c>
      <c r="AA1382" s="288">
        <v>0</v>
      </c>
      <c r="AB1382" s="288">
        <v>0</v>
      </c>
      <c r="AC1382" s="289">
        <v>0.18788649999999998</v>
      </c>
      <c r="AD1382" s="289">
        <v>0</v>
      </c>
    </row>
    <row r="1383" spans="1:30" ht="15" customHeight="1" x14ac:dyDescent="0.25">
      <c r="A1383" s="282" t="s">
        <v>581</v>
      </c>
      <c r="B1383" s="282" t="s">
        <v>628</v>
      </c>
      <c r="C1383" s="282" t="s">
        <v>629</v>
      </c>
      <c r="D1383" s="283" t="s">
        <v>2055</v>
      </c>
      <c r="E1383" s="404">
        <v>45016</v>
      </c>
      <c r="F1383" s="404">
        <v>46843</v>
      </c>
      <c r="G1383" s="286" t="s">
        <v>264</v>
      </c>
      <c r="H1383" s="282" t="s">
        <v>1222</v>
      </c>
      <c r="I1383" s="282" t="s">
        <v>590</v>
      </c>
      <c r="J1383" s="282" t="s">
        <v>156</v>
      </c>
      <c r="K1383" s="286" t="s">
        <v>1223</v>
      </c>
      <c r="L1383" s="282" t="s">
        <v>574</v>
      </c>
      <c r="M1383" s="287">
        <v>2400</v>
      </c>
      <c r="N1383" s="287">
        <v>0</v>
      </c>
      <c r="O1383" s="287">
        <v>0</v>
      </c>
      <c r="P1383" s="287"/>
      <c r="Q1383" s="288">
        <v>231.71</v>
      </c>
      <c r="R1383" s="288">
        <v>231.69</v>
      </c>
      <c r="S1383" s="288">
        <v>1.7600000000000001E-2</v>
      </c>
      <c r="T1383" s="288"/>
      <c r="U1383" s="288">
        <v>0</v>
      </c>
      <c r="V1383" s="289">
        <v>231.70759999999999</v>
      </c>
      <c r="W1383" s="289">
        <v>0</v>
      </c>
      <c r="X1383" s="288">
        <v>9.6545833333333331E-2</v>
      </c>
      <c r="Y1383" s="288">
        <v>9.6537499999999998E-2</v>
      </c>
      <c r="Z1383" s="288">
        <v>7.333333333333334E-6</v>
      </c>
      <c r="AA1383" s="288">
        <v>0</v>
      </c>
      <c r="AB1383" s="288">
        <v>0</v>
      </c>
      <c r="AC1383" s="289">
        <v>9.654483333333333E-2</v>
      </c>
      <c r="AD1383" s="289">
        <v>0</v>
      </c>
    </row>
    <row r="1384" spans="1:30" ht="15" customHeight="1" x14ac:dyDescent="0.25">
      <c r="A1384" s="282" t="s">
        <v>581</v>
      </c>
      <c r="B1384" s="282" t="s">
        <v>2056</v>
      </c>
      <c r="C1384" s="282" t="s">
        <v>696</v>
      </c>
      <c r="D1384" s="283" t="s">
        <v>2057</v>
      </c>
      <c r="E1384" s="404">
        <v>45016</v>
      </c>
      <c r="F1384" s="404">
        <v>46843</v>
      </c>
      <c r="G1384" s="286" t="s">
        <v>264</v>
      </c>
      <c r="H1384" s="282" t="s">
        <v>1222</v>
      </c>
      <c r="I1384" s="282" t="s">
        <v>590</v>
      </c>
      <c r="J1384" s="282" t="s">
        <v>156</v>
      </c>
      <c r="K1384" s="286" t="s">
        <v>1223</v>
      </c>
      <c r="L1384" s="282" t="s">
        <v>574</v>
      </c>
      <c r="M1384" s="287">
        <v>2400</v>
      </c>
      <c r="N1384" s="287">
        <v>0</v>
      </c>
      <c r="O1384" s="287">
        <v>0</v>
      </c>
      <c r="P1384" s="287"/>
      <c r="Q1384" s="288">
        <v>370.85</v>
      </c>
      <c r="R1384" s="288">
        <v>370.8</v>
      </c>
      <c r="S1384" s="288">
        <v>4.5999999999999999E-2</v>
      </c>
      <c r="T1384" s="288"/>
      <c r="U1384" s="288">
        <v>0</v>
      </c>
      <c r="V1384" s="289">
        <v>370.846</v>
      </c>
      <c r="W1384" s="289">
        <v>0</v>
      </c>
      <c r="X1384" s="288">
        <v>0.15452083333333333</v>
      </c>
      <c r="Y1384" s="288">
        <v>0.1545</v>
      </c>
      <c r="Z1384" s="288">
        <v>1.9166666666666667E-5</v>
      </c>
      <c r="AA1384" s="288">
        <v>0</v>
      </c>
      <c r="AB1384" s="288">
        <v>0</v>
      </c>
      <c r="AC1384" s="289">
        <v>0.15451916666666665</v>
      </c>
      <c r="AD1384" s="289">
        <v>0</v>
      </c>
    </row>
    <row r="1385" spans="1:30" ht="15" customHeight="1" x14ac:dyDescent="0.25">
      <c r="A1385" s="282" t="s">
        <v>581</v>
      </c>
      <c r="B1385" s="282" t="s">
        <v>585</v>
      </c>
      <c r="C1385" s="282" t="s">
        <v>586</v>
      </c>
      <c r="D1385" s="283" t="s">
        <v>2058</v>
      </c>
      <c r="E1385" s="404">
        <v>45016</v>
      </c>
      <c r="F1385" s="404">
        <v>46843</v>
      </c>
      <c r="G1385" s="286" t="s">
        <v>264</v>
      </c>
      <c r="H1385" s="282" t="s">
        <v>1222</v>
      </c>
      <c r="I1385" s="282" t="s">
        <v>590</v>
      </c>
      <c r="J1385" s="282" t="s">
        <v>156</v>
      </c>
      <c r="K1385" s="286" t="s">
        <v>1223</v>
      </c>
      <c r="L1385" s="282" t="s">
        <v>574</v>
      </c>
      <c r="M1385" s="287">
        <v>2400</v>
      </c>
      <c r="N1385" s="287">
        <v>0</v>
      </c>
      <c r="O1385" s="287">
        <v>0</v>
      </c>
      <c r="P1385" s="287"/>
      <c r="Q1385" s="288">
        <v>301.25</v>
      </c>
      <c r="R1385" s="288">
        <v>301.22000000000003</v>
      </c>
      <c r="S1385" s="288">
        <v>2.64E-2</v>
      </c>
      <c r="T1385" s="288"/>
      <c r="U1385" s="288">
        <v>0</v>
      </c>
      <c r="V1385" s="289">
        <v>301.24640000000005</v>
      </c>
      <c r="W1385" s="289">
        <v>0</v>
      </c>
      <c r="X1385" s="288">
        <v>0.12552083333333333</v>
      </c>
      <c r="Y1385" s="288">
        <v>0.12550833333333333</v>
      </c>
      <c r="Z1385" s="288">
        <v>1.1E-5</v>
      </c>
      <c r="AA1385" s="288">
        <v>0</v>
      </c>
      <c r="AB1385" s="288">
        <v>0</v>
      </c>
      <c r="AC1385" s="289">
        <v>0.12551933333333334</v>
      </c>
      <c r="AD1385" s="289">
        <v>0</v>
      </c>
    </row>
    <row r="1386" spans="1:30" ht="15" customHeight="1" x14ac:dyDescent="0.25">
      <c r="A1386" s="282" t="s">
        <v>581</v>
      </c>
      <c r="B1386" s="282" t="s">
        <v>628</v>
      </c>
      <c r="C1386" s="282" t="s">
        <v>629</v>
      </c>
      <c r="D1386" s="283" t="s">
        <v>2059</v>
      </c>
      <c r="E1386" s="404">
        <v>45016</v>
      </c>
      <c r="F1386" s="404">
        <v>46843</v>
      </c>
      <c r="G1386" s="286" t="s">
        <v>264</v>
      </c>
      <c r="H1386" s="282" t="s">
        <v>1222</v>
      </c>
      <c r="I1386" s="282" t="s">
        <v>590</v>
      </c>
      <c r="J1386" s="282" t="s">
        <v>156</v>
      </c>
      <c r="K1386" s="286" t="s">
        <v>1223</v>
      </c>
      <c r="L1386" s="282" t="s">
        <v>574</v>
      </c>
      <c r="M1386" s="287">
        <v>2400</v>
      </c>
      <c r="N1386" s="287">
        <v>0</v>
      </c>
      <c r="O1386" s="287">
        <v>0</v>
      </c>
      <c r="P1386" s="287"/>
      <c r="Q1386" s="288">
        <v>248.83</v>
      </c>
      <c r="R1386" s="288">
        <v>248.82</v>
      </c>
      <c r="S1386" s="288">
        <v>6.6400000000000001E-3</v>
      </c>
      <c r="T1386" s="288"/>
      <c r="U1386" s="288">
        <v>0</v>
      </c>
      <c r="V1386" s="289">
        <v>248.82664</v>
      </c>
      <c r="W1386" s="289">
        <v>0</v>
      </c>
      <c r="X1386" s="288">
        <v>0.10367916666666667</v>
      </c>
      <c r="Y1386" s="288">
        <v>0.103675</v>
      </c>
      <c r="Z1386" s="288">
        <v>2.7666666666666667E-6</v>
      </c>
      <c r="AA1386" s="288">
        <v>0</v>
      </c>
      <c r="AB1386" s="288">
        <v>0</v>
      </c>
      <c r="AC1386" s="289">
        <v>0.10367776666666667</v>
      </c>
      <c r="AD1386" s="289">
        <v>0</v>
      </c>
    </row>
    <row r="1387" spans="1:30" ht="15" customHeight="1" x14ac:dyDescent="0.25">
      <c r="A1387" s="282" t="s">
        <v>581</v>
      </c>
      <c r="B1387" s="282" t="s">
        <v>585</v>
      </c>
      <c r="C1387" s="282" t="s">
        <v>586</v>
      </c>
      <c r="D1387" s="283" t="s">
        <v>2060</v>
      </c>
      <c r="E1387" s="404">
        <v>45016</v>
      </c>
      <c r="F1387" s="404">
        <v>46843</v>
      </c>
      <c r="G1387" s="286" t="s">
        <v>264</v>
      </c>
      <c r="H1387" s="282" t="s">
        <v>1222</v>
      </c>
      <c r="I1387" s="282" t="s">
        <v>590</v>
      </c>
      <c r="J1387" s="282" t="s">
        <v>156</v>
      </c>
      <c r="K1387" s="286" t="s">
        <v>1223</v>
      </c>
      <c r="L1387" s="282" t="s">
        <v>574</v>
      </c>
      <c r="M1387" s="287">
        <v>2400</v>
      </c>
      <c r="N1387" s="287">
        <v>0</v>
      </c>
      <c r="O1387" s="287">
        <v>0</v>
      </c>
      <c r="P1387" s="287"/>
      <c r="Q1387" s="288">
        <v>283.52999999999997</v>
      </c>
      <c r="R1387" s="288">
        <v>283.48</v>
      </c>
      <c r="S1387" s="288">
        <v>4.5999999999999999E-2</v>
      </c>
      <c r="T1387" s="288"/>
      <c r="U1387" s="288">
        <v>0</v>
      </c>
      <c r="V1387" s="289">
        <v>283.52600000000001</v>
      </c>
      <c r="W1387" s="289">
        <v>0</v>
      </c>
      <c r="X1387" s="288">
        <v>0.11813749999999999</v>
      </c>
      <c r="Y1387" s="288">
        <v>0.11811666666666668</v>
      </c>
      <c r="Z1387" s="288">
        <v>1.9166666666666667E-5</v>
      </c>
      <c r="AA1387" s="288">
        <v>0</v>
      </c>
      <c r="AB1387" s="288">
        <v>0</v>
      </c>
      <c r="AC1387" s="289">
        <v>0.11813583333333334</v>
      </c>
      <c r="AD1387" s="289">
        <v>0</v>
      </c>
    </row>
    <row r="1388" spans="1:30" ht="15" customHeight="1" x14ac:dyDescent="0.25">
      <c r="A1388" s="282" t="s">
        <v>581</v>
      </c>
      <c r="B1388" s="282" t="s">
        <v>585</v>
      </c>
      <c r="C1388" s="282" t="s">
        <v>586</v>
      </c>
      <c r="D1388" s="283" t="s">
        <v>2061</v>
      </c>
      <c r="E1388" s="404">
        <v>45016</v>
      </c>
      <c r="F1388" s="404">
        <v>46843</v>
      </c>
      <c r="G1388" s="286" t="s">
        <v>264</v>
      </c>
      <c r="H1388" s="282" t="s">
        <v>1222</v>
      </c>
      <c r="I1388" s="282" t="s">
        <v>590</v>
      </c>
      <c r="J1388" s="282" t="s">
        <v>156</v>
      </c>
      <c r="K1388" s="286" t="s">
        <v>1223</v>
      </c>
      <c r="L1388" s="282" t="s">
        <v>574</v>
      </c>
      <c r="M1388" s="287">
        <v>2400</v>
      </c>
      <c r="N1388" s="287">
        <v>0</v>
      </c>
      <c r="O1388" s="287">
        <v>0</v>
      </c>
      <c r="P1388" s="287"/>
      <c r="Q1388" s="288">
        <v>282.87</v>
      </c>
      <c r="R1388" s="288">
        <v>282.83</v>
      </c>
      <c r="S1388" s="288">
        <v>3.5999999999999997E-2</v>
      </c>
      <c r="T1388" s="288"/>
      <c r="U1388" s="288">
        <v>0</v>
      </c>
      <c r="V1388" s="289">
        <v>282.86599999999999</v>
      </c>
      <c r="W1388" s="289">
        <v>0</v>
      </c>
      <c r="X1388" s="288">
        <v>0.1178625</v>
      </c>
      <c r="Y1388" s="288">
        <v>0.11784583333333333</v>
      </c>
      <c r="Z1388" s="288">
        <v>1.4999999999999999E-5</v>
      </c>
      <c r="AA1388" s="288">
        <v>0</v>
      </c>
      <c r="AB1388" s="288">
        <v>0</v>
      </c>
      <c r="AC1388" s="289">
        <v>0.11786083333333333</v>
      </c>
      <c r="AD1388" s="289">
        <v>0</v>
      </c>
    </row>
    <row r="1389" spans="1:30" ht="15" customHeight="1" x14ac:dyDescent="0.25">
      <c r="A1389" s="282" t="s">
        <v>581</v>
      </c>
      <c r="B1389" s="282" t="s">
        <v>611</v>
      </c>
      <c r="C1389" s="282" t="s">
        <v>612</v>
      </c>
      <c r="D1389" s="283" t="s">
        <v>2062</v>
      </c>
      <c r="E1389" s="404">
        <v>45016</v>
      </c>
      <c r="F1389" s="404">
        <v>46843</v>
      </c>
      <c r="G1389" s="286" t="s">
        <v>264</v>
      </c>
      <c r="H1389" s="282" t="s">
        <v>1222</v>
      </c>
      <c r="I1389" s="282" t="s">
        <v>590</v>
      </c>
      <c r="J1389" s="282" t="s">
        <v>156</v>
      </c>
      <c r="K1389" s="286" t="s">
        <v>1223</v>
      </c>
      <c r="L1389" s="282" t="s">
        <v>574</v>
      </c>
      <c r="M1389" s="287">
        <v>2400</v>
      </c>
      <c r="N1389" s="287">
        <v>0</v>
      </c>
      <c r="O1389" s="287">
        <v>0</v>
      </c>
      <c r="P1389" s="287"/>
      <c r="Q1389" s="288">
        <v>302.67</v>
      </c>
      <c r="R1389" s="288">
        <v>302.66000000000003</v>
      </c>
      <c r="S1389" s="288">
        <v>5.4299999999999999E-3</v>
      </c>
      <c r="T1389" s="288"/>
      <c r="U1389" s="288">
        <v>0</v>
      </c>
      <c r="V1389" s="289">
        <v>302.66543000000001</v>
      </c>
      <c r="W1389" s="289">
        <v>0</v>
      </c>
      <c r="X1389" s="288">
        <v>0.12611250000000002</v>
      </c>
      <c r="Y1389" s="288">
        <v>0.12610833333333335</v>
      </c>
      <c r="Z1389" s="288">
        <v>2.2624999999999999E-6</v>
      </c>
      <c r="AA1389" s="288">
        <v>0</v>
      </c>
      <c r="AB1389" s="288">
        <v>0</v>
      </c>
      <c r="AC1389" s="289">
        <v>0.12611059583333334</v>
      </c>
      <c r="AD1389" s="289">
        <v>0</v>
      </c>
    </row>
    <row r="1390" spans="1:30" ht="15" customHeight="1" x14ac:dyDescent="0.25">
      <c r="A1390" s="282" t="s">
        <v>581</v>
      </c>
      <c r="B1390" s="282" t="s">
        <v>585</v>
      </c>
      <c r="C1390" s="282" t="s">
        <v>586</v>
      </c>
      <c r="D1390" s="283" t="s">
        <v>2063</v>
      </c>
      <c r="E1390" s="404">
        <v>45016</v>
      </c>
      <c r="F1390" s="404">
        <v>46843</v>
      </c>
      <c r="G1390" s="286" t="s">
        <v>264</v>
      </c>
      <c r="H1390" s="282" t="s">
        <v>1222</v>
      </c>
      <c r="I1390" s="282" t="s">
        <v>590</v>
      </c>
      <c r="J1390" s="282" t="s">
        <v>156</v>
      </c>
      <c r="K1390" s="286" t="s">
        <v>1223</v>
      </c>
      <c r="L1390" s="282" t="s">
        <v>574</v>
      </c>
      <c r="M1390" s="287">
        <v>2400</v>
      </c>
      <c r="N1390" s="287">
        <v>0</v>
      </c>
      <c r="O1390" s="287">
        <v>0</v>
      </c>
      <c r="P1390" s="287"/>
      <c r="Q1390" s="288">
        <v>280.51</v>
      </c>
      <c r="R1390" s="288">
        <v>280.47000000000003</v>
      </c>
      <c r="S1390" s="288">
        <v>3.56E-2</v>
      </c>
      <c r="T1390" s="288"/>
      <c r="U1390" s="288">
        <v>0</v>
      </c>
      <c r="V1390" s="289">
        <v>280.50560000000002</v>
      </c>
      <c r="W1390" s="289">
        <v>0</v>
      </c>
      <c r="X1390" s="288">
        <v>0.11687916666666666</v>
      </c>
      <c r="Y1390" s="288">
        <v>0.11686250000000001</v>
      </c>
      <c r="Z1390" s="288">
        <v>1.4833333333333332E-5</v>
      </c>
      <c r="AA1390" s="288">
        <v>0</v>
      </c>
      <c r="AB1390" s="288">
        <v>0</v>
      </c>
      <c r="AC1390" s="289">
        <v>0.11687733333333335</v>
      </c>
      <c r="AD1390" s="289">
        <v>0</v>
      </c>
    </row>
    <row r="1391" spans="1:30" ht="15" customHeight="1" x14ac:dyDescent="0.25">
      <c r="A1391" s="282" t="s">
        <v>581</v>
      </c>
      <c r="B1391" s="282" t="s">
        <v>585</v>
      </c>
      <c r="C1391" s="282" t="s">
        <v>586</v>
      </c>
      <c r="D1391" s="283" t="s">
        <v>2064</v>
      </c>
      <c r="E1391" s="404">
        <v>45016</v>
      </c>
      <c r="F1391" s="404">
        <v>46843</v>
      </c>
      <c r="G1391" s="286" t="s">
        <v>264</v>
      </c>
      <c r="H1391" s="282" t="s">
        <v>1222</v>
      </c>
      <c r="I1391" s="282" t="s">
        <v>590</v>
      </c>
      <c r="J1391" s="282" t="s">
        <v>156</v>
      </c>
      <c r="K1391" s="286" t="s">
        <v>1223</v>
      </c>
      <c r="L1391" s="282" t="s">
        <v>574</v>
      </c>
      <c r="M1391" s="287">
        <v>2400</v>
      </c>
      <c r="N1391" s="287">
        <v>0</v>
      </c>
      <c r="O1391" s="287">
        <v>0</v>
      </c>
      <c r="P1391" s="287"/>
      <c r="Q1391" s="288">
        <v>280.47000000000003</v>
      </c>
      <c r="R1391" s="288">
        <v>280.43</v>
      </c>
      <c r="S1391" s="288">
        <v>3.56E-2</v>
      </c>
      <c r="T1391" s="288"/>
      <c r="U1391" s="288">
        <v>0</v>
      </c>
      <c r="V1391" s="289">
        <v>280.46559999999999</v>
      </c>
      <c r="W1391" s="289">
        <v>0</v>
      </c>
      <c r="X1391" s="288">
        <v>0.11686250000000001</v>
      </c>
      <c r="Y1391" s="288">
        <v>0.11684583333333333</v>
      </c>
      <c r="Z1391" s="288">
        <v>1.4833333333333332E-5</v>
      </c>
      <c r="AA1391" s="288">
        <v>0</v>
      </c>
      <c r="AB1391" s="288">
        <v>0</v>
      </c>
      <c r="AC1391" s="289">
        <v>0.11686066666666667</v>
      </c>
      <c r="AD1391" s="289">
        <v>0</v>
      </c>
    </row>
    <row r="1392" spans="1:30" ht="15" customHeight="1" x14ac:dyDescent="0.25">
      <c r="A1392" s="282" t="s">
        <v>581</v>
      </c>
      <c r="B1392" s="282" t="s">
        <v>585</v>
      </c>
      <c r="C1392" s="282" t="s">
        <v>586</v>
      </c>
      <c r="D1392" s="283" t="s">
        <v>2065</v>
      </c>
      <c r="E1392" s="404">
        <v>45016</v>
      </c>
      <c r="F1392" s="404">
        <v>46843</v>
      </c>
      <c r="G1392" s="286" t="s">
        <v>264</v>
      </c>
      <c r="H1392" s="282" t="s">
        <v>1222</v>
      </c>
      <c r="I1392" s="282" t="s">
        <v>590</v>
      </c>
      <c r="J1392" s="282" t="s">
        <v>156</v>
      </c>
      <c r="K1392" s="286" t="s">
        <v>1223</v>
      </c>
      <c r="L1392" s="282" t="s">
        <v>574</v>
      </c>
      <c r="M1392" s="287">
        <v>2400</v>
      </c>
      <c r="N1392" s="287">
        <v>0</v>
      </c>
      <c r="O1392" s="287">
        <v>0</v>
      </c>
      <c r="P1392" s="287"/>
      <c r="Q1392" s="288">
        <v>278.08999999999997</v>
      </c>
      <c r="R1392" s="288">
        <v>278.05</v>
      </c>
      <c r="S1392" s="288">
        <v>3.5299999999999998E-2</v>
      </c>
      <c r="T1392" s="288"/>
      <c r="U1392" s="288">
        <v>0</v>
      </c>
      <c r="V1392" s="289">
        <v>278.08530000000002</v>
      </c>
      <c r="W1392" s="289">
        <v>0</v>
      </c>
      <c r="X1392" s="288">
        <v>0.11587083333333333</v>
      </c>
      <c r="Y1392" s="288">
        <v>0.11585416666666667</v>
      </c>
      <c r="Z1392" s="288">
        <v>1.4708333333333333E-5</v>
      </c>
      <c r="AA1392" s="288">
        <v>0</v>
      </c>
      <c r="AB1392" s="288">
        <v>0</v>
      </c>
      <c r="AC1392" s="289">
        <v>0.11586887500000001</v>
      </c>
      <c r="AD1392" s="289">
        <v>0</v>
      </c>
    </row>
    <row r="1393" spans="1:30" ht="15" customHeight="1" x14ac:dyDescent="0.25">
      <c r="A1393" s="282" t="s">
        <v>581</v>
      </c>
      <c r="B1393" s="282" t="s">
        <v>585</v>
      </c>
      <c r="C1393" s="282" t="s">
        <v>586</v>
      </c>
      <c r="D1393" s="283" t="s">
        <v>2066</v>
      </c>
      <c r="E1393" s="404">
        <v>45016</v>
      </c>
      <c r="F1393" s="404">
        <v>46843</v>
      </c>
      <c r="G1393" s="286" t="s">
        <v>264</v>
      </c>
      <c r="H1393" s="282" t="s">
        <v>1222</v>
      </c>
      <c r="I1393" s="282" t="s">
        <v>590</v>
      </c>
      <c r="J1393" s="282" t="s">
        <v>156</v>
      </c>
      <c r="K1393" s="286" t="s">
        <v>1223</v>
      </c>
      <c r="L1393" s="282" t="s">
        <v>574</v>
      </c>
      <c r="M1393" s="287">
        <v>2400</v>
      </c>
      <c r="N1393" s="287">
        <v>0</v>
      </c>
      <c r="O1393" s="287">
        <v>0</v>
      </c>
      <c r="P1393" s="287"/>
      <c r="Q1393" s="288">
        <v>275.74</v>
      </c>
      <c r="R1393" s="288">
        <v>275.7</v>
      </c>
      <c r="S1393" s="288">
        <v>3.49E-2</v>
      </c>
      <c r="T1393" s="288"/>
      <c r="U1393" s="288">
        <v>0</v>
      </c>
      <c r="V1393" s="289">
        <v>275.73489999999998</v>
      </c>
      <c r="W1393" s="289">
        <v>0</v>
      </c>
      <c r="X1393" s="288">
        <v>0.11489166666666667</v>
      </c>
      <c r="Y1393" s="288">
        <v>0.11487499999999999</v>
      </c>
      <c r="Z1393" s="288">
        <v>1.4541666666666667E-5</v>
      </c>
      <c r="AA1393" s="288">
        <v>0</v>
      </c>
      <c r="AB1393" s="288">
        <v>0</v>
      </c>
      <c r="AC1393" s="289">
        <v>0.11488954166666666</v>
      </c>
      <c r="AD1393" s="289">
        <v>0</v>
      </c>
    </row>
    <row r="1394" spans="1:30" ht="15" customHeight="1" x14ac:dyDescent="0.25">
      <c r="A1394" s="282" t="s">
        <v>581</v>
      </c>
      <c r="B1394" s="282" t="s">
        <v>594</v>
      </c>
      <c r="C1394" s="282" t="s">
        <v>595</v>
      </c>
      <c r="D1394" s="283" t="s">
        <v>2067</v>
      </c>
      <c r="E1394" s="404">
        <v>45016</v>
      </c>
      <c r="F1394" s="404">
        <v>46843</v>
      </c>
      <c r="G1394" s="286" t="s">
        <v>264</v>
      </c>
      <c r="H1394" s="282" t="s">
        <v>1222</v>
      </c>
      <c r="I1394" s="282" t="s">
        <v>590</v>
      </c>
      <c r="J1394" s="282" t="s">
        <v>156</v>
      </c>
      <c r="K1394" s="286" t="s">
        <v>1223</v>
      </c>
      <c r="L1394" s="282" t="s">
        <v>574</v>
      </c>
      <c r="M1394" s="287">
        <v>2400</v>
      </c>
      <c r="N1394" s="287">
        <v>0</v>
      </c>
      <c r="O1394" s="287">
        <v>0</v>
      </c>
      <c r="P1394" s="287"/>
      <c r="Q1394" s="288">
        <v>205.2</v>
      </c>
      <c r="R1394" s="288">
        <v>205.17</v>
      </c>
      <c r="S1394" s="288">
        <v>2.6200000000000001E-2</v>
      </c>
      <c r="T1394" s="288"/>
      <c r="U1394" s="288">
        <v>0</v>
      </c>
      <c r="V1394" s="289">
        <v>205.19619999999998</v>
      </c>
      <c r="W1394" s="289">
        <v>0</v>
      </c>
      <c r="X1394" s="288">
        <v>8.5499999999999993E-2</v>
      </c>
      <c r="Y1394" s="288">
        <v>8.5487499999999994E-2</v>
      </c>
      <c r="Z1394" s="288">
        <v>1.0916666666666667E-5</v>
      </c>
      <c r="AA1394" s="288">
        <v>0</v>
      </c>
      <c r="AB1394" s="288">
        <v>0</v>
      </c>
      <c r="AC1394" s="289">
        <v>8.549841666666666E-2</v>
      </c>
      <c r="AD1394" s="289">
        <v>0</v>
      </c>
    </row>
    <row r="1395" spans="1:30" ht="15" customHeight="1" x14ac:dyDescent="0.25">
      <c r="A1395" s="282" t="s">
        <v>581</v>
      </c>
      <c r="B1395" s="282" t="s">
        <v>695</v>
      </c>
      <c r="C1395" s="282" t="s">
        <v>696</v>
      </c>
      <c r="D1395" s="283" t="s">
        <v>2068</v>
      </c>
      <c r="E1395" s="404">
        <v>45016</v>
      </c>
      <c r="F1395" s="404">
        <v>46843</v>
      </c>
      <c r="G1395" s="286" t="s">
        <v>264</v>
      </c>
      <c r="H1395" s="282" t="s">
        <v>1222</v>
      </c>
      <c r="I1395" s="282" t="s">
        <v>590</v>
      </c>
      <c r="J1395" s="282" t="s">
        <v>156</v>
      </c>
      <c r="K1395" s="286" t="s">
        <v>1223</v>
      </c>
      <c r="L1395" s="282" t="s">
        <v>574</v>
      </c>
      <c r="M1395" s="287">
        <v>2400</v>
      </c>
      <c r="N1395" s="287">
        <v>0</v>
      </c>
      <c r="O1395" s="287">
        <v>0</v>
      </c>
      <c r="P1395" s="287"/>
      <c r="Q1395" s="288">
        <v>495.1</v>
      </c>
      <c r="R1395" s="288">
        <v>495.08</v>
      </c>
      <c r="S1395" s="288">
        <v>1.0800000000000001E-2</v>
      </c>
      <c r="T1395" s="288"/>
      <c r="U1395" s="288">
        <v>0</v>
      </c>
      <c r="V1395" s="289">
        <v>495.0908</v>
      </c>
      <c r="W1395" s="289">
        <v>0</v>
      </c>
      <c r="X1395" s="288">
        <v>0.20629166666666668</v>
      </c>
      <c r="Y1395" s="288">
        <v>0.20628333333333332</v>
      </c>
      <c r="Z1395" s="288">
        <v>4.5000000000000001E-6</v>
      </c>
      <c r="AA1395" s="288">
        <v>0</v>
      </c>
      <c r="AB1395" s="288">
        <v>0</v>
      </c>
      <c r="AC1395" s="289">
        <v>0.20628783333333331</v>
      </c>
      <c r="AD1395" s="289">
        <v>0</v>
      </c>
    </row>
    <row r="1396" spans="1:30" ht="15" customHeight="1" x14ac:dyDescent="0.25">
      <c r="A1396" s="282" t="s">
        <v>581</v>
      </c>
      <c r="B1396" s="282" t="s">
        <v>594</v>
      </c>
      <c r="C1396" s="282" t="s">
        <v>595</v>
      </c>
      <c r="D1396" s="283" t="s">
        <v>2069</v>
      </c>
      <c r="E1396" s="404">
        <v>45016</v>
      </c>
      <c r="F1396" s="404">
        <v>46843</v>
      </c>
      <c r="G1396" s="286" t="s">
        <v>264</v>
      </c>
      <c r="H1396" s="282" t="s">
        <v>1222</v>
      </c>
      <c r="I1396" s="282" t="s">
        <v>590</v>
      </c>
      <c r="J1396" s="282" t="s">
        <v>156</v>
      </c>
      <c r="K1396" s="286" t="s">
        <v>1223</v>
      </c>
      <c r="L1396" s="282" t="s">
        <v>574</v>
      </c>
      <c r="M1396" s="287">
        <v>2400</v>
      </c>
      <c r="N1396" s="287">
        <v>0</v>
      </c>
      <c r="O1396" s="287">
        <v>0</v>
      </c>
      <c r="P1396" s="287"/>
      <c r="Q1396" s="288">
        <v>216.71</v>
      </c>
      <c r="R1396" s="288">
        <v>216.69</v>
      </c>
      <c r="S1396" s="288">
        <v>1.49E-2</v>
      </c>
      <c r="T1396" s="288"/>
      <c r="U1396" s="288">
        <v>0</v>
      </c>
      <c r="V1396" s="289">
        <v>216.70490000000001</v>
      </c>
      <c r="W1396" s="289">
        <v>0</v>
      </c>
      <c r="X1396" s="288">
        <v>9.0295833333333339E-2</v>
      </c>
      <c r="Y1396" s="288">
        <v>9.0287499999999993E-2</v>
      </c>
      <c r="Z1396" s="288">
        <v>6.2083333333333337E-6</v>
      </c>
      <c r="AA1396" s="288">
        <v>0</v>
      </c>
      <c r="AB1396" s="288">
        <v>0</v>
      </c>
      <c r="AC1396" s="289">
        <v>9.029370833333332E-2</v>
      </c>
      <c r="AD1396" s="289">
        <v>0</v>
      </c>
    </row>
    <row r="1397" spans="1:30" ht="15" customHeight="1" x14ac:dyDescent="0.25">
      <c r="A1397" s="282" t="s">
        <v>581</v>
      </c>
      <c r="B1397" s="282" t="s">
        <v>611</v>
      </c>
      <c r="C1397" s="282" t="s">
        <v>612</v>
      </c>
      <c r="D1397" s="283" t="s">
        <v>2070</v>
      </c>
      <c r="E1397" s="404">
        <v>45016</v>
      </c>
      <c r="F1397" s="404">
        <v>46843</v>
      </c>
      <c r="G1397" s="286" t="s">
        <v>264</v>
      </c>
      <c r="H1397" s="282" t="s">
        <v>1222</v>
      </c>
      <c r="I1397" s="282" t="s">
        <v>590</v>
      </c>
      <c r="J1397" s="282" t="s">
        <v>156</v>
      </c>
      <c r="K1397" s="286" t="s">
        <v>1223</v>
      </c>
      <c r="L1397" s="282" t="s">
        <v>574</v>
      </c>
      <c r="M1397" s="287">
        <v>2400</v>
      </c>
      <c r="N1397" s="287">
        <v>0</v>
      </c>
      <c r="O1397" s="287">
        <v>0</v>
      </c>
      <c r="P1397" s="287"/>
      <c r="Q1397" s="288">
        <v>243.59</v>
      </c>
      <c r="R1397" s="288">
        <v>243.56</v>
      </c>
      <c r="S1397" s="288">
        <v>2.2700000000000001E-2</v>
      </c>
      <c r="T1397" s="288"/>
      <c r="U1397" s="288">
        <v>0</v>
      </c>
      <c r="V1397" s="289">
        <v>243.58269999999999</v>
      </c>
      <c r="W1397" s="289">
        <v>0</v>
      </c>
      <c r="X1397" s="288">
        <v>0.10149583333333334</v>
      </c>
      <c r="Y1397" s="288">
        <v>0.10148333333333333</v>
      </c>
      <c r="Z1397" s="288">
        <v>9.458333333333334E-6</v>
      </c>
      <c r="AA1397" s="288">
        <v>0</v>
      </c>
      <c r="AB1397" s="288">
        <v>0</v>
      </c>
      <c r="AC1397" s="289">
        <v>0.10149279166666667</v>
      </c>
      <c r="AD1397" s="289">
        <v>0</v>
      </c>
    </row>
    <row r="1398" spans="1:30" ht="15" customHeight="1" x14ac:dyDescent="0.25">
      <c r="A1398" s="282" t="s">
        <v>581</v>
      </c>
      <c r="B1398" s="282" t="s">
        <v>594</v>
      </c>
      <c r="C1398" s="282" t="s">
        <v>595</v>
      </c>
      <c r="D1398" s="283" t="s">
        <v>2071</v>
      </c>
      <c r="E1398" s="404">
        <v>45016</v>
      </c>
      <c r="F1398" s="404">
        <v>46843</v>
      </c>
      <c r="G1398" s="286" t="s">
        <v>264</v>
      </c>
      <c r="H1398" s="282" t="s">
        <v>1222</v>
      </c>
      <c r="I1398" s="282" t="s">
        <v>590</v>
      </c>
      <c r="J1398" s="282" t="s">
        <v>156</v>
      </c>
      <c r="K1398" s="286" t="s">
        <v>1223</v>
      </c>
      <c r="L1398" s="282" t="s">
        <v>574</v>
      </c>
      <c r="M1398" s="287">
        <v>2400</v>
      </c>
      <c r="N1398" s="287">
        <v>0</v>
      </c>
      <c r="O1398" s="287">
        <v>0</v>
      </c>
      <c r="P1398" s="287"/>
      <c r="Q1398" s="288">
        <v>216.66</v>
      </c>
      <c r="R1398" s="288">
        <v>216.64</v>
      </c>
      <c r="S1398" s="288">
        <v>1.32E-2</v>
      </c>
      <c r="T1398" s="288"/>
      <c r="U1398" s="288">
        <v>0</v>
      </c>
      <c r="V1398" s="289">
        <v>216.6532</v>
      </c>
      <c r="W1398" s="289">
        <v>0</v>
      </c>
      <c r="X1398" s="288">
        <v>9.0274999999999994E-2</v>
      </c>
      <c r="Y1398" s="288">
        <v>9.0266666666666662E-2</v>
      </c>
      <c r="Z1398" s="288">
        <v>5.4999999999999999E-6</v>
      </c>
      <c r="AA1398" s="288">
        <v>0</v>
      </c>
      <c r="AB1398" s="288">
        <v>0</v>
      </c>
      <c r="AC1398" s="289">
        <v>9.0272166666666667E-2</v>
      </c>
      <c r="AD1398" s="289">
        <v>0</v>
      </c>
    </row>
    <row r="1399" spans="1:30" ht="15" customHeight="1" x14ac:dyDescent="0.25">
      <c r="A1399" s="282" t="s">
        <v>581</v>
      </c>
      <c r="B1399" s="282" t="s">
        <v>585</v>
      </c>
      <c r="C1399" s="282" t="s">
        <v>586</v>
      </c>
      <c r="D1399" s="283" t="s">
        <v>2072</v>
      </c>
      <c r="E1399" s="404">
        <v>45016</v>
      </c>
      <c r="F1399" s="404">
        <v>46843</v>
      </c>
      <c r="G1399" s="286" t="s">
        <v>316</v>
      </c>
      <c r="H1399" s="282" t="s">
        <v>1227</v>
      </c>
      <c r="I1399" s="282" t="s">
        <v>590</v>
      </c>
      <c r="J1399" s="282" t="s">
        <v>156</v>
      </c>
      <c r="K1399" s="286" t="s">
        <v>1228</v>
      </c>
      <c r="L1399" s="282" t="s">
        <v>574</v>
      </c>
      <c r="M1399" s="287">
        <v>2400</v>
      </c>
      <c r="N1399" s="287">
        <v>0</v>
      </c>
      <c r="O1399" s="287">
        <v>0</v>
      </c>
      <c r="P1399" s="287"/>
      <c r="Q1399" s="288">
        <v>305.82</v>
      </c>
      <c r="R1399" s="288">
        <v>305.74</v>
      </c>
      <c r="S1399" s="288">
        <v>7.0000000000000007E-2</v>
      </c>
      <c r="T1399" s="288"/>
      <c r="U1399" s="288">
        <v>0</v>
      </c>
      <c r="V1399" s="289">
        <v>305.81</v>
      </c>
      <c r="W1399" s="289">
        <v>0</v>
      </c>
      <c r="X1399" s="288">
        <v>0.12742500000000001</v>
      </c>
      <c r="Y1399" s="288">
        <v>0.12739166666666668</v>
      </c>
      <c r="Z1399" s="288">
        <v>2.916666666666667E-5</v>
      </c>
      <c r="AA1399" s="288">
        <v>0</v>
      </c>
      <c r="AB1399" s="288">
        <v>0</v>
      </c>
      <c r="AC1399" s="289">
        <v>0.12742083333333334</v>
      </c>
      <c r="AD1399" s="289">
        <v>0</v>
      </c>
    </row>
    <row r="1400" spans="1:30" ht="15" customHeight="1" x14ac:dyDescent="0.25">
      <c r="A1400" s="282" t="s">
        <v>581</v>
      </c>
      <c r="B1400" s="282" t="s">
        <v>585</v>
      </c>
      <c r="C1400" s="282" t="s">
        <v>586</v>
      </c>
      <c r="D1400" s="283" t="s">
        <v>2073</v>
      </c>
      <c r="E1400" s="404">
        <v>45016</v>
      </c>
      <c r="F1400" s="404">
        <v>46843</v>
      </c>
      <c r="G1400" s="286" t="s">
        <v>316</v>
      </c>
      <c r="H1400" s="282" t="s">
        <v>1227</v>
      </c>
      <c r="I1400" s="282" t="s">
        <v>590</v>
      </c>
      <c r="J1400" s="282" t="s">
        <v>156</v>
      </c>
      <c r="K1400" s="286" t="s">
        <v>1228</v>
      </c>
      <c r="L1400" s="282" t="s">
        <v>574</v>
      </c>
      <c r="M1400" s="287">
        <v>2400</v>
      </c>
      <c r="N1400" s="287">
        <v>0</v>
      </c>
      <c r="O1400" s="287">
        <v>0</v>
      </c>
      <c r="P1400" s="287"/>
      <c r="Q1400" s="288">
        <v>291</v>
      </c>
      <c r="R1400" s="288">
        <v>290.93</v>
      </c>
      <c r="S1400" s="288">
        <v>0.06</v>
      </c>
      <c r="T1400" s="288"/>
      <c r="U1400" s="288">
        <v>0</v>
      </c>
      <c r="V1400" s="289">
        <v>290.99</v>
      </c>
      <c r="W1400" s="289">
        <v>0</v>
      </c>
      <c r="X1400" s="288">
        <v>0.12125</v>
      </c>
      <c r="Y1400" s="288">
        <v>0.12122083333333333</v>
      </c>
      <c r="Z1400" s="288">
        <v>2.4999999999999998E-5</v>
      </c>
      <c r="AA1400" s="288">
        <v>0</v>
      </c>
      <c r="AB1400" s="288">
        <v>0</v>
      </c>
      <c r="AC1400" s="289">
        <v>0.12124583333333333</v>
      </c>
      <c r="AD1400" s="289">
        <v>0</v>
      </c>
    </row>
    <row r="1401" spans="1:30" ht="15" customHeight="1" x14ac:dyDescent="0.25">
      <c r="A1401" s="282" t="s">
        <v>581</v>
      </c>
      <c r="B1401" s="282" t="s">
        <v>1220</v>
      </c>
      <c r="C1401" s="282" t="s">
        <v>586</v>
      </c>
      <c r="D1401" s="283" t="s">
        <v>2074</v>
      </c>
      <c r="E1401" s="404">
        <v>45016</v>
      </c>
      <c r="F1401" s="404">
        <v>46843</v>
      </c>
      <c r="G1401" s="286" t="s">
        <v>264</v>
      </c>
      <c r="H1401" s="282" t="s">
        <v>1222</v>
      </c>
      <c r="I1401" s="282" t="s">
        <v>590</v>
      </c>
      <c r="J1401" s="282" t="s">
        <v>156</v>
      </c>
      <c r="K1401" s="286" t="s">
        <v>1223</v>
      </c>
      <c r="L1401" s="282" t="s">
        <v>574</v>
      </c>
      <c r="M1401" s="287">
        <v>2400</v>
      </c>
      <c r="N1401" s="287">
        <v>0</v>
      </c>
      <c r="O1401" s="287">
        <v>0</v>
      </c>
      <c r="P1401" s="287"/>
      <c r="Q1401" s="288">
        <v>279.33</v>
      </c>
      <c r="R1401" s="288">
        <v>279.29000000000002</v>
      </c>
      <c r="S1401" s="288">
        <v>3.0200000000000001E-2</v>
      </c>
      <c r="T1401" s="288"/>
      <c r="U1401" s="288">
        <v>0</v>
      </c>
      <c r="V1401" s="289">
        <v>279.3202</v>
      </c>
      <c r="W1401" s="289">
        <v>0</v>
      </c>
      <c r="X1401" s="288">
        <v>0.11638749999999999</v>
      </c>
      <c r="Y1401" s="288">
        <v>0.11637083333333334</v>
      </c>
      <c r="Z1401" s="288">
        <v>1.2583333333333334E-5</v>
      </c>
      <c r="AA1401" s="288">
        <v>0</v>
      </c>
      <c r="AB1401" s="288">
        <v>0</v>
      </c>
      <c r="AC1401" s="289">
        <v>0.11638341666666667</v>
      </c>
      <c r="AD1401" s="289">
        <v>0</v>
      </c>
    </row>
    <row r="1402" spans="1:30" ht="15" customHeight="1" x14ac:dyDescent="0.25">
      <c r="A1402" s="282" t="s">
        <v>581</v>
      </c>
      <c r="B1402" s="282" t="s">
        <v>628</v>
      </c>
      <c r="C1402" s="282" t="s">
        <v>629</v>
      </c>
      <c r="D1402" s="283" t="s">
        <v>2075</v>
      </c>
      <c r="E1402" s="404">
        <v>45016</v>
      </c>
      <c r="F1402" s="404">
        <v>46843</v>
      </c>
      <c r="G1402" s="286" t="s">
        <v>264</v>
      </c>
      <c r="H1402" s="282" t="s">
        <v>1222</v>
      </c>
      <c r="I1402" s="282" t="s">
        <v>590</v>
      </c>
      <c r="J1402" s="282" t="s">
        <v>156</v>
      </c>
      <c r="K1402" s="286" t="s">
        <v>1223</v>
      </c>
      <c r="L1402" s="282" t="s">
        <v>574</v>
      </c>
      <c r="M1402" s="287">
        <v>2400</v>
      </c>
      <c r="N1402" s="287">
        <v>0</v>
      </c>
      <c r="O1402" s="287">
        <v>0</v>
      </c>
      <c r="P1402" s="287"/>
      <c r="Q1402" s="288">
        <v>217.57</v>
      </c>
      <c r="R1402" s="288">
        <v>217.55</v>
      </c>
      <c r="S1402" s="288">
        <v>1.2E-2</v>
      </c>
      <c r="T1402" s="288"/>
      <c r="U1402" s="288">
        <v>0</v>
      </c>
      <c r="V1402" s="289">
        <v>217.56200000000001</v>
      </c>
      <c r="W1402" s="289">
        <v>0</v>
      </c>
      <c r="X1402" s="288">
        <v>9.0654166666666661E-2</v>
      </c>
      <c r="Y1402" s="288">
        <v>9.0645833333333342E-2</v>
      </c>
      <c r="Z1402" s="288">
        <v>5.0000000000000004E-6</v>
      </c>
      <c r="AA1402" s="288">
        <v>0</v>
      </c>
      <c r="AB1402" s="288">
        <v>0</v>
      </c>
      <c r="AC1402" s="289">
        <v>9.0650833333333347E-2</v>
      </c>
      <c r="AD1402" s="289">
        <v>0</v>
      </c>
    </row>
    <row r="1403" spans="1:30" ht="15" customHeight="1" x14ac:dyDescent="0.25">
      <c r="A1403" s="282" t="s">
        <v>581</v>
      </c>
      <c r="B1403" s="282" t="s">
        <v>611</v>
      </c>
      <c r="C1403" s="282" t="s">
        <v>612</v>
      </c>
      <c r="D1403" s="283" t="s">
        <v>2076</v>
      </c>
      <c r="E1403" s="404">
        <v>45016</v>
      </c>
      <c r="F1403" s="404">
        <v>46843</v>
      </c>
      <c r="G1403" s="286" t="s">
        <v>316</v>
      </c>
      <c r="H1403" s="282" t="s">
        <v>1227</v>
      </c>
      <c r="I1403" s="282" t="s">
        <v>590</v>
      </c>
      <c r="J1403" s="282" t="s">
        <v>156</v>
      </c>
      <c r="K1403" s="286" t="s">
        <v>1228</v>
      </c>
      <c r="L1403" s="282" t="s">
        <v>574</v>
      </c>
      <c r="M1403" s="287">
        <v>2400</v>
      </c>
      <c r="N1403" s="287">
        <v>0</v>
      </c>
      <c r="O1403" s="287">
        <v>0</v>
      </c>
      <c r="P1403" s="287"/>
      <c r="Q1403" s="288">
        <v>252.02</v>
      </c>
      <c r="R1403" s="288">
        <v>251.97</v>
      </c>
      <c r="S1403" s="288">
        <v>0.04</v>
      </c>
      <c r="T1403" s="288"/>
      <c r="U1403" s="288">
        <v>0</v>
      </c>
      <c r="V1403" s="289">
        <v>252.01</v>
      </c>
      <c r="W1403" s="289">
        <v>0</v>
      </c>
      <c r="X1403" s="288">
        <v>0.10500833333333334</v>
      </c>
      <c r="Y1403" s="288">
        <v>0.1049875</v>
      </c>
      <c r="Z1403" s="288">
        <v>1.6666666666666667E-5</v>
      </c>
      <c r="AA1403" s="288">
        <v>0</v>
      </c>
      <c r="AB1403" s="288">
        <v>0</v>
      </c>
      <c r="AC1403" s="289">
        <v>0.10500416666666666</v>
      </c>
      <c r="AD1403" s="289">
        <v>0</v>
      </c>
    </row>
    <row r="1404" spans="1:30" ht="15" customHeight="1" x14ac:dyDescent="0.25">
      <c r="A1404" s="282" t="s">
        <v>581</v>
      </c>
      <c r="B1404" s="282" t="s">
        <v>611</v>
      </c>
      <c r="C1404" s="282" t="s">
        <v>612</v>
      </c>
      <c r="D1404" s="283" t="s">
        <v>2077</v>
      </c>
      <c r="E1404" s="404">
        <v>45016</v>
      </c>
      <c r="F1404" s="404">
        <v>46843</v>
      </c>
      <c r="G1404" s="286" t="s">
        <v>316</v>
      </c>
      <c r="H1404" s="282" t="s">
        <v>1227</v>
      </c>
      <c r="I1404" s="282" t="s">
        <v>590</v>
      </c>
      <c r="J1404" s="282" t="s">
        <v>156</v>
      </c>
      <c r="K1404" s="286" t="s">
        <v>1228</v>
      </c>
      <c r="L1404" s="282" t="s">
        <v>574</v>
      </c>
      <c r="M1404" s="287">
        <v>2400</v>
      </c>
      <c r="N1404" s="287">
        <v>0</v>
      </c>
      <c r="O1404" s="287">
        <v>0</v>
      </c>
      <c r="P1404" s="287"/>
      <c r="Q1404" s="288">
        <v>240.2</v>
      </c>
      <c r="R1404" s="288">
        <v>240.16</v>
      </c>
      <c r="S1404" s="288">
        <v>0.03</v>
      </c>
      <c r="T1404" s="288"/>
      <c r="U1404" s="288">
        <v>0</v>
      </c>
      <c r="V1404" s="289">
        <v>240.19</v>
      </c>
      <c r="W1404" s="289">
        <v>0</v>
      </c>
      <c r="X1404" s="288">
        <v>0.10008333333333333</v>
      </c>
      <c r="Y1404" s="288">
        <v>0.10006666666666666</v>
      </c>
      <c r="Z1404" s="288">
        <v>1.2499999999999999E-5</v>
      </c>
      <c r="AA1404" s="288">
        <v>0</v>
      </c>
      <c r="AB1404" s="288">
        <v>0</v>
      </c>
      <c r="AC1404" s="289">
        <v>0.10007916666666666</v>
      </c>
      <c r="AD1404" s="289">
        <v>0</v>
      </c>
    </row>
    <row r="1405" spans="1:30" ht="15" customHeight="1" x14ac:dyDescent="0.25">
      <c r="A1405" s="282" t="s">
        <v>581</v>
      </c>
      <c r="B1405" s="282" t="s">
        <v>594</v>
      </c>
      <c r="C1405" s="282" t="s">
        <v>595</v>
      </c>
      <c r="D1405" s="283" t="s">
        <v>2078</v>
      </c>
      <c r="E1405" s="404">
        <v>45016</v>
      </c>
      <c r="F1405" s="404">
        <v>46843</v>
      </c>
      <c r="G1405" s="286" t="s">
        <v>316</v>
      </c>
      <c r="H1405" s="282" t="s">
        <v>1227</v>
      </c>
      <c r="I1405" s="282" t="s">
        <v>590</v>
      </c>
      <c r="J1405" s="282" t="s">
        <v>156</v>
      </c>
      <c r="K1405" s="286" t="s">
        <v>1228</v>
      </c>
      <c r="L1405" s="282" t="s">
        <v>574</v>
      </c>
      <c r="M1405" s="287">
        <v>2400</v>
      </c>
      <c r="N1405" s="287">
        <v>0</v>
      </c>
      <c r="O1405" s="287">
        <v>0</v>
      </c>
      <c r="P1405" s="287"/>
      <c r="Q1405" s="288">
        <v>199.92</v>
      </c>
      <c r="R1405" s="288">
        <v>199.88</v>
      </c>
      <c r="S1405" s="288">
        <v>0.03</v>
      </c>
      <c r="T1405" s="288"/>
      <c r="U1405" s="288">
        <v>0</v>
      </c>
      <c r="V1405" s="289">
        <v>199.91</v>
      </c>
      <c r="W1405" s="289">
        <v>0</v>
      </c>
      <c r="X1405" s="288">
        <v>8.3299999999999999E-2</v>
      </c>
      <c r="Y1405" s="288">
        <v>8.3283333333333334E-2</v>
      </c>
      <c r="Z1405" s="288">
        <v>1.2499999999999999E-5</v>
      </c>
      <c r="AA1405" s="288">
        <v>0</v>
      </c>
      <c r="AB1405" s="288">
        <v>0</v>
      </c>
      <c r="AC1405" s="289">
        <v>8.3295833333333333E-2</v>
      </c>
      <c r="AD1405" s="289">
        <v>0</v>
      </c>
    </row>
    <row r="1406" spans="1:30" ht="15" customHeight="1" x14ac:dyDescent="0.25">
      <c r="A1406" s="282" t="s">
        <v>581</v>
      </c>
      <c r="B1406" s="282" t="s">
        <v>628</v>
      </c>
      <c r="C1406" s="282" t="s">
        <v>629</v>
      </c>
      <c r="D1406" s="283" t="s">
        <v>2079</v>
      </c>
      <c r="E1406" s="404">
        <v>45016</v>
      </c>
      <c r="F1406" s="404">
        <v>46843</v>
      </c>
      <c r="G1406" s="286" t="s">
        <v>264</v>
      </c>
      <c r="H1406" s="282" t="s">
        <v>1222</v>
      </c>
      <c r="I1406" s="282" t="s">
        <v>590</v>
      </c>
      <c r="J1406" s="282" t="s">
        <v>156</v>
      </c>
      <c r="K1406" s="286" t="s">
        <v>1223</v>
      </c>
      <c r="L1406" s="282" t="s">
        <v>574</v>
      </c>
      <c r="M1406" s="287">
        <v>2400</v>
      </c>
      <c r="N1406" s="287">
        <v>0</v>
      </c>
      <c r="O1406" s="287">
        <v>0</v>
      </c>
      <c r="P1406" s="287"/>
      <c r="Q1406" s="288">
        <v>208.85</v>
      </c>
      <c r="R1406" s="288">
        <v>208.81</v>
      </c>
      <c r="S1406" s="288">
        <v>2.9499999999999998E-2</v>
      </c>
      <c r="T1406" s="288"/>
      <c r="U1406" s="288">
        <v>0</v>
      </c>
      <c r="V1406" s="289">
        <v>208.83950000000002</v>
      </c>
      <c r="W1406" s="289">
        <v>0</v>
      </c>
      <c r="X1406" s="288">
        <v>8.7020833333333325E-2</v>
      </c>
      <c r="Y1406" s="288">
        <v>8.7004166666666674E-2</v>
      </c>
      <c r="Z1406" s="288">
        <v>1.2291666666666666E-5</v>
      </c>
      <c r="AA1406" s="288">
        <v>0</v>
      </c>
      <c r="AB1406" s="288">
        <v>0</v>
      </c>
      <c r="AC1406" s="289">
        <v>8.7016458333333338E-2</v>
      </c>
      <c r="AD1406" s="289">
        <v>0</v>
      </c>
    </row>
    <row r="1407" spans="1:30" ht="15" customHeight="1" x14ac:dyDescent="0.25">
      <c r="A1407" s="282" t="s">
        <v>581</v>
      </c>
      <c r="B1407" s="282" t="s">
        <v>611</v>
      </c>
      <c r="C1407" s="282" t="s">
        <v>612</v>
      </c>
      <c r="D1407" s="283" t="s">
        <v>2080</v>
      </c>
      <c r="E1407" s="404">
        <v>45016</v>
      </c>
      <c r="F1407" s="404">
        <v>46843</v>
      </c>
      <c r="G1407" s="286" t="s">
        <v>316</v>
      </c>
      <c r="H1407" s="282" t="s">
        <v>1227</v>
      </c>
      <c r="I1407" s="282" t="s">
        <v>590</v>
      </c>
      <c r="J1407" s="282" t="s">
        <v>156</v>
      </c>
      <c r="K1407" s="286" t="s">
        <v>1228</v>
      </c>
      <c r="L1407" s="282" t="s">
        <v>574</v>
      </c>
      <c r="M1407" s="287">
        <v>2400</v>
      </c>
      <c r="N1407" s="287">
        <v>0</v>
      </c>
      <c r="O1407" s="287">
        <v>0</v>
      </c>
      <c r="P1407" s="287"/>
      <c r="Q1407" s="288">
        <v>194.07</v>
      </c>
      <c r="R1407" s="288">
        <v>194.02</v>
      </c>
      <c r="S1407" s="288">
        <v>0.04</v>
      </c>
      <c r="T1407" s="288"/>
      <c r="U1407" s="288">
        <v>0</v>
      </c>
      <c r="V1407" s="289">
        <v>194.06</v>
      </c>
      <c r="W1407" s="289">
        <v>0</v>
      </c>
      <c r="X1407" s="288">
        <v>8.0862500000000004E-2</v>
      </c>
      <c r="Y1407" s="288">
        <v>8.0841666666666673E-2</v>
      </c>
      <c r="Z1407" s="288">
        <v>1.6666666666666667E-5</v>
      </c>
      <c r="AA1407" s="288">
        <v>0</v>
      </c>
      <c r="AB1407" s="288">
        <v>0</v>
      </c>
      <c r="AC1407" s="289">
        <v>8.0858333333333338E-2</v>
      </c>
      <c r="AD1407" s="289">
        <v>0</v>
      </c>
    </row>
    <row r="1408" spans="1:30" ht="15" customHeight="1" x14ac:dyDescent="0.25">
      <c r="A1408" s="282" t="s">
        <v>581</v>
      </c>
      <c r="B1408" s="282" t="s">
        <v>611</v>
      </c>
      <c r="C1408" s="282" t="s">
        <v>612</v>
      </c>
      <c r="D1408" s="283" t="s">
        <v>2081</v>
      </c>
      <c r="E1408" s="404">
        <v>45016</v>
      </c>
      <c r="F1408" s="404">
        <v>46843</v>
      </c>
      <c r="G1408" s="286" t="s">
        <v>316</v>
      </c>
      <c r="H1408" s="282" t="s">
        <v>1227</v>
      </c>
      <c r="I1408" s="282" t="s">
        <v>590</v>
      </c>
      <c r="J1408" s="282" t="s">
        <v>156</v>
      </c>
      <c r="K1408" s="286" t="s">
        <v>1228</v>
      </c>
      <c r="L1408" s="282" t="s">
        <v>574</v>
      </c>
      <c r="M1408" s="287">
        <v>2400</v>
      </c>
      <c r="N1408" s="287">
        <v>0</v>
      </c>
      <c r="O1408" s="287">
        <v>0</v>
      </c>
      <c r="P1408" s="287"/>
      <c r="Q1408" s="288">
        <v>188.39</v>
      </c>
      <c r="R1408" s="288">
        <v>188.35</v>
      </c>
      <c r="S1408" s="288">
        <v>0.03</v>
      </c>
      <c r="T1408" s="288"/>
      <c r="U1408" s="288">
        <v>0</v>
      </c>
      <c r="V1408" s="289">
        <v>188.38</v>
      </c>
      <c r="W1408" s="289">
        <v>0</v>
      </c>
      <c r="X1408" s="288">
        <v>7.8495833333333334E-2</v>
      </c>
      <c r="Y1408" s="288">
        <v>7.8479166666666669E-2</v>
      </c>
      <c r="Z1408" s="288">
        <v>1.2499999999999999E-5</v>
      </c>
      <c r="AA1408" s="288">
        <v>0</v>
      </c>
      <c r="AB1408" s="288">
        <v>0</v>
      </c>
      <c r="AC1408" s="289">
        <v>7.8491666666666668E-2</v>
      </c>
      <c r="AD1408" s="289">
        <v>0</v>
      </c>
    </row>
    <row r="1409" spans="1:30" ht="15" customHeight="1" x14ac:dyDescent="0.25">
      <c r="A1409" s="282" t="s">
        <v>581</v>
      </c>
      <c r="B1409" s="282" t="s">
        <v>611</v>
      </c>
      <c r="C1409" s="282" t="s">
        <v>612</v>
      </c>
      <c r="D1409" s="283" t="s">
        <v>2082</v>
      </c>
      <c r="E1409" s="404">
        <v>45016</v>
      </c>
      <c r="F1409" s="404">
        <v>46843</v>
      </c>
      <c r="G1409" s="286" t="s">
        <v>316</v>
      </c>
      <c r="H1409" s="282" t="s">
        <v>1227</v>
      </c>
      <c r="I1409" s="282" t="s">
        <v>590</v>
      </c>
      <c r="J1409" s="282" t="s">
        <v>156</v>
      </c>
      <c r="K1409" s="286" t="s">
        <v>1228</v>
      </c>
      <c r="L1409" s="282" t="s">
        <v>574</v>
      </c>
      <c r="M1409" s="287">
        <v>2400</v>
      </c>
      <c r="N1409" s="287">
        <v>0</v>
      </c>
      <c r="O1409" s="287">
        <v>0</v>
      </c>
      <c r="P1409" s="287"/>
      <c r="Q1409" s="288">
        <v>188.17</v>
      </c>
      <c r="R1409" s="288">
        <v>188.13</v>
      </c>
      <c r="S1409" s="288">
        <v>0.03</v>
      </c>
      <c r="T1409" s="288"/>
      <c r="U1409" s="288">
        <v>0</v>
      </c>
      <c r="V1409" s="289">
        <v>188.16</v>
      </c>
      <c r="W1409" s="289">
        <v>0</v>
      </c>
      <c r="X1409" s="288">
        <v>7.8404166666666664E-2</v>
      </c>
      <c r="Y1409" s="288">
        <v>7.8387499999999999E-2</v>
      </c>
      <c r="Z1409" s="288">
        <v>1.2499999999999999E-5</v>
      </c>
      <c r="AA1409" s="288">
        <v>0</v>
      </c>
      <c r="AB1409" s="288">
        <v>0</v>
      </c>
      <c r="AC1409" s="289">
        <v>7.8399999999999997E-2</v>
      </c>
      <c r="AD1409" s="289">
        <v>0</v>
      </c>
    </row>
    <row r="1410" spans="1:30" ht="15" customHeight="1" x14ac:dyDescent="0.25">
      <c r="A1410" s="282" t="s">
        <v>581</v>
      </c>
      <c r="B1410" s="282" t="s">
        <v>628</v>
      </c>
      <c r="C1410" s="282" t="s">
        <v>629</v>
      </c>
      <c r="D1410" s="283" t="s">
        <v>2083</v>
      </c>
      <c r="E1410" s="404">
        <v>45016</v>
      </c>
      <c r="F1410" s="404">
        <v>46843</v>
      </c>
      <c r="G1410" s="286" t="s">
        <v>316</v>
      </c>
      <c r="H1410" s="282" t="s">
        <v>1227</v>
      </c>
      <c r="I1410" s="282" t="s">
        <v>590</v>
      </c>
      <c r="J1410" s="282" t="s">
        <v>156</v>
      </c>
      <c r="K1410" s="286" t="s">
        <v>1228</v>
      </c>
      <c r="L1410" s="282" t="s">
        <v>574</v>
      </c>
      <c r="M1410" s="287">
        <v>2400</v>
      </c>
      <c r="N1410" s="287">
        <v>0</v>
      </c>
      <c r="O1410" s="287">
        <v>0</v>
      </c>
      <c r="P1410" s="287"/>
      <c r="Q1410" s="288">
        <v>178.52</v>
      </c>
      <c r="R1410" s="288">
        <v>178.48</v>
      </c>
      <c r="S1410" s="288">
        <v>0.03</v>
      </c>
      <c r="T1410" s="288"/>
      <c r="U1410" s="288">
        <v>0</v>
      </c>
      <c r="V1410" s="289">
        <v>178.51</v>
      </c>
      <c r="W1410" s="289">
        <v>0</v>
      </c>
      <c r="X1410" s="288">
        <v>7.4383333333333343E-2</v>
      </c>
      <c r="Y1410" s="288">
        <v>7.4366666666666664E-2</v>
      </c>
      <c r="Z1410" s="288">
        <v>1.2499999999999999E-5</v>
      </c>
      <c r="AA1410" s="288">
        <v>0</v>
      </c>
      <c r="AB1410" s="288">
        <v>0</v>
      </c>
      <c r="AC1410" s="289">
        <v>7.4379166666666663E-2</v>
      </c>
      <c r="AD1410" s="289">
        <v>0</v>
      </c>
    </row>
    <row r="1411" spans="1:30" ht="15" customHeight="1" x14ac:dyDescent="0.25">
      <c r="A1411" s="282" t="s">
        <v>581</v>
      </c>
      <c r="B1411" s="282" t="s">
        <v>628</v>
      </c>
      <c r="C1411" s="282" t="s">
        <v>629</v>
      </c>
      <c r="D1411" s="283" t="s">
        <v>2084</v>
      </c>
      <c r="E1411" s="404">
        <v>45016</v>
      </c>
      <c r="F1411" s="404">
        <v>46843</v>
      </c>
      <c r="G1411" s="286" t="s">
        <v>316</v>
      </c>
      <c r="H1411" s="282" t="s">
        <v>1227</v>
      </c>
      <c r="I1411" s="282" t="s">
        <v>590</v>
      </c>
      <c r="J1411" s="282" t="s">
        <v>156</v>
      </c>
      <c r="K1411" s="286" t="s">
        <v>1228</v>
      </c>
      <c r="L1411" s="282" t="s">
        <v>574</v>
      </c>
      <c r="M1411" s="287">
        <v>2400</v>
      </c>
      <c r="N1411" s="287">
        <v>0</v>
      </c>
      <c r="O1411" s="287">
        <v>0</v>
      </c>
      <c r="P1411" s="287"/>
      <c r="Q1411" s="288">
        <v>173.59</v>
      </c>
      <c r="R1411" s="288">
        <v>173.54</v>
      </c>
      <c r="S1411" s="288">
        <v>0.04</v>
      </c>
      <c r="T1411" s="288"/>
      <c r="U1411" s="288">
        <v>0</v>
      </c>
      <c r="V1411" s="289">
        <v>173.57999999999998</v>
      </c>
      <c r="W1411" s="289">
        <v>0</v>
      </c>
      <c r="X1411" s="288">
        <v>7.2329166666666667E-2</v>
      </c>
      <c r="Y1411" s="288">
        <v>7.2308333333333336E-2</v>
      </c>
      <c r="Z1411" s="288">
        <v>1.6666666666666667E-5</v>
      </c>
      <c r="AA1411" s="288">
        <v>0</v>
      </c>
      <c r="AB1411" s="288">
        <v>0</v>
      </c>
      <c r="AC1411" s="289">
        <v>7.2325E-2</v>
      </c>
      <c r="AD1411" s="289">
        <v>0</v>
      </c>
    </row>
    <row r="1412" spans="1:30" ht="15" customHeight="1" x14ac:dyDescent="0.25">
      <c r="A1412" s="282" t="s">
        <v>581</v>
      </c>
      <c r="B1412" s="282" t="s">
        <v>594</v>
      </c>
      <c r="C1412" s="282" t="s">
        <v>595</v>
      </c>
      <c r="D1412" s="283" t="s">
        <v>2085</v>
      </c>
      <c r="E1412" s="404">
        <v>45016</v>
      </c>
      <c r="F1412" s="404">
        <v>46843</v>
      </c>
      <c r="G1412" s="286" t="s">
        <v>316</v>
      </c>
      <c r="H1412" s="282" t="s">
        <v>1227</v>
      </c>
      <c r="I1412" s="282" t="s">
        <v>590</v>
      </c>
      <c r="J1412" s="282" t="s">
        <v>156</v>
      </c>
      <c r="K1412" s="286" t="s">
        <v>1228</v>
      </c>
      <c r="L1412" s="282" t="s">
        <v>574</v>
      </c>
      <c r="M1412" s="287">
        <v>2400</v>
      </c>
      <c r="N1412" s="287">
        <v>0</v>
      </c>
      <c r="O1412" s="287">
        <v>0</v>
      </c>
      <c r="P1412" s="287"/>
      <c r="Q1412" s="288">
        <v>162.69999999999999</v>
      </c>
      <c r="R1412" s="288">
        <v>162.66999999999999</v>
      </c>
      <c r="S1412" s="288">
        <v>0.02</v>
      </c>
      <c r="T1412" s="288"/>
      <c r="U1412" s="288">
        <v>0</v>
      </c>
      <c r="V1412" s="289">
        <v>162.69</v>
      </c>
      <c r="W1412" s="289">
        <v>0</v>
      </c>
      <c r="X1412" s="288">
        <v>6.7791666666666667E-2</v>
      </c>
      <c r="Y1412" s="288">
        <v>6.7779166666666668E-2</v>
      </c>
      <c r="Z1412" s="288">
        <v>8.3333333333333337E-6</v>
      </c>
      <c r="AA1412" s="288">
        <v>0</v>
      </c>
      <c r="AB1412" s="288">
        <v>0</v>
      </c>
      <c r="AC1412" s="289">
        <v>6.7787500000000001E-2</v>
      </c>
      <c r="AD1412" s="289">
        <v>0</v>
      </c>
    </row>
    <row r="1413" spans="1:30" ht="15" customHeight="1" x14ac:dyDescent="0.25">
      <c r="A1413" s="282" t="s">
        <v>581</v>
      </c>
      <c r="B1413" s="282" t="s">
        <v>628</v>
      </c>
      <c r="C1413" s="282" t="s">
        <v>629</v>
      </c>
      <c r="D1413" s="283" t="s">
        <v>2086</v>
      </c>
      <c r="E1413" s="404">
        <v>45016</v>
      </c>
      <c r="F1413" s="404">
        <v>46843</v>
      </c>
      <c r="G1413" s="286" t="s">
        <v>264</v>
      </c>
      <c r="H1413" s="282" t="s">
        <v>1222</v>
      </c>
      <c r="I1413" s="282" t="s">
        <v>590</v>
      </c>
      <c r="J1413" s="282" t="s">
        <v>156</v>
      </c>
      <c r="K1413" s="286" t="s">
        <v>1223</v>
      </c>
      <c r="L1413" s="282" t="s">
        <v>574</v>
      </c>
      <c r="M1413" s="287">
        <v>2400</v>
      </c>
      <c r="N1413" s="287">
        <v>0</v>
      </c>
      <c r="O1413" s="287">
        <v>0</v>
      </c>
      <c r="P1413" s="287"/>
      <c r="Q1413" s="288">
        <v>226.95</v>
      </c>
      <c r="R1413" s="288">
        <v>226.92</v>
      </c>
      <c r="S1413" s="288">
        <v>1.6E-2</v>
      </c>
      <c r="T1413" s="288"/>
      <c r="U1413" s="288">
        <v>0</v>
      </c>
      <c r="V1413" s="289">
        <v>226.93599999999998</v>
      </c>
      <c r="W1413" s="289">
        <v>0</v>
      </c>
      <c r="X1413" s="288">
        <v>9.4562499999999994E-2</v>
      </c>
      <c r="Y1413" s="288">
        <v>9.4549999999999995E-2</v>
      </c>
      <c r="Z1413" s="288">
        <v>6.6666666666666666E-6</v>
      </c>
      <c r="AA1413" s="288">
        <v>0</v>
      </c>
      <c r="AB1413" s="288">
        <v>0</v>
      </c>
      <c r="AC1413" s="289">
        <v>9.4556666666666664E-2</v>
      </c>
      <c r="AD1413" s="289">
        <v>0</v>
      </c>
    </row>
    <row r="1414" spans="1:30" ht="15" customHeight="1" x14ac:dyDescent="0.25">
      <c r="A1414" s="282" t="s">
        <v>581</v>
      </c>
      <c r="B1414" s="282" t="s">
        <v>594</v>
      </c>
      <c r="C1414" s="282" t="s">
        <v>595</v>
      </c>
      <c r="D1414" s="283" t="s">
        <v>2087</v>
      </c>
      <c r="E1414" s="404">
        <v>45016</v>
      </c>
      <c r="F1414" s="404">
        <v>46843</v>
      </c>
      <c r="G1414" s="286" t="s">
        <v>316</v>
      </c>
      <c r="H1414" s="282" t="s">
        <v>1227</v>
      </c>
      <c r="I1414" s="282" t="s">
        <v>590</v>
      </c>
      <c r="J1414" s="282" t="s">
        <v>156</v>
      </c>
      <c r="K1414" s="286" t="s">
        <v>1228</v>
      </c>
      <c r="L1414" s="282" t="s">
        <v>574</v>
      </c>
      <c r="M1414" s="287">
        <v>2400</v>
      </c>
      <c r="N1414" s="287">
        <v>0</v>
      </c>
      <c r="O1414" s="287">
        <v>0</v>
      </c>
      <c r="P1414" s="287"/>
      <c r="Q1414" s="288">
        <v>158.13</v>
      </c>
      <c r="R1414" s="288">
        <v>158.09</v>
      </c>
      <c r="S1414" s="288">
        <v>0.03</v>
      </c>
      <c r="T1414" s="288"/>
      <c r="U1414" s="288">
        <v>0</v>
      </c>
      <c r="V1414" s="289">
        <v>158.12</v>
      </c>
      <c r="W1414" s="289">
        <v>0</v>
      </c>
      <c r="X1414" s="288">
        <v>6.5887500000000002E-2</v>
      </c>
      <c r="Y1414" s="288">
        <v>6.5870833333333337E-2</v>
      </c>
      <c r="Z1414" s="288">
        <v>1.2499999999999999E-5</v>
      </c>
      <c r="AA1414" s="288">
        <v>0</v>
      </c>
      <c r="AB1414" s="288">
        <v>0</v>
      </c>
      <c r="AC1414" s="289">
        <v>6.5883333333333335E-2</v>
      </c>
      <c r="AD1414" s="289">
        <v>0</v>
      </c>
    </row>
    <row r="1415" spans="1:30" ht="15" customHeight="1" x14ac:dyDescent="0.25">
      <c r="A1415" s="282" t="s">
        <v>581</v>
      </c>
      <c r="B1415" s="282" t="s">
        <v>1488</v>
      </c>
      <c r="C1415" s="282" t="s">
        <v>595</v>
      </c>
      <c r="D1415" s="283" t="s">
        <v>2088</v>
      </c>
      <c r="E1415" s="404">
        <v>45016</v>
      </c>
      <c r="F1415" s="404">
        <v>46843</v>
      </c>
      <c r="G1415" s="286" t="s">
        <v>264</v>
      </c>
      <c r="H1415" s="282" t="s">
        <v>1222</v>
      </c>
      <c r="I1415" s="282" t="s">
        <v>590</v>
      </c>
      <c r="J1415" s="282" t="s">
        <v>156</v>
      </c>
      <c r="K1415" s="286" t="s">
        <v>1223</v>
      </c>
      <c r="L1415" s="282" t="s">
        <v>574</v>
      </c>
      <c r="M1415" s="287">
        <v>2400</v>
      </c>
      <c r="N1415" s="287">
        <v>0</v>
      </c>
      <c r="O1415" s="287">
        <v>0</v>
      </c>
      <c r="P1415" s="287"/>
      <c r="Q1415" s="288">
        <v>180.42</v>
      </c>
      <c r="R1415" s="288">
        <v>180.4</v>
      </c>
      <c r="S1415" s="288">
        <v>8.4200000000000004E-3</v>
      </c>
      <c r="T1415" s="288"/>
      <c r="U1415" s="288">
        <v>0</v>
      </c>
      <c r="V1415" s="289">
        <v>180.40842000000001</v>
      </c>
      <c r="W1415" s="289">
        <v>0</v>
      </c>
      <c r="X1415" s="288">
        <v>7.5174999999999992E-2</v>
      </c>
      <c r="Y1415" s="288">
        <v>7.5166666666666673E-2</v>
      </c>
      <c r="Z1415" s="288">
        <v>3.5083333333333333E-6</v>
      </c>
      <c r="AA1415" s="288">
        <v>0</v>
      </c>
      <c r="AB1415" s="288">
        <v>0</v>
      </c>
      <c r="AC1415" s="289">
        <v>7.5170175000000006E-2</v>
      </c>
      <c r="AD1415" s="289">
        <v>0</v>
      </c>
    </row>
    <row r="1416" spans="1:30" ht="15" customHeight="1" x14ac:dyDescent="0.25">
      <c r="A1416" s="282" t="s">
        <v>581</v>
      </c>
      <c r="B1416" s="282" t="s">
        <v>628</v>
      </c>
      <c r="C1416" s="282" t="s">
        <v>629</v>
      </c>
      <c r="D1416" s="283" t="s">
        <v>2089</v>
      </c>
      <c r="E1416" s="404">
        <v>45016</v>
      </c>
      <c r="F1416" s="404">
        <v>46843</v>
      </c>
      <c r="G1416" s="286" t="s">
        <v>264</v>
      </c>
      <c r="H1416" s="282" t="s">
        <v>1222</v>
      </c>
      <c r="I1416" s="282" t="s">
        <v>590</v>
      </c>
      <c r="J1416" s="282" t="s">
        <v>156</v>
      </c>
      <c r="K1416" s="286" t="s">
        <v>1223</v>
      </c>
      <c r="L1416" s="282" t="s">
        <v>574</v>
      </c>
      <c r="M1416" s="287">
        <v>2400</v>
      </c>
      <c r="N1416" s="287">
        <v>0</v>
      </c>
      <c r="O1416" s="287">
        <v>0</v>
      </c>
      <c r="P1416" s="287"/>
      <c r="Q1416" s="288">
        <v>231.67</v>
      </c>
      <c r="R1416" s="288">
        <v>231.64</v>
      </c>
      <c r="S1416" s="288">
        <v>1.4999999999999999E-2</v>
      </c>
      <c r="T1416" s="288"/>
      <c r="U1416" s="288">
        <v>0</v>
      </c>
      <c r="V1416" s="289">
        <v>231.65499999999997</v>
      </c>
      <c r="W1416" s="289">
        <v>0</v>
      </c>
      <c r="X1416" s="288">
        <v>9.6529166666666666E-2</v>
      </c>
      <c r="Y1416" s="288">
        <v>9.6516666666666667E-2</v>
      </c>
      <c r="Z1416" s="288">
        <v>6.2499999999999995E-6</v>
      </c>
      <c r="AA1416" s="288">
        <v>0</v>
      </c>
      <c r="AB1416" s="288">
        <v>0</v>
      </c>
      <c r="AC1416" s="289">
        <v>9.6522916666666667E-2</v>
      </c>
      <c r="AD1416" s="289">
        <v>0</v>
      </c>
    </row>
    <row r="1417" spans="1:30" ht="15" customHeight="1" x14ac:dyDescent="0.25">
      <c r="A1417" s="282" t="s">
        <v>581</v>
      </c>
      <c r="B1417" s="282" t="s">
        <v>628</v>
      </c>
      <c r="C1417" s="282" t="s">
        <v>629</v>
      </c>
      <c r="D1417" s="283" t="s">
        <v>2090</v>
      </c>
      <c r="E1417" s="404">
        <v>45016</v>
      </c>
      <c r="F1417" s="404">
        <v>46843</v>
      </c>
      <c r="G1417" s="286" t="s">
        <v>264</v>
      </c>
      <c r="H1417" s="282" t="s">
        <v>1222</v>
      </c>
      <c r="I1417" s="282" t="s">
        <v>590</v>
      </c>
      <c r="J1417" s="282" t="s">
        <v>156</v>
      </c>
      <c r="K1417" s="286" t="s">
        <v>1223</v>
      </c>
      <c r="L1417" s="282" t="s">
        <v>574</v>
      </c>
      <c r="M1417" s="287">
        <v>2400</v>
      </c>
      <c r="N1417" s="287">
        <v>0</v>
      </c>
      <c r="O1417" s="287">
        <v>0</v>
      </c>
      <c r="P1417" s="287"/>
      <c r="Q1417" s="288">
        <v>226.91</v>
      </c>
      <c r="R1417" s="288">
        <v>226.88</v>
      </c>
      <c r="S1417" s="288">
        <v>1.43E-2</v>
      </c>
      <c r="T1417" s="288"/>
      <c r="U1417" s="288">
        <v>0</v>
      </c>
      <c r="V1417" s="289">
        <v>226.89429999999999</v>
      </c>
      <c r="W1417" s="289">
        <v>0</v>
      </c>
      <c r="X1417" s="288">
        <v>9.4545833333333329E-2</v>
      </c>
      <c r="Y1417" s="288">
        <v>9.453333333333333E-2</v>
      </c>
      <c r="Z1417" s="288">
        <v>5.9583333333333336E-6</v>
      </c>
      <c r="AA1417" s="288">
        <v>0</v>
      </c>
      <c r="AB1417" s="288">
        <v>0</v>
      </c>
      <c r="AC1417" s="289">
        <v>9.4539291666666664E-2</v>
      </c>
      <c r="AD1417" s="289">
        <v>0</v>
      </c>
    </row>
    <row r="1418" spans="1:30" ht="15" customHeight="1" x14ac:dyDescent="0.25">
      <c r="A1418" s="282" t="s">
        <v>581</v>
      </c>
      <c r="B1418" s="282" t="s">
        <v>594</v>
      </c>
      <c r="C1418" s="282" t="s">
        <v>595</v>
      </c>
      <c r="D1418" s="283" t="s">
        <v>2091</v>
      </c>
      <c r="E1418" s="404">
        <v>45016</v>
      </c>
      <c r="F1418" s="404">
        <v>46843</v>
      </c>
      <c r="G1418" s="286" t="s">
        <v>264</v>
      </c>
      <c r="H1418" s="282" t="s">
        <v>1222</v>
      </c>
      <c r="I1418" s="282" t="s">
        <v>590</v>
      </c>
      <c r="J1418" s="282" t="s">
        <v>156</v>
      </c>
      <c r="K1418" s="286" t="s">
        <v>1223</v>
      </c>
      <c r="L1418" s="282" t="s">
        <v>574</v>
      </c>
      <c r="M1418" s="287">
        <v>2400</v>
      </c>
      <c r="N1418" s="287">
        <v>0</v>
      </c>
      <c r="O1418" s="287">
        <v>0</v>
      </c>
      <c r="P1418" s="287"/>
      <c r="Q1418" s="288">
        <v>211.2</v>
      </c>
      <c r="R1418" s="288">
        <v>211.17</v>
      </c>
      <c r="S1418" s="288">
        <v>1.44E-2</v>
      </c>
      <c r="T1418" s="288"/>
      <c r="U1418" s="288">
        <v>0</v>
      </c>
      <c r="V1418" s="289">
        <v>211.18439999999998</v>
      </c>
      <c r="W1418" s="289">
        <v>0</v>
      </c>
      <c r="X1418" s="288">
        <v>8.7999999999999995E-2</v>
      </c>
      <c r="Y1418" s="288">
        <v>8.7987499999999996E-2</v>
      </c>
      <c r="Z1418" s="288">
        <v>6.0000000000000002E-6</v>
      </c>
      <c r="AA1418" s="288">
        <v>0</v>
      </c>
      <c r="AB1418" s="288">
        <v>0</v>
      </c>
      <c r="AC1418" s="289">
        <v>8.7993500000000002E-2</v>
      </c>
      <c r="AD1418" s="289">
        <v>0</v>
      </c>
    </row>
    <row r="1419" spans="1:30" ht="15" customHeight="1" x14ac:dyDescent="0.25">
      <c r="A1419" s="282" t="s">
        <v>581</v>
      </c>
      <c r="B1419" s="282" t="s">
        <v>2092</v>
      </c>
      <c r="C1419" s="282" t="s">
        <v>1237</v>
      </c>
      <c r="D1419" s="283" t="s">
        <v>2093</v>
      </c>
      <c r="E1419" s="404">
        <v>45016</v>
      </c>
      <c r="F1419" s="404">
        <v>46843</v>
      </c>
      <c r="G1419" s="286" t="s">
        <v>264</v>
      </c>
      <c r="H1419" s="282" t="s">
        <v>1222</v>
      </c>
      <c r="I1419" s="282" t="s">
        <v>590</v>
      </c>
      <c r="J1419" s="282" t="s">
        <v>156</v>
      </c>
      <c r="K1419" s="286" t="s">
        <v>1223</v>
      </c>
      <c r="L1419" s="282" t="s">
        <v>574</v>
      </c>
      <c r="M1419" s="287">
        <v>2400</v>
      </c>
      <c r="N1419" s="287">
        <v>0</v>
      </c>
      <c r="O1419" s="287">
        <v>0</v>
      </c>
      <c r="P1419" s="287"/>
      <c r="Q1419" s="288">
        <v>154.07</v>
      </c>
      <c r="R1419" s="288">
        <v>154.03</v>
      </c>
      <c r="S1419" s="288">
        <v>2.5600000000000001E-2</v>
      </c>
      <c r="T1419" s="288"/>
      <c r="U1419" s="288">
        <v>0</v>
      </c>
      <c r="V1419" s="289">
        <v>154.0556</v>
      </c>
      <c r="W1419" s="289">
        <v>0</v>
      </c>
      <c r="X1419" s="288">
        <v>6.4195833333333327E-2</v>
      </c>
      <c r="Y1419" s="288">
        <v>6.4179166666666662E-2</v>
      </c>
      <c r="Z1419" s="288">
        <v>1.0666666666666667E-5</v>
      </c>
      <c r="AA1419" s="288">
        <v>0</v>
      </c>
      <c r="AB1419" s="288">
        <v>0</v>
      </c>
      <c r="AC1419" s="289">
        <v>6.4189833333333335E-2</v>
      </c>
      <c r="AD1419" s="289">
        <v>0</v>
      </c>
    </row>
    <row r="1420" spans="1:30" ht="15" customHeight="1" x14ac:dyDescent="0.25">
      <c r="A1420" s="282" t="s">
        <v>581</v>
      </c>
      <c r="B1420" s="282" t="s">
        <v>616</v>
      </c>
      <c r="C1420" s="282" t="s">
        <v>617</v>
      </c>
      <c r="D1420" s="283" t="s">
        <v>2094</v>
      </c>
      <c r="E1420" s="404">
        <v>44910</v>
      </c>
      <c r="F1420" s="404">
        <v>46736</v>
      </c>
      <c r="G1420" s="286" t="s">
        <v>608</v>
      </c>
      <c r="H1420" s="282" t="s">
        <v>609</v>
      </c>
      <c r="I1420" s="282" t="s">
        <v>590</v>
      </c>
      <c r="J1420" s="282" t="s">
        <v>156</v>
      </c>
      <c r="K1420" s="286" t="s">
        <v>610</v>
      </c>
      <c r="L1420" s="282" t="s">
        <v>574</v>
      </c>
      <c r="M1420" s="287">
        <v>2400</v>
      </c>
      <c r="N1420" s="287">
        <v>0</v>
      </c>
      <c r="O1420" s="287">
        <v>0</v>
      </c>
      <c r="P1420" s="287"/>
      <c r="Q1420" s="288">
        <v>290</v>
      </c>
      <c r="R1420" s="288">
        <v>286</v>
      </c>
      <c r="S1420" s="288">
        <v>3.96</v>
      </c>
      <c r="T1420" s="288"/>
      <c r="U1420" s="288">
        <v>0</v>
      </c>
      <c r="V1420" s="289">
        <v>289.95999999999998</v>
      </c>
      <c r="W1420" s="289">
        <v>0</v>
      </c>
      <c r="X1420" s="288">
        <v>0.12083333333333333</v>
      </c>
      <c r="Y1420" s="288">
        <v>0.11916666666666667</v>
      </c>
      <c r="Z1420" s="288">
        <v>1.65E-3</v>
      </c>
      <c r="AA1420" s="288">
        <v>0</v>
      </c>
      <c r="AB1420" s="288">
        <v>0</v>
      </c>
      <c r="AC1420" s="289">
        <v>0.12081666666666667</v>
      </c>
      <c r="AD1420" s="289">
        <v>0</v>
      </c>
    </row>
    <row r="1421" spans="1:30" ht="15" customHeight="1" x14ac:dyDescent="0.25">
      <c r="A1421" s="282" t="s">
        <v>581</v>
      </c>
      <c r="B1421" s="282" t="s">
        <v>616</v>
      </c>
      <c r="C1421" s="282" t="s">
        <v>617</v>
      </c>
      <c r="D1421" s="283" t="s">
        <v>2095</v>
      </c>
      <c r="E1421" s="404">
        <v>44910</v>
      </c>
      <c r="F1421" s="404">
        <v>46736</v>
      </c>
      <c r="G1421" s="286" t="s">
        <v>608</v>
      </c>
      <c r="H1421" s="282" t="s">
        <v>609</v>
      </c>
      <c r="I1421" s="282" t="s">
        <v>590</v>
      </c>
      <c r="J1421" s="282" t="s">
        <v>156</v>
      </c>
      <c r="K1421" s="286" t="s">
        <v>610</v>
      </c>
      <c r="L1421" s="282" t="s">
        <v>574</v>
      </c>
      <c r="M1421" s="287">
        <v>2400</v>
      </c>
      <c r="N1421" s="287">
        <v>0</v>
      </c>
      <c r="O1421" s="287">
        <v>0</v>
      </c>
      <c r="P1421" s="287"/>
      <c r="Q1421" s="288">
        <v>516</v>
      </c>
      <c r="R1421" s="288">
        <v>509</v>
      </c>
      <c r="S1421" s="288">
        <v>6.87</v>
      </c>
      <c r="T1421" s="288"/>
      <c r="U1421" s="288">
        <v>0</v>
      </c>
      <c r="V1421" s="289">
        <v>515.87</v>
      </c>
      <c r="W1421" s="289">
        <v>0</v>
      </c>
      <c r="X1421" s="288">
        <v>0.215</v>
      </c>
      <c r="Y1421" s="288">
        <v>0.21208333333333335</v>
      </c>
      <c r="Z1421" s="288">
        <v>2.8625E-3</v>
      </c>
      <c r="AA1421" s="288">
        <v>0</v>
      </c>
      <c r="AB1421" s="288">
        <v>0</v>
      </c>
      <c r="AC1421" s="289">
        <v>0.21494583333333334</v>
      </c>
      <c r="AD1421" s="289">
        <v>0</v>
      </c>
    </row>
    <row r="1422" spans="1:30" ht="15" customHeight="1" x14ac:dyDescent="0.25">
      <c r="A1422" s="282" t="s">
        <v>581</v>
      </c>
      <c r="B1422" s="282" t="s">
        <v>628</v>
      </c>
      <c r="C1422" s="282" t="s">
        <v>629</v>
      </c>
      <c r="D1422" s="283" t="s">
        <v>2096</v>
      </c>
      <c r="E1422" s="404">
        <v>44910</v>
      </c>
      <c r="F1422" s="404">
        <v>46736</v>
      </c>
      <c r="G1422" s="286" t="s">
        <v>608</v>
      </c>
      <c r="H1422" s="282" t="s">
        <v>609</v>
      </c>
      <c r="I1422" s="282" t="s">
        <v>590</v>
      </c>
      <c r="J1422" s="282" t="s">
        <v>156</v>
      </c>
      <c r="K1422" s="286" t="s">
        <v>610</v>
      </c>
      <c r="L1422" s="282" t="s">
        <v>574</v>
      </c>
      <c r="M1422" s="287">
        <v>2400</v>
      </c>
      <c r="N1422" s="287">
        <v>0</v>
      </c>
      <c r="O1422" s="287">
        <v>0</v>
      </c>
      <c r="P1422" s="287"/>
      <c r="Q1422" s="288">
        <v>254</v>
      </c>
      <c r="R1422" s="288">
        <v>251</v>
      </c>
      <c r="S1422" s="288">
        <v>2.92</v>
      </c>
      <c r="T1422" s="288"/>
      <c r="U1422" s="288">
        <v>0</v>
      </c>
      <c r="V1422" s="289">
        <v>253.92</v>
      </c>
      <c r="W1422" s="289">
        <v>0</v>
      </c>
      <c r="X1422" s="288">
        <v>0.10583333333333333</v>
      </c>
      <c r="Y1422" s="288">
        <v>0.10458333333333333</v>
      </c>
      <c r="Z1422" s="288">
        <v>1.2166666666666667E-3</v>
      </c>
      <c r="AA1422" s="288">
        <v>0</v>
      </c>
      <c r="AB1422" s="288">
        <v>0</v>
      </c>
      <c r="AC1422" s="289">
        <v>0.10580000000000001</v>
      </c>
      <c r="AD1422" s="289">
        <v>0</v>
      </c>
    </row>
    <row r="1423" spans="1:30" ht="15" customHeight="1" x14ac:dyDescent="0.25">
      <c r="A1423" s="282" t="s">
        <v>581</v>
      </c>
      <c r="B1423" s="282" t="s">
        <v>585</v>
      </c>
      <c r="C1423" s="282" t="s">
        <v>586</v>
      </c>
      <c r="D1423" s="283" t="s">
        <v>2097</v>
      </c>
      <c r="E1423" s="404">
        <v>44910</v>
      </c>
      <c r="F1423" s="404">
        <v>46736</v>
      </c>
      <c r="G1423" s="286" t="s">
        <v>608</v>
      </c>
      <c r="H1423" s="282" t="s">
        <v>609</v>
      </c>
      <c r="I1423" s="282" t="s">
        <v>590</v>
      </c>
      <c r="J1423" s="282" t="s">
        <v>156</v>
      </c>
      <c r="K1423" s="286" t="s">
        <v>610</v>
      </c>
      <c r="L1423" s="282" t="s">
        <v>574</v>
      </c>
      <c r="M1423" s="287">
        <v>2400</v>
      </c>
      <c r="N1423" s="287">
        <v>0</v>
      </c>
      <c r="O1423" s="287">
        <v>0</v>
      </c>
      <c r="P1423" s="287"/>
      <c r="Q1423" s="288">
        <v>322</v>
      </c>
      <c r="R1423" s="288">
        <v>318</v>
      </c>
      <c r="S1423" s="288">
        <v>3.8</v>
      </c>
      <c r="T1423" s="288"/>
      <c r="U1423" s="288">
        <v>0</v>
      </c>
      <c r="V1423" s="289">
        <v>321.8</v>
      </c>
      <c r="W1423" s="289">
        <v>0</v>
      </c>
      <c r="X1423" s="288">
        <v>0.13416666666666666</v>
      </c>
      <c r="Y1423" s="288">
        <v>0.13250000000000001</v>
      </c>
      <c r="Z1423" s="288">
        <v>1.5833333333333333E-3</v>
      </c>
      <c r="AA1423" s="288">
        <v>0</v>
      </c>
      <c r="AB1423" s="288">
        <v>0</v>
      </c>
      <c r="AC1423" s="289">
        <v>0.13408333333333333</v>
      </c>
      <c r="AD1423" s="289">
        <v>0</v>
      </c>
    </row>
    <row r="1424" spans="1:30" ht="15" customHeight="1" x14ac:dyDescent="0.25">
      <c r="A1424" s="282" t="s">
        <v>581</v>
      </c>
      <c r="B1424" s="282" t="s">
        <v>585</v>
      </c>
      <c r="C1424" s="282" t="s">
        <v>586</v>
      </c>
      <c r="D1424" s="283" t="s">
        <v>2098</v>
      </c>
      <c r="E1424" s="404">
        <v>45016</v>
      </c>
      <c r="F1424" s="404">
        <v>46843</v>
      </c>
      <c r="G1424" s="286" t="s">
        <v>316</v>
      </c>
      <c r="H1424" s="282" t="s">
        <v>1227</v>
      </c>
      <c r="I1424" s="282" t="s">
        <v>590</v>
      </c>
      <c r="J1424" s="282" t="s">
        <v>156</v>
      </c>
      <c r="K1424" s="286" t="s">
        <v>1228</v>
      </c>
      <c r="L1424" s="282" t="s">
        <v>574</v>
      </c>
      <c r="M1424" s="287">
        <v>2400</v>
      </c>
      <c r="N1424" s="287">
        <v>0</v>
      </c>
      <c r="O1424" s="287">
        <v>0</v>
      </c>
      <c r="P1424" s="287"/>
      <c r="Q1424" s="288">
        <v>227.21</v>
      </c>
      <c r="R1424" s="288">
        <v>226.9</v>
      </c>
      <c r="S1424" s="288">
        <v>0.16</v>
      </c>
      <c r="T1424" s="288"/>
      <c r="U1424" s="288">
        <v>0</v>
      </c>
      <c r="V1424" s="289">
        <v>227.06</v>
      </c>
      <c r="W1424" s="289">
        <v>0</v>
      </c>
      <c r="X1424" s="288">
        <v>9.4670833333333343E-2</v>
      </c>
      <c r="Y1424" s="288">
        <v>9.4541666666666663E-2</v>
      </c>
      <c r="Z1424" s="288">
        <v>6.666666666666667E-5</v>
      </c>
      <c r="AA1424" s="288">
        <v>0</v>
      </c>
      <c r="AB1424" s="288">
        <v>0</v>
      </c>
      <c r="AC1424" s="289">
        <v>9.4608333333333336E-2</v>
      </c>
      <c r="AD1424" s="289">
        <v>0</v>
      </c>
    </row>
    <row r="1425" spans="1:30" ht="15" customHeight="1" x14ac:dyDescent="0.25">
      <c r="A1425" s="282" t="s">
        <v>581</v>
      </c>
      <c r="B1425" s="282" t="s">
        <v>611</v>
      </c>
      <c r="C1425" s="282" t="s">
        <v>612</v>
      </c>
      <c r="D1425" s="283" t="s">
        <v>2099</v>
      </c>
      <c r="E1425" s="404">
        <v>44910</v>
      </c>
      <c r="F1425" s="404">
        <v>46736</v>
      </c>
      <c r="G1425" s="286" t="s">
        <v>608</v>
      </c>
      <c r="H1425" s="282" t="s">
        <v>609</v>
      </c>
      <c r="I1425" s="282" t="s">
        <v>590</v>
      </c>
      <c r="J1425" s="282" t="s">
        <v>156</v>
      </c>
      <c r="K1425" s="286" t="s">
        <v>610</v>
      </c>
      <c r="L1425" s="282" t="s">
        <v>574</v>
      </c>
      <c r="M1425" s="287">
        <v>2400</v>
      </c>
      <c r="N1425" s="287">
        <v>0</v>
      </c>
      <c r="O1425" s="287">
        <v>0</v>
      </c>
      <c r="P1425" s="287"/>
      <c r="Q1425" s="288">
        <v>253</v>
      </c>
      <c r="R1425" s="288">
        <v>250</v>
      </c>
      <c r="S1425" s="288">
        <v>2.83</v>
      </c>
      <c r="T1425" s="288"/>
      <c r="U1425" s="288">
        <v>0</v>
      </c>
      <c r="V1425" s="289">
        <v>252.83</v>
      </c>
      <c r="W1425" s="289">
        <v>0</v>
      </c>
      <c r="X1425" s="288">
        <v>0.10541666666666667</v>
      </c>
      <c r="Y1425" s="288">
        <v>0.10416666666666667</v>
      </c>
      <c r="Z1425" s="288">
        <v>1.1791666666666667E-3</v>
      </c>
      <c r="AA1425" s="288">
        <v>0</v>
      </c>
      <c r="AB1425" s="288">
        <v>0</v>
      </c>
      <c r="AC1425" s="289">
        <v>0.10534583333333333</v>
      </c>
      <c r="AD1425" s="289">
        <v>0</v>
      </c>
    </row>
    <row r="1426" spans="1:30" ht="15" customHeight="1" x14ac:dyDescent="0.25">
      <c r="A1426" s="282" t="s">
        <v>581</v>
      </c>
      <c r="B1426" s="282" t="s">
        <v>611</v>
      </c>
      <c r="C1426" s="282" t="s">
        <v>612</v>
      </c>
      <c r="D1426" s="283" t="s">
        <v>2100</v>
      </c>
      <c r="E1426" s="404">
        <v>44910</v>
      </c>
      <c r="F1426" s="404">
        <v>46736</v>
      </c>
      <c r="G1426" s="286" t="s">
        <v>608</v>
      </c>
      <c r="H1426" s="282" t="s">
        <v>609</v>
      </c>
      <c r="I1426" s="282" t="s">
        <v>590</v>
      </c>
      <c r="J1426" s="282" t="s">
        <v>156</v>
      </c>
      <c r="K1426" s="286" t="s">
        <v>610</v>
      </c>
      <c r="L1426" s="282" t="s">
        <v>574</v>
      </c>
      <c r="M1426" s="287">
        <v>2400</v>
      </c>
      <c r="N1426" s="287">
        <v>0</v>
      </c>
      <c r="O1426" s="287">
        <v>0</v>
      </c>
      <c r="P1426" s="287"/>
      <c r="Q1426" s="288">
        <v>374</v>
      </c>
      <c r="R1426" s="288">
        <v>369</v>
      </c>
      <c r="S1426" s="288">
        <v>4.6900000000000004</v>
      </c>
      <c r="T1426" s="288"/>
      <c r="U1426" s="288">
        <v>0</v>
      </c>
      <c r="V1426" s="289">
        <v>373.69</v>
      </c>
      <c r="W1426" s="289">
        <v>0</v>
      </c>
      <c r="X1426" s="288">
        <v>0.15583333333333332</v>
      </c>
      <c r="Y1426" s="288">
        <v>0.15375</v>
      </c>
      <c r="Z1426" s="288">
        <v>1.954166666666667E-3</v>
      </c>
      <c r="AA1426" s="288">
        <v>0</v>
      </c>
      <c r="AB1426" s="288">
        <v>0</v>
      </c>
      <c r="AC1426" s="289">
        <v>0.15570416666666667</v>
      </c>
      <c r="AD1426" s="289">
        <v>0</v>
      </c>
    </row>
    <row r="1427" spans="1:30" ht="15" customHeight="1" x14ac:dyDescent="0.25">
      <c r="A1427" s="282" t="s">
        <v>581</v>
      </c>
      <c r="B1427" s="282" t="s">
        <v>611</v>
      </c>
      <c r="C1427" s="282" t="s">
        <v>612</v>
      </c>
      <c r="D1427" s="283" t="s">
        <v>2101</v>
      </c>
      <c r="E1427" s="404">
        <v>44910</v>
      </c>
      <c r="F1427" s="404">
        <v>46736</v>
      </c>
      <c r="G1427" s="286" t="s">
        <v>608</v>
      </c>
      <c r="H1427" s="282" t="s">
        <v>609</v>
      </c>
      <c r="I1427" s="282" t="s">
        <v>590</v>
      </c>
      <c r="J1427" s="282" t="s">
        <v>156</v>
      </c>
      <c r="K1427" s="286" t="s">
        <v>610</v>
      </c>
      <c r="L1427" s="282" t="s">
        <v>574</v>
      </c>
      <c r="M1427" s="287">
        <v>2400</v>
      </c>
      <c r="N1427" s="287">
        <v>0</v>
      </c>
      <c r="O1427" s="287">
        <v>0</v>
      </c>
      <c r="P1427" s="287"/>
      <c r="Q1427" s="288">
        <v>369</v>
      </c>
      <c r="R1427" s="288">
        <v>364</v>
      </c>
      <c r="S1427" s="288">
        <v>4.6100000000000003</v>
      </c>
      <c r="T1427" s="288"/>
      <c r="U1427" s="288">
        <v>0</v>
      </c>
      <c r="V1427" s="289">
        <v>368.61</v>
      </c>
      <c r="W1427" s="289">
        <v>0</v>
      </c>
      <c r="X1427" s="288">
        <v>0.15375</v>
      </c>
      <c r="Y1427" s="288">
        <v>0.15166666666666667</v>
      </c>
      <c r="Z1427" s="288">
        <v>1.9208333333333334E-3</v>
      </c>
      <c r="AA1427" s="288">
        <v>0</v>
      </c>
      <c r="AB1427" s="288">
        <v>0</v>
      </c>
      <c r="AC1427" s="289">
        <v>0.15358750000000002</v>
      </c>
      <c r="AD1427" s="289">
        <v>0</v>
      </c>
    </row>
    <row r="1428" spans="1:30" ht="15" customHeight="1" x14ac:dyDescent="0.25">
      <c r="A1428" s="282" t="s">
        <v>581</v>
      </c>
      <c r="B1428" s="282" t="s">
        <v>585</v>
      </c>
      <c r="C1428" s="282" t="s">
        <v>586</v>
      </c>
      <c r="D1428" s="286" t="s">
        <v>2102</v>
      </c>
      <c r="E1428" s="404">
        <v>45038</v>
      </c>
      <c r="F1428" s="404">
        <v>46865</v>
      </c>
      <c r="G1428" s="290" t="s">
        <v>283</v>
      </c>
      <c r="H1428" s="282" t="s">
        <v>881</v>
      </c>
      <c r="I1428" s="282" t="s">
        <v>590</v>
      </c>
      <c r="J1428" s="282" t="s">
        <v>156</v>
      </c>
      <c r="K1428" s="286" t="s">
        <v>882</v>
      </c>
      <c r="L1428" s="282" t="s">
        <v>574</v>
      </c>
      <c r="M1428" s="287">
        <v>2400</v>
      </c>
      <c r="N1428" s="287">
        <v>0</v>
      </c>
      <c r="O1428" s="287">
        <v>0</v>
      </c>
      <c r="P1428" s="287"/>
      <c r="Q1428" s="288">
        <v>296</v>
      </c>
      <c r="R1428" s="288">
        <v>295</v>
      </c>
      <c r="S1428" s="288">
        <v>0.67</v>
      </c>
      <c r="T1428" s="288"/>
      <c r="U1428" s="288">
        <v>0</v>
      </c>
      <c r="V1428" s="289">
        <v>295.67</v>
      </c>
      <c r="W1428" s="289">
        <v>0</v>
      </c>
      <c r="X1428" s="288">
        <v>0.12333333333333334</v>
      </c>
      <c r="Y1428" s="288">
        <v>0.12291666666666666</v>
      </c>
      <c r="Z1428" s="288">
        <v>2.7916666666666666E-4</v>
      </c>
      <c r="AA1428" s="288">
        <v>0</v>
      </c>
      <c r="AB1428" s="288">
        <v>0</v>
      </c>
      <c r="AC1428" s="289">
        <v>0.12319583333333332</v>
      </c>
      <c r="AD1428" s="289">
        <v>0</v>
      </c>
    </row>
    <row r="1429" spans="1:30" ht="15" customHeight="1" x14ac:dyDescent="0.25">
      <c r="A1429" s="282" t="s">
        <v>581</v>
      </c>
      <c r="B1429" s="282" t="s">
        <v>585</v>
      </c>
      <c r="C1429" s="282" t="s">
        <v>586</v>
      </c>
      <c r="D1429" s="283" t="s">
        <v>2103</v>
      </c>
      <c r="E1429" s="404">
        <v>44910</v>
      </c>
      <c r="F1429" s="404">
        <v>46736</v>
      </c>
      <c r="G1429" s="286" t="s">
        <v>608</v>
      </c>
      <c r="H1429" s="282" t="s">
        <v>609</v>
      </c>
      <c r="I1429" s="282" t="s">
        <v>590</v>
      </c>
      <c r="J1429" s="282" t="s">
        <v>156</v>
      </c>
      <c r="K1429" s="286" t="s">
        <v>610</v>
      </c>
      <c r="L1429" s="282" t="s">
        <v>574</v>
      </c>
      <c r="M1429" s="287">
        <v>2400</v>
      </c>
      <c r="N1429" s="287">
        <v>0</v>
      </c>
      <c r="O1429" s="287">
        <v>0</v>
      </c>
      <c r="P1429" s="287"/>
      <c r="Q1429" s="288">
        <v>433</v>
      </c>
      <c r="R1429" s="288">
        <v>427</v>
      </c>
      <c r="S1429" s="288">
        <v>5.5</v>
      </c>
      <c r="T1429" s="288"/>
      <c r="U1429" s="288">
        <v>0</v>
      </c>
      <c r="V1429" s="289">
        <v>432.5</v>
      </c>
      <c r="W1429" s="289">
        <v>0</v>
      </c>
      <c r="X1429" s="288">
        <v>0.18041666666666667</v>
      </c>
      <c r="Y1429" s="288">
        <v>0.17791666666666667</v>
      </c>
      <c r="Z1429" s="288">
        <v>2.2916666666666667E-3</v>
      </c>
      <c r="AA1429" s="288">
        <v>0</v>
      </c>
      <c r="AB1429" s="288">
        <v>0</v>
      </c>
      <c r="AC1429" s="289">
        <v>0.18020833333333333</v>
      </c>
      <c r="AD1429" s="289">
        <v>0</v>
      </c>
    </row>
    <row r="1430" spans="1:30" ht="15" customHeight="1" x14ac:dyDescent="0.25">
      <c r="A1430" s="282" t="s">
        <v>581</v>
      </c>
      <c r="B1430" s="282" t="s">
        <v>616</v>
      </c>
      <c r="C1430" s="282" t="s">
        <v>617</v>
      </c>
      <c r="D1430" s="283" t="s">
        <v>2104</v>
      </c>
      <c r="E1430" s="404">
        <v>45016</v>
      </c>
      <c r="F1430" s="404">
        <v>46843</v>
      </c>
      <c r="G1430" s="286" t="s">
        <v>854</v>
      </c>
      <c r="H1430" s="282" t="s">
        <v>855</v>
      </c>
      <c r="I1430" s="282" t="s">
        <v>590</v>
      </c>
      <c r="J1430" s="282" t="s">
        <v>156</v>
      </c>
      <c r="K1430" s="286" t="s">
        <v>856</v>
      </c>
      <c r="L1430" s="282" t="s">
        <v>574</v>
      </c>
      <c r="M1430" s="287">
        <v>2400</v>
      </c>
      <c r="N1430" s="287">
        <v>0</v>
      </c>
      <c r="O1430" s="287">
        <v>0</v>
      </c>
      <c r="P1430" s="287"/>
      <c r="Q1430" s="288">
        <v>558</v>
      </c>
      <c r="R1430" s="288">
        <v>557</v>
      </c>
      <c r="S1430" s="288">
        <v>0.34100000000000003</v>
      </c>
      <c r="T1430" s="288"/>
      <c r="U1430" s="288">
        <v>0</v>
      </c>
      <c r="V1430" s="289">
        <v>557.34100000000001</v>
      </c>
      <c r="W1430" s="289">
        <v>0</v>
      </c>
      <c r="X1430" s="288">
        <v>0.23250000000000001</v>
      </c>
      <c r="Y1430" s="288">
        <v>0.23208333333333334</v>
      </c>
      <c r="Z1430" s="288">
        <v>1.4208333333333334E-4</v>
      </c>
      <c r="AA1430" s="288">
        <v>0</v>
      </c>
      <c r="AB1430" s="288">
        <v>0</v>
      </c>
      <c r="AC1430" s="289">
        <v>0.23222541666666666</v>
      </c>
      <c r="AD1430" s="289">
        <v>0</v>
      </c>
    </row>
    <row r="1431" spans="1:30" ht="15" customHeight="1" x14ac:dyDescent="0.25">
      <c r="A1431" s="282" t="s">
        <v>581</v>
      </c>
      <c r="B1431" s="282" t="s">
        <v>585</v>
      </c>
      <c r="C1431" s="282" t="s">
        <v>586</v>
      </c>
      <c r="D1431" s="286" t="s">
        <v>2105</v>
      </c>
      <c r="E1431" s="404">
        <v>44525</v>
      </c>
      <c r="F1431" s="404">
        <v>46351</v>
      </c>
      <c r="G1431" s="286" t="s">
        <v>1063</v>
      </c>
      <c r="H1431" s="282" t="s">
        <v>1064</v>
      </c>
      <c r="I1431" s="282" t="s">
        <v>590</v>
      </c>
      <c r="J1431" s="282" t="s">
        <v>156</v>
      </c>
      <c r="K1431" s="286" t="s">
        <v>1065</v>
      </c>
      <c r="L1431" s="282" t="s">
        <v>574</v>
      </c>
      <c r="M1431" s="287">
        <v>2400</v>
      </c>
      <c r="N1431" s="287">
        <v>0</v>
      </c>
      <c r="O1431" s="287">
        <v>0</v>
      </c>
      <c r="P1431" s="287"/>
      <c r="Q1431" s="288">
        <v>226</v>
      </c>
      <c r="R1431" s="288">
        <v>225</v>
      </c>
      <c r="S1431" s="288">
        <v>0.73</v>
      </c>
      <c r="T1431" s="288"/>
      <c r="U1431" s="288">
        <v>0</v>
      </c>
      <c r="V1431" s="289">
        <v>225.73</v>
      </c>
      <c r="W1431" s="289">
        <v>0</v>
      </c>
      <c r="X1431" s="288">
        <v>9.4166666666666662E-2</v>
      </c>
      <c r="Y1431" s="288">
        <v>9.375E-2</v>
      </c>
      <c r="Z1431" s="288">
        <v>3.0416666666666667E-4</v>
      </c>
      <c r="AA1431" s="288">
        <v>0</v>
      </c>
      <c r="AB1431" s="288">
        <v>0</v>
      </c>
      <c r="AC1431" s="289">
        <v>9.4054166666666661E-2</v>
      </c>
      <c r="AD1431" s="289">
        <v>0</v>
      </c>
    </row>
    <row r="1432" spans="1:30" ht="15" customHeight="1" x14ac:dyDescent="0.25">
      <c r="A1432" s="282" t="s">
        <v>581</v>
      </c>
      <c r="B1432" s="282" t="s">
        <v>616</v>
      </c>
      <c r="C1432" s="282" t="s">
        <v>617</v>
      </c>
      <c r="D1432" s="286" t="s">
        <v>2106</v>
      </c>
      <c r="E1432" s="404">
        <v>44525</v>
      </c>
      <c r="F1432" s="404">
        <v>46351</v>
      </c>
      <c r="G1432" s="286" t="s">
        <v>1063</v>
      </c>
      <c r="H1432" s="282" t="s">
        <v>1064</v>
      </c>
      <c r="I1432" s="282" t="s">
        <v>590</v>
      </c>
      <c r="J1432" s="282" t="s">
        <v>156</v>
      </c>
      <c r="K1432" s="286" t="s">
        <v>1065</v>
      </c>
      <c r="L1432" s="282" t="s">
        <v>574</v>
      </c>
      <c r="M1432" s="287">
        <v>2400</v>
      </c>
      <c r="N1432" s="287">
        <v>0</v>
      </c>
      <c r="O1432" s="287">
        <v>0</v>
      </c>
      <c r="P1432" s="287"/>
      <c r="Q1432" s="288">
        <v>382</v>
      </c>
      <c r="R1432" s="288">
        <v>381</v>
      </c>
      <c r="S1432" s="288">
        <v>0.54</v>
      </c>
      <c r="T1432" s="288"/>
      <c r="U1432" s="288">
        <v>0</v>
      </c>
      <c r="V1432" s="289">
        <v>381.54</v>
      </c>
      <c r="W1432" s="289">
        <v>0</v>
      </c>
      <c r="X1432" s="288">
        <v>0.15916666666666668</v>
      </c>
      <c r="Y1432" s="288">
        <v>0.15875</v>
      </c>
      <c r="Z1432" s="288">
        <v>2.2500000000000002E-4</v>
      </c>
      <c r="AA1432" s="288">
        <v>0</v>
      </c>
      <c r="AB1432" s="288">
        <v>0</v>
      </c>
      <c r="AC1432" s="289">
        <v>0.15897500000000001</v>
      </c>
      <c r="AD1432" s="289">
        <v>0</v>
      </c>
    </row>
    <row r="1433" spans="1:30" ht="15" customHeight="1" x14ac:dyDescent="0.25">
      <c r="A1433" s="282" t="s">
        <v>581</v>
      </c>
      <c r="B1433" s="282" t="s">
        <v>611</v>
      </c>
      <c r="C1433" s="282" t="s">
        <v>612</v>
      </c>
      <c r="D1433" s="286" t="s">
        <v>2107</v>
      </c>
      <c r="E1433" s="404">
        <v>44581</v>
      </c>
      <c r="F1433" s="404">
        <v>46407</v>
      </c>
      <c r="G1433" s="286" t="s">
        <v>588</v>
      </c>
      <c r="H1433" s="282" t="s">
        <v>589</v>
      </c>
      <c r="I1433" s="282" t="s">
        <v>590</v>
      </c>
      <c r="J1433" s="282" t="s">
        <v>156</v>
      </c>
      <c r="K1433" s="286" t="s">
        <v>591</v>
      </c>
      <c r="L1433" s="282" t="s">
        <v>574</v>
      </c>
      <c r="M1433" s="287">
        <v>2400</v>
      </c>
      <c r="N1433" s="287">
        <v>0</v>
      </c>
      <c r="O1433" s="287">
        <v>0</v>
      </c>
      <c r="P1433" s="287"/>
      <c r="Q1433" s="288">
        <v>274</v>
      </c>
      <c r="R1433" s="288">
        <v>273</v>
      </c>
      <c r="S1433" s="288">
        <v>0.65</v>
      </c>
      <c r="T1433" s="288"/>
      <c r="U1433" s="288">
        <v>0</v>
      </c>
      <c r="V1433" s="289">
        <v>273.64999999999998</v>
      </c>
      <c r="W1433" s="289">
        <v>0</v>
      </c>
      <c r="X1433" s="288">
        <v>0.11416666666666667</v>
      </c>
      <c r="Y1433" s="288">
        <v>0.11375</v>
      </c>
      <c r="Z1433" s="288">
        <v>2.7083333333333332E-4</v>
      </c>
      <c r="AA1433" s="288">
        <v>0</v>
      </c>
      <c r="AB1433" s="288">
        <v>0</v>
      </c>
      <c r="AC1433" s="289">
        <v>0.11402083333333334</v>
      </c>
      <c r="AD1433" s="289">
        <v>0</v>
      </c>
    </row>
    <row r="1434" spans="1:30" ht="15" customHeight="1" x14ac:dyDescent="0.25">
      <c r="A1434" s="282" t="s">
        <v>581</v>
      </c>
      <c r="B1434" s="282" t="s">
        <v>611</v>
      </c>
      <c r="C1434" s="282" t="s">
        <v>612</v>
      </c>
      <c r="D1434" s="286" t="s">
        <v>2108</v>
      </c>
      <c r="E1434" s="404">
        <v>45038</v>
      </c>
      <c r="F1434" s="404">
        <v>46865</v>
      </c>
      <c r="G1434" s="290" t="s">
        <v>283</v>
      </c>
      <c r="H1434" s="282" t="s">
        <v>881</v>
      </c>
      <c r="I1434" s="282" t="s">
        <v>590</v>
      </c>
      <c r="J1434" s="282" t="s">
        <v>156</v>
      </c>
      <c r="K1434" s="286" t="s">
        <v>882</v>
      </c>
      <c r="L1434" s="282" t="s">
        <v>574</v>
      </c>
      <c r="M1434" s="287">
        <v>2400</v>
      </c>
      <c r="N1434" s="287">
        <v>0</v>
      </c>
      <c r="O1434" s="287">
        <v>0</v>
      </c>
      <c r="P1434" s="287"/>
      <c r="Q1434" s="288">
        <v>259</v>
      </c>
      <c r="R1434" s="288">
        <v>258</v>
      </c>
      <c r="S1434" s="288">
        <v>0.64</v>
      </c>
      <c r="T1434" s="288"/>
      <c r="U1434" s="288">
        <v>0</v>
      </c>
      <c r="V1434" s="289">
        <v>258.64</v>
      </c>
      <c r="W1434" s="289">
        <v>0</v>
      </c>
      <c r="X1434" s="288">
        <v>0.10791666666666666</v>
      </c>
      <c r="Y1434" s="288">
        <v>0.1075</v>
      </c>
      <c r="Z1434" s="288">
        <v>2.6666666666666668E-4</v>
      </c>
      <c r="AA1434" s="288">
        <v>0</v>
      </c>
      <c r="AB1434" s="288">
        <v>0</v>
      </c>
      <c r="AC1434" s="289">
        <v>0.10776666666666666</v>
      </c>
      <c r="AD1434" s="289">
        <v>0</v>
      </c>
    </row>
    <row r="1435" spans="1:30" ht="15" customHeight="1" x14ac:dyDescent="0.25">
      <c r="A1435" s="282" t="s">
        <v>581</v>
      </c>
      <c r="B1435" s="282" t="s">
        <v>585</v>
      </c>
      <c r="C1435" s="282" t="s">
        <v>586</v>
      </c>
      <c r="D1435" s="283" t="s">
        <v>2109</v>
      </c>
      <c r="E1435" s="404">
        <v>44910</v>
      </c>
      <c r="F1435" s="404">
        <v>46736</v>
      </c>
      <c r="G1435" s="286" t="s">
        <v>608</v>
      </c>
      <c r="H1435" s="282" t="s">
        <v>609</v>
      </c>
      <c r="I1435" s="282" t="s">
        <v>590</v>
      </c>
      <c r="J1435" s="282" t="s">
        <v>156</v>
      </c>
      <c r="K1435" s="286" t="s">
        <v>610</v>
      </c>
      <c r="L1435" s="282" t="s">
        <v>574</v>
      </c>
      <c r="M1435" s="287">
        <v>2400</v>
      </c>
      <c r="N1435" s="287">
        <v>0</v>
      </c>
      <c r="O1435" s="287">
        <v>0</v>
      </c>
      <c r="P1435" s="287"/>
      <c r="Q1435" s="288">
        <v>244</v>
      </c>
      <c r="R1435" s="288">
        <v>241</v>
      </c>
      <c r="S1435" s="288">
        <v>2.66</v>
      </c>
      <c r="T1435" s="288"/>
      <c r="U1435" s="288">
        <v>0</v>
      </c>
      <c r="V1435" s="289">
        <v>243.66</v>
      </c>
      <c r="W1435" s="289">
        <v>0</v>
      </c>
      <c r="X1435" s="288">
        <v>0.10166666666666667</v>
      </c>
      <c r="Y1435" s="288">
        <v>0.10041666666666667</v>
      </c>
      <c r="Z1435" s="288">
        <v>1.1083333333333333E-3</v>
      </c>
      <c r="AA1435" s="288">
        <v>0</v>
      </c>
      <c r="AB1435" s="288">
        <v>0</v>
      </c>
      <c r="AC1435" s="289">
        <v>0.101525</v>
      </c>
      <c r="AD1435" s="289">
        <v>0</v>
      </c>
    </row>
    <row r="1436" spans="1:30" ht="15" customHeight="1" x14ac:dyDescent="0.25">
      <c r="A1436" s="282" t="s">
        <v>581</v>
      </c>
      <c r="B1436" s="282" t="s">
        <v>616</v>
      </c>
      <c r="C1436" s="282" t="s">
        <v>617</v>
      </c>
      <c r="D1436" s="286" t="s">
        <v>2110</v>
      </c>
      <c r="E1436" s="404">
        <v>44588</v>
      </c>
      <c r="F1436" s="404">
        <v>46414</v>
      </c>
      <c r="G1436" s="286" t="s">
        <v>316</v>
      </c>
      <c r="H1436" s="282" t="s">
        <v>597</v>
      </c>
      <c r="I1436" s="282" t="s">
        <v>590</v>
      </c>
      <c r="J1436" s="282" t="s">
        <v>156</v>
      </c>
      <c r="K1436" s="286" t="s">
        <v>598</v>
      </c>
      <c r="L1436" s="282" t="s">
        <v>574</v>
      </c>
      <c r="M1436" s="287">
        <v>2400</v>
      </c>
      <c r="N1436" s="287">
        <v>0</v>
      </c>
      <c r="O1436" s="287">
        <v>0</v>
      </c>
      <c r="P1436" s="287"/>
      <c r="Q1436" s="288">
        <v>397</v>
      </c>
      <c r="R1436" s="288">
        <v>396</v>
      </c>
      <c r="S1436" s="288">
        <v>0.42</v>
      </c>
      <c r="T1436" s="288"/>
      <c r="U1436" s="288">
        <v>0</v>
      </c>
      <c r="V1436" s="289">
        <v>396.42</v>
      </c>
      <c r="W1436" s="289">
        <v>0</v>
      </c>
      <c r="X1436" s="288">
        <v>0.16541666666666666</v>
      </c>
      <c r="Y1436" s="288">
        <v>0.16500000000000001</v>
      </c>
      <c r="Z1436" s="288">
        <v>1.75E-4</v>
      </c>
      <c r="AA1436" s="288">
        <v>0</v>
      </c>
      <c r="AB1436" s="288">
        <v>0</v>
      </c>
      <c r="AC1436" s="289">
        <v>0.16517500000000002</v>
      </c>
      <c r="AD1436" s="289">
        <v>0</v>
      </c>
    </row>
    <row r="1437" spans="1:30" ht="15" customHeight="1" x14ac:dyDescent="0.25">
      <c r="A1437" s="282" t="s">
        <v>581</v>
      </c>
      <c r="B1437" s="282" t="s">
        <v>616</v>
      </c>
      <c r="C1437" s="282" t="s">
        <v>617</v>
      </c>
      <c r="D1437" s="286" t="s">
        <v>2111</v>
      </c>
      <c r="E1437" s="404">
        <v>44588</v>
      </c>
      <c r="F1437" s="404">
        <v>46414</v>
      </c>
      <c r="G1437" s="286" t="s">
        <v>316</v>
      </c>
      <c r="H1437" s="282" t="s">
        <v>597</v>
      </c>
      <c r="I1437" s="282" t="s">
        <v>590</v>
      </c>
      <c r="J1437" s="282" t="s">
        <v>156</v>
      </c>
      <c r="K1437" s="286" t="s">
        <v>598</v>
      </c>
      <c r="L1437" s="282" t="s">
        <v>574</v>
      </c>
      <c r="M1437" s="287">
        <v>2400</v>
      </c>
      <c r="N1437" s="287">
        <v>0</v>
      </c>
      <c r="O1437" s="287">
        <v>0</v>
      </c>
      <c r="P1437" s="287"/>
      <c r="Q1437" s="288">
        <v>388</v>
      </c>
      <c r="R1437" s="288">
        <v>387</v>
      </c>
      <c r="S1437" s="288">
        <v>0.42</v>
      </c>
      <c r="T1437" s="288"/>
      <c r="U1437" s="288">
        <v>0</v>
      </c>
      <c r="V1437" s="289">
        <v>387.42</v>
      </c>
      <c r="W1437" s="289">
        <v>0</v>
      </c>
      <c r="X1437" s="288">
        <v>0.16166666666666665</v>
      </c>
      <c r="Y1437" s="288">
        <v>0.16125</v>
      </c>
      <c r="Z1437" s="288">
        <v>1.75E-4</v>
      </c>
      <c r="AA1437" s="288">
        <v>0</v>
      </c>
      <c r="AB1437" s="288">
        <v>0</v>
      </c>
      <c r="AC1437" s="289">
        <v>0.16142500000000001</v>
      </c>
      <c r="AD1437" s="289">
        <v>0</v>
      </c>
    </row>
    <row r="1438" spans="1:30" ht="15" customHeight="1" x14ac:dyDescent="0.25">
      <c r="A1438" s="282" t="s">
        <v>581</v>
      </c>
      <c r="B1438" s="282" t="s">
        <v>611</v>
      </c>
      <c r="C1438" s="282" t="s">
        <v>612</v>
      </c>
      <c r="D1438" s="283" t="s">
        <v>2112</v>
      </c>
      <c r="E1438" s="404">
        <v>44910</v>
      </c>
      <c r="F1438" s="404">
        <v>46736</v>
      </c>
      <c r="G1438" s="286" t="s">
        <v>608</v>
      </c>
      <c r="H1438" s="282" t="s">
        <v>609</v>
      </c>
      <c r="I1438" s="282" t="s">
        <v>590</v>
      </c>
      <c r="J1438" s="282" t="s">
        <v>156</v>
      </c>
      <c r="K1438" s="286" t="s">
        <v>610</v>
      </c>
      <c r="L1438" s="282" t="s">
        <v>574</v>
      </c>
      <c r="M1438" s="287">
        <v>2400</v>
      </c>
      <c r="N1438" s="287">
        <v>0</v>
      </c>
      <c r="O1438" s="287">
        <v>0</v>
      </c>
      <c r="P1438" s="287"/>
      <c r="Q1438" s="288">
        <v>181</v>
      </c>
      <c r="R1438" s="288">
        <v>179</v>
      </c>
      <c r="S1438" s="288">
        <v>1.72</v>
      </c>
      <c r="T1438" s="288"/>
      <c r="U1438" s="288">
        <v>0</v>
      </c>
      <c r="V1438" s="289">
        <v>180.72</v>
      </c>
      <c r="W1438" s="289">
        <v>0</v>
      </c>
      <c r="X1438" s="288">
        <v>7.5416666666666674E-2</v>
      </c>
      <c r="Y1438" s="288">
        <v>7.4583333333333335E-2</v>
      </c>
      <c r="Z1438" s="288">
        <v>7.1666666666666667E-4</v>
      </c>
      <c r="AA1438" s="288">
        <v>0</v>
      </c>
      <c r="AB1438" s="288">
        <v>0</v>
      </c>
      <c r="AC1438" s="289">
        <v>7.5300000000000006E-2</v>
      </c>
      <c r="AD1438" s="289">
        <v>0</v>
      </c>
    </row>
    <row r="1439" spans="1:30" ht="15" customHeight="1" x14ac:dyDescent="0.25">
      <c r="A1439" s="282" t="s">
        <v>581</v>
      </c>
      <c r="B1439" s="282" t="s">
        <v>616</v>
      </c>
      <c r="C1439" s="282" t="s">
        <v>617</v>
      </c>
      <c r="D1439" s="283" t="s">
        <v>2113</v>
      </c>
      <c r="E1439" s="404">
        <v>45016</v>
      </c>
      <c r="F1439" s="404">
        <v>46843</v>
      </c>
      <c r="G1439" s="286" t="s">
        <v>283</v>
      </c>
      <c r="H1439" s="282" t="s">
        <v>736</v>
      </c>
      <c r="I1439" s="282" t="s">
        <v>590</v>
      </c>
      <c r="J1439" s="282" t="s">
        <v>156</v>
      </c>
      <c r="K1439" s="286" t="s">
        <v>737</v>
      </c>
      <c r="L1439" s="282" t="s">
        <v>574</v>
      </c>
      <c r="M1439" s="287">
        <v>2400</v>
      </c>
      <c r="N1439" s="287">
        <v>0</v>
      </c>
      <c r="O1439" s="287">
        <v>0</v>
      </c>
      <c r="P1439" s="287"/>
      <c r="Q1439" s="288">
        <v>404</v>
      </c>
      <c r="R1439" s="288">
        <v>403</v>
      </c>
      <c r="S1439" s="288">
        <v>0.36699999999999999</v>
      </c>
      <c r="T1439" s="288"/>
      <c r="U1439" s="288">
        <v>0</v>
      </c>
      <c r="V1439" s="289">
        <v>403.36700000000002</v>
      </c>
      <c r="W1439" s="289">
        <v>0</v>
      </c>
      <c r="X1439" s="288">
        <v>0.16833333333333333</v>
      </c>
      <c r="Y1439" s="288">
        <v>0.16791666666666666</v>
      </c>
      <c r="Z1439" s="288">
        <v>1.5291666666666665E-4</v>
      </c>
      <c r="AA1439" s="288">
        <v>0</v>
      </c>
      <c r="AB1439" s="288">
        <v>0</v>
      </c>
      <c r="AC1439" s="289">
        <v>0.16806958333333333</v>
      </c>
      <c r="AD1439" s="289">
        <v>0</v>
      </c>
    </row>
    <row r="1440" spans="1:30" ht="15" customHeight="1" x14ac:dyDescent="0.25">
      <c r="A1440" s="282" t="s">
        <v>581</v>
      </c>
      <c r="B1440" s="282" t="s">
        <v>839</v>
      </c>
      <c r="C1440" s="282" t="s">
        <v>840</v>
      </c>
      <c r="D1440" s="286" t="s">
        <v>2114</v>
      </c>
      <c r="E1440" s="404">
        <v>44294</v>
      </c>
      <c r="F1440" s="404">
        <v>46120</v>
      </c>
      <c r="G1440" s="286" t="s">
        <v>799</v>
      </c>
      <c r="H1440" s="282" t="s">
        <v>800</v>
      </c>
      <c r="I1440" s="282" t="s">
        <v>590</v>
      </c>
      <c r="J1440" s="282" t="s">
        <v>156</v>
      </c>
      <c r="K1440" s="286" t="s">
        <v>801</v>
      </c>
      <c r="L1440" s="282" t="s">
        <v>574</v>
      </c>
      <c r="M1440" s="287">
        <v>2400</v>
      </c>
      <c r="N1440" s="287">
        <v>0</v>
      </c>
      <c r="O1440" s="287">
        <v>0</v>
      </c>
      <c r="P1440" s="287"/>
      <c r="Q1440" s="288">
        <v>392</v>
      </c>
      <c r="R1440" s="287">
        <v>390</v>
      </c>
      <c r="S1440" s="288">
        <v>1.38</v>
      </c>
      <c r="T1440" s="288"/>
      <c r="U1440" s="288">
        <v>0</v>
      </c>
      <c r="V1440" s="289">
        <v>391.38</v>
      </c>
      <c r="W1440" s="289">
        <v>0</v>
      </c>
      <c r="X1440" s="288">
        <v>0.16333333333333333</v>
      </c>
      <c r="Y1440" s="288">
        <v>0.16250000000000001</v>
      </c>
      <c r="Z1440" s="288">
        <v>5.7499999999999999E-4</v>
      </c>
      <c r="AA1440" s="288">
        <v>0</v>
      </c>
      <c r="AB1440" s="288">
        <v>0</v>
      </c>
      <c r="AC1440" s="289">
        <v>0.163075</v>
      </c>
      <c r="AD1440" s="289">
        <v>0</v>
      </c>
    </row>
    <row r="1441" spans="1:30" ht="15" customHeight="1" x14ac:dyDescent="0.25">
      <c r="A1441" s="282" t="s">
        <v>581</v>
      </c>
      <c r="B1441" s="282" t="s">
        <v>839</v>
      </c>
      <c r="C1441" s="282" t="s">
        <v>840</v>
      </c>
      <c r="D1441" s="286" t="s">
        <v>2115</v>
      </c>
      <c r="E1441" s="404">
        <v>45038</v>
      </c>
      <c r="F1441" s="404">
        <v>46865</v>
      </c>
      <c r="G1441" s="290" t="s">
        <v>283</v>
      </c>
      <c r="H1441" s="282" t="s">
        <v>881</v>
      </c>
      <c r="I1441" s="282" t="s">
        <v>590</v>
      </c>
      <c r="J1441" s="282" t="s">
        <v>156</v>
      </c>
      <c r="K1441" s="286" t="s">
        <v>882</v>
      </c>
      <c r="L1441" s="282" t="s">
        <v>574</v>
      </c>
      <c r="M1441" s="287">
        <v>2400</v>
      </c>
      <c r="N1441" s="287">
        <v>0</v>
      </c>
      <c r="O1441" s="287">
        <v>0</v>
      </c>
      <c r="P1441" s="287"/>
      <c r="Q1441" s="288">
        <v>418</v>
      </c>
      <c r="R1441" s="288">
        <v>417</v>
      </c>
      <c r="S1441" s="288">
        <v>0.31</v>
      </c>
      <c r="T1441" s="288"/>
      <c r="U1441" s="288">
        <v>0</v>
      </c>
      <c r="V1441" s="289">
        <v>417.31</v>
      </c>
      <c r="W1441" s="289">
        <v>0</v>
      </c>
      <c r="X1441" s="288">
        <v>0.17416666666666666</v>
      </c>
      <c r="Y1441" s="288">
        <v>0.17374999999999999</v>
      </c>
      <c r="Z1441" s="288">
        <v>1.2916666666666667E-4</v>
      </c>
      <c r="AA1441" s="288">
        <v>0</v>
      </c>
      <c r="AB1441" s="288">
        <v>0</v>
      </c>
      <c r="AC1441" s="289">
        <v>0.17387916666666667</v>
      </c>
      <c r="AD1441" s="289">
        <v>0</v>
      </c>
    </row>
    <row r="1442" spans="1:30" s="72" customFormat="1" ht="15" customHeight="1" x14ac:dyDescent="0.25">
      <c r="A1442" s="282" t="s">
        <v>581</v>
      </c>
      <c r="B1442" s="282" t="s">
        <v>839</v>
      </c>
      <c r="C1442" s="282" t="s">
        <v>840</v>
      </c>
      <c r="D1442" s="283" t="s">
        <v>2116</v>
      </c>
      <c r="E1442" s="404">
        <v>45016</v>
      </c>
      <c r="F1442" s="404">
        <v>46843</v>
      </c>
      <c r="G1442" s="286" t="s">
        <v>286</v>
      </c>
      <c r="H1442" s="282" t="s">
        <v>782</v>
      </c>
      <c r="I1442" s="282" t="s">
        <v>590</v>
      </c>
      <c r="J1442" s="282" t="s">
        <v>156</v>
      </c>
      <c r="K1442" s="286" t="s">
        <v>783</v>
      </c>
      <c r="L1442" s="282" t="s">
        <v>574</v>
      </c>
      <c r="M1442" s="287">
        <v>2400</v>
      </c>
      <c r="N1442" s="287">
        <v>0</v>
      </c>
      <c r="O1442" s="287">
        <v>0</v>
      </c>
      <c r="P1442" s="287"/>
      <c r="Q1442" s="288">
        <v>452</v>
      </c>
      <c r="R1442" s="288">
        <v>451</v>
      </c>
      <c r="S1442" s="288">
        <v>0.22</v>
      </c>
      <c r="T1442" s="288"/>
      <c r="U1442" s="288">
        <v>0</v>
      </c>
      <c r="V1442" s="289">
        <v>451.22</v>
      </c>
      <c r="W1442" s="289">
        <v>0</v>
      </c>
      <c r="X1442" s="288">
        <v>0.18833333333333332</v>
      </c>
      <c r="Y1442" s="288">
        <v>0.18791666666666668</v>
      </c>
      <c r="Z1442" s="288">
        <v>9.1666666666666668E-5</v>
      </c>
      <c r="AA1442" s="288">
        <v>0</v>
      </c>
      <c r="AB1442" s="288">
        <v>0</v>
      </c>
      <c r="AC1442" s="289">
        <v>0.18800833333333333</v>
      </c>
      <c r="AD1442" s="289">
        <v>0</v>
      </c>
    </row>
    <row r="1443" spans="1:30" ht="15" customHeight="1" x14ac:dyDescent="0.25">
      <c r="A1443" s="282" t="s">
        <v>581</v>
      </c>
      <c r="B1443" s="282" t="s">
        <v>594</v>
      </c>
      <c r="C1443" s="282" t="s">
        <v>595</v>
      </c>
      <c r="D1443" s="283" t="s">
        <v>2117</v>
      </c>
      <c r="E1443" s="404">
        <v>44910</v>
      </c>
      <c r="F1443" s="404">
        <v>46736</v>
      </c>
      <c r="G1443" s="286" t="s">
        <v>608</v>
      </c>
      <c r="H1443" s="282" t="s">
        <v>609</v>
      </c>
      <c r="I1443" s="282" t="s">
        <v>590</v>
      </c>
      <c r="J1443" s="282" t="s">
        <v>156</v>
      </c>
      <c r="K1443" s="286" t="s">
        <v>610</v>
      </c>
      <c r="L1443" s="282" t="s">
        <v>574</v>
      </c>
      <c r="M1443" s="287">
        <v>2400</v>
      </c>
      <c r="N1443" s="287">
        <v>0</v>
      </c>
      <c r="O1443" s="287">
        <v>0</v>
      </c>
      <c r="P1443" s="287"/>
      <c r="Q1443" s="288">
        <v>288</v>
      </c>
      <c r="R1443" s="288">
        <v>284</v>
      </c>
      <c r="S1443" s="288">
        <v>3.5</v>
      </c>
      <c r="T1443" s="288"/>
      <c r="U1443" s="288">
        <v>0</v>
      </c>
      <c r="V1443" s="289">
        <v>287.5</v>
      </c>
      <c r="W1443" s="289">
        <v>0</v>
      </c>
      <c r="X1443" s="288">
        <v>0.12</v>
      </c>
      <c r="Y1443" s="288">
        <v>0.11833333333333333</v>
      </c>
      <c r="Z1443" s="288">
        <v>1.4583333333333334E-3</v>
      </c>
      <c r="AA1443" s="288">
        <v>0</v>
      </c>
      <c r="AB1443" s="288">
        <v>0</v>
      </c>
      <c r="AC1443" s="289">
        <v>0.11979166666666667</v>
      </c>
      <c r="AD1443" s="289">
        <v>0</v>
      </c>
    </row>
    <row r="1444" spans="1:30" ht="15" customHeight="1" x14ac:dyDescent="0.25">
      <c r="A1444" s="282" t="s">
        <v>581</v>
      </c>
      <c r="B1444" s="282" t="s">
        <v>585</v>
      </c>
      <c r="C1444" s="282" t="s">
        <v>586</v>
      </c>
      <c r="D1444" s="283" t="s">
        <v>2118</v>
      </c>
      <c r="E1444" s="404">
        <v>45016</v>
      </c>
      <c r="F1444" s="404">
        <v>46843</v>
      </c>
      <c r="G1444" s="286" t="s">
        <v>854</v>
      </c>
      <c r="H1444" s="282" t="s">
        <v>855</v>
      </c>
      <c r="I1444" s="282" t="s">
        <v>590</v>
      </c>
      <c r="J1444" s="282" t="s">
        <v>156</v>
      </c>
      <c r="K1444" s="286" t="s">
        <v>856</v>
      </c>
      <c r="L1444" s="282" t="s">
        <v>574</v>
      </c>
      <c r="M1444" s="287">
        <v>2400</v>
      </c>
      <c r="N1444" s="287">
        <v>0</v>
      </c>
      <c r="O1444" s="287">
        <v>0</v>
      </c>
      <c r="P1444" s="287"/>
      <c r="Q1444" s="288">
        <v>404</v>
      </c>
      <c r="R1444" s="288">
        <v>403</v>
      </c>
      <c r="S1444" s="288">
        <v>0.25600000000000001</v>
      </c>
      <c r="T1444" s="288"/>
      <c r="U1444" s="288">
        <v>0</v>
      </c>
      <c r="V1444" s="289">
        <v>403.25599999999997</v>
      </c>
      <c r="W1444" s="289">
        <v>0</v>
      </c>
      <c r="X1444" s="288">
        <v>0.16833333333333333</v>
      </c>
      <c r="Y1444" s="288">
        <v>0.16791666666666666</v>
      </c>
      <c r="Z1444" s="288">
        <v>1.0666666666666667E-4</v>
      </c>
      <c r="AA1444" s="288">
        <v>0</v>
      </c>
      <c r="AB1444" s="288">
        <v>0</v>
      </c>
      <c r="AC1444" s="289">
        <v>0.16802333333333333</v>
      </c>
      <c r="AD1444" s="289">
        <v>0</v>
      </c>
    </row>
    <row r="1445" spans="1:30" ht="15" customHeight="1" x14ac:dyDescent="0.25">
      <c r="A1445" s="282" t="s">
        <v>581</v>
      </c>
      <c r="B1445" s="282" t="s">
        <v>616</v>
      </c>
      <c r="C1445" s="282" t="s">
        <v>617</v>
      </c>
      <c r="D1445" s="283" t="s">
        <v>2119</v>
      </c>
      <c r="E1445" s="404">
        <v>44910</v>
      </c>
      <c r="F1445" s="404">
        <v>46736</v>
      </c>
      <c r="G1445" s="286" t="s">
        <v>608</v>
      </c>
      <c r="H1445" s="282" t="s">
        <v>609</v>
      </c>
      <c r="I1445" s="282" t="s">
        <v>590</v>
      </c>
      <c r="J1445" s="282" t="s">
        <v>156</v>
      </c>
      <c r="K1445" s="286" t="s">
        <v>610</v>
      </c>
      <c r="L1445" s="282" t="s">
        <v>574</v>
      </c>
      <c r="M1445" s="287">
        <v>2400</v>
      </c>
      <c r="N1445" s="287">
        <v>0</v>
      </c>
      <c r="O1445" s="287">
        <v>0</v>
      </c>
      <c r="P1445" s="287"/>
      <c r="Q1445" s="288">
        <v>353</v>
      </c>
      <c r="R1445" s="288">
        <v>348</v>
      </c>
      <c r="S1445" s="288">
        <v>4.34</v>
      </c>
      <c r="T1445" s="288"/>
      <c r="U1445" s="288">
        <v>0</v>
      </c>
      <c r="V1445" s="289">
        <v>352.34</v>
      </c>
      <c r="W1445" s="289">
        <v>0</v>
      </c>
      <c r="X1445" s="288">
        <v>0.14708333333333334</v>
      </c>
      <c r="Y1445" s="288">
        <v>0.14499999999999999</v>
      </c>
      <c r="Z1445" s="288">
        <v>1.8083333333333332E-3</v>
      </c>
      <c r="AA1445" s="288">
        <v>0</v>
      </c>
      <c r="AB1445" s="288">
        <v>0</v>
      </c>
      <c r="AC1445" s="289">
        <v>0.14680833333333332</v>
      </c>
      <c r="AD1445" s="289">
        <v>0</v>
      </c>
    </row>
    <row r="1446" spans="1:30" ht="15" customHeight="1" x14ac:dyDescent="0.25">
      <c r="A1446" s="282" t="s">
        <v>581</v>
      </c>
      <c r="B1446" s="282" t="s">
        <v>585</v>
      </c>
      <c r="C1446" s="282" t="s">
        <v>586</v>
      </c>
      <c r="D1446" s="286" t="s">
        <v>2120</v>
      </c>
      <c r="E1446" s="404">
        <v>44573</v>
      </c>
      <c r="F1446" s="404">
        <v>46656</v>
      </c>
      <c r="G1446" s="286" t="s">
        <v>286</v>
      </c>
      <c r="H1446" s="282" t="s">
        <v>602</v>
      </c>
      <c r="I1446" s="282" t="s">
        <v>590</v>
      </c>
      <c r="J1446" s="282" t="s">
        <v>156</v>
      </c>
      <c r="K1446" s="286" t="s">
        <v>603</v>
      </c>
      <c r="L1446" s="282" t="s">
        <v>574</v>
      </c>
      <c r="M1446" s="287">
        <v>2400</v>
      </c>
      <c r="N1446" s="287">
        <v>0</v>
      </c>
      <c r="O1446" s="287">
        <v>0</v>
      </c>
      <c r="P1446" s="287"/>
      <c r="Q1446" s="288">
        <v>287</v>
      </c>
      <c r="R1446" s="288">
        <v>286</v>
      </c>
      <c r="S1446" s="288">
        <v>0.46</v>
      </c>
      <c r="T1446" s="288"/>
      <c r="U1446" s="288">
        <v>0</v>
      </c>
      <c r="V1446" s="289">
        <v>286.45999999999998</v>
      </c>
      <c r="W1446" s="289">
        <v>0</v>
      </c>
      <c r="X1446" s="288">
        <v>0.11958333333333333</v>
      </c>
      <c r="Y1446" s="288">
        <v>0.11916666666666667</v>
      </c>
      <c r="Z1446" s="288">
        <v>1.9166666666666667E-4</v>
      </c>
      <c r="AA1446" s="288">
        <v>0</v>
      </c>
      <c r="AB1446" s="288">
        <v>0</v>
      </c>
      <c r="AC1446" s="289">
        <v>0.11935833333333334</v>
      </c>
      <c r="AD1446" s="289">
        <v>0</v>
      </c>
    </row>
    <row r="1447" spans="1:30" ht="15" customHeight="1" x14ac:dyDescent="0.25">
      <c r="A1447" s="282" t="s">
        <v>581</v>
      </c>
      <c r="B1447" s="282" t="s">
        <v>616</v>
      </c>
      <c r="C1447" s="282" t="s">
        <v>617</v>
      </c>
      <c r="D1447" s="286" t="s">
        <v>2121</v>
      </c>
      <c r="E1447" s="404">
        <v>44573</v>
      </c>
      <c r="F1447" s="404">
        <v>46656</v>
      </c>
      <c r="G1447" s="286" t="s">
        <v>286</v>
      </c>
      <c r="H1447" s="282" t="s">
        <v>602</v>
      </c>
      <c r="I1447" s="282" t="s">
        <v>590</v>
      </c>
      <c r="J1447" s="282" t="s">
        <v>156</v>
      </c>
      <c r="K1447" s="286" t="s">
        <v>603</v>
      </c>
      <c r="L1447" s="282" t="s">
        <v>574</v>
      </c>
      <c r="M1447" s="287">
        <v>2400</v>
      </c>
      <c r="N1447" s="287">
        <v>0</v>
      </c>
      <c r="O1447" s="287">
        <v>0</v>
      </c>
      <c r="P1447" s="287"/>
      <c r="Q1447" s="288">
        <v>341</v>
      </c>
      <c r="R1447" s="288">
        <v>340</v>
      </c>
      <c r="S1447" s="288">
        <v>0.33</v>
      </c>
      <c r="T1447" s="288"/>
      <c r="U1447" s="288">
        <v>0</v>
      </c>
      <c r="V1447" s="289">
        <v>340.33</v>
      </c>
      <c r="W1447" s="289">
        <v>0</v>
      </c>
      <c r="X1447" s="288">
        <v>0.14208333333333334</v>
      </c>
      <c r="Y1447" s="288">
        <v>0.14166666666666666</v>
      </c>
      <c r="Z1447" s="288">
        <v>1.3750000000000001E-4</v>
      </c>
      <c r="AA1447" s="288">
        <v>0</v>
      </c>
      <c r="AB1447" s="288">
        <v>0</v>
      </c>
      <c r="AC1447" s="289">
        <v>0.14180416666666668</v>
      </c>
      <c r="AD1447" s="289">
        <v>0</v>
      </c>
    </row>
    <row r="1448" spans="1:30" ht="15" customHeight="1" x14ac:dyDescent="0.25">
      <c r="A1448" s="282" t="s">
        <v>581</v>
      </c>
      <c r="B1448" s="282" t="s">
        <v>585</v>
      </c>
      <c r="C1448" s="282" t="s">
        <v>586</v>
      </c>
      <c r="D1448" s="286" t="s">
        <v>2122</v>
      </c>
      <c r="E1448" s="404">
        <v>44581</v>
      </c>
      <c r="F1448" s="404">
        <v>46407</v>
      </c>
      <c r="G1448" s="286" t="s">
        <v>588</v>
      </c>
      <c r="H1448" s="282" t="s">
        <v>589</v>
      </c>
      <c r="I1448" s="282" t="s">
        <v>590</v>
      </c>
      <c r="J1448" s="282" t="s">
        <v>156</v>
      </c>
      <c r="K1448" s="286" t="s">
        <v>591</v>
      </c>
      <c r="L1448" s="282" t="s">
        <v>574</v>
      </c>
      <c r="M1448" s="287">
        <v>2400</v>
      </c>
      <c r="N1448" s="287">
        <v>0</v>
      </c>
      <c r="O1448" s="287">
        <v>0</v>
      </c>
      <c r="P1448" s="287"/>
      <c r="Q1448" s="288">
        <v>334</v>
      </c>
      <c r="R1448" s="288">
        <v>333</v>
      </c>
      <c r="S1448" s="288">
        <v>0.34</v>
      </c>
      <c r="T1448" s="288"/>
      <c r="U1448" s="288">
        <v>0</v>
      </c>
      <c r="V1448" s="289">
        <v>333.34</v>
      </c>
      <c r="W1448" s="289">
        <v>0</v>
      </c>
      <c r="X1448" s="288">
        <v>0.13916666666666666</v>
      </c>
      <c r="Y1448" s="288">
        <v>0.13875000000000001</v>
      </c>
      <c r="Z1448" s="288">
        <v>1.4166666666666668E-4</v>
      </c>
      <c r="AA1448" s="288">
        <v>0</v>
      </c>
      <c r="AB1448" s="288">
        <v>0</v>
      </c>
      <c r="AC1448" s="289">
        <v>0.13889166666666669</v>
      </c>
      <c r="AD1448" s="289">
        <v>0</v>
      </c>
    </row>
    <row r="1449" spans="1:30" ht="15" customHeight="1" x14ac:dyDescent="0.25">
      <c r="A1449" s="282" t="s">
        <v>581</v>
      </c>
      <c r="B1449" s="282" t="s">
        <v>616</v>
      </c>
      <c r="C1449" s="282" t="s">
        <v>617</v>
      </c>
      <c r="D1449" s="286" t="s">
        <v>2123</v>
      </c>
      <c r="E1449" s="404">
        <v>44588</v>
      </c>
      <c r="F1449" s="404">
        <v>46414</v>
      </c>
      <c r="G1449" s="286" t="s">
        <v>316</v>
      </c>
      <c r="H1449" s="282" t="s">
        <v>597</v>
      </c>
      <c r="I1449" s="282" t="s">
        <v>590</v>
      </c>
      <c r="J1449" s="282" t="s">
        <v>156</v>
      </c>
      <c r="K1449" s="286" t="s">
        <v>598</v>
      </c>
      <c r="L1449" s="282" t="s">
        <v>574</v>
      </c>
      <c r="M1449" s="287">
        <v>2400</v>
      </c>
      <c r="N1449" s="287">
        <v>0</v>
      </c>
      <c r="O1449" s="287">
        <v>0</v>
      </c>
      <c r="P1449" s="287"/>
      <c r="Q1449" s="288">
        <v>300</v>
      </c>
      <c r="R1449" s="288">
        <v>299</v>
      </c>
      <c r="S1449" s="288">
        <v>0.38</v>
      </c>
      <c r="T1449" s="288"/>
      <c r="U1449" s="288">
        <v>0</v>
      </c>
      <c r="V1449" s="289">
        <v>299.38</v>
      </c>
      <c r="W1449" s="289">
        <v>0</v>
      </c>
      <c r="X1449" s="288">
        <v>0.125</v>
      </c>
      <c r="Y1449" s="288">
        <v>0.12458333333333334</v>
      </c>
      <c r="Z1449" s="288">
        <v>1.5833333333333332E-4</v>
      </c>
      <c r="AA1449" s="288">
        <v>0</v>
      </c>
      <c r="AB1449" s="288">
        <v>0</v>
      </c>
      <c r="AC1449" s="289">
        <v>0.12474166666666667</v>
      </c>
      <c r="AD1449" s="289">
        <v>0</v>
      </c>
    </row>
    <row r="1450" spans="1:30" ht="15" customHeight="1" x14ac:dyDescent="0.25">
      <c r="A1450" s="282" t="s">
        <v>581</v>
      </c>
      <c r="B1450" s="282" t="s">
        <v>611</v>
      </c>
      <c r="C1450" s="282" t="s">
        <v>612</v>
      </c>
      <c r="D1450" s="286" t="s">
        <v>2124</v>
      </c>
      <c r="E1450" s="404">
        <v>44573</v>
      </c>
      <c r="F1450" s="404">
        <v>46656</v>
      </c>
      <c r="G1450" s="286" t="s">
        <v>286</v>
      </c>
      <c r="H1450" s="282" t="s">
        <v>602</v>
      </c>
      <c r="I1450" s="282" t="s">
        <v>590</v>
      </c>
      <c r="J1450" s="282" t="s">
        <v>156</v>
      </c>
      <c r="K1450" s="286" t="s">
        <v>603</v>
      </c>
      <c r="L1450" s="282" t="s">
        <v>574</v>
      </c>
      <c r="M1450" s="287">
        <v>2400</v>
      </c>
      <c r="N1450" s="287">
        <v>0</v>
      </c>
      <c r="O1450" s="287">
        <v>0</v>
      </c>
      <c r="P1450" s="287"/>
      <c r="Q1450" s="288">
        <v>265</v>
      </c>
      <c r="R1450" s="288">
        <v>264</v>
      </c>
      <c r="S1450" s="288">
        <v>0.45</v>
      </c>
      <c r="T1450" s="288"/>
      <c r="U1450" s="288">
        <v>0</v>
      </c>
      <c r="V1450" s="289">
        <v>264.45</v>
      </c>
      <c r="W1450" s="289">
        <v>0</v>
      </c>
      <c r="X1450" s="288">
        <v>0.11041666666666666</v>
      </c>
      <c r="Y1450" s="288">
        <v>0.11</v>
      </c>
      <c r="Z1450" s="288">
        <v>1.875E-4</v>
      </c>
      <c r="AA1450" s="288">
        <v>0</v>
      </c>
      <c r="AB1450" s="288">
        <v>0</v>
      </c>
      <c r="AC1450" s="289">
        <v>0.11018749999999999</v>
      </c>
      <c r="AD1450" s="289">
        <v>0</v>
      </c>
    </row>
    <row r="1451" spans="1:30" ht="15" customHeight="1" x14ac:dyDescent="0.25">
      <c r="A1451" s="282" t="s">
        <v>581</v>
      </c>
      <c r="B1451" s="282" t="s">
        <v>616</v>
      </c>
      <c r="C1451" s="282" t="s">
        <v>617</v>
      </c>
      <c r="D1451" s="286" t="s">
        <v>2125</v>
      </c>
      <c r="E1451" s="404">
        <v>44588</v>
      </c>
      <c r="F1451" s="404">
        <v>46414</v>
      </c>
      <c r="G1451" s="286" t="s">
        <v>316</v>
      </c>
      <c r="H1451" s="282" t="s">
        <v>597</v>
      </c>
      <c r="I1451" s="282" t="s">
        <v>590</v>
      </c>
      <c r="J1451" s="282" t="s">
        <v>156</v>
      </c>
      <c r="K1451" s="286" t="s">
        <v>598</v>
      </c>
      <c r="L1451" s="282" t="s">
        <v>574</v>
      </c>
      <c r="M1451" s="287">
        <v>2400</v>
      </c>
      <c r="N1451" s="287">
        <v>0</v>
      </c>
      <c r="O1451" s="287">
        <v>0</v>
      </c>
      <c r="P1451" s="287"/>
      <c r="Q1451" s="288">
        <v>314</v>
      </c>
      <c r="R1451" s="288">
        <v>313</v>
      </c>
      <c r="S1451" s="288">
        <v>0.34</v>
      </c>
      <c r="T1451" s="288"/>
      <c r="U1451" s="288">
        <v>0</v>
      </c>
      <c r="V1451" s="289">
        <v>313.33999999999997</v>
      </c>
      <c r="W1451" s="289">
        <v>0</v>
      </c>
      <c r="X1451" s="288">
        <v>0.13083333333333333</v>
      </c>
      <c r="Y1451" s="288">
        <v>0.13041666666666665</v>
      </c>
      <c r="Z1451" s="288">
        <v>1.4166666666666668E-4</v>
      </c>
      <c r="AA1451" s="288">
        <v>0</v>
      </c>
      <c r="AB1451" s="288">
        <v>0</v>
      </c>
      <c r="AC1451" s="289">
        <v>0.13055833333333333</v>
      </c>
      <c r="AD1451" s="289">
        <v>0</v>
      </c>
    </row>
    <row r="1452" spans="1:30" ht="15" customHeight="1" x14ac:dyDescent="0.25">
      <c r="A1452" s="282" t="s">
        <v>581</v>
      </c>
      <c r="B1452" s="282" t="s">
        <v>585</v>
      </c>
      <c r="C1452" s="282" t="s">
        <v>586</v>
      </c>
      <c r="D1452" s="286" t="s">
        <v>2126</v>
      </c>
      <c r="E1452" s="404">
        <v>44588</v>
      </c>
      <c r="F1452" s="404">
        <v>46414</v>
      </c>
      <c r="G1452" s="286" t="s">
        <v>316</v>
      </c>
      <c r="H1452" s="282" t="s">
        <v>597</v>
      </c>
      <c r="I1452" s="282" t="s">
        <v>590</v>
      </c>
      <c r="J1452" s="282" t="s">
        <v>156</v>
      </c>
      <c r="K1452" s="286" t="s">
        <v>598</v>
      </c>
      <c r="L1452" s="282" t="s">
        <v>574</v>
      </c>
      <c r="M1452" s="287">
        <v>2400</v>
      </c>
      <c r="N1452" s="287">
        <v>0</v>
      </c>
      <c r="O1452" s="287">
        <v>0</v>
      </c>
      <c r="P1452" s="287"/>
      <c r="Q1452" s="288">
        <v>295</v>
      </c>
      <c r="R1452" s="288">
        <v>294</v>
      </c>
      <c r="S1452" s="288">
        <v>0.37</v>
      </c>
      <c r="T1452" s="288"/>
      <c r="U1452" s="288">
        <v>0</v>
      </c>
      <c r="V1452" s="289">
        <v>294.37</v>
      </c>
      <c r="W1452" s="289">
        <v>0</v>
      </c>
      <c r="X1452" s="288">
        <v>0.12291666666666666</v>
      </c>
      <c r="Y1452" s="288">
        <v>0.1225</v>
      </c>
      <c r="Z1452" s="288">
        <v>1.5416666666666666E-4</v>
      </c>
      <c r="AA1452" s="288">
        <v>0</v>
      </c>
      <c r="AB1452" s="288">
        <v>0</v>
      </c>
      <c r="AC1452" s="289">
        <v>0.12265416666666666</v>
      </c>
      <c r="AD1452" s="289">
        <v>0</v>
      </c>
    </row>
    <row r="1453" spans="1:30" ht="15" customHeight="1" x14ac:dyDescent="0.25">
      <c r="A1453" s="282" t="s">
        <v>581</v>
      </c>
      <c r="B1453" s="282" t="s">
        <v>695</v>
      </c>
      <c r="C1453" s="282" t="s">
        <v>696</v>
      </c>
      <c r="D1453" s="286" t="s">
        <v>2127</v>
      </c>
      <c r="E1453" s="404">
        <v>45038</v>
      </c>
      <c r="F1453" s="404">
        <v>46865</v>
      </c>
      <c r="G1453" s="290" t="s">
        <v>283</v>
      </c>
      <c r="H1453" s="282" t="s">
        <v>881</v>
      </c>
      <c r="I1453" s="282" t="s">
        <v>590</v>
      </c>
      <c r="J1453" s="282" t="s">
        <v>156</v>
      </c>
      <c r="K1453" s="286" t="s">
        <v>882</v>
      </c>
      <c r="L1453" s="282" t="s">
        <v>574</v>
      </c>
      <c r="M1453" s="287">
        <v>2400</v>
      </c>
      <c r="N1453" s="287">
        <v>0</v>
      </c>
      <c r="O1453" s="287">
        <v>0</v>
      </c>
      <c r="P1453" s="287"/>
      <c r="Q1453" s="288">
        <v>340</v>
      </c>
      <c r="R1453" s="288">
        <v>339</v>
      </c>
      <c r="S1453" s="288">
        <v>0.27</v>
      </c>
      <c r="T1453" s="288"/>
      <c r="U1453" s="288">
        <v>0</v>
      </c>
      <c r="V1453" s="289">
        <v>339.27</v>
      </c>
      <c r="W1453" s="289">
        <v>0</v>
      </c>
      <c r="X1453" s="288">
        <v>0.14166666666666666</v>
      </c>
      <c r="Y1453" s="288">
        <v>0.14124999999999999</v>
      </c>
      <c r="Z1453" s="288">
        <v>1.1250000000000001E-4</v>
      </c>
      <c r="AA1453" s="288">
        <v>0</v>
      </c>
      <c r="AB1453" s="288">
        <v>0</v>
      </c>
      <c r="AC1453" s="289">
        <v>0.14136249999999997</v>
      </c>
      <c r="AD1453" s="289">
        <v>0</v>
      </c>
    </row>
    <row r="1454" spans="1:30" ht="15" customHeight="1" x14ac:dyDescent="0.25">
      <c r="A1454" s="282" t="s">
        <v>581</v>
      </c>
      <c r="B1454" s="282" t="s">
        <v>616</v>
      </c>
      <c r="C1454" s="282" t="s">
        <v>617</v>
      </c>
      <c r="D1454" s="286" t="s">
        <v>2128</v>
      </c>
      <c r="E1454" s="404">
        <v>44588</v>
      </c>
      <c r="F1454" s="404">
        <v>46414</v>
      </c>
      <c r="G1454" s="286" t="s">
        <v>316</v>
      </c>
      <c r="H1454" s="282" t="s">
        <v>597</v>
      </c>
      <c r="I1454" s="282" t="s">
        <v>590</v>
      </c>
      <c r="J1454" s="282" t="s">
        <v>156</v>
      </c>
      <c r="K1454" s="286" t="s">
        <v>598</v>
      </c>
      <c r="L1454" s="282" t="s">
        <v>574</v>
      </c>
      <c r="M1454" s="287">
        <v>2400</v>
      </c>
      <c r="N1454" s="287">
        <v>0</v>
      </c>
      <c r="O1454" s="287">
        <v>0</v>
      </c>
      <c r="P1454" s="287"/>
      <c r="Q1454" s="288">
        <v>309</v>
      </c>
      <c r="R1454" s="288">
        <v>308</v>
      </c>
      <c r="S1454" s="288">
        <v>0.33</v>
      </c>
      <c r="T1454" s="288"/>
      <c r="U1454" s="288">
        <v>0</v>
      </c>
      <c r="V1454" s="289">
        <v>308.33</v>
      </c>
      <c r="W1454" s="289">
        <v>0</v>
      </c>
      <c r="X1454" s="288">
        <v>0.12875</v>
      </c>
      <c r="Y1454" s="288">
        <v>0.12833333333333333</v>
      </c>
      <c r="Z1454" s="288">
        <v>1.3750000000000001E-4</v>
      </c>
      <c r="AA1454" s="288">
        <v>0</v>
      </c>
      <c r="AB1454" s="288">
        <v>0</v>
      </c>
      <c r="AC1454" s="289">
        <v>0.12847083333333334</v>
      </c>
      <c r="AD1454" s="289">
        <v>0</v>
      </c>
    </row>
    <row r="1455" spans="1:30" ht="15" customHeight="1" x14ac:dyDescent="0.25">
      <c r="A1455" s="282" t="s">
        <v>581</v>
      </c>
      <c r="B1455" s="282" t="s">
        <v>616</v>
      </c>
      <c r="C1455" s="282" t="s">
        <v>617</v>
      </c>
      <c r="D1455" s="286" t="s">
        <v>2129</v>
      </c>
      <c r="E1455" s="404">
        <v>44588</v>
      </c>
      <c r="F1455" s="404">
        <v>46414</v>
      </c>
      <c r="G1455" s="286" t="s">
        <v>316</v>
      </c>
      <c r="H1455" s="282" t="s">
        <v>597</v>
      </c>
      <c r="I1455" s="282" t="s">
        <v>590</v>
      </c>
      <c r="J1455" s="282" t="s">
        <v>156</v>
      </c>
      <c r="K1455" s="286" t="s">
        <v>598</v>
      </c>
      <c r="L1455" s="282" t="s">
        <v>574</v>
      </c>
      <c r="M1455" s="287">
        <v>2400</v>
      </c>
      <c r="N1455" s="287">
        <v>0</v>
      </c>
      <c r="O1455" s="287">
        <v>0</v>
      </c>
      <c r="P1455" s="287"/>
      <c r="Q1455" s="288">
        <v>304</v>
      </c>
      <c r="R1455" s="288">
        <v>303</v>
      </c>
      <c r="S1455" s="288">
        <v>0.33</v>
      </c>
      <c r="T1455" s="288"/>
      <c r="U1455" s="288">
        <v>0</v>
      </c>
      <c r="V1455" s="289">
        <v>303.33</v>
      </c>
      <c r="W1455" s="289">
        <v>0</v>
      </c>
      <c r="X1455" s="288">
        <v>0.12666666666666668</v>
      </c>
      <c r="Y1455" s="288">
        <v>0.12625</v>
      </c>
      <c r="Z1455" s="288">
        <v>1.3750000000000001E-4</v>
      </c>
      <c r="AA1455" s="288">
        <v>0</v>
      </c>
      <c r="AB1455" s="288">
        <v>0</v>
      </c>
      <c r="AC1455" s="289">
        <v>0.12638750000000001</v>
      </c>
      <c r="AD1455" s="289">
        <v>0</v>
      </c>
    </row>
    <row r="1456" spans="1:30" ht="15" customHeight="1" x14ac:dyDescent="0.25">
      <c r="A1456" s="282" t="s">
        <v>581</v>
      </c>
      <c r="B1456" s="282" t="s">
        <v>585</v>
      </c>
      <c r="C1456" s="282" t="s">
        <v>586</v>
      </c>
      <c r="D1456" s="283" t="s">
        <v>2130</v>
      </c>
      <c r="E1456" s="404">
        <v>44910</v>
      </c>
      <c r="F1456" s="404">
        <v>46736</v>
      </c>
      <c r="G1456" s="286" t="s">
        <v>608</v>
      </c>
      <c r="H1456" s="282" t="s">
        <v>609</v>
      </c>
      <c r="I1456" s="282" t="s">
        <v>590</v>
      </c>
      <c r="J1456" s="282" t="s">
        <v>156</v>
      </c>
      <c r="K1456" s="286" t="s">
        <v>610</v>
      </c>
      <c r="L1456" s="282" t="s">
        <v>574</v>
      </c>
      <c r="M1456" s="287">
        <v>2400</v>
      </c>
      <c r="N1456" s="287">
        <v>0</v>
      </c>
      <c r="O1456" s="287">
        <v>0</v>
      </c>
      <c r="P1456" s="287"/>
      <c r="Q1456" s="288">
        <v>467</v>
      </c>
      <c r="R1456" s="288">
        <v>460</v>
      </c>
      <c r="S1456" s="288">
        <v>5.94</v>
      </c>
      <c r="T1456" s="288"/>
      <c r="U1456" s="288">
        <v>0</v>
      </c>
      <c r="V1456" s="289">
        <v>465.94</v>
      </c>
      <c r="W1456" s="289">
        <v>0</v>
      </c>
      <c r="X1456" s="288">
        <v>0.19458333333333333</v>
      </c>
      <c r="Y1456" s="288">
        <v>0.19166666666666668</v>
      </c>
      <c r="Z1456" s="288">
        <v>2.4750000000000002E-3</v>
      </c>
      <c r="AA1456" s="288">
        <v>0</v>
      </c>
      <c r="AB1456" s="288">
        <v>0</v>
      </c>
      <c r="AC1456" s="289">
        <v>0.19414166666666668</v>
      </c>
      <c r="AD1456" s="289">
        <v>0</v>
      </c>
    </row>
    <row r="1457" spans="1:30" ht="15" customHeight="1" x14ac:dyDescent="0.25">
      <c r="A1457" s="282" t="s">
        <v>581</v>
      </c>
      <c r="B1457" s="282" t="s">
        <v>585</v>
      </c>
      <c r="C1457" s="282" t="s">
        <v>586</v>
      </c>
      <c r="D1457" s="286" t="s">
        <v>2131</v>
      </c>
      <c r="E1457" s="404">
        <v>44573</v>
      </c>
      <c r="F1457" s="404">
        <v>46656</v>
      </c>
      <c r="G1457" s="286" t="s">
        <v>286</v>
      </c>
      <c r="H1457" s="282" t="s">
        <v>602</v>
      </c>
      <c r="I1457" s="282" t="s">
        <v>590</v>
      </c>
      <c r="J1457" s="282" t="s">
        <v>156</v>
      </c>
      <c r="K1457" s="286" t="s">
        <v>603</v>
      </c>
      <c r="L1457" s="282" t="s">
        <v>574</v>
      </c>
      <c r="M1457" s="287">
        <v>2400</v>
      </c>
      <c r="N1457" s="287">
        <v>0</v>
      </c>
      <c r="O1457" s="287">
        <v>0</v>
      </c>
      <c r="P1457" s="287"/>
      <c r="Q1457" s="288">
        <v>294</v>
      </c>
      <c r="R1457" s="288">
        <v>293</v>
      </c>
      <c r="S1457" s="288">
        <v>0.32</v>
      </c>
      <c r="T1457" s="288"/>
      <c r="U1457" s="288">
        <v>0</v>
      </c>
      <c r="V1457" s="289">
        <v>293.32</v>
      </c>
      <c r="W1457" s="289">
        <v>0</v>
      </c>
      <c r="X1457" s="288">
        <v>0.1225</v>
      </c>
      <c r="Y1457" s="288">
        <v>0.12208333333333334</v>
      </c>
      <c r="Z1457" s="288">
        <v>1.3333333333333334E-4</v>
      </c>
      <c r="AA1457" s="288">
        <v>0</v>
      </c>
      <c r="AB1457" s="288">
        <v>0</v>
      </c>
      <c r="AC1457" s="289">
        <v>0.12221666666666667</v>
      </c>
      <c r="AD1457" s="289">
        <v>0</v>
      </c>
    </row>
    <row r="1458" spans="1:30" ht="15" customHeight="1" x14ac:dyDescent="0.25">
      <c r="A1458" s="282" t="s">
        <v>581</v>
      </c>
      <c r="B1458" s="282" t="s">
        <v>585</v>
      </c>
      <c r="C1458" s="282" t="s">
        <v>586</v>
      </c>
      <c r="D1458" s="283" t="s">
        <v>2132</v>
      </c>
      <c r="E1458" s="404">
        <v>45016</v>
      </c>
      <c r="F1458" s="404">
        <v>46843</v>
      </c>
      <c r="G1458" s="286" t="s">
        <v>283</v>
      </c>
      <c r="H1458" s="282" t="s">
        <v>736</v>
      </c>
      <c r="I1458" s="282" t="s">
        <v>590</v>
      </c>
      <c r="J1458" s="282" t="s">
        <v>156</v>
      </c>
      <c r="K1458" s="286" t="s">
        <v>737</v>
      </c>
      <c r="L1458" s="282" t="s">
        <v>574</v>
      </c>
      <c r="M1458" s="287">
        <v>2400</v>
      </c>
      <c r="N1458" s="287">
        <v>0</v>
      </c>
      <c r="O1458" s="287">
        <v>0</v>
      </c>
      <c r="P1458" s="287"/>
      <c r="Q1458" s="288">
        <v>293</v>
      </c>
      <c r="R1458" s="288">
        <v>292</v>
      </c>
      <c r="S1458" s="288">
        <v>0.318</v>
      </c>
      <c r="T1458" s="288"/>
      <c r="U1458" s="288">
        <v>0</v>
      </c>
      <c r="V1458" s="289">
        <v>292.31799999999998</v>
      </c>
      <c r="W1458" s="289">
        <v>0</v>
      </c>
      <c r="X1458" s="288">
        <v>0.12208333333333334</v>
      </c>
      <c r="Y1458" s="288">
        <v>0.12166666666666667</v>
      </c>
      <c r="Z1458" s="288">
        <v>1.325E-4</v>
      </c>
      <c r="AA1458" s="288">
        <v>0</v>
      </c>
      <c r="AB1458" s="288">
        <v>0</v>
      </c>
      <c r="AC1458" s="289">
        <v>0.12179916666666667</v>
      </c>
      <c r="AD1458" s="289">
        <v>0</v>
      </c>
    </row>
    <row r="1459" spans="1:30" ht="15" customHeight="1" x14ac:dyDescent="0.25">
      <c r="A1459" s="282" t="s">
        <v>581</v>
      </c>
      <c r="B1459" s="282" t="s">
        <v>628</v>
      </c>
      <c r="C1459" s="282" t="s">
        <v>629</v>
      </c>
      <c r="D1459" s="286" t="s">
        <v>2133</v>
      </c>
      <c r="E1459" s="404">
        <v>44573</v>
      </c>
      <c r="F1459" s="404">
        <v>46656</v>
      </c>
      <c r="G1459" s="286" t="s">
        <v>286</v>
      </c>
      <c r="H1459" s="282" t="s">
        <v>602</v>
      </c>
      <c r="I1459" s="282" t="s">
        <v>590</v>
      </c>
      <c r="J1459" s="282" t="s">
        <v>156</v>
      </c>
      <c r="K1459" s="286" t="s">
        <v>603</v>
      </c>
      <c r="L1459" s="282" t="s">
        <v>574</v>
      </c>
      <c r="M1459" s="287">
        <v>2400</v>
      </c>
      <c r="N1459" s="287">
        <v>0</v>
      </c>
      <c r="O1459" s="287">
        <v>0</v>
      </c>
      <c r="P1459" s="287"/>
      <c r="Q1459" s="288">
        <v>237</v>
      </c>
      <c r="R1459" s="288">
        <v>236</v>
      </c>
      <c r="S1459" s="288">
        <v>0.43</v>
      </c>
      <c r="T1459" s="288"/>
      <c r="U1459" s="288">
        <v>0</v>
      </c>
      <c r="V1459" s="289">
        <v>236.43</v>
      </c>
      <c r="W1459" s="289">
        <v>0</v>
      </c>
      <c r="X1459" s="288">
        <v>9.8750000000000004E-2</v>
      </c>
      <c r="Y1459" s="288">
        <v>9.8333333333333328E-2</v>
      </c>
      <c r="Z1459" s="288">
        <v>1.7916666666666667E-4</v>
      </c>
      <c r="AA1459" s="288">
        <v>0</v>
      </c>
      <c r="AB1459" s="288">
        <v>0</v>
      </c>
      <c r="AC1459" s="289">
        <v>9.8512499999999989E-2</v>
      </c>
      <c r="AD1459" s="289">
        <v>0</v>
      </c>
    </row>
    <row r="1460" spans="1:30" ht="15" customHeight="1" x14ac:dyDescent="0.25">
      <c r="A1460" s="282" t="s">
        <v>581</v>
      </c>
      <c r="B1460" s="282" t="s">
        <v>616</v>
      </c>
      <c r="C1460" s="282" t="s">
        <v>617</v>
      </c>
      <c r="D1460" s="286" t="s">
        <v>2134</v>
      </c>
      <c r="E1460" s="404">
        <v>44581</v>
      </c>
      <c r="F1460" s="404">
        <v>46407</v>
      </c>
      <c r="G1460" s="286" t="s">
        <v>588</v>
      </c>
      <c r="H1460" s="282" t="s">
        <v>589</v>
      </c>
      <c r="I1460" s="282" t="s">
        <v>590</v>
      </c>
      <c r="J1460" s="282" t="s">
        <v>156</v>
      </c>
      <c r="K1460" s="286" t="s">
        <v>591</v>
      </c>
      <c r="L1460" s="282" t="s">
        <v>574</v>
      </c>
      <c r="M1460" s="287">
        <v>2400</v>
      </c>
      <c r="N1460" s="287">
        <v>0</v>
      </c>
      <c r="O1460" s="287">
        <v>0</v>
      </c>
      <c r="P1460" s="287"/>
      <c r="Q1460" s="288">
        <v>311</v>
      </c>
      <c r="R1460" s="288">
        <v>310</v>
      </c>
      <c r="S1460" s="288">
        <v>0.24</v>
      </c>
      <c r="T1460" s="288"/>
      <c r="U1460" s="288">
        <v>0</v>
      </c>
      <c r="V1460" s="289">
        <v>310.24</v>
      </c>
      <c r="W1460" s="289">
        <v>0</v>
      </c>
      <c r="X1460" s="288">
        <v>0.12958333333333333</v>
      </c>
      <c r="Y1460" s="288">
        <v>0.12916666666666668</v>
      </c>
      <c r="Z1460" s="288">
        <v>9.9999999999999991E-5</v>
      </c>
      <c r="AA1460" s="288">
        <v>0</v>
      </c>
      <c r="AB1460" s="288">
        <v>0</v>
      </c>
      <c r="AC1460" s="289">
        <v>0.12926666666666667</v>
      </c>
      <c r="AD1460" s="289">
        <v>0</v>
      </c>
    </row>
    <row r="1461" spans="1:30" ht="15" customHeight="1" x14ac:dyDescent="0.25">
      <c r="A1461" s="282" t="s">
        <v>581</v>
      </c>
      <c r="B1461" s="282" t="s">
        <v>616</v>
      </c>
      <c r="C1461" s="282" t="s">
        <v>617</v>
      </c>
      <c r="D1461" s="286" t="s">
        <v>2135</v>
      </c>
      <c r="E1461" s="404">
        <v>44525</v>
      </c>
      <c r="F1461" s="404">
        <v>46351</v>
      </c>
      <c r="G1461" s="286" t="s">
        <v>1063</v>
      </c>
      <c r="H1461" s="282" t="s">
        <v>1064</v>
      </c>
      <c r="I1461" s="282" t="s">
        <v>590</v>
      </c>
      <c r="J1461" s="282" t="s">
        <v>156</v>
      </c>
      <c r="K1461" s="286" t="s">
        <v>1065</v>
      </c>
      <c r="L1461" s="282" t="s">
        <v>574</v>
      </c>
      <c r="M1461" s="287">
        <v>2400</v>
      </c>
      <c r="N1461" s="287">
        <v>0</v>
      </c>
      <c r="O1461" s="287">
        <v>0</v>
      </c>
      <c r="P1461" s="287"/>
      <c r="Q1461" s="288">
        <v>321</v>
      </c>
      <c r="R1461" s="288">
        <v>320</v>
      </c>
      <c r="S1461" s="288">
        <v>0.21</v>
      </c>
      <c r="T1461" s="288"/>
      <c r="U1461" s="288">
        <v>0</v>
      </c>
      <c r="V1461" s="289">
        <v>320.20999999999998</v>
      </c>
      <c r="W1461" s="289">
        <v>0</v>
      </c>
      <c r="X1461" s="288">
        <v>0.13375000000000001</v>
      </c>
      <c r="Y1461" s="288">
        <v>0.13333333333333333</v>
      </c>
      <c r="Z1461" s="288">
        <v>8.7499999999999999E-5</v>
      </c>
      <c r="AA1461" s="288">
        <v>0</v>
      </c>
      <c r="AB1461" s="288">
        <v>0</v>
      </c>
      <c r="AC1461" s="289">
        <v>0.13342083333333332</v>
      </c>
      <c r="AD1461" s="289">
        <v>0</v>
      </c>
    </row>
    <row r="1462" spans="1:30" ht="15" customHeight="1" x14ac:dyDescent="0.25">
      <c r="A1462" s="282" t="s">
        <v>581</v>
      </c>
      <c r="B1462" s="282" t="s">
        <v>616</v>
      </c>
      <c r="C1462" s="282" t="s">
        <v>617</v>
      </c>
      <c r="D1462" s="286" t="s">
        <v>2136</v>
      </c>
      <c r="E1462" s="404">
        <v>44525</v>
      </c>
      <c r="F1462" s="404">
        <v>46351</v>
      </c>
      <c r="G1462" s="286" t="s">
        <v>1063</v>
      </c>
      <c r="H1462" s="282" t="s">
        <v>1064</v>
      </c>
      <c r="I1462" s="282" t="s">
        <v>590</v>
      </c>
      <c r="J1462" s="282" t="s">
        <v>156</v>
      </c>
      <c r="K1462" s="286" t="s">
        <v>1065</v>
      </c>
      <c r="L1462" s="282" t="s">
        <v>574</v>
      </c>
      <c r="M1462" s="287">
        <v>2400</v>
      </c>
      <c r="N1462" s="287">
        <v>0</v>
      </c>
      <c r="O1462" s="287">
        <v>0</v>
      </c>
      <c r="P1462" s="287"/>
      <c r="Q1462" s="288">
        <v>321</v>
      </c>
      <c r="R1462" s="288">
        <v>320</v>
      </c>
      <c r="S1462" s="288">
        <v>0.21</v>
      </c>
      <c r="T1462" s="288"/>
      <c r="U1462" s="288">
        <v>0</v>
      </c>
      <c r="V1462" s="289">
        <v>320.20999999999998</v>
      </c>
      <c r="W1462" s="289">
        <v>0</v>
      </c>
      <c r="X1462" s="288">
        <v>0.13375000000000001</v>
      </c>
      <c r="Y1462" s="288">
        <v>0.13333333333333333</v>
      </c>
      <c r="Z1462" s="288">
        <v>8.7499999999999999E-5</v>
      </c>
      <c r="AA1462" s="288">
        <v>0</v>
      </c>
      <c r="AB1462" s="288">
        <v>0</v>
      </c>
      <c r="AC1462" s="289">
        <v>0.13342083333333332</v>
      </c>
      <c r="AD1462" s="289">
        <v>0</v>
      </c>
    </row>
    <row r="1463" spans="1:30" ht="15" customHeight="1" x14ac:dyDescent="0.25">
      <c r="A1463" s="282" t="s">
        <v>581</v>
      </c>
      <c r="B1463" s="282" t="s">
        <v>585</v>
      </c>
      <c r="C1463" s="282" t="s">
        <v>586</v>
      </c>
      <c r="D1463" s="283" t="s">
        <v>2137</v>
      </c>
      <c r="E1463" s="404">
        <v>44910</v>
      </c>
      <c r="F1463" s="404">
        <v>46736</v>
      </c>
      <c r="G1463" s="286" t="s">
        <v>608</v>
      </c>
      <c r="H1463" s="282" t="s">
        <v>609</v>
      </c>
      <c r="I1463" s="282" t="s">
        <v>590</v>
      </c>
      <c r="J1463" s="282" t="s">
        <v>156</v>
      </c>
      <c r="K1463" s="286" t="s">
        <v>610</v>
      </c>
      <c r="L1463" s="282" t="s">
        <v>574</v>
      </c>
      <c r="M1463" s="287">
        <v>2400</v>
      </c>
      <c r="N1463" s="287">
        <v>0</v>
      </c>
      <c r="O1463" s="287">
        <v>0</v>
      </c>
      <c r="P1463" s="287"/>
      <c r="Q1463" s="288">
        <v>289</v>
      </c>
      <c r="R1463" s="288">
        <v>285</v>
      </c>
      <c r="S1463" s="288">
        <v>3.28</v>
      </c>
      <c r="T1463" s="288"/>
      <c r="U1463" s="288">
        <v>0</v>
      </c>
      <c r="V1463" s="289">
        <v>288.27999999999997</v>
      </c>
      <c r="W1463" s="289">
        <v>0</v>
      </c>
      <c r="X1463" s="288">
        <v>0.12041666666666667</v>
      </c>
      <c r="Y1463" s="288">
        <v>0.11874999999999999</v>
      </c>
      <c r="Z1463" s="288">
        <v>1.3666666666666666E-3</v>
      </c>
      <c r="AA1463" s="288">
        <v>0</v>
      </c>
      <c r="AB1463" s="288">
        <v>0</v>
      </c>
      <c r="AC1463" s="289">
        <v>0.12011666666666666</v>
      </c>
      <c r="AD1463" s="289">
        <v>0</v>
      </c>
    </row>
    <row r="1464" spans="1:30" ht="15" customHeight="1" x14ac:dyDescent="0.25">
      <c r="A1464" s="282" t="s">
        <v>581</v>
      </c>
      <c r="B1464" s="282" t="s">
        <v>628</v>
      </c>
      <c r="C1464" s="282" t="s">
        <v>629</v>
      </c>
      <c r="D1464" s="286" t="s">
        <v>669</v>
      </c>
      <c r="E1464" s="404">
        <v>44573</v>
      </c>
      <c r="F1464" s="404">
        <v>46656</v>
      </c>
      <c r="G1464" s="286" t="s">
        <v>286</v>
      </c>
      <c r="H1464" s="282" t="s">
        <v>602</v>
      </c>
      <c r="I1464" s="282" t="s">
        <v>590</v>
      </c>
      <c r="J1464" s="282" t="s">
        <v>156</v>
      </c>
      <c r="K1464" s="286" t="s">
        <v>603</v>
      </c>
      <c r="L1464" s="282" t="s">
        <v>574</v>
      </c>
      <c r="M1464" s="287">
        <v>2400</v>
      </c>
      <c r="N1464" s="287">
        <v>0</v>
      </c>
      <c r="O1464" s="287">
        <v>0</v>
      </c>
      <c r="P1464" s="287"/>
      <c r="Q1464" s="288">
        <v>229</v>
      </c>
      <c r="R1464" s="288">
        <v>228</v>
      </c>
      <c r="S1464" s="288">
        <v>0.42</v>
      </c>
      <c r="T1464" s="288"/>
      <c r="U1464" s="288">
        <v>0</v>
      </c>
      <c r="V1464" s="289">
        <v>228.42</v>
      </c>
      <c r="W1464" s="289">
        <v>0</v>
      </c>
      <c r="X1464" s="288">
        <v>9.5416666666666664E-2</v>
      </c>
      <c r="Y1464" s="288">
        <v>9.5000000000000001E-2</v>
      </c>
      <c r="Z1464" s="288">
        <v>1.75E-4</v>
      </c>
      <c r="AA1464" s="288">
        <v>0</v>
      </c>
      <c r="AB1464" s="288">
        <v>0</v>
      </c>
      <c r="AC1464" s="289">
        <v>9.5174999999999996E-2</v>
      </c>
      <c r="AD1464" s="289">
        <v>0</v>
      </c>
    </row>
    <row r="1465" spans="1:30" ht="15" customHeight="1" x14ac:dyDescent="0.25">
      <c r="A1465" s="282" t="s">
        <v>581</v>
      </c>
      <c r="B1465" s="282" t="s">
        <v>585</v>
      </c>
      <c r="C1465" s="282" t="s">
        <v>586</v>
      </c>
      <c r="D1465" s="286" t="s">
        <v>2138</v>
      </c>
      <c r="E1465" s="404">
        <v>44588</v>
      </c>
      <c r="F1465" s="404">
        <v>46414</v>
      </c>
      <c r="G1465" s="286" t="s">
        <v>316</v>
      </c>
      <c r="H1465" s="282" t="s">
        <v>597</v>
      </c>
      <c r="I1465" s="282" t="s">
        <v>590</v>
      </c>
      <c r="J1465" s="282" t="s">
        <v>156</v>
      </c>
      <c r="K1465" s="286" t="s">
        <v>598</v>
      </c>
      <c r="L1465" s="282" t="s">
        <v>574</v>
      </c>
      <c r="M1465" s="287">
        <v>2400</v>
      </c>
      <c r="N1465" s="287">
        <v>0</v>
      </c>
      <c r="O1465" s="287">
        <v>0</v>
      </c>
      <c r="P1465" s="287"/>
      <c r="Q1465" s="288">
        <v>272</v>
      </c>
      <c r="R1465" s="288">
        <v>271</v>
      </c>
      <c r="S1465" s="288">
        <v>0.31</v>
      </c>
      <c r="T1465" s="288"/>
      <c r="U1465" s="288">
        <v>0</v>
      </c>
      <c r="V1465" s="289">
        <v>271.31</v>
      </c>
      <c r="W1465" s="289">
        <v>0</v>
      </c>
      <c r="X1465" s="288">
        <v>0.11333333333333333</v>
      </c>
      <c r="Y1465" s="288">
        <v>0.11291666666666667</v>
      </c>
      <c r="Z1465" s="288">
        <v>1.2916666666666667E-4</v>
      </c>
      <c r="AA1465" s="288">
        <v>0</v>
      </c>
      <c r="AB1465" s="288">
        <v>0</v>
      </c>
      <c r="AC1465" s="289">
        <v>0.11304583333333333</v>
      </c>
      <c r="AD1465" s="289">
        <v>0</v>
      </c>
    </row>
    <row r="1466" spans="1:30" ht="15" customHeight="1" x14ac:dyDescent="0.25">
      <c r="A1466" s="282" t="s">
        <v>581</v>
      </c>
      <c r="B1466" s="282" t="s">
        <v>585</v>
      </c>
      <c r="C1466" s="282" t="s">
        <v>586</v>
      </c>
      <c r="D1466" s="286" t="s">
        <v>2139</v>
      </c>
      <c r="E1466" s="404">
        <v>44588</v>
      </c>
      <c r="F1466" s="404">
        <v>46414</v>
      </c>
      <c r="G1466" s="286" t="s">
        <v>316</v>
      </c>
      <c r="H1466" s="282" t="s">
        <v>597</v>
      </c>
      <c r="I1466" s="282" t="s">
        <v>590</v>
      </c>
      <c r="J1466" s="282" t="s">
        <v>156</v>
      </c>
      <c r="K1466" s="286" t="s">
        <v>598</v>
      </c>
      <c r="L1466" s="282" t="s">
        <v>574</v>
      </c>
      <c r="M1466" s="287">
        <v>2400</v>
      </c>
      <c r="N1466" s="287">
        <v>0</v>
      </c>
      <c r="O1466" s="287">
        <v>0</v>
      </c>
      <c r="P1466" s="287"/>
      <c r="Q1466" s="288">
        <v>265</v>
      </c>
      <c r="R1466" s="288">
        <v>264</v>
      </c>
      <c r="S1466" s="288">
        <v>0.31</v>
      </c>
      <c r="T1466" s="288"/>
      <c r="U1466" s="288">
        <v>0</v>
      </c>
      <c r="V1466" s="289">
        <v>264.31</v>
      </c>
      <c r="W1466" s="289">
        <v>0</v>
      </c>
      <c r="X1466" s="288">
        <v>0.11041666666666666</v>
      </c>
      <c r="Y1466" s="288">
        <v>0.11</v>
      </c>
      <c r="Z1466" s="288">
        <v>1.2916666666666667E-4</v>
      </c>
      <c r="AA1466" s="288">
        <v>0</v>
      </c>
      <c r="AB1466" s="288">
        <v>0</v>
      </c>
      <c r="AC1466" s="289">
        <v>0.11012916666666667</v>
      </c>
      <c r="AD1466" s="289">
        <v>0</v>
      </c>
    </row>
    <row r="1467" spans="1:30" ht="15" customHeight="1" x14ac:dyDescent="0.25">
      <c r="A1467" s="282" t="s">
        <v>581</v>
      </c>
      <c r="B1467" s="282" t="s">
        <v>628</v>
      </c>
      <c r="C1467" s="282" t="s">
        <v>629</v>
      </c>
      <c r="D1467" s="283" t="s">
        <v>2140</v>
      </c>
      <c r="E1467" s="404">
        <v>44910</v>
      </c>
      <c r="F1467" s="404">
        <v>46736</v>
      </c>
      <c r="G1467" s="286" t="s">
        <v>608</v>
      </c>
      <c r="H1467" s="282" t="s">
        <v>609</v>
      </c>
      <c r="I1467" s="282" t="s">
        <v>590</v>
      </c>
      <c r="J1467" s="282" t="s">
        <v>156</v>
      </c>
      <c r="K1467" s="286" t="s">
        <v>610</v>
      </c>
      <c r="L1467" s="282" t="s">
        <v>574</v>
      </c>
      <c r="M1467" s="287">
        <v>2400</v>
      </c>
      <c r="N1467" s="287">
        <v>0</v>
      </c>
      <c r="O1467" s="287">
        <v>0</v>
      </c>
      <c r="P1467" s="287"/>
      <c r="Q1467" s="288">
        <v>221</v>
      </c>
      <c r="R1467" s="288">
        <v>218</v>
      </c>
      <c r="S1467" s="288">
        <v>2.42</v>
      </c>
      <c r="T1467" s="288"/>
      <c r="U1467" s="288">
        <v>0</v>
      </c>
      <c r="V1467" s="289">
        <v>220.42</v>
      </c>
      <c r="W1467" s="289">
        <v>0</v>
      </c>
      <c r="X1467" s="288">
        <v>9.2083333333333336E-2</v>
      </c>
      <c r="Y1467" s="288">
        <v>9.0833333333333335E-2</v>
      </c>
      <c r="Z1467" s="288">
        <v>1.0083333333333333E-3</v>
      </c>
      <c r="AA1467" s="288">
        <v>0</v>
      </c>
      <c r="AB1467" s="288">
        <v>0</v>
      </c>
      <c r="AC1467" s="289">
        <v>9.1841666666666669E-2</v>
      </c>
      <c r="AD1467" s="289">
        <v>0</v>
      </c>
    </row>
    <row r="1468" spans="1:30" ht="15" customHeight="1" x14ac:dyDescent="0.25">
      <c r="A1468" s="282" t="s">
        <v>581</v>
      </c>
      <c r="B1468" s="282" t="s">
        <v>585</v>
      </c>
      <c r="C1468" s="282" t="s">
        <v>586</v>
      </c>
      <c r="D1468" s="286" t="s">
        <v>2141</v>
      </c>
      <c r="E1468" s="404">
        <v>44581</v>
      </c>
      <c r="F1468" s="404">
        <v>46407</v>
      </c>
      <c r="G1468" s="286" t="s">
        <v>588</v>
      </c>
      <c r="H1468" s="282" t="s">
        <v>589</v>
      </c>
      <c r="I1468" s="282" t="s">
        <v>590</v>
      </c>
      <c r="J1468" s="282" t="s">
        <v>156</v>
      </c>
      <c r="K1468" s="286" t="s">
        <v>591</v>
      </c>
      <c r="L1468" s="282" t="s">
        <v>574</v>
      </c>
      <c r="M1468" s="287">
        <v>2400</v>
      </c>
      <c r="N1468" s="287">
        <v>0</v>
      </c>
      <c r="O1468" s="287">
        <v>0</v>
      </c>
      <c r="P1468" s="287"/>
      <c r="Q1468" s="288">
        <v>304</v>
      </c>
      <c r="R1468" s="288">
        <v>303</v>
      </c>
      <c r="S1468" s="288">
        <v>0.2</v>
      </c>
      <c r="T1468" s="288"/>
      <c r="U1468" s="288">
        <v>0</v>
      </c>
      <c r="V1468" s="289">
        <v>303.2</v>
      </c>
      <c r="W1468" s="289">
        <v>0</v>
      </c>
      <c r="X1468" s="288">
        <v>0.12666666666666668</v>
      </c>
      <c r="Y1468" s="288">
        <v>0.12625</v>
      </c>
      <c r="Z1468" s="288">
        <v>8.3333333333333344E-5</v>
      </c>
      <c r="AA1468" s="288">
        <v>0</v>
      </c>
      <c r="AB1468" s="288">
        <v>0</v>
      </c>
      <c r="AC1468" s="289">
        <v>0.12633333333333333</v>
      </c>
      <c r="AD1468" s="289">
        <v>0</v>
      </c>
    </row>
    <row r="1469" spans="1:30" ht="15" customHeight="1" x14ac:dyDescent="0.25">
      <c r="A1469" s="282" t="s">
        <v>581</v>
      </c>
      <c r="B1469" s="282" t="s">
        <v>611</v>
      </c>
      <c r="C1469" s="282" t="s">
        <v>612</v>
      </c>
      <c r="D1469" s="283" t="s">
        <v>2142</v>
      </c>
      <c r="E1469" s="404">
        <v>45016</v>
      </c>
      <c r="F1469" s="404">
        <v>46843</v>
      </c>
      <c r="G1469" s="286" t="s">
        <v>283</v>
      </c>
      <c r="H1469" s="282" t="s">
        <v>736</v>
      </c>
      <c r="I1469" s="282" t="s">
        <v>590</v>
      </c>
      <c r="J1469" s="282" t="s">
        <v>156</v>
      </c>
      <c r="K1469" s="286" t="s">
        <v>737</v>
      </c>
      <c r="L1469" s="282" t="s">
        <v>574</v>
      </c>
      <c r="M1469" s="287">
        <v>2400</v>
      </c>
      <c r="N1469" s="287">
        <v>0</v>
      </c>
      <c r="O1469" s="287">
        <v>0</v>
      </c>
      <c r="P1469" s="287"/>
      <c r="Q1469" s="288">
        <v>271</v>
      </c>
      <c r="R1469" s="288">
        <v>270</v>
      </c>
      <c r="S1469" s="288">
        <v>0.27700000000000002</v>
      </c>
      <c r="T1469" s="288"/>
      <c r="U1469" s="288">
        <v>0</v>
      </c>
      <c r="V1469" s="289">
        <v>270.27699999999999</v>
      </c>
      <c r="W1469" s="289">
        <v>0</v>
      </c>
      <c r="X1469" s="288">
        <v>0.11291666666666667</v>
      </c>
      <c r="Y1469" s="288">
        <v>0.1125</v>
      </c>
      <c r="Z1469" s="288">
        <v>1.1541666666666668E-4</v>
      </c>
      <c r="AA1469" s="288">
        <v>0</v>
      </c>
      <c r="AB1469" s="288">
        <v>0</v>
      </c>
      <c r="AC1469" s="289">
        <v>0.11261541666666668</v>
      </c>
      <c r="AD1469" s="289">
        <v>0</v>
      </c>
    </row>
    <row r="1470" spans="1:30" ht="15" customHeight="1" x14ac:dyDescent="0.25">
      <c r="A1470" s="282" t="s">
        <v>581</v>
      </c>
      <c r="B1470" s="282" t="s">
        <v>616</v>
      </c>
      <c r="C1470" s="282" t="s">
        <v>617</v>
      </c>
      <c r="D1470" s="283" t="s">
        <v>2143</v>
      </c>
      <c r="E1470" s="404">
        <v>45016</v>
      </c>
      <c r="F1470" s="404">
        <v>46843</v>
      </c>
      <c r="G1470" s="286" t="s">
        <v>286</v>
      </c>
      <c r="H1470" s="282" t="s">
        <v>782</v>
      </c>
      <c r="I1470" s="282" t="s">
        <v>590</v>
      </c>
      <c r="J1470" s="282" t="s">
        <v>156</v>
      </c>
      <c r="K1470" s="286" t="s">
        <v>783</v>
      </c>
      <c r="L1470" s="282" t="s">
        <v>574</v>
      </c>
      <c r="M1470" s="287">
        <v>2400</v>
      </c>
      <c r="N1470" s="287">
        <v>0</v>
      </c>
      <c r="O1470" s="287">
        <v>0</v>
      </c>
      <c r="P1470" s="287"/>
      <c r="Q1470" s="288">
        <v>295</v>
      </c>
      <c r="R1470" s="288">
        <v>294</v>
      </c>
      <c r="S1470" s="288">
        <v>0.21</v>
      </c>
      <c r="T1470" s="288"/>
      <c r="U1470" s="288">
        <v>0</v>
      </c>
      <c r="V1470" s="289">
        <v>294.20999999999998</v>
      </c>
      <c r="W1470" s="289">
        <v>0</v>
      </c>
      <c r="X1470" s="288">
        <v>0.12291666666666666</v>
      </c>
      <c r="Y1470" s="288">
        <v>0.1225</v>
      </c>
      <c r="Z1470" s="288">
        <v>8.7499999999999999E-5</v>
      </c>
      <c r="AA1470" s="288">
        <v>0</v>
      </c>
      <c r="AB1470" s="288">
        <v>0</v>
      </c>
      <c r="AC1470" s="289">
        <v>0.1225875</v>
      </c>
      <c r="AD1470" s="289">
        <v>0</v>
      </c>
    </row>
    <row r="1471" spans="1:30" ht="15" customHeight="1" x14ac:dyDescent="0.25">
      <c r="A1471" s="282" t="s">
        <v>581</v>
      </c>
      <c r="B1471" s="282" t="s">
        <v>616</v>
      </c>
      <c r="C1471" s="282" t="s">
        <v>617</v>
      </c>
      <c r="D1471" s="286" t="s">
        <v>2144</v>
      </c>
      <c r="E1471" s="404">
        <v>45038</v>
      </c>
      <c r="F1471" s="404">
        <v>46865</v>
      </c>
      <c r="G1471" s="290" t="s">
        <v>283</v>
      </c>
      <c r="H1471" s="282" t="s">
        <v>881</v>
      </c>
      <c r="I1471" s="282" t="s">
        <v>590</v>
      </c>
      <c r="J1471" s="282" t="s">
        <v>156</v>
      </c>
      <c r="K1471" s="286" t="s">
        <v>882</v>
      </c>
      <c r="L1471" s="282" t="s">
        <v>574</v>
      </c>
      <c r="M1471" s="287">
        <v>2400</v>
      </c>
      <c r="N1471" s="287">
        <v>0</v>
      </c>
      <c r="O1471" s="287">
        <v>0</v>
      </c>
      <c r="P1471" s="287"/>
      <c r="Q1471" s="288">
        <v>290</v>
      </c>
      <c r="R1471" s="288">
        <v>289</v>
      </c>
      <c r="S1471" s="288">
        <v>0.22</v>
      </c>
      <c r="T1471" s="288"/>
      <c r="U1471" s="288">
        <v>0</v>
      </c>
      <c r="V1471" s="289">
        <v>289.22000000000003</v>
      </c>
      <c r="W1471" s="289">
        <v>0</v>
      </c>
      <c r="X1471" s="288">
        <v>0.12083333333333333</v>
      </c>
      <c r="Y1471" s="288">
        <v>0.12041666666666667</v>
      </c>
      <c r="Z1471" s="288">
        <v>9.1666666666666668E-5</v>
      </c>
      <c r="AA1471" s="288">
        <v>0</v>
      </c>
      <c r="AB1471" s="288">
        <v>0</v>
      </c>
      <c r="AC1471" s="289">
        <v>0.12050833333333334</v>
      </c>
      <c r="AD1471" s="289">
        <v>0</v>
      </c>
    </row>
    <row r="1472" spans="1:30" ht="15" customHeight="1" x14ac:dyDescent="0.25">
      <c r="A1472" s="282" t="s">
        <v>581</v>
      </c>
      <c r="B1472" s="282" t="s">
        <v>616</v>
      </c>
      <c r="C1472" s="282" t="s">
        <v>617</v>
      </c>
      <c r="D1472" s="286" t="s">
        <v>2145</v>
      </c>
      <c r="E1472" s="404">
        <v>45038</v>
      </c>
      <c r="F1472" s="404">
        <v>46865</v>
      </c>
      <c r="G1472" s="290" t="s">
        <v>283</v>
      </c>
      <c r="H1472" s="282" t="s">
        <v>881</v>
      </c>
      <c r="I1472" s="282" t="s">
        <v>590</v>
      </c>
      <c r="J1472" s="282" t="s">
        <v>156</v>
      </c>
      <c r="K1472" s="286" t="s">
        <v>882</v>
      </c>
      <c r="L1472" s="282" t="s">
        <v>574</v>
      </c>
      <c r="M1472" s="287">
        <v>2400</v>
      </c>
      <c r="N1472" s="287">
        <v>0</v>
      </c>
      <c r="O1472" s="287">
        <v>0</v>
      </c>
      <c r="P1472" s="287"/>
      <c r="Q1472" s="288">
        <v>290</v>
      </c>
      <c r="R1472" s="288">
        <v>289</v>
      </c>
      <c r="S1472" s="288">
        <v>0.22</v>
      </c>
      <c r="T1472" s="288"/>
      <c r="U1472" s="288">
        <v>0</v>
      </c>
      <c r="V1472" s="289">
        <v>289.22000000000003</v>
      </c>
      <c r="W1472" s="289">
        <v>0</v>
      </c>
      <c r="X1472" s="288">
        <v>0.12083333333333333</v>
      </c>
      <c r="Y1472" s="288">
        <v>0.12041666666666667</v>
      </c>
      <c r="Z1472" s="288">
        <v>9.1666666666666668E-5</v>
      </c>
      <c r="AA1472" s="288">
        <v>0</v>
      </c>
      <c r="AB1472" s="288">
        <v>0</v>
      </c>
      <c r="AC1472" s="289">
        <v>0.12050833333333334</v>
      </c>
      <c r="AD1472" s="289">
        <v>0</v>
      </c>
    </row>
    <row r="1473" spans="1:30" ht="15" customHeight="1" x14ac:dyDescent="0.25">
      <c r="A1473" s="282" t="s">
        <v>581</v>
      </c>
      <c r="B1473" s="282" t="s">
        <v>611</v>
      </c>
      <c r="C1473" s="282" t="s">
        <v>612</v>
      </c>
      <c r="D1473" s="286" t="s">
        <v>2146</v>
      </c>
      <c r="E1473" s="404">
        <v>44588</v>
      </c>
      <c r="F1473" s="404">
        <v>46414</v>
      </c>
      <c r="G1473" s="286" t="s">
        <v>316</v>
      </c>
      <c r="H1473" s="282" t="s">
        <v>597</v>
      </c>
      <c r="I1473" s="282" t="s">
        <v>590</v>
      </c>
      <c r="J1473" s="282" t="s">
        <v>156</v>
      </c>
      <c r="K1473" s="286" t="s">
        <v>598</v>
      </c>
      <c r="L1473" s="282" t="s">
        <v>574</v>
      </c>
      <c r="M1473" s="287">
        <v>2400</v>
      </c>
      <c r="N1473" s="287">
        <v>0</v>
      </c>
      <c r="O1473" s="287">
        <v>0</v>
      </c>
      <c r="P1473" s="287"/>
      <c r="Q1473" s="288">
        <v>245</v>
      </c>
      <c r="R1473" s="288">
        <v>244</v>
      </c>
      <c r="S1473" s="288">
        <v>0.34</v>
      </c>
      <c r="T1473" s="288"/>
      <c r="U1473" s="288">
        <v>0</v>
      </c>
      <c r="V1473" s="289">
        <v>244.34</v>
      </c>
      <c r="W1473" s="289">
        <v>0</v>
      </c>
      <c r="X1473" s="288">
        <v>0.10208333333333333</v>
      </c>
      <c r="Y1473" s="288">
        <v>0.10166666666666667</v>
      </c>
      <c r="Z1473" s="288">
        <v>1.4166666666666668E-4</v>
      </c>
      <c r="AA1473" s="288">
        <v>0</v>
      </c>
      <c r="AB1473" s="288">
        <v>0</v>
      </c>
      <c r="AC1473" s="289">
        <v>0.10180833333333333</v>
      </c>
      <c r="AD1473" s="289">
        <v>0</v>
      </c>
    </row>
    <row r="1474" spans="1:30" ht="15" customHeight="1" x14ac:dyDescent="0.25">
      <c r="A1474" s="282" t="s">
        <v>581</v>
      </c>
      <c r="B1474" s="282" t="s">
        <v>616</v>
      </c>
      <c r="C1474" s="282" t="s">
        <v>617</v>
      </c>
      <c r="D1474" s="286" t="s">
        <v>2147</v>
      </c>
      <c r="E1474" s="404">
        <v>45038</v>
      </c>
      <c r="F1474" s="404">
        <v>46865</v>
      </c>
      <c r="G1474" s="290" t="s">
        <v>283</v>
      </c>
      <c r="H1474" s="282" t="s">
        <v>881</v>
      </c>
      <c r="I1474" s="282" t="s">
        <v>590</v>
      </c>
      <c r="J1474" s="282" t="s">
        <v>156</v>
      </c>
      <c r="K1474" s="286" t="s">
        <v>882</v>
      </c>
      <c r="L1474" s="282" t="s">
        <v>574</v>
      </c>
      <c r="M1474" s="287">
        <v>2400</v>
      </c>
      <c r="N1474" s="287">
        <v>0</v>
      </c>
      <c r="O1474" s="287">
        <v>0</v>
      </c>
      <c r="P1474" s="287"/>
      <c r="Q1474" s="288">
        <v>289</v>
      </c>
      <c r="R1474" s="288">
        <v>288</v>
      </c>
      <c r="S1474" s="288">
        <v>0.22</v>
      </c>
      <c r="T1474" s="288"/>
      <c r="U1474" s="288">
        <v>0</v>
      </c>
      <c r="V1474" s="289">
        <v>288.22000000000003</v>
      </c>
      <c r="W1474" s="289">
        <v>0</v>
      </c>
      <c r="X1474" s="288">
        <v>0.12041666666666667</v>
      </c>
      <c r="Y1474" s="288">
        <v>0.12</v>
      </c>
      <c r="Z1474" s="288">
        <v>9.1666666666666668E-5</v>
      </c>
      <c r="AA1474" s="288">
        <v>0</v>
      </c>
      <c r="AB1474" s="288">
        <v>0</v>
      </c>
      <c r="AC1474" s="289">
        <v>0.12009166666666667</v>
      </c>
      <c r="AD1474" s="289">
        <v>0</v>
      </c>
    </row>
    <row r="1475" spans="1:30" ht="15" customHeight="1" x14ac:dyDescent="0.25">
      <c r="A1475" s="282" t="s">
        <v>581</v>
      </c>
      <c r="B1475" s="282" t="s">
        <v>616</v>
      </c>
      <c r="C1475" s="282" t="s">
        <v>617</v>
      </c>
      <c r="D1475" s="286" t="s">
        <v>2148</v>
      </c>
      <c r="E1475" s="404">
        <v>44581</v>
      </c>
      <c r="F1475" s="404">
        <v>46407</v>
      </c>
      <c r="G1475" s="286" t="s">
        <v>588</v>
      </c>
      <c r="H1475" s="282" t="s">
        <v>589</v>
      </c>
      <c r="I1475" s="282" t="s">
        <v>590</v>
      </c>
      <c r="J1475" s="282" t="s">
        <v>156</v>
      </c>
      <c r="K1475" s="286" t="s">
        <v>591</v>
      </c>
      <c r="L1475" s="282" t="s">
        <v>574</v>
      </c>
      <c r="M1475" s="287">
        <v>2400</v>
      </c>
      <c r="N1475" s="287">
        <v>0</v>
      </c>
      <c r="O1475" s="287">
        <v>0</v>
      </c>
      <c r="P1475" s="287"/>
      <c r="Q1475" s="288">
        <v>287</v>
      </c>
      <c r="R1475" s="288">
        <v>286</v>
      </c>
      <c r="S1475" s="288">
        <v>0.22</v>
      </c>
      <c r="T1475" s="288"/>
      <c r="U1475" s="288">
        <v>0</v>
      </c>
      <c r="V1475" s="289">
        <v>286.22000000000003</v>
      </c>
      <c r="W1475" s="289">
        <v>0</v>
      </c>
      <c r="X1475" s="288">
        <v>0.11958333333333333</v>
      </c>
      <c r="Y1475" s="288">
        <v>0.11916666666666667</v>
      </c>
      <c r="Z1475" s="288">
        <v>9.1666666666666668E-5</v>
      </c>
      <c r="AA1475" s="288">
        <v>0</v>
      </c>
      <c r="AB1475" s="288">
        <v>0</v>
      </c>
      <c r="AC1475" s="289">
        <v>0.11925833333333334</v>
      </c>
      <c r="AD1475" s="289">
        <v>0</v>
      </c>
    </row>
    <row r="1476" spans="1:30" ht="15" customHeight="1" x14ac:dyDescent="0.25">
      <c r="A1476" s="282" t="s">
        <v>581</v>
      </c>
      <c r="B1476" s="282" t="s">
        <v>585</v>
      </c>
      <c r="C1476" s="282" t="s">
        <v>586</v>
      </c>
      <c r="D1476" s="286" t="s">
        <v>2149</v>
      </c>
      <c r="E1476" s="404">
        <v>44581</v>
      </c>
      <c r="F1476" s="404">
        <v>46407</v>
      </c>
      <c r="G1476" s="286" t="s">
        <v>588</v>
      </c>
      <c r="H1476" s="282" t="s">
        <v>589</v>
      </c>
      <c r="I1476" s="282" t="s">
        <v>590</v>
      </c>
      <c r="J1476" s="282" t="s">
        <v>156</v>
      </c>
      <c r="K1476" s="286" t="s">
        <v>591</v>
      </c>
      <c r="L1476" s="282" t="s">
        <v>574</v>
      </c>
      <c r="M1476" s="287">
        <v>2400</v>
      </c>
      <c r="N1476" s="287">
        <v>0</v>
      </c>
      <c r="O1476" s="287">
        <v>0</v>
      </c>
      <c r="P1476" s="287"/>
      <c r="Q1476" s="288">
        <v>297</v>
      </c>
      <c r="R1476" s="288">
        <v>296</v>
      </c>
      <c r="S1476" s="288">
        <v>0.19</v>
      </c>
      <c r="T1476" s="288"/>
      <c r="U1476" s="288">
        <v>0</v>
      </c>
      <c r="V1476" s="289">
        <v>296.19</v>
      </c>
      <c r="W1476" s="289">
        <v>0</v>
      </c>
      <c r="X1476" s="288">
        <v>0.12375</v>
      </c>
      <c r="Y1476" s="288">
        <v>0.12333333333333334</v>
      </c>
      <c r="Z1476" s="288">
        <v>7.9166666666666662E-5</v>
      </c>
      <c r="AA1476" s="288">
        <v>0</v>
      </c>
      <c r="AB1476" s="288">
        <v>0</v>
      </c>
      <c r="AC1476" s="289">
        <v>0.12341250000000001</v>
      </c>
      <c r="AD1476" s="289">
        <v>0</v>
      </c>
    </row>
    <row r="1477" spans="1:30" ht="15" customHeight="1" x14ac:dyDescent="0.25">
      <c r="A1477" s="282" t="s">
        <v>581</v>
      </c>
      <c r="B1477" s="282" t="s">
        <v>585</v>
      </c>
      <c r="C1477" s="282" t="s">
        <v>586</v>
      </c>
      <c r="D1477" s="286" t="s">
        <v>2150</v>
      </c>
      <c r="E1477" s="404">
        <v>44581</v>
      </c>
      <c r="F1477" s="404">
        <v>46407</v>
      </c>
      <c r="G1477" s="286" t="s">
        <v>588</v>
      </c>
      <c r="H1477" s="282" t="s">
        <v>589</v>
      </c>
      <c r="I1477" s="282" t="s">
        <v>590</v>
      </c>
      <c r="J1477" s="282" t="s">
        <v>156</v>
      </c>
      <c r="K1477" s="286" t="s">
        <v>591</v>
      </c>
      <c r="L1477" s="282" t="s">
        <v>574</v>
      </c>
      <c r="M1477" s="287">
        <v>2400</v>
      </c>
      <c r="N1477" s="287">
        <v>0</v>
      </c>
      <c r="O1477" s="287">
        <v>0</v>
      </c>
      <c r="P1477" s="287"/>
      <c r="Q1477" s="288">
        <v>297</v>
      </c>
      <c r="R1477" s="288">
        <v>296</v>
      </c>
      <c r="S1477" s="288">
        <v>0.19</v>
      </c>
      <c r="T1477" s="288"/>
      <c r="U1477" s="288">
        <v>0</v>
      </c>
      <c r="V1477" s="289">
        <v>296.19</v>
      </c>
      <c r="W1477" s="289">
        <v>0</v>
      </c>
      <c r="X1477" s="288">
        <v>0.12375</v>
      </c>
      <c r="Y1477" s="288">
        <v>0.12333333333333334</v>
      </c>
      <c r="Z1477" s="288">
        <v>7.9166666666666662E-5</v>
      </c>
      <c r="AA1477" s="288">
        <v>0</v>
      </c>
      <c r="AB1477" s="288">
        <v>0</v>
      </c>
      <c r="AC1477" s="289">
        <v>0.12341250000000001</v>
      </c>
      <c r="AD1477" s="289">
        <v>0</v>
      </c>
    </row>
    <row r="1478" spans="1:30" ht="15" customHeight="1" x14ac:dyDescent="0.25">
      <c r="A1478" s="282" t="s">
        <v>581</v>
      </c>
      <c r="B1478" s="282" t="s">
        <v>594</v>
      </c>
      <c r="C1478" s="282" t="s">
        <v>595</v>
      </c>
      <c r="D1478" s="286" t="s">
        <v>2151</v>
      </c>
      <c r="E1478" s="404">
        <v>44573</v>
      </c>
      <c r="F1478" s="404">
        <v>46656</v>
      </c>
      <c r="G1478" s="286" t="s">
        <v>286</v>
      </c>
      <c r="H1478" s="282" t="s">
        <v>602</v>
      </c>
      <c r="I1478" s="282" t="s">
        <v>590</v>
      </c>
      <c r="J1478" s="282" t="s">
        <v>156</v>
      </c>
      <c r="K1478" s="286" t="s">
        <v>603</v>
      </c>
      <c r="L1478" s="282" t="s">
        <v>574</v>
      </c>
      <c r="M1478" s="287">
        <v>2400</v>
      </c>
      <c r="N1478" s="287">
        <v>0</v>
      </c>
      <c r="O1478" s="287">
        <v>0</v>
      </c>
      <c r="P1478" s="287"/>
      <c r="Q1478" s="288">
        <v>211</v>
      </c>
      <c r="R1478" s="288">
        <v>210</v>
      </c>
      <c r="S1478" s="288">
        <v>0.41</v>
      </c>
      <c r="T1478" s="288"/>
      <c r="U1478" s="288">
        <v>0</v>
      </c>
      <c r="V1478" s="289">
        <v>210.41</v>
      </c>
      <c r="W1478" s="289">
        <v>0</v>
      </c>
      <c r="X1478" s="288">
        <v>8.7916666666666671E-2</v>
      </c>
      <c r="Y1478" s="288">
        <v>8.7499999999999994E-2</v>
      </c>
      <c r="Z1478" s="288">
        <v>1.7083333333333333E-4</v>
      </c>
      <c r="AA1478" s="288">
        <v>0</v>
      </c>
      <c r="AB1478" s="288">
        <v>0</v>
      </c>
      <c r="AC1478" s="289">
        <v>8.7670833333333323E-2</v>
      </c>
      <c r="AD1478" s="289">
        <v>0</v>
      </c>
    </row>
    <row r="1479" spans="1:30" ht="15" customHeight="1" x14ac:dyDescent="0.25">
      <c r="A1479" s="282" t="s">
        <v>581</v>
      </c>
      <c r="B1479" s="282" t="s">
        <v>611</v>
      </c>
      <c r="C1479" s="282" t="s">
        <v>612</v>
      </c>
      <c r="D1479" s="286" t="s">
        <v>2152</v>
      </c>
      <c r="E1479" s="404">
        <v>44588</v>
      </c>
      <c r="F1479" s="404">
        <v>46414</v>
      </c>
      <c r="G1479" s="286" t="s">
        <v>316</v>
      </c>
      <c r="H1479" s="282" t="s">
        <v>597</v>
      </c>
      <c r="I1479" s="282" t="s">
        <v>590</v>
      </c>
      <c r="J1479" s="282" t="s">
        <v>156</v>
      </c>
      <c r="K1479" s="286" t="s">
        <v>598</v>
      </c>
      <c r="L1479" s="282" t="s">
        <v>574</v>
      </c>
      <c r="M1479" s="287">
        <v>2400</v>
      </c>
      <c r="N1479" s="287">
        <v>0</v>
      </c>
      <c r="O1479" s="287">
        <v>0</v>
      </c>
      <c r="P1479" s="287"/>
      <c r="Q1479" s="288">
        <v>239</v>
      </c>
      <c r="R1479" s="288">
        <v>238</v>
      </c>
      <c r="S1479" s="288">
        <v>0.33</v>
      </c>
      <c r="T1479" s="288"/>
      <c r="U1479" s="288">
        <v>0</v>
      </c>
      <c r="V1479" s="289">
        <v>238.33</v>
      </c>
      <c r="W1479" s="289">
        <v>0</v>
      </c>
      <c r="X1479" s="288">
        <v>9.9583333333333329E-2</v>
      </c>
      <c r="Y1479" s="288">
        <v>9.9166666666666667E-2</v>
      </c>
      <c r="Z1479" s="288">
        <v>1.3750000000000001E-4</v>
      </c>
      <c r="AA1479" s="288">
        <v>0</v>
      </c>
      <c r="AB1479" s="288">
        <v>0</v>
      </c>
      <c r="AC1479" s="289">
        <v>9.9304166666666666E-2</v>
      </c>
      <c r="AD1479" s="289">
        <v>0</v>
      </c>
    </row>
    <row r="1480" spans="1:30" ht="15" customHeight="1" x14ac:dyDescent="0.25">
      <c r="A1480" s="282" t="s">
        <v>581</v>
      </c>
      <c r="B1480" s="282" t="s">
        <v>585</v>
      </c>
      <c r="C1480" s="282" t="s">
        <v>586</v>
      </c>
      <c r="D1480" s="286" t="s">
        <v>2153</v>
      </c>
      <c r="E1480" s="404">
        <v>44581</v>
      </c>
      <c r="F1480" s="404">
        <v>46407</v>
      </c>
      <c r="G1480" s="286" t="s">
        <v>588</v>
      </c>
      <c r="H1480" s="282" t="s">
        <v>589</v>
      </c>
      <c r="I1480" s="282" t="s">
        <v>590</v>
      </c>
      <c r="J1480" s="282" t="s">
        <v>156</v>
      </c>
      <c r="K1480" s="286" t="s">
        <v>591</v>
      </c>
      <c r="L1480" s="282" t="s">
        <v>574</v>
      </c>
      <c r="M1480" s="287">
        <v>2400</v>
      </c>
      <c r="N1480" s="287">
        <v>0</v>
      </c>
      <c r="O1480" s="287">
        <v>0</v>
      </c>
      <c r="P1480" s="287"/>
      <c r="Q1480" s="288">
        <v>290</v>
      </c>
      <c r="R1480" s="288">
        <v>289</v>
      </c>
      <c r="S1480" s="288">
        <v>0.18</v>
      </c>
      <c r="T1480" s="288"/>
      <c r="U1480" s="288">
        <v>0</v>
      </c>
      <c r="V1480" s="289">
        <v>289.18</v>
      </c>
      <c r="W1480" s="289">
        <v>0</v>
      </c>
      <c r="X1480" s="288">
        <v>0.12083333333333333</v>
      </c>
      <c r="Y1480" s="288">
        <v>0.12041666666666667</v>
      </c>
      <c r="Z1480" s="288">
        <v>7.4999999999999993E-5</v>
      </c>
      <c r="AA1480" s="288">
        <v>0</v>
      </c>
      <c r="AB1480" s="288">
        <v>0</v>
      </c>
      <c r="AC1480" s="289">
        <v>0.12049166666666668</v>
      </c>
      <c r="AD1480" s="289">
        <v>0</v>
      </c>
    </row>
    <row r="1481" spans="1:30" ht="15" customHeight="1" x14ac:dyDescent="0.25">
      <c r="A1481" s="282" t="s">
        <v>581</v>
      </c>
      <c r="B1481" s="282" t="s">
        <v>628</v>
      </c>
      <c r="C1481" s="282" t="s">
        <v>629</v>
      </c>
      <c r="D1481" s="286" t="s">
        <v>2154</v>
      </c>
      <c r="E1481" s="404">
        <v>44573</v>
      </c>
      <c r="F1481" s="404">
        <v>46656</v>
      </c>
      <c r="G1481" s="286" t="s">
        <v>286</v>
      </c>
      <c r="H1481" s="282" t="s">
        <v>602</v>
      </c>
      <c r="I1481" s="282" t="s">
        <v>590</v>
      </c>
      <c r="J1481" s="282" t="s">
        <v>156</v>
      </c>
      <c r="K1481" s="286" t="s">
        <v>603</v>
      </c>
      <c r="L1481" s="282" t="s">
        <v>574</v>
      </c>
      <c r="M1481" s="287">
        <v>2400</v>
      </c>
      <c r="N1481" s="287">
        <v>0</v>
      </c>
      <c r="O1481" s="287">
        <v>0</v>
      </c>
      <c r="P1481" s="287"/>
      <c r="Q1481" s="288">
        <v>232</v>
      </c>
      <c r="R1481" s="288">
        <v>231</v>
      </c>
      <c r="S1481" s="288">
        <v>0.33</v>
      </c>
      <c r="T1481" s="288"/>
      <c r="U1481" s="288">
        <v>0</v>
      </c>
      <c r="V1481" s="289">
        <v>231.33</v>
      </c>
      <c r="W1481" s="289">
        <v>0</v>
      </c>
      <c r="X1481" s="288">
        <v>9.6666666666666665E-2</v>
      </c>
      <c r="Y1481" s="288">
        <v>9.6250000000000002E-2</v>
      </c>
      <c r="Z1481" s="288">
        <v>1.3750000000000001E-4</v>
      </c>
      <c r="AA1481" s="288">
        <v>0</v>
      </c>
      <c r="AB1481" s="288">
        <v>0</v>
      </c>
      <c r="AC1481" s="289">
        <v>9.6387500000000001E-2</v>
      </c>
      <c r="AD1481" s="289">
        <v>0</v>
      </c>
    </row>
    <row r="1482" spans="1:30" ht="15" customHeight="1" x14ac:dyDescent="0.25">
      <c r="A1482" s="282" t="s">
        <v>581</v>
      </c>
      <c r="B1482" s="282" t="s">
        <v>616</v>
      </c>
      <c r="C1482" s="282" t="s">
        <v>617</v>
      </c>
      <c r="D1482" s="283" t="s">
        <v>2155</v>
      </c>
      <c r="E1482" s="404">
        <v>45056</v>
      </c>
      <c r="F1482" s="404">
        <v>46883</v>
      </c>
      <c r="G1482" s="286" t="s">
        <v>286</v>
      </c>
      <c r="H1482" s="282" t="s">
        <v>759</v>
      </c>
      <c r="I1482" s="282" t="s">
        <v>590</v>
      </c>
      <c r="J1482" s="282" t="s">
        <v>156</v>
      </c>
      <c r="K1482" s="286" t="s">
        <v>760</v>
      </c>
      <c r="L1482" s="282" t="s">
        <v>574</v>
      </c>
      <c r="M1482" s="287">
        <v>2400</v>
      </c>
      <c r="N1482" s="287">
        <v>0</v>
      </c>
      <c r="O1482" s="287">
        <v>0</v>
      </c>
      <c r="P1482" s="287"/>
      <c r="Q1482" s="288">
        <v>289</v>
      </c>
      <c r="R1482" s="288">
        <v>288</v>
      </c>
      <c r="S1482" s="288">
        <v>0.158</v>
      </c>
      <c r="T1482" s="288"/>
      <c r="U1482" s="288">
        <v>0</v>
      </c>
      <c r="V1482" s="289">
        <v>288.15800000000002</v>
      </c>
      <c r="W1482" s="289">
        <v>0</v>
      </c>
      <c r="X1482" s="288">
        <v>0.12041666666666667</v>
      </c>
      <c r="Y1482" s="288">
        <v>0.12</v>
      </c>
      <c r="Z1482" s="288">
        <v>6.5833333333333339E-5</v>
      </c>
      <c r="AA1482" s="288">
        <v>0</v>
      </c>
      <c r="AB1482" s="288">
        <v>0</v>
      </c>
      <c r="AC1482" s="289">
        <v>0.12006583333333333</v>
      </c>
      <c r="AD1482" s="289">
        <v>0</v>
      </c>
    </row>
    <row r="1483" spans="1:30" ht="15" customHeight="1" x14ac:dyDescent="0.25">
      <c r="A1483" s="282" t="s">
        <v>581</v>
      </c>
      <c r="B1483" s="282" t="s">
        <v>585</v>
      </c>
      <c r="C1483" s="282" t="s">
        <v>586</v>
      </c>
      <c r="D1483" s="286" t="s">
        <v>2156</v>
      </c>
      <c r="E1483" s="404">
        <v>44573</v>
      </c>
      <c r="F1483" s="404">
        <v>46656</v>
      </c>
      <c r="G1483" s="286" t="s">
        <v>286</v>
      </c>
      <c r="H1483" s="282" t="s">
        <v>602</v>
      </c>
      <c r="I1483" s="282" t="s">
        <v>590</v>
      </c>
      <c r="J1483" s="282" t="s">
        <v>156</v>
      </c>
      <c r="K1483" s="286" t="s">
        <v>603</v>
      </c>
      <c r="L1483" s="282" t="s">
        <v>574</v>
      </c>
      <c r="M1483" s="287">
        <v>2400</v>
      </c>
      <c r="N1483" s="287">
        <v>0</v>
      </c>
      <c r="O1483" s="287">
        <v>0</v>
      </c>
      <c r="P1483" s="287"/>
      <c r="Q1483" s="288">
        <v>248</v>
      </c>
      <c r="R1483" s="288">
        <v>247</v>
      </c>
      <c r="S1483" s="288">
        <v>0.27</v>
      </c>
      <c r="T1483" s="288"/>
      <c r="U1483" s="288">
        <v>0</v>
      </c>
      <c r="V1483" s="289">
        <v>247.27</v>
      </c>
      <c r="W1483" s="289">
        <v>0</v>
      </c>
      <c r="X1483" s="288">
        <v>0.10333333333333333</v>
      </c>
      <c r="Y1483" s="288">
        <v>0.10291666666666667</v>
      </c>
      <c r="Z1483" s="288">
        <v>1.1250000000000001E-4</v>
      </c>
      <c r="AA1483" s="288">
        <v>0</v>
      </c>
      <c r="AB1483" s="288">
        <v>0</v>
      </c>
      <c r="AC1483" s="289">
        <v>0.10302916666666667</v>
      </c>
      <c r="AD1483" s="289">
        <v>0</v>
      </c>
    </row>
    <row r="1484" spans="1:30" ht="15" customHeight="1" x14ac:dyDescent="0.25">
      <c r="A1484" s="282" t="s">
        <v>581</v>
      </c>
      <c r="B1484" s="282" t="s">
        <v>611</v>
      </c>
      <c r="C1484" s="282" t="s">
        <v>612</v>
      </c>
      <c r="D1484" s="286" t="s">
        <v>613</v>
      </c>
      <c r="E1484" s="404">
        <v>44573</v>
      </c>
      <c r="F1484" s="404">
        <v>46656</v>
      </c>
      <c r="G1484" s="286" t="s">
        <v>286</v>
      </c>
      <c r="H1484" s="282" t="s">
        <v>602</v>
      </c>
      <c r="I1484" s="282" t="s">
        <v>590</v>
      </c>
      <c r="J1484" s="282" t="s">
        <v>156</v>
      </c>
      <c r="K1484" s="286" t="s">
        <v>603</v>
      </c>
      <c r="L1484" s="282" t="s">
        <v>574</v>
      </c>
      <c r="M1484" s="287">
        <v>2400</v>
      </c>
      <c r="N1484" s="287">
        <v>0</v>
      </c>
      <c r="O1484" s="287">
        <v>0</v>
      </c>
      <c r="P1484" s="287"/>
      <c r="Q1484" s="288">
        <v>240</v>
      </c>
      <c r="R1484" s="288">
        <v>239</v>
      </c>
      <c r="S1484" s="288">
        <v>0.28000000000000003</v>
      </c>
      <c r="T1484" s="288"/>
      <c r="U1484" s="288">
        <v>0</v>
      </c>
      <c r="V1484" s="289">
        <v>239.28</v>
      </c>
      <c r="W1484" s="289">
        <v>0</v>
      </c>
      <c r="X1484" s="288">
        <v>0.1</v>
      </c>
      <c r="Y1484" s="288">
        <v>9.9583333333333329E-2</v>
      </c>
      <c r="Z1484" s="288">
        <v>1.1666666666666668E-4</v>
      </c>
      <c r="AA1484" s="288">
        <v>0</v>
      </c>
      <c r="AB1484" s="288">
        <v>0</v>
      </c>
      <c r="AC1484" s="289">
        <v>9.9699999999999997E-2</v>
      </c>
      <c r="AD1484" s="289">
        <v>0</v>
      </c>
    </row>
    <row r="1485" spans="1:30" ht="15" customHeight="1" x14ac:dyDescent="0.25">
      <c r="A1485" s="282" t="s">
        <v>581</v>
      </c>
      <c r="B1485" s="282" t="s">
        <v>628</v>
      </c>
      <c r="C1485" s="282" t="s">
        <v>629</v>
      </c>
      <c r="D1485" s="283" t="s">
        <v>2157</v>
      </c>
      <c r="E1485" s="404">
        <v>44910</v>
      </c>
      <c r="F1485" s="404">
        <v>46736</v>
      </c>
      <c r="G1485" s="286" t="s">
        <v>608</v>
      </c>
      <c r="H1485" s="282" t="s">
        <v>609</v>
      </c>
      <c r="I1485" s="282" t="s">
        <v>590</v>
      </c>
      <c r="J1485" s="282" t="s">
        <v>156</v>
      </c>
      <c r="K1485" s="286" t="s">
        <v>610</v>
      </c>
      <c r="L1485" s="282" t="s">
        <v>574</v>
      </c>
      <c r="M1485" s="287">
        <v>2400</v>
      </c>
      <c r="N1485" s="287">
        <v>0</v>
      </c>
      <c r="O1485" s="287">
        <v>0</v>
      </c>
      <c r="P1485" s="287"/>
      <c r="Q1485" s="288">
        <v>162</v>
      </c>
      <c r="R1485" s="288">
        <v>160</v>
      </c>
      <c r="S1485" s="288">
        <v>1.51</v>
      </c>
      <c r="T1485" s="288"/>
      <c r="U1485" s="288">
        <v>0</v>
      </c>
      <c r="V1485" s="289">
        <v>161.51</v>
      </c>
      <c r="W1485" s="289">
        <v>0</v>
      </c>
      <c r="X1485" s="288">
        <v>6.7500000000000004E-2</v>
      </c>
      <c r="Y1485" s="288">
        <v>6.6666666666666666E-2</v>
      </c>
      <c r="Z1485" s="288">
        <v>6.2916666666666665E-4</v>
      </c>
      <c r="AA1485" s="288">
        <v>0</v>
      </c>
      <c r="AB1485" s="288">
        <v>0</v>
      </c>
      <c r="AC1485" s="289">
        <v>6.7295833333333333E-2</v>
      </c>
      <c r="AD1485" s="289">
        <v>0</v>
      </c>
    </row>
    <row r="1486" spans="1:30" ht="15" customHeight="1" x14ac:dyDescent="0.25">
      <c r="A1486" s="282" t="s">
        <v>581</v>
      </c>
      <c r="B1486" s="282" t="s">
        <v>585</v>
      </c>
      <c r="C1486" s="282" t="s">
        <v>586</v>
      </c>
      <c r="D1486" s="283" t="s">
        <v>2158</v>
      </c>
      <c r="E1486" s="404">
        <v>45016</v>
      </c>
      <c r="F1486" s="404">
        <v>46843</v>
      </c>
      <c r="G1486" s="286" t="s">
        <v>286</v>
      </c>
      <c r="H1486" s="282" t="s">
        <v>782</v>
      </c>
      <c r="I1486" s="282" t="s">
        <v>590</v>
      </c>
      <c r="J1486" s="282" t="s">
        <v>156</v>
      </c>
      <c r="K1486" s="286" t="s">
        <v>783</v>
      </c>
      <c r="L1486" s="282" t="s">
        <v>574</v>
      </c>
      <c r="M1486" s="287">
        <v>2400</v>
      </c>
      <c r="N1486" s="287">
        <v>0</v>
      </c>
      <c r="O1486" s="287">
        <v>0</v>
      </c>
      <c r="P1486" s="287"/>
      <c r="Q1486" s="288">
        <v>254</v>
      </c>
      <c r="R1486" s="288">
        <v>253</v>
      </c>
      <c r="S1486" s="288">
        <v>0.19</v>
      </c>
      <c r="T1486" s="288"/>
      <c r="U1486" s="288">
        <v>0</v>
      </c>
      <c r="V1486" s="289">
        <v>253.19</v>
      </c>
      <c r="W1486" s="289">
        <v>0</v>
      </c>
      <c r="X1486" s="288">
        <v>0.10583333333333333</v>
      </c>
      <c r="Y1486" s="288">
        <v>0.10541666666666667</v>
      </c>
      <c r="Z1486" s="288">
        <v>7.9166666666666662E-5</v>
      </c>
      <c r="AA1486" s="288">
        <v>0</v>
      </c>
      <c r="AB1486" s="288">
        <v>0</v>
      </c>
      <c r="AC1486" s="289">
        <v>0.10549583333333334</v>
      </c>
      <c r="AD1486" s="289">
        <v>0</v>
      </c>
    </row>
    <row r="1487" spans="1:30" ht="15" customHeight="1" x14ac:dyDescent="0.25">
      <c r="A1487" s="282" t="s">
        <v>581</v>
      </c>
      <c r="B1487" s="282" t="s">
        <v>628</v>
      </c>
      <c r="C1487" s="282" t="s">
        <v>629</v>
      </c>
      <c r="D1487" s="286" t="s">
        <v>2159</v>
      </c>
      <c r="E1487" s="404">
        <v>44588</v>
      </c>
      <c r="F1487" s="404">
        <v>46414</v>
      </c>
      <c r="G1487" s="286" t="s">
        <v>316</v>
      </c>
      <c r="H1487" s="282" t="s">
        <v>597</v>
      </c>
      <c r="I1487" s="282" t="s">
        <v>590</v>
      </c>
      <c r="J1487" s="282" t="s">
        <v>156</v>
      </c>
      <c r="K1487" s="286" t="s">
        <v>598</v>
      </c>
      <c r="L1487" s="282" t="s">
        <v>574</v>
      </c>
      <c r="M1487" s="287">
        <v>2400</v>
      </c>
      <c r="N1487" s="287">
        <v>0</v>
      </c>
      <c r="O1487" s="287">
        <v>0</v>
      </c>
      <c r="P1487" s="287"/>
      <c r="Q1487" s="288">
        <v>213</v>
      </c>
      <c r="R1487" s="288">
        <v>212</v>
      </c>
      <c r="S1487" s="288">
        <v>0.32</v>
      </c>
      <c r="T1487" s="288"/>
      <c r="U1487" s="288">
        <v>0</v>
      </c>
      <c r="V1487" s="289">
        <v>212.32</v>
      </c>
      <c r="W1487" s="289">
        <v>0</v>
      </c>
      <c r="X1487" s="288">
        <v>8.8749999999999996E-2</v>
      </c>
      <c r="Y1487" s="288">
        <v>8.8333333333333333E-2</v>
      </c>
      <c r="Z1487" s="288">
        <v>1.3333333333333334E-4</v>
      </c>
      <c r="AA1487" s="288">
        <v>0</v>
      </c>
      <c r="AB1487" s="288">
        <v>0</v>
      </c>
      <c r="AC1487" s="289">
        <v>8.8466666666666666E-2</v>
      </c>
      <c r="AD1487" s="289">
        <v>0</v>
      </c>
    </row>
    <row r="1488" spans="1:30" ht="15" customHeight="1" x14ac:dyDescent="0.25">
      <c r="A1488" s="282" t="s">
        <v>581</v>
      </c>
      <c r="B1488" s="282" t="s">
        <v>611</v>
      </c>
      <c r="C1488" s="282" t="s">
        <v>612</v>
      </c>
      <c r="D1488" s="286" t="s">
        <v>2160</v>
      </c>
      <c r="E1488" s="404">
        <v>44581</v>
      </c>
      <c r="F1488" s="404">
        <v>46407</v>
      </c>
      <c r="G1488" s="286" t="s">
        <v>588</v>
      </c>
      <c r="H1488" s="282" t="s">
        <v>589</v>
      </c>
      <c r="I1488" s="282" t="s">
        <v>590</v>
      </c>
      <c r="J1488" s="282" t="s">
        <v>156</v>
      </c>
      <c r="K1488" s="286" t="s">
        <v>591</v>
      </c>
      <c r="L1488" s="282" t="s">
        <v>574</v>
      </c>
      <c r="M1488" s="287">
        <v>2400</v>
      </c>
      <c r="N1488" s="287">
        <v>0</v>
      </c>
      <c r="O1488" s="287">
        <v>0</v>
      </c>
      <c r="P1488" s="287"/>
      <c r="Q1488" s="288">
        <v>262</v>
      </c>
      <c r="R1488" s="288">
        <v>261</v>
      </c>
      <c r="S1488" s="288">
        <v>0.16</v>
      </c>
      <c r="T1488" s="288"/>
      <c r="U1488" s="288">
        <v>0</v>
      </c>
      <c r="V1488" s="289">
        <v>261.16000000000003</v>
      </c>
      <c r="W1488" s="289">
        <v>0</v>
      </c>
      <c r="X1488" s="288">
        <v>0.10916666666666666</v>
      </c>
      <c r="Y1488" s="288">
        <v>0.10875</v>
      </c>
      <c r="Z1488" s="288">
        <v>6.666666666666667E-5</v>
      </c>
      <c r="AA1488" s="288">
        <v>0</v>
      </c>
      <c r="AB1488" s="288">
        <v>0</v>
      </c>
      <c r="AC1488" s="289">
        <v>0.10881666666666667</v>
      </c>
      <c r="AD1488" s="289">
        <v>0</v>
      </c>
    </row>
    <row r="1489" spans="1:30" ht="15" customHeight="1" x14ac:dyDescent="0.25">
      <c r="A1489" s="282" t="s">
        <v>581</v>
      </c>
      <c r="B1489" s="282" t="s">
        <v>2161</v>
      </c>
      <c r="C1489" s="282" t="s">
        <v>1237</v>
      </c>
      <c r="D1489" s="283" t="s">
        <v>2162</v>
      </c>
      <c r="E1489" s="404">
        <v>45016</v>
      </c>
      <c r="F1489" s="404">
        <v>46843</v>
      </c>
      <c r="G1489" s="286" t="s">
        <v>854</v>
      </c>
      <c r="H1489" s="282" t="s">
        <v>855</v>
      </c>
      <c r="I1489" s="282" t="s">
        <v>590</v>
      </c>
      <c r="J1489" s="282" t="s">
        <v>156</v>
      </c>
      <c r="K1489" s="286" t="s">
        <v>856</v>
      </c>
      <c r="L1489" s="282" t="s">
        <v>574</v>
      </c>
      <c r="M1489" s="287">
        <v>2400</v>
      </c>
      <c r="N1489" s="287">
        <v>0</v>
      </c>
      <c r="O1489" s="287">
        <v>0</v>
      </c>
      <c r="P1489" s="287"/>
      <c r="Q1489" s="288">
        <v>249</v>
      </c>
      <c r="R1489" s="288">
        <v>248</v>
      </c>
      <c r="S1489" s="288">
        <v>0.187</v>
      </c>
      <c r="T1489" s="288"/>
      <c r="U1489" s="288">
        <v>0</v>
      </c>
      <c r="V1489" s="289">
        <v>248.18700000000001</v>
      </c>
      <c r="W1489" s="289">
        <v>0</v>
      </c>
      <c r="X1489" s="288">
        <v>0.10375</v>
      </c>
      <c r="Y1489" s="288">
        <v>0.10333333333333333</v>
      </c>
      <c r="Z1489" s="288">
        <v>7.7916666666666672E-5</v>
      </c>
      <c r="AA1489" s="288">
        <v>0</v>
      </c>
      <c r="AB1489" s="288">
        <v>0</v>
      </c>
      <c r="AC1489" s="289">
        <v>0.10341125</v>
      </c>
      <c r="AD1489" s="289">
        <v>0</v>
      </c>
    </row>
    <row r="1490" spans="1:30" ht="15" customHeight="1" x14ac:dyDescent="0.25">
      <c r="A1490" s="282" t="s">
        <v>581</v>
      </c>
      <c r="B1490" s="282" t="s">
        <v>611</v>
      </c>
      <c r="C1490" s="282" t="s">
        <v>612</v>
      </c>
      <c r="D1490" s="286" t="s">
        <v>2163</v>
      </c>
      <c r="E1490" s="404">
        <v>44573</v>
      </c>
      <c r="F1490" s="404">
        <v>46656</v>
      </c>
      <c r="G1490" s="286" t="s">
        <v>286</v>
      </c>
      <c r="H1490" s="282" t="s">
        <v>602</v>
      </c>
      <c r="I1490" s="282" t="s">
        <v>590</v>
      </c>
      <c r="J1490" s="282" t="s">
        <v>156</v>
      </c>
      <c r="K1490" s="286" t="s">
        <v>603</v>
      </c>
      <c r="L1490" s="282" t="s">
        <v>574</v>
      </c>
      <c r="M1490" s="287">
        <v>2400</v>
      </c>
      <c r="N1490" s="287">
        <v>0</v>
      </c>
      <c r="O1490" s="287">
        <v>0</v>
      </c>
      <c r="P1490" s="287"/>
      <c r="Q1490" s="288">
        <v>222</v>
      </c>
      <c r="R1490" s="288">
        <v>221</v>
      </c>
      <c r="S1490" s="288">
        <v>0.27</v>
      </c>
      <c r="T1490" s="288"/>
      <c r="U1490" s="288">
        <v>0</v>
      </c>
      <c r="V1490" s="289">
        <v>221.27</v>
      </c>
      <c r="W1490" s="289">
        <v>0</v>
      </c>
      <c r="X1490" s="288">
        <v>9.2499999999999999E-2</v>
      </c>
      <c r="Y1490" s="288">
        <v>9.2083333333333336E-2</v>
      </c>
      <c r="Z1490" s="288">
        <v>1.1250000000000001E-4</v>
      </c>
      <c r="AA1490" s="288">
        <v>0</v>
      </c>
      <c r="AB1490" s="288">
        <v>0</v>
      </c>
      <c r="AC1490" s="289">
        <v>9.2195833333333338E-2</v>
      </c>
      <c r="AD1490" s="289">
        <v>0</v>
      </c>
    </row>
    <row r="1491" spans="1:30" ht="15" customHeight="1" x14ac:dyDescent="0.25">
      <c r="A1491" s="282" t="s">
        <v>581</v>
      </c>
      <c r="B1491" s="282" t="s">
        <v>594</v>
      </c>
      <c r="C1491" s="282" t="s">
        <v>595</v>
      </c>
      <c r="D1491" s="283" t="s">
        <v>2164</v>
      </c>
      <c r="E1491" s="404">
        <v>45016</v>
      </c>
      <c r="F1491" s="404">
        <v>46843</v>
      </c>
      <c r="G1491" s="286" t="s">
        <v>283</v>
      </c>
      <c r="H1491" s="282" t="s">
        <v>736</v>
      </c>
      <c r="I1491" s="282" t="s">
        <v>590</v>
      </c>
      <c r="J1491" s="282" t="s">
        <v>156</v>
      </c>
      <c r="K1491" s="286" t="s">
        <v>737</v>
      </c>
      <c r="L1491" s="282" t="s">
        <v>574</v>
      </c>
      <c r="M1491" s="287">
        <v>2400</v>
      </c>
      <c r="N1491" s="287">
        <v>0</v>
      </c>
      <c r="O1491" s="287">
        <v>0</v>
      </c>
      <c r="P1491" s="287"/>
      <c r="Q1491" s="288">
        <v>233</v>
      </c>
      <c r="R1491" s="288">
        <v>232</v>
      </c>
      <c r="S1491" s="288">
        <v>0.22800000000000001</v>
      </c>
      <c r="T1491" s="288"/>
      <c r="U1491" s="288">
        <v>0</v>
      </c>
      <c r="V1491" s="289">
        <v>232.22800000000001</v>
      </c>
      <c r="W1491" s="289">
        <v>0</v>
      </c>
      <c r="X1491" s="288">
        <v>9.7083333333333327E-2</v>
      </c>
      <c r="Y1491" s="288">
        <v>9.6666666666666665E-2</v>
      </c>
      <c r="Z1491" s="288">
        <v>9.5000000000000005E-5</v>
      </c>
      <c r="AA1491" s="288">
        <v>0</v>
      </c>
      <c r="AB1491" s="288">
        <v>0</v>
      </c>
      <c r="AC1491" s="289">
        <v>9.6761666666666662E-2</v>
      </c>
      <c r="AD1491" s="289">
        <v>0</v>
      </c>
    </row>
    <row r="1492" spans="1:30" ht="15" customHeight="1" x14ac:dyDescent="0.25">
      <c r="A1492" s="282" t="s">
        <v>581</v>
      </c>
      <c r="B1492" s="282" t="s">
        <v>585</v>
      </c>
      <c r="C1492" s="282" t="s">
        <v>586</v>
      </c>
      <c r="D1492" s="286" t="s">
        <v>2165</v>
      </c>
      <c r="E1492" s="404">
        <v>44816</v>
      </c>
      <c r="F1492" s="404">
        <v>46642</v>
      </c>
      <c r="G1492" s="290" t="s">
        <v>652</v>
      </c>
      <c r="H1492" s="282" t="s">
        <v>653</v>
      </c>
      <c r="I1492" s="282" t="s">
        <v>590</v>
      </c>
      <c r="J1492" s="282" t="s">
        <v>156</v>
      </c>
      <c r="K1492" s="286" t="s">
        <v>654</v>
      </c>
      <c r="L1492" s="282" t="s">
        <v>574</v>
      </c>
      <c r="M1492" s="287">
        <v>2400</v>
      </c>
      <c r="N1492" s="287">
        <v>0</v>
      </c>
      <c r="O1492" s="287">
        <v>0</v>
      </c>
      <c r="P1492" s="287"/>
      <c r="Q1492" s="288">
        <v>226</v>
      </c>
      <c r="R1492" s="288">
        <v>225</v>
      </c>
      <c r="S1492" s="288">
        <v>0.25</v>
      </c>
      <c r="T1492" s="288"/>
      <c r="U1492" s="288">
        <v>0</v>
      </c>
      <c r="V1492" s="289">
        <v>225.25</v>
      </c>
      <c r="W1492" s="289">
        <v>0</v>
      </c>
      <c r="X1492" s="288">
        <v>9.4166666666666662E-2</v>
      </c>
      <c r="Y1492" s="288">
        <v>9.375E-2</v>
      </c>
      <c r="Z1492" s="288">
        <v>1.0416666666666667E-4</v>
      </c>
      <c r="AA1492" s="288">
        <v>0</v>
      </c>
      <c r="AB1492" s="288">
        <v>0</v>
      </c>
      <c r="AC1492" s="289">
        <v>9.3854166666666669E-2</v>
      </c>
      <c r="AD1492" s="289">
        <v>0</v>
      </c>
    </row>
    <row r="1493" spans="1:30" ht="15" customHeight="1" x14ac:dyDescent="0.25">
      <c r="A1493" s="282" t="s">
        <v>581</v>
      </c>
      <c r="B1493" s="282" t="s">
        <v>594</v>
      </c>
      <c r="C1493" s="282" t="s">
        <v>595</v>
      </c>
      <c r="D1493" s="283" t="s">
        <v>2166</v>
      </c>
      <c r="E1493" s="404">
        <v>45016</v>
      </c>
      <c r="F1493" s="404">
        <v>46843</v>
      </c>
      <c r="G1493" s="286" t="s">
        <v>854</v>
      </c>
      <c r="H1493" s="282" t="s">
        <v>855</v>
      </c>
      <c r="I1493" s="282" t="s">
        <v>590</v>
      </c>
      <c r="J1493" s="282" t="s">
        <v>156</v>
      </c>
      <c r="K1493" s="286" t="s">
        <v>856</v>
      </c>
      <c r="L1493" s="282" t="s">
        <v>574</v>
      </c>
      <c r="M1493" s="287">
        <v>2400</v>
      </c>
      <c r="N1493" s="287">
        <v>0</v>
      </c>
      <c r="O1493" s="287">
        <v>0</v>
      </c>
      <c r="P1493" s="287"/>
      <c r="Q1493" s="288">
        <v>274</v>
      </c>
      <c r="R1493" s="288">
        <v>273</v>
      </c>
      <c r="S1493" s="288">
        <v>8.5699999999999998E-2</v>
      </c>
      <c r="T1493" s="288"/>
      <c r="U1493" s="288">
        <v>0</v>
      </c>
      <c r="V1493" s="289">
        <v>273.08569999999997</v>
      </c>
      <c r="W1493" s="289">
        <v>0</v>
      </c>
      <c r="X1493" s="288">
        <v>0.11416666666666667</v>
      </c>
      <c r="Y1493" s="288">
        <v>0.11375</v>
      </c>
      <c r="Z1493" s="288">
        <v>3.5708333333333332E-5</v>
      </c>
      <c r="AA1493" s="288">
        <v>0</v>
      </c>
      <c r="AB1493" s="288">
        <v>0</v>
      </c>
      <c r="AC1493" s="289">
        <v>0.11378570833333333</v>
      </c>
      <c r="AD1493" s="289">
        <v>0</v>
      </c>
    </row>
    <row r="1494" spans="1:30" ht="15" customHeight="1" x14ac:dyDescent="0.25">
      <c r="A1494" s="282" t="s">
        <v>581</v>
      </c>
      <c r="B1494" s="282" t="s">
        <v>594</v>
      </c>
      <c r="C1494" s="282" t="s">
        <v>595</v>
      </c>
      <c r="D1494" s="283" t="s">
        <v>2167</v>
      </c>
      <c r="E1494" s="404">
        <v>45016</v>
      </c>
      <c r="F1494" s="404">
        <v>46843</v>
      </c>
      <c r="G1494" s="286" t="s">
        <v>283</v>
      </c>
      <c r="H1494" s="282" t="s">
        <v>736</v>
      </c>
      <c r="I1494" s="282" t="s">
        <v>590</v>
      </c>
      <c r="J1494" s="282" t="s">
        <v>156</v>
      </c>
      <c r="K1494" s="286" t="s">
        <v>737</v>
      </c>
      <c r="L1494" s="282" t="s">
        <v>574</v>
      </c>
      <c r="M1494" s="287">
        <v>2400</v>
      </c>
      <c r="N1494" s="287">
        <v>0</v>
      </c>
      <c r="O1494" s="287">
        <v>0</v>
      </c>
      <c r="P1494" s="287"/>
      <c r="Q1494" s="288">
        <v>233</v>
      </c>
      <c r="R1494" s="288">
        <v>232</v>
      </c>
      <c r="S1494" s="288">
        <v>0.219</v>
      </c>
      <c r="T1494" s="288"/>
      <c r="U1494" s="288">
        <v>0</v>
      </c>
      <c r="V1494" s="289">
        <v>232.21899999999999</v>
      </c>
      <c r="W1494" s="289">
        <v>0</v>
      </c>
      <c r="X1494" s="288">
        <v>9.7083333333333327E-2</v>
      </c>
      <c r="Y1494" s="288">
        <v>9.6666666666666665E-2</v>
      </c>
      <c r="Z1494" s="288">
        <v>9.1249999999999995E-5</v>
      </c>
      <c r="AA1494" s="288">
        <v>0</v>
      </c>
      <c r="AB1494" s="288">
        <v>0</v>
      </c>
      <c r="AC1494" s="289">
        <v>9.6757916666666666E-2</v>
      </c>
      <c r="AD1494" s="289">
        <v>0</v>
      </c>
    </row>
    <row r="1495" spans="1:30" ht="15" customHeight="1" x14ac:dyDescent="0.25">
      <c r="A1495" s="282" t="s">
        <v>581</v>
      </c>
      <c r="B1495" s="282" t="s">
        <v>611</v>
      </c>
      <c r="C1495" s="282" t="s">
        <v>612</v>
      </c>
      <c r="D1495" s="286" t="s">
        <v>2168</v>
      </c>
      <c r="E1495" s="404">
        <v>44525</v>
      </c>
      <c r="F1495" s="404">
        <v>46351</v>
      </c>
      <c r="G1495" s="286" t="s">
        <v>1063</v>
      </c>
      <c r="H1495" s="282" t="s">
        <v>1064</v>
      </c>
      <c r="I1495" s="282" t="s">
        <v>590</v>
      </c>
      <c r="J1495" s="282" t="s">
        <v>156</v>
      </c>
      <c r="K1495" s="286" t="s">
        <v>1065</v>
      </c>
      <c r="L1495" s="282" t="s">
        <v>574</v>
      </c>
      <c r="M1495" s="287">
        <v>2400</v>
      </c>
      <c r="N1495" s="287">
        <v>0</v>
      </c>
      <c r="O1495" s="287">
        <v>0</v>
      </c>
      <c r="P1495" s="287"/>
      <c r="Q1495" s="288">
        <v>254</v>
      </c>
      <c r="R1495" s="288">
        <v>253</v>
      </c>
      <c r="S1495" s="288">
        <v>0.13</v>
      </c>
      <c r="T1495" s="288"/>
      <c r="U1495" s="288">
        <v>0</v>
      </c>
      <c r="V1495" s="289">
        <v>253.13</v>
      </c>
      <c r="W1495" s="289">
        <v>0</v>
      </c>
      <c r="X1495" s="288">
        <v>0.10583333333333333</v>
      </c>
      <c r="Y1495" s="288">
        <v>0.10541666666666667</v>
      </c>
      <c r="Z1495" s="288">
        <v>5.4166666666666671E-5</v>
      </c>
      <c r="AA1495" s="288">
        <v>0</v>
      </c>
      <c r="AB1495" s="288">
        <v>0</v>
      </c>
      <c r="AC1495" s="289">
        <v>0.10547083333333333</v>
      </c>
      <c r="AD1495" s="289">
        <v>0</v>
      </c>
    </row>
    <row r="1496" spans="1:30" ht="15" customHeight="1" x14ac:dyDescent="0.25">
      <c r="A1496" s="282" t="s">
        <v>581</v>
      </c>
      <c r="B1496" s="282" t="s">
        <v>628</v>
      </c>
      <c r="C1496" s="282" t="s">
        <v>629</v>
      </c>
      <c r="D1496" s="286" t="s">
        <v>2169</v>
      </c>
      <c r="E1496" s="404">
        <v>44573</v>
      </c>
      <c r="F1496" s="404">
        <v>46656</v>
      </c>
      <c r="G1496" s="286" t="s">
        <v>286</v>
      </c>
      <c r="H1496" s="282" t="s">
        <v>602</v>
      </c>
      <c r="I1496" s="282" t="s">
        <v>590</v>
      </c>
      <c r="J1496" s="282" t="s">
        <v>156</v>
      </c>
      <c r="K1496" s="286" t="s">
        <v>603</v>
      </c>
      <c r="L1496" s="282" t="s">
        <v>574</v>
      </c>
      <c r="M1496" s="287">
        <v>2400</v>
      </c>
      <c r="N1496" s="287">
        <v>0</v>
      </c>
      <c r="O1496" s="287">
        <v>0</v>
      </c>
      <c r="P1496" s="287"/>
      <c r="Q1496" s="288">
        <v>213</v>
      </c>
      <c r="R1496" s="288">
        <v>212</v>
      </c>
      <c r="S1496" s="288">
        <v>0.27</v>
      </c>
      <c r="T1496" s="288"/>
      <c r="U1496" s="288">
        <v>0</v>
      </c>
      <c r="V1496" s="289">
        <v>212.27</v>
      </c>
      <c r="W1496" s="289">
        <v>0</v>
      </c>
      <c r="X1496" s="288">
        <v>8.8749999999999996E-2</v>
      </c>
      <c r="Y1496" s="288">
        <v>8.8333333333333333E-2</v>
      </c>
      <c r="Z1496" s="288">
        <v>1.1250000000000001E-4</v>
      </c>
      <c r="AA1496" s="288">
        <v>0</v>
      </c>
      <c r="AB1496" s="288">
        <v>0</v>
      </c>
      <c r="AC1496" s="289">
        <v>8.8445833333333335E-2</v>
      </c>
      <c r="AD1496" s="289">
        <v>0</v>
      </c>
    </row>
    <row r="1497" spans="1:30" ht="15" customHeight="1" x14ac:dyDescent="0.25">
      <c r="A1497" s="282" t="s">
        <v>581</v>
      </c>
      <c r="B1497" s="282" t="s">
        <v>594</v>
      </c>
      <c r="C1497" s="282" t="s">
        <v>595</v>
      </c>
      <c r="D1497" s="286" t="s">
        <v>2170</v>
      </c>
      <c r="E1497" s="404">
        <v>44588</v>
      </c>
      <c r="F1497" s="404">
        <v>46414</v>
      </c>
      <c r="G1497" s="286" t="s">
        <v>316</v>
      </c>
      <c r="H1497" s="282" t="s">
        <v>597</v>
      </c>
      <c r="I1497" s="282" t="s">
        <v>590</v>
      </c>
      <c r="J1497" s="282" t="s">
        <v>156</v>
      </c>
      <c r="K1497" s="286" t="s">
        <v>598</v>
      </c>
      <c r="L1497" s="282" t="s">
        <v>574</v>
      </c>
      <c r="M1497" s="287">
        <v>2400</v>
      </c>
      <c r="N1497" s="287">
        <v>0</v>
      </c>
      <c r="O1497" s="287">
        <v>0</v>
      </c>
      <c r="P1497" s="287"/>
      <c r="Q1497" s="288">
        <v>196</v>
      </c>
      <c r="R1497" s="288">
        <v>195</v>
      </c>
      <c r="S1497" s="288">
        <v>0.31</v>
      </c>
      <c r="T1497" s="288"/>
      <c r="U1497" s="288">
        <v>0</v>
      </c>
      <c r="V1497" s="289">
        <v>195.31</v>
      </c>
      <c r="W1497" s="289">
        <v>0</v>
      </c>
      <c r="X1497" s="288">
        <v>8.1666666666666665E-2</v>
      </c>
      <c r="Y1497" s="288">
        <v>8.1250000000000003E-2</v>
      </c>
      <c r="Z1497" s="288">
        <v>1.2916666666666667E-4</v>
      </c>
      <c r="AA1497" s="288">
        <v>0</v>
      </c>
      <c r="AB1497" s="288">
        <v>0</v>
      </c>
      <c r="AC1497" s="289">
        <v>8.1379166666666669E-2</v>
      </c>
      <c r="AD1497" s="289">
        <v>0</v>
      </c>
    </row>
    <row r="1498" spans="1:30" ht="15" customHeight="1" x14ac:dyDescent="0.25">
      <c r="A1498" s="282" t="s">
        <v>581</v>
      </c>
      <c r="B1498" s="282" t="s">
        <v>585</v>
      </c>
      <c r="C1498" s="282" t="s">
        <v>586</v>
      </c>
      <c r="D1498" s="286" t="s">
        <v>2171</v>
      </c>
      <c r="E1498" s="404">
        <v>44816</v>
      </c>
      <c r="F1498" s="404">
        <v>46642</v>
      </c>
      <c r="G1498" s="290" t="s">
        <v>652</v>
      </c>
      <c r="H1498" s="282" t="s">
        <v>653</v>
      </c>
      <c r="I1498" s="282" t="s">
        <v>590</v>
      </c>
      <c r="J1498" s="282" t="s">
        <v>156</v>
      </c>
      <c r="K1498" s="286" t="s">
        <v>654</v>
      </c>
      <c r="L1498" s="282" t="s">
        <v>574</v>
      </c>
      <c r="M1498" s="287">
        <v>2400</v>
      </c>
      <c r="N1498" s="287">
        <v>0</v>
      </c>
      <c r="O1498" s="287">
        <v>0</v>
      </c>
      <c r="P1498" s="287"/>
      <c r="Q1498" s="288">
        <v>216</v>
      </c>
      <c r="R1498" s="288">
        <v>215</v>
      </c>
      <c r="S1498" s="288">
        <v>0.23</v>
      </c>
      <c r="T1498" s="288"/>
      <c r="U1498" s="288">
        <v>0</v>
      </c>
      <c r="V1498" s="289">
        <v>215.23</v>
      </c>
      <c r="W1498" s="289">
        <v>0</v>
      </c>
      <c r="X1498" s="288">
        <v>0.09</v>
      </c>
      <c r="Y1498" s="288">
        <v>8.9583333333333334E-2</v>
      </c>
      <c r="Z1498" s="288">
        <v>9.5833333333333336E-5</v>
      </c>
      <c r="AA1498" s="288">
        <v>0</v>
      </c>
      <c r="AB1498" s="288">
        <v>0</v>
      </c>
      <c r="AC1498" s="289">
        <v>8.9679166666666671E-2</v>
      </c>
      <c r="AD1498" s="289">
        <v>0</v>
      </c>
    </row>
    <row r="1499" spans="1:30" ht="15" customHeight="1" x14ac:dyDescent="0.25">
      <c r="A1499" s="282" t="s">
        <v>581</v>
      </c>
      <c r="B1499" s="282" t="s">
        <v>611</v>
      </c>
      <c r="C1499" s="282" t="s">
        <v>612</v>
      </c>
      <c r="D1499" s="286" t="s">
        <v>2172</v>
      </c>
      <c r="E1499" s="404">
        <v>44581</v>
      </c>
      <c r="F1499" s="404">
        <v>46407</v>
      </c>
      <c r="G1499" s="286" t="s">
        <v>588</v>
      </c>
      <c r="H1499" s="282" t="s">
        <v>589</v>
      </c>
      <c r="I1499" s="282" t="s">
        <v>590</v>
      </c>
      <c r="J1499" s="282" t="s">
        <v>156</v>
      </c>
      <c r="K1499" s="286" t="s">
        <v>591</v>
      </c>
      <c r="L1499" s="282" t="s">
        <v>574</v>
      </c>
      <c r="M1499" s="287">
        <v>2400</v>
      </c>
      <c r="N1499" s="287">
        <v>0</v>
      </c>
      <c r="O1499" s="287">
        <v>0</v>
      </c>
      <c r="P1499" s="287"/>
      <c r="Q1499" s="288">
        <v>236</v>
      </c>
      <c r="R1499" s="288">
        <v>235</v>
      </c>
      <c r="S1499" s="288">
        <v>0.15</v>
      </c>
      <c r="T1499" s="288"/>
      <c r="U1499" s="288">
        <v>0</v>
      </c>
      <c r="V1499" s="289">
        <v>235.15</v>
      </c>
      <c r="W1499" s="289">
        <v>0</v>
      </c>
      <c r="X1499" s="288">
        <v>9.8333333333333328E-2</v>
      </c>
      <c r="Y1499" s="288">
        <v>9.7916666666666666E-2</v>
      </c>
      <c r="Z1499" s="288">
        <v>6.2500000000000001E-5</v>
      </c>
      <c r="AA1499" s="288">
        <v>0</v>
      </c>
      <c r="AB1499" s="288">
        <v>0</v>
      </c>
      <c r="AC1499" s="289">
        <v>9.7979166666666659E-2</v>
      </c>
      <c r="AD1499" s="289">
        <v>0</v>
      </c>
    </row>
    <row r="1500" spans="1:30" ht="15" customHeight="1" x14ac:dyDescent="0.25">
      <c r="A1500" s="282" t="s">
        <v>581</v>
      </c>
      <c r="B1500" s="282" t="s">
        <v>628</v>
      </c>
      <c r="C1500" s="282" t="s">
        <v>629</v>
      </c>
      <c r="D1500" s="286" t="s">
        <v>2173</v>
      </c>
      <c r="E1500" s="404">
        <v>44816</v>
      </c>
      <c r="F1500" s="404">
        <v>46642</v>
      </c>
      <c r="G1500" s="290" t="s">
        <v>652</v>
      </c>
      <c r="H1500" s="282" t="s">
        <v>653</v>
      </c>
      <c r="I1500" s="282" t="s">
        <v>590</v>
      </c>
      <c r="J1500" s="282" t="s">
        <v>156</v>
      </c>
      <c r="K1500" s="286" t="s">
        <v>654</v>
      </c>
      <c r="L1500" s="282" t="s">
        <v>574</v>
      </c>
      <c r="M1500" s="287">
        <v>2400</v>
      </c>
      <c r="N1500" s="287">
        <v>0</v>
      </c>
      <c r="O1500" s="287">
        <v>0</v>
      </c>
      <c r="P1500" s="287"/>
      <c r="Q1500" s="288">
        <v>221</v>
      </c>
      <c r="R1500" s="288">
        <v>220</v>
      </c>
      <c r="S1500" s="288">
        <v>0.2</v>
      </c>
      <c r="T1500" s="288"/>
      <c r="U1500" s="288">
        <v>0</v>
      </c>
      <c r="V1500" s="289">
        <v>220.2</v>
      </c>
      <c r="W1500" s="289">
        <v>0</v>
      </c>
      <c r="X1500" s="288">
        <v>9.2083333333333336E-2</v>
      </c>
      <c r="Y1500" s="288">
        <v>9.166666666666666E-2</v>
      </c>
      <c r="Z1500" s="288">
        <v>8.3333333333333344E-5</v>
      </c>
      <c r="AA1500" s="288">
        <v>0</v>
      </c>
      <c r="AB1500" s="288">
        <v>0</v>
      </c>
      <c r="AC1500" s="289">
        <v>9.1749999999999998E-2</v>
      </c>
      <c r="AD1500" s="289">
        <v>0</v>
      </c>
    </row>
    <row r="1501" spans="1:30" ht="15" customHeight="1" x14ac:dyDescent="0.25">
      <c r="A1501" s="282" t="s">
        <v>581</v>
      </c>
      <c r="B1501" s="282" t="s">
        <v>611</v>
      </c>
      <c r="C1501" s="282" t="s">
        <v>612</v>
      </c>
      <c r="D1501" s="286" t="s">
        <v>2174</v>
      </c>
      <c r="E1501" s="404">
        <v>44525</v>
      </c>
      <c r="F1501" s="404">
        <v>46351</v>
      </c>
      <c r="G1501" s="286" t="s">
        <v>1063</v>
      </c>
      <c r="H1501" s="282" t="s">
        <v>1064</v>
      </c>
      <c r="I1501" s="282" t="s">
        <v>590</v>
      </c>
      <c r="J1501" s="282" t="s">
        <v>156</v>
      </c>
      <c r="K1501" s="286" t="s">
        <v>1065</v>
      </c>
      <c r="L1501" s="282" t="s">
        <v>574</v>
      </c>
      <c r="M1501" s="287">
        <v>2400</v>
      </c>
      <c r="N1501" s="287">
        <v>0</v>
      </c>
      <c r="O1501" s="287">
        <v>0</v>
      </c>
      <c r="P1501" s="287"/>
      <c r="Q1501" s="288">
        <v>243</v>
      </c>
      <c r="R1501" s="288">
        <v>242</v>
      </c>
      <c r="S1501" s="288">
        <v>0.11</v>
      </c>
      <c r="T1501" s="288"/>
      <c r="U1501" s="288">
        <v>0</v>
      </c>
      <c r="V1501" s="289">
        <v>242.11</v>
      </c>
      <c r="W1501" s="289">
        <v>0</v>
      </c>
      <c r="X1501" s="288">
        <v>0.10125000000000001</v>
      </c>
      <c r="Y1501" s="288">
        <v>0.10083333333333333</v>
      </c>
      <c r="Z1501" s="288">
        <v>4.5833333333333334E-5</v>
      </c>
      <c r="AA1501" s="288">
        <v>0</v>
      </c>
      <c r="AB1501" s="288">
        <v>0</v>
      </c>
      <c r="AC1501" s="289">
        <v>0.10087916666666666</v>
      </c>
      <c r="AD1501" s="289">
        <v>0</v>
      </c>
    </row>
    <row r="1502" spans="1:30" ht="15" customHeight="1" x14ac:dyDescent="0.25">
      <c r="A1502" s="282" t="s">
        <v>581</v>
      </c>
      <c r="B1502" s="282" t="s">
        <v>611</v>
      </c>
      <c r="C1502" s="282" t="s">
        <v>612</v>
      </c>
      <c r="D1502" s="283" t="s">
        <v>2175</v>
      </c>
      <c r="E1502" s="404">
        <v>45016</v>
      </c>
      <c r="F1502" s="404">
        <v>46843</v>
      </c>
      <c r="G1502" s="286" t="s">
        <v>283</v>
      </c>
      <c r="H1502" s="282" t="s">
        <v>736</v>
      </c>
      <c r="I1502" s="282" t="s">
        <v>590</v>
      </c>
      <c r="J1502" s="282" t="s">
        <v>156</v>
      </c>
      <c r="K1502" s="286" t="s">
        <v>737</v>
      </c>
      <c r="L1502" s="282" t="s">
        <v>574</v>
      </c>
      <c r="M1502" s="287">
        <v>2400</v>
      </c>
      <c r="N1502" s="287">
        <v>0</v>
      </c>
      <c r="O1502" s="287">
        <v>0</v>
      </c>
      <c r="P1502" s="287"/>
      <c r="Q1502" s="288">
        <v>226</v>
      </c>
      <c r="R1502" s="288">
        <v>225</v>
      </c>
      <c r="S1502" s="288">
        <v>0.16400000000000001</v>
      </c>
      <c r="T1502" s="288"/>
      <c r="U1502" s="288">
        <v>0</v>
      </c>
      <c r="V1502" s="289">
        <v>225.16399999999999</v>
      </c>
      <c r="W1502" s="289">
        <v>0</v>
      </c>
      <c r="X1502" s="288">
        <v>9.4166666666666662E-2</v>
      </c>
      <c r="Y1502" s="288">
        <v>9.375E-2</v>
      </c>
      <c r="Z1502" s="288">
        <v>6.8333333333333332E-5</v>
      </c>
      <c r="AA1502" s="288">
        <v>0</v>
      </c>
      <c r="AB1502" s="288">
        <v>0</v>
      </c>
      <c r="AC1502" s="289">
        <v>9.3818333333333337E-2</v>
      </c>
      <c r="AD1502" s="289">
        <v>0</v>
      </c>
    </row>
    <row r="1503" spans="1:30" ht="15" customHeight="1" x14ac:dyDescent="0.25">
      <c r="A1503" s="282" t="s">
        <v>581</v>
      </c>
      <c r="B1503" s="282" t="s">
        <v>628</v>
      </c>
      <c r="C1503" s="282" t="s">
        <v>629</v>
      </c>
      <c r="D1503" s="283" t="s">
        <v>2176</v>
      </c>
      <c r="E1503" s="404">
        <v>45016</v>
      </c>
      <c r="F1503" s="404">
        <v>46843</v>
      </c>
      <c r="G1503" s="286" t="s">
        <v>854</v>
      </c>
      <c r="H1503" s="282" t="s">
        <v>855</v>
      </c>
      <c r="I1503" s="282" t="s">
        <v>590</v>
      </c>
      <c r="J1503" s="282" t="s">
        <v>156</v>
      </c>
      <c r="K1503" s="286" t="s">
        <v>856</v>
      </c>
      <c r="L1503" s="282" t="s">
        <v>574</v>
      </c>
      <c r="M1503" s="287">
        <v>2400</v>
      </c>
      <c r="N1503" s="287">
        <v>0</v>
      </c>
      <c r="O1503" s="287">
        <v>0</v>
      </c>
      <c r="P1503" s="287"/>
      <c r="Q1503" s="288">
        <v>221</v>
      </c>
      <c r="R1503" s="288">
        <v>220</v>
      </c>
      <c r="S1503" s="288">
        <v>0.182</v>
      </c>
      <c r="T1503" s="288"/>
      <c r="U1503" s="288">
        <v>0</v>
      </c>
      <c r="V1503" s="289">
        <v>220.18199999999999</v>
      </c>
      <c r="W1503" s="289">
        <v>0</v>
      </c>
      <c r="X1503" s="288">
        <v>9.2083333333333336E-2</v>
      </c>
      <c r="Y1503" s="288">
        <v>9.166666666666666E-2</v>
      </c>
      <c r="Z1503" s="288">
        <v>7.5833333333333338E-5</v>
      </c>
      <c r="AA1503" s="288">
        <v>0</v>
      </c>
      <c r="AB1503" s="288">
        <v>0</v>
      </c>
      <c r="AC1503" s="289">
        <v>9.1742499999999991E-2</v>
      </c>
      <c r="AD1503" s="289">
        <v>0</v>
      </c>
    </row>
    <row r="1504" spans="1:30" ht="15" customHeight="1" x14ac:dyDescent="0.25">
      <c r="A1504" s="282" t="s">
        <v>581</v>
      </c>
      <c r="B1504" s="282" t="s">
        <v>611</v>
      </c>
      <c r="C1504" s="282" t="s">
        <v>612</v>
      </c>
      <c r="D1504" s="286" t="s">
        <v>2177</v>
      </c>
      <c r="E1504" s="404">
        <v>44525</v>
      </c>
      <c r="F1504" s="404">
        <v>46351</v>
      </c>
      <c r="G1504" s="286" t="s">
        <v>1063</v>
      </c>
      <c r="H1504" s="282" t="s">
        <v>1064</v>
      </c>
      <c r="I1504" s="282" t="s">
        <v>590</v>
      </c>
      <c r="J1504" s="282" t="s">
        <v>156</v>
      </c>
      <c r="K1504" s="286" t="s">
        <v>1065</v>
      </c>
      <c r="L1504" s="282" t="s">
        <v>574</v>
      </c>
      <c r="M1504" s="287">
        <v>2400</v>
      </c>
      <c r="N1504" s="287">
        <v>0</v>
      </c>
      <c r="O1504" s="287">
        <v>0</v>
      </c>
      <c r="P1504" s="287"/>
      <c r="Q1504" s="288">
        <v>229</v>
      </c>
      <c r="R1504" s="288">
        <v>228</v>
      </c>
      <c r="S1504" s="288">
        <v>0.15</v>
      </c>
      <c r="T1504" s="288"/>
      <c r="U1504" s="288">
        <v>0</v>
      </c>
      <c r="V1504" s="289">
        <v>228.15</v>
      </c>
      <c r="W1504" s="289">
        <v>0</v>
      </c>
      <c r="X1504" s="288">
        <v>9.5416666666666664E-2</v>
      </c>
      <c r="Y1504" s="288">
        <v>9.5000000000000001E-2</v>
      </c>
      <c r="Z1504" s="288">
        <v>6.2500000000000001E-5</v>
      </c>
      <c r="AA1504" s="288">
        <v>0</v>
      </c>
      <c r="AB1504" s="288">
        <v>0</v>
      </c>
      <c r="AC1504" s="289">
        <v>9.5062499999999994E-2</v>
      </c>
      <c r="AD1504" s="289">
        <v>0</v>
      </c>
    </row>
    <row r="1505" spans="1:30" ht="15" customHeight="1" x14ac:dyDescent="0.25">
      <c r="A1505" s="282" t="s">
        <v>581</v>
      </c>
      <c r="B1505" s="282" t="s">
        <v>611</v>
      </c>
      <c r="C1505" s="282" t="s">
        <v>612</v>
      </c>
      <c r="D1505" s="286" t="s">
        <v>2178</v>
      </c>
      <c r="E1505" s="404">
        <v>44525</v>
      </c>
      <c r="F1505" s="404">
        <v>46351</v>
      </c>
      <c r="G1505" s="286" t="s">
        <v>1063</v>
      </c>
      <c r="H1505" s="282" t="s">
        <v>1064</v>
      </c>
      <c r="I1505" s="282" t="s">
        <v>590</v>
      </c>
      <c r="J1505" s="282" t="s">
        <v>156</v>
      </c>
      <c r="K1505" s="286" t="s">
        <v>1065</v>
      </c>
      <c r="L1505" s="282" t="s">
        <v>574</v>
      </c>
      <c r="M1505" s="287">
        <v>2400</v>
      </c>
      <c r="N1505" s="287">
        <v>0</v>
      </c>
      <c r="O1505" s="287">
        <v>0</v>
      </c>
      <c r="P1505" s="287"/>
      <c r="Q1505" s="288">
        <v>229</v>
      </c>
      <c r="R1505" s="288">
        <v>228</v>
      </c>
      <c r="S1505" s="288">
        <v>0.15</v>
      </c>
      <c r="T1505" s="288"/>
      <c r="U1505" s="288">
        <v>0</v>
      </c>
      <c r="V1505" s="289">
        <v>228.15</v>
      </c>
      <c r="W1505" s="289">
        <v>0</v>
      </c>
      <c r="X1505" s="288">
        <v>9.5416666666666664E-2</v>
      </c>
      <c r="Y1505" s="288">
        <v>9.5000000000000001E-2</v>
      </c>
      <c r="Z1505" s="288">
        <v>6.2500000000000001E-5</v>
      </c>
      <c r="AA1505" s="288">
        <v>0</v>
      </c>
      <c r="AB1505" s="288">
        <v>0</v>
      </c>
      <c r="AC1505" s="289">
        <v>9.5062499999999994E-2</v>
      </c>
      <c r="AD1505" s="289">
        <v>0</v>
      </c>
    </row>
    <row r="1506" spans="1:30" ht="15" customHeight="1" x14ac:dyDescent="0.25">
      <c r="A1506" s="282" t="s">
        <v>581</v>
      </c>
      <c r="B1506" s="282" t="s">
        <v>628</v>
      </c>
      <c r="C1506" s="282" t="s">
        <v>629</v>
      </c>
      <c r="D1506" s="286" t="s">
        <v>2179</v>
      </c>
      <c r="E1506" s="404">
        <v>44816</v>
      </c>
      <c r="F1506" s="404">
        <v>46642</v>
      </c>
      <c r="G1506" s="290" t="s">
        <v>652</v>
      </c>
      <c r="H1506" s="282" t="s">
        <v>653</v>
      </c>
      <c r="I1506" s="282" t="s">
        <v>590</v>
      </c>
      <c r="J1506" s="282" t="s">
        <v>156</v>
      </c>
      <c r="K1506" s="286" t="s">
        <v>654</v>
      </c>
      <c r="L1506" s="282" t="s">
        <v>574</v>
      </c>
      <c r="M1506" s="287">
        <v>2400</v>
      </c>
      <c r="N1506" s="287">
        <v>0</v>
      </c>
      <c r="O1506" s="287">
        <v>0</v>
      </c>
      <c r="P1506" s="287"/>
      <c r="Q1506" s="288">
        <v>217</v>
      </c>
      <c r="R1506" s="288">
        <v>216</v>
      </c>
      <c r="S1506" s="288">
        <v>0.19</v>
      </c>
      <c r="T1506" s="288"/>
      <c r="U1506" s="288">
        <v>0</v>
      </c>
      <c r="V1506" s="289">
        <v>216.19</v>
      </c>
      <c r="W1506" s="289">
        <v>0</v>
      </c>
      <c r="X1506" s="288">
        <v>9.0416666666666673E-2</v>
      </c>
      <c r="Y1506" s="288">
        <v>0.09</v>
      </c>
      <c r="Z1506" s="288">
        <v>7.9166666666666662E-5</v>
      </c>
      <c r="AA1506" s="288">
        <v>0</v>
      </c>
      <c r="AB1506" s="288">
        <v>0</v>
      </c>
      <c r="AC1506" s="289">
        <v>9.0079166666666668E-2</v>
      </c>
      <c r="AD1506" s="289">
        <v>0</v>
      </c>
    </row>
    <row r="1507" spans="1:30" ht="15" customHeight="1" x14ac:dyDescent="0.25">
      <c r="A1507" s="282" t="s">
        <v>581</v>
      </c>
      <c r="B1507" s="282" t="s">
        <v>585</v>
      </c>
      <c r="C1507" s="282" t="s">
        <v>586</v>
      </c>
      <c r="D1507" s="283" t="s">
        <v>2180</v>
      </c>
      <c r="E1507" s="404">
        <v>45056</v>
      </c>
      <c r="F1507" s="404">
        <v>46883</v>
      </c>
      <c r="G1507" s="286" t="s">
        <v>286</v>
      </c>
      <c r="H1507" s="282" t="s">
        <v>759</v>
      </c>
      <c r="I1507" s="282" t="s">
        <v>590</v>
      </c>
      <c r="J1507" s="282" t="s">
        <v>156</v>
      </c>
      <c r="K1507" s="286" t="s">
        <v>760</v>
      </c>
      <c r="L1507" s="282" t="s">
        <v>574</v>
      </c>
      <c r="M1507" s="287">
        <v>2400</v>
      </c>
      <c r="N1507" s="287">
        <v>0</v>
      </c>
      <c r="O1507" s="287">
        <v>0</v>
      </c>
      <c r="P1507" s="287"/>
      <c r="Q1507" s="288">
        <v>245</v>
      </c>
      <c r="R1507" s="288">
        <v>244</v>
      </c>
      <c r="S1507" s="288">
        <v>8.3000000000000004E-2</v>
      </c>
      <c r="T1507" s="288"/>
      <c r="U1507" s="288">
        <v>0</v>
      </c>
      <c r="V1507" s="289">
        <v>244.083</v>
      </c>
      <c r="W1507" s="289">
        <v>0</v>
      </c>
      <c r="X1507" s="288">
        <v>0.10208333333333333</v>
      </c>
      <c r="Y1507" s="288">
        <v>0.10166666666666667</v>
      </c>
      <c r="Z1507" s="288">
        <v>3.4583333333333338E-5</v>
      </c>
      <c r="AA1507" s="288">
        <v>0</v>
      </c>
      <c r="AB1507" s="288">
        <v>0</v>
      </c>
      <c r="AC1507" s="289">
        <v>0.10170125000000001</v>
      </c>
      <c r="AD1507" s="289">
        <v>0</v>
      </c>
    </row>
    <row r="1508" spans="1:30" ht="15" customHeight="1" x14ac:dyDescent="0.25">
      <c r="A1508" s="282" t="s">
        <v>581</v>
      </c>
      <c r="B1508" s="282" t="s">
        <v>594</v>
      </c>
      <c r="C1508" s="282" t="s">
        <v>595</v>
      </c>
      <c r="D1508" s="286" t="s">
        <v>2181</v>
      </c>
      <c r="E1508" s="404">
        <v>44573</v>
      </c>
      <c r="F1508" s="404">
        <v>46656</v>
      </c>
      <c r="G1508" s="286" t="s">
        <v>286</v>
      </c>
      <c r="H1508" s="282" t="s">
        <v>602</v>
      </c>
      <c r="I1508" s="282" t="s">
        <v>590</v>
      </c>
      <c r="J1508" s="282" t="s">
        <v>156</v>
      </c>
      <c r="K1508" s="286" t="s">
        <v>603</v>
      </c>
      <c r="L1508" s="282" t="s">
        <v>574</v>
      </c>
      <c r="M1508" s="287">
        <v>2400</v>
      </c>
      <c r="N1508" s="287">
        <v>0</v>
      </c>
      <c r="O1508" s="287">
        <v>0</v>
      </c>
      <c r="P1508" s="287"/>
      <c r="Q1508" s="288">
        <v>197</v>
      </c>
      <c r="R1508" s="288">
        <v>196</v>
      </c>
      <c r="S1508" s="288">
        <v>0.26</v>
      </c>
      <c r="T1508" s="288"/>
      <c r="U1508" s="288">
        <v>0</v>
      </c>
      <c r="V1508" s="289">
        <v>196.26</v>
      </c>
      <c r="W1508" s="289">
        <v>0</v>
      </c>
      <c r="X1508" s="288">
        <v>8.2083333333333328E-2</v>
      </c>
      <c r="Y1508" s="288">
        <v>8.1666666666666665E-2</v>
      </c>
      <c r="Z1508" s="288">
        <v>1.0833333333333334E-4</v>
      </c>
      <c r="AA1508" s="288">
        <v>0</v>
      </c>
      <c r="AB1508" s="288">
        <v>0</v>
      </c>
      <c r="AC1508" s="289">
        <v>8.1775E-2</v>
      </c>
      <c r="AD1508" s="289">
        <v>0</v>
      </c>
    </row>
    <row r="1509" spans="1:30" ht="15" customHeight="1" x14ac:dyDescent="0.25">
      <c r="A1509" s="282" t="s">
        <v>581</v>
      </c>
      <c r="B1509" s="282" t="s">
        <v>606</v>
      </c>
      <c r="C1509" s="282" t="s">
        <v>260</v>
      </c>
      <c r="D1509" s="283" t="s">
        <v>2182</v>
      </c>
      <c r="E1509" s="404">
        <v>44910</v>
      </c>
      <c r="F1509" s="404">
        <v>46736</v>
      </c>
      <c r="G1509" s="286" t="s">
        <v>608</v>
      </c>
      <c r="H1509" s="282" t="s">
        <v>609</v>
      </c>
      <c r="I1509" s="282" t="s">
        <v>590</v>
      </c>
      <c r="J1509" s="282" t="s">
        <v>156</v>
      </c>
      <c r="K1509" s="286" t="s">
        <v>610</v>
      </c>
      <c r="L1509" s="282" t="s">
        <v>574</v>
      </c>
      <c r="M1509" s="287">
        <v>2400</v>
      </c>
      <c r="N1509" s="287">
        <v>0</v>
      </c>
      <c r="O1509" s="287">
        <v>0</v>
      </c>
      <c r="P1509" s="287"/>
      <c r="Q1509" s="288">
        <v>129</v>
      </c>
      <c r="R1509" s="288">
        <v>127</v>
      </c>
      <c r="S1509" s="288">
        <v>1.51</v>
      </c>
      <c r="T1509" s="288"/>
      <c r="U1509" s="288">
        <v>0</v>
      </c>
      <c r="V1509" s="289">
        <v>128.51</v>
      </c>
      <c r="W1509" s="289">
        <v>0</v>
      </c>
      <c r="X1509" s="288">
        <v>5.3749999999999999E-2</v>
      </c>
      <c r="Y1509" s="288">
        <v>5.2916666666666667E-2</v>
      </c>
      <c r="Z1509" s="288">
        <v>6.2916666666666665E-4</v>
      </c>
      <c r="AA1509" s="288">
        <v>0</v>
      </c>
      <c r="AB1509" s="288">
        <v>0</v>
      </c>
      <c r="AC1509" s="289">
        <v>5.3545833333333334E-2</v>
      </c>
      <c r="AD1509" s="289">
        <v>0</v>
      </c>
    </row>
    <row r="1510" spans="1:30" ht="15" customHeight="1" x14ac:dyDescent="0.25">
      <c r="A1510" s="282" t="s">
        <v>581</v>
      </c>
      <c r="B1510" s="282" t="s">
        <v>585</v>
      </c>
      <c r="C1510" s="282" t="s">
        <v>586</v>
      </c>
      <c r="D1510" s="283" t="s">
        <v>2183</v>
      </c>
      <c r="E1510" s="404">
        <v>45016</v>
      </c>
      <c r="F1510" s="404">
        <v>46843</v>
      </c>
      <c r="G1510" s="286" t="s">
        <v>286</v>
      </c>
      <c r="H1510" s="282" t="s">
        <v>782</v>
      </c>
      <c r="I1510" s="282" t="s">
        <v>590</v>
      </c>
      <c r="J1510" s="282" t="s">
        <v>156</v>
      </c>
      <c r="K1510" s="286" t="s">
        <v>783</v>
      </c>
      <c r="L1510" s="282" t="s">
        <v>574</v>
      </c>
      <c r="M1510" s="287">
        <v>2400</v>
      </c>
      <c r="N1510" s="287">
        <v>0</v>
      </c>
      <c r="O1510" s="287">
        <v>0</v>
      </c>
      <c r="P1510" s="287"/>
      <c r="Q1510" s="288">
        <v>211</v>
      </c>
      <c r="R1510" s="288">
        <v>210</v>
      </c>
      <c r="S1510" s="288">
        <v>0.19</v>
      </c>
      <c r="T1510" s="288"/>
      <c r="U1510" s="288">
        <v>0</v>
      </c>
      <c r="V1510" s="289">
        <v>210.19</v>
      </c>
      <c r="W1510" s="289">
        <v>0</v>
      </c>
      <c r="X1510" s="288">
        <v>8.7916666666666671E-2</v>
      </c>
      <c r="Y1510" s="288">
        <v>8.7499999999999994E-2</v>
      </c>
      <c r="Z1510" s="288">
        <v>7.9166666666666662E-5</v>
      </c>
      <c r="AA1510" s="288">
        <v>0</v>
      </c>
      <c r="AB1510" s="288">
        <v>0</v>
      </c>
      <c r="AC1510" s="289">
        <v>8.7579166666666666E-2</v>
      </c>
      <c r="AD1510" s="289">
        <v>0</v>
      </c>
    </row>
    <row r="1511" spans="1:30" ht="15" customHeight="1" x14ac:dyDescent="0.25">
      <c r="A1511" s="282" t="s">
        <v>581</v>
      </c>
      <c r="B1511" s="282" t="s">
        <v>628</v>
      </c>
      <c r="C1511" s="282" t="s">
        <v>629</v>
      </c>
      <c r="D1511" s="286" t="s">
        <v>2184</v>
      </c>
      <c r="E1511" s="404">
        <v>44581</v>
      </c>
      <c r="F1511" s="404">
        <v>46407</v>
      </c>
      <c r="G1511" s="286" t="s">
        <v>588</v>
      </c>
      <c r="H1511" s="282" t="s">
        <v>589</v>
      </c>
      <c r="I1511" s="282" t="s">
        <v>590</v>
      </c>
      <c r="J1511" s="282" t="s">
        <v>156</v>
      </c>
      <c r="K1511" s="286" t="s">
        <v>591</v>
      </c>
      <c r="L1511" s="282" t="s">
        <v>574</v>
      </c>
      <c r="M1511" s="287">
        <v>2400</v>
      </c>
      <c r="N1511" s="287">
        <v>0</v>
      </c>
      <c r="O1511" s="287">
        <v>0</v>
      </c>
      <c r="P1511" s="287"/>
      <c r="Q1511" s="288">
        <v>199</v>
      </c>
      <c r="R1511" s="288">
        <v>198</v>
      </c>
      <c r="S1511" s="288">
        <v>0.23</v>
      </c>
      <c r="T1511" s="288"/>
      <c r="U1511" s="288">
        <v>0</v>
      </c>
      <c r="V1511" s="289">
        <v>198.23</v>
      </c>
      <c r="W1511" s="289">
        <v>0</v>
      </c>
      <c r="X1511" s="288">
        <v>8.2916666666666666E-2</v>
      </c>
      <c r="Y1511" s="288">
        <v>8.2500000000000004E-2</v>
      </c>
      <c r="Z1511" s="288">
        <v>9.5833333333333336E-5</v>
      </c>
      <c r="AA1511" s="288">
        <v>0</v>
      </c>
      <c r="AB1511" s="288">
        <v>0</v>
      </c>
      <c r="AC1511" s="289">
        <v>8.2595833333333341E-2</v>
      </c>
      <c r="AD1511" s="289">
        <v>0</v>
      </c>
    </row>
    <row r="1512" spans="1:30" ht="15" customHeight="1" x14ac:dyDescent="0.25">
      <c r="A1512" s="282" t="s">
        <v>581</v>
      </c>
      <c r="B1512" s="282" t="s">
        <v>611</v>
      </c>
      <c r="C1512" s="282" t="s">
        <v>612</v>
      </c>
      <c r="D1512" s="286" t="s">
        <v>2185</v>
      </c>
      <c r="E1512" s="404">
        <v>44816</v>
      </c>
      <c r="F1512" s="404">
        <v>46642</v>
      </c>
      <c r="G1512" s="290" t="s">
        <v>652</v>
      </c>
      <c r="H1512" s="282" t="s">
        <v>653</v>
      </c>
      <c r="I1512" s="282" t="s">
        <v>590</v>
      </c>
      <c r="J1512" s="282" t="s">
        <v>156</v>
      </c>
      <c r="K1512" s="286" t="s">
        <v>654</v>
      </c>
      <c r="L1512" s="282" t="s">
        <v>574</v>
      </c>
      <c r="M1512" s="287">
        <v>2400</v>
      </c>
      <c r="N1512" s="287">
        <v>0</v>
      </c>
      <c r="O1512" s="287">
        <v>0</v>
      </c>
      <c r="P1512" s="287"/>
      <c r="Q1512" s="288">
        <v>197</v>
      </c>
      <c r="R1512" s="288">
        <v>196</v>
      </c>
      <c r="S1512" s="288">
        <v>0.22</v>
      </c>
      <c r="T1512" s="288"/>
      <c r="U1512" s="288">
        <v>0</v>
      </c>
      <c r="V1512" s="289">
        <v>196.22</v>
      </c>
      <c r="W1512" s="289">
        <v>0</v>
      </c>
      <c r="X1512" s="288">
        <v>8.2083333333333328E-2</v>
      </c>
      <c r="Y1512" s="288">
        <v>8.1666666666666665E-2</v>
      </c>
      <c r="Z1512" s="288">
        <v>9.1666666666666668E-5</v>
      </c>
      <c r="AA1512" s="288">
        <v>0</v>
      </c>
      <c r="AB1512" s="288">
        <v>0</v>
      </c>
      <c r="AC1512" s="289">
        <v>8.1758333333333336E-2</v>
      </c>
      <c r="AD1512" s="289">
        <v>0</v>
      </c>
    </row>
    <row r="1513" spans="1:30" ht="15" customHeight="1" x14ac:dyDescent="0.25">
      <c r="A1513" s="282" t="s">
        <v>581</v>
      </c>
      <c r="B1513" s="282" t="s">
        <v>594</v>
      </c>
      <c r="C1513" s="282" t="s">
        <v>595</v>
      </c>
      <c r="D1513" s="286" t="s">
        <v>2186</v>
      </c>
      <c r="E1513" s="404">
        <v>44581</v>
      </c>
      <c r="F1513" s="404">
        <v>46407</v>
      </c>
      <c r="G1513" s="286" t="s">
        <v>588</v>
      </c>
      <c r="H1513" s="282" t="s">
        <v>589</v>
      </c>
      <c r="I1513" s="282" t="s">
        <v>590</v>
      </c>
      <c r="J1513" s="282" t="s">
        <v>156</v>
      </c>
      <c r="K1513" s="286" t="s">
        <v>591</v>
      </c>
      <c r="L1513" s="282" t="s">
        <v>574</v>
      </c>
      <c r="M1513" s="287">
        <v>2400</v>
      </c>
      <c r="N1513" s="287">
        <v>0</v>
      </c>
      <c r="O1513" s="287">
        <v>0</v>
      </c>
      <c r="P1513" s="287"/>
      <c r="Q1513" s="288">
        <v>210</v>
      </c>
      <c r="R1513" s="288">
        <v>209</v>
      </c>
      <c r="S1513" s="288">
        <v>0.16</v>
      </c>
      <c r="T1513" s="288"/>
      <c r="U1513" s="288">
        <v>0</v>
      </c>
      <c r="V1513" s="289">
        <v>209.16</v>
      </c>
      <c r="W1513" s="289">
        <v>0</v>
      </c>
      <c r="X1513" s="288">
        <v>8.7499999999999994E-2</v>
      </c>
      <c r="Y1513" s="288">
        <v>8.7083333333333332E-2</v>
      </c>
      <c r="Z1513" s="288">
        <v>6.666666666666667E-5</v>
      </c>
      <c r="AA1513" s="288">
        <v>0</v>
      </c>
      <c r="AB1513" s="288">
        <v>0</v>
      </c>
      <c r="AC1513" s="289">
        <v>8.7150000000000005E-2</v>
      </c>
      <c r="AD1513" s="289">
        <v>0</v>
      </c>
    </row>
    <row r="1514" spans="1:30" ht="15" customHeight="1" x14ac:dyDescent="0.25">
      <c r="A1514" s="282" t="s">
        <v>581</v>
      </c>
      <c r="B1514" s="282" t="s">
        <v>628</v>
      </c>
      <c r="C1514" s="282" t="s">
        <v>629</v>
      </c>
      <c r="D1514" s="286" t="s">
        <v>2187</v>
      </c>
      <c r="E1514" s="404">
        <v>44525</v>
      </c>
      <c r="F1514" s="404">
        <v>46351</v>
      </c>
      <c r="G1514" s="286" t="s">
        <v>1063</v>
      </c>
      <c r="H1514" s="282" t="s">
        <v>1064</v>
      </c>
      <c r="I1514" s="282" t="s">
        <v>590</v>
      </c>
      <c r="J1514" s="282" t="s">
        <v>156</v>
      </c>
      <c r="K1514" s="286" t="s">
        <v>1065</v>
      </c>
      <c r="L1514" s="282" t="s">
        <v>574</v>
      </c>
      <c r="M1514" s="287">
        <v>2400</v>
      </c>
      <c r="N1514" s="287">
        <v>0</v>
      </c>
      <c r="O1514" s="287">
        <v>0</v>
      </c>
      <c r="P1514" s="287"/>
      <c r="Q1514" s="288">
        <v>207</v>
      </c>
      <c r="R1514" s="288">
        <v>206</v>
      </c>
      <c r="S1514" s="288">
        <v>0.17</v>
      </c>
      <c r="T1514" s="288"/>
      <c r="U1514" s="288">
        <v>0</v>
      </c>
      <c r="V1514" s="289">
        <v>206.17</v>
      </c>
      <c r="W1514" s="289">
        <v>0</v>
      </c>
      <c r="X1514" s="288">
        <v>8.6249999999999993E-2</v>
      </c>
      <c r="Y1514" s="288">
        <v>8.5833333333333331E-2</v>
      </c>
      <c r="Z1514" s="288">
        <v>7.0833333333333338E-5</v>
      </c>
      <c r="AA1514" s="288">
        <v>0</v>
      </c>
      <c r="AB1514" s="288">
        <v>0</v>
      </c>
      <c r="AC1514" s="289">
        <v>8.590416666666667E-2</v>
      </c>
      <c r="AD1514" s="289">
        <v>0</v>
      </c>
    </row>
    <row r="1515" spans="1:30" ht="15" customHeight="1" x14ac:dyDescent="0.25">
      <c r="A1515" s="282" t="s">
        <v>581</v>
      </c>
      <c r="B1515" s="282" t="s">
        <v>585</v>
      </c>
      <c r="C1515" s="282" t="s">
        <v>586</v>
      </c>
      <c r="D1515" s="286" t="s">
        <v>2188</v>
      </c>
      <c r="E1515" s="404">
        <v>44294</v>
      </c>
      <c r="F1515" s="404">
        <v>46120</v>
      </c>
      <c r="G1515" s="286" t="s">
        <v>799</v>
      </c>
      <c r="H1515" s="282" t="s">
        <v>800</v>
      </c>
      <c r="I1515" s="282" t="s">
        <v>590</v>
      </c>
      <c r="J1515" s="282" t="s">
        <v>156</v>
      </c>
      <c r="K1515" s="286" t="s">
        <v>801</v>
      </c>
      <c r="L1515" s="282" t="s">
        <v>574</v>
      </c>
      <c r="M1515" s="287">
        <v>2400</v>
      </c>
      <c r="N1515" s="287">
        <v>0</v>
      </c>
      <c r="O1515" s="287">
        <v>0</v>
      </c>
      <c r="P1515" s="287"/>
      <c r="Q1515" s="288">
        <v>203</v>
      </c>
      <c r="R1515" s="287">
        <v>202</v>
      </c>
      <c r="S1515" s="288">
        <v>0.17</v>
      </c>
      <c r="T1515" s="288"/>
      <c r="U1515" s="288">
        <v>0</v>
      </c>
      <c r="V1515" s="289">
        <v>202.17</v>
      </c>
      <c r="W1515" s="289">
        <v>0</v>
      </c>
      <c r="X1515" s="288">
        <v>8.458333333333333E-2</v>
      </c>
      <c r="Y1515" s="288">
        <v>8.4166666666666667E-2</v>
      </c>
      <c r="Z1515" s="288">
        <v>7.0833333333333338E-5</v>
      </c>
      <c r="AA1515" s="288">
        <v>0</v>
      </c>
      <c r="AB1515" s="288">
        <v>0</v>
      </c>
      <c r="AC1515" s="289">
        <v>8.4237500000000007E-2</v>
      </c>
      <c r="AD1515" s="289">
        <v>0</v>
      </c>
    </row>
    <row r="1516" spans="1:30" ht="15" customHeight="1" x14ac:dyDescent="0.25">
      <c r="A1516" s="282" t="s">
        <v>581</v>
      </c>
      <c r="B1516" s="282" t="s">
        <v>585</v>
      </c>
      <c r="C1516" s="282" t="s">
        <v>586</v>
      </c>
      <c r="D1516" s="283" t="s">
        <v>2189</v>
      </c>
      <c r="E1516" s="404">
        <v>45056</v>
      </c>
      <c r="F1516" s="404">
        <v>46883</v>
      </c>
      <c r="G1516" s="286" t="s">
        <v>286</v>
      </c>
      <c r="H1516" s="282" t="s">
        <v>759</v>
      </c>
      <c r="I1516" s="282" t="s">
        <v>590</v>
      </c>
      <c r="J1516" s="282" t="s">
        <v>156</v>
      </c>
      <c r="K1516" s="286" t="s">
        <v>760</v>
      </c>
      <c r="L1516" s="282" t="s">
        <v>574</v>
      </c>
      <c r="M1516" s="287">
        <v>2400</v>
      </c>
      <c r="N1516" s="287">
        <v>0</v>
      </c>
      <c r="O1516" s="287">
        <v>0</v>
      </c>
      <c r="P1516" s="287"/>
      <c r="Q1516" s="288">
        <v>215</v>
      </c>
      <c r="R1516" s="288">
        <v>214</v>
      </c>
      <c r="S1516" s="288">
        <v>0.114</v>
      </c>
      <c r="T1516" s="288"/>
      <c r="U1516" s="288">
        <v>0</v>
      </c>
      <c r="V1516" s="289">
        <v>214.114</v>
      </c>
      <c r="W1516" s="289">
        <v>0</v>
      </c>
      <c r="X1516" s="288">
        <v>8.9583333333333334E-2</v>
      </c>
      <c r="Y1516" s="288">
        <v>8.9166666666666672E-2</v>
      </c>
      <c r="Z1516" s="288">
        <v>4.7500000000000003E-5</v>
      </c>
      <c r="AA1516" s="288">
        <v>0</v>
      </c>
      <c r="AB1516" s="288">
        <v>0</v>
      </c>
      <c r="AC1516" s="289">
        <v>8.9214166666666678E-2</v>
      </c>
      <c r="AD1516" s="289">
        <v>0</v>
      </c>
    </row>
    <row r="1517" spans="1:30" ht="15" customHeight="1" x14ac:dyDescent="0.25">
      <c r="A1517" s="282" t="s">
        <v>581</v>
      </c>
      <c r="B1517" s="282" t="s">
        <v>628</v>
      </c>
      <c r="C1517" s="282" t="s">
        <v>629</v>
      </c>
      <c r="D1517" s="286" t="s">
        <v>2190</v>
      </c>
      <c r="E1517" s="404">
        <v>44525</v>
      </c>
      <c r="F1517" s="404">
        <v>46351</v>
      </c>
      <c r="G1517" s="286" t="s">
        <v>1063</v>
      </c>
      <c r="H1517" s="282" t="s">
        <v>1064</v>
      </c>
      <c r="I1517" s="282" t="s">
        <v>590</v>
      </c>
      <c r="J1517" s="282" t="s">
        <v>156</v>
      </c>
      <c r="K1517" s="286" t="s">
        <v>1065</v>
      </c>
      <c r="L1517" s="282" t="s">
        <v>574</v>
      </c>
      <c r="M1517" s="287">
        <v>2400</v>
      </c>
      <c r="N1517" s="287">
        <v>0</v>
      </c>
      <c r="O1517" s="287">
        <v>0</v>
      </c>
      <c r="P1517" s="287"/>
      <c r="Q1517" s="288">
        <v>210</v>
      </c>
      <c r="R1517" s="288">
        <v>209</v>
      </c>
      <c r="S1517" s="288">
        <v>0.11</v>
      </c>
      <c r="T1517" s="288"/>
      <c r="U1517" s="288">
        <v>0</v>
      </c>
      <c r="V1517" s="289">
        <v>209.11</v>
      </c>
      <c r="W1517" s="289">
        <v>0</v>
      </c>
      <c r="X1517" s="288">
        <v>8.7499999999999994E-2</v>
      </c>
      <c r="Y1517" s="288">
        <v>8.7083333333333332E-2</v>
      </c>
      <c r="Z1517" s="288">
        <v>4.5833333333333334E-5</v>
      </c>
      <c r="AA1517" s="288">
        <v>0</v>
      </c>
      <c r="AB1517" s="288">
        <v>0</v>
      </c>
      <c r="AC1517" s="289">
        <v>8.712916666666666E-2</v>
      </c>
      <c r="AD1517" s="289">
        <v>0</v>
      </c>
    </row>
    <row r="1518" spans="1:30" ht="15" customHeight="1" x14ac:dyDescent="0.25">
      <c r="A1518" s="282" t="s">
        <v>581</v>
      </c>
      <c r="B1518" s="282" t="s">
        <v>628</v>
      </c>
      <c r="C1518" s="282" t="s">
        <v>629</v>
      </c>
      <c r="D1518" s="286" t="s">
        <v>2191</v>
      </c>
      <c r="E1518" s="404">
        <v>44525</v>
      </c>
      <c r="F1518" s="404">
        <v>46351</v>
      </c>
      <c r="G1518" s="286" t="s">
        <v>1063</v>
      </c>
      <c r="H1518" s="282" t="s">
        <v>1064</v>
      </c>
      <c r="I1518" s="282" t="s">
        <v>590</v>
      </c>
      <c r="J1518" s="282" t="s">
        <v>156</v>
      </c>
      <c r="K1518" s="286" t="s">
        <v>1065</v>
      </c>
      <c r="L1518" s="282" t="s">
        <v>574</v>
      </c>
      <c r="M1518" s="287">
        <v>2400</v>
      </c>
      <c r="N1518" s="287">
        <v>0</v>
      </c>
      <c r="O1518" s="287">
        <v>0</v>
      </c>
      <c r="P1518" s="287"/>
      <c r="Q1518" s="288">
        <v>205</v>
      </c>
      <c r="R1518" s="288">
        <v>204</v>
      </c>
      <c r="S1518" s="288">
        <v>0.13</v>
      </c>
      <c r="T1518" s="288"/>
      <c r="U1518" s="288">
        <v>0</v>
      </c>
      <c r="V1518" s="289">
        <v>204.13</v>
      </c>
      <c r="W1518" s="289">
        <v>0</v>
      </c>
      <c r="X1518" s="288">
        <v>8.5416666666666669E-2</v>
      </c>
      <c r="Y1518" s="288">
        <v>8.5000000000000006E-2</v>
      </c>
      <c r="Z1518" s="288">
        <v>5.4166666666666671E-5</v>
      </c>
      <c r="AA1518" s="288">
        <v>0</v>
      </c>
      <c r="AB1518" s="288">
        <v>0</v>
      </c>
      <c r="AC1518" s="289">
        <v>8.5054166666666667E-2</v>
      </c>
      <c r="AD1518" s="289">
        <v>0</v>
      </c>
    </row>
    <row r="1519" spans="1:30" ht="15" customHeight="1" x14ac:dyDescent="0.25">
      <c r="A1519" s="282" t="s">
        <v>581</v>
      </c>
      <c r="B1519" s="282" t="s">
        <v>611</v>
      </c>
      <c r="C1519" s="282" t="s">
        <v>612</v>
      </c>
      <c r="D1519" s="286" t="s">
        <v>2192</v>
      </c>
      <c r="E1519" s="404">
        <v>44816</v>
      </c>
      <c r="F1519" s="404">
        <v>46642</v>
      </c>
      <c r="G1519" s="290" t="s">
        <v>652</v>
      </c>
      <c r="H1519" s="282" t="s">
        <v>653</v>
      </c>
      <c r="I1519" s="282" t="s">
        <v>590</v>
      </c>
      <c r="J1519" s="282" t="s">
        <v>156</v>
      </c>
      <c r="K1519" s="286" t="s">
        <v>654</v>
      </c>
      <c r="L1519" s="282" t="s">
        <v>574</v>
      </c>
      <c r="M1519" s="287">
        <v>2400</v>
      </c>
      <c r="N1519" s="287">
        <v>0</v>
      </c>
      <c r="O1519" s="287">
        <v>0</v>
      </c>
      <c r="P1519" s="287"/>
      <c r="Q1519" s="288">
        <v>188</v>
      </c>
      <c r="R1519" s="288">
        <v>187</v>
      </c>
      <c r="S1519" s="288">
        <v>0.2</v>
      </c>
      <c r="T1519" s="288"/>
      <c r="U1519" s="288">
        <v>0</v>
      </c>
      <c r="V1519" s="289">
        <v>187.2</v>
      </c>
      <c r="W1519" s="289">
        <v>0</v>
      </c>
      <c r="X1519" s="288">
        <v>7.8333333333333338E-2</v>
      </c>
      <c r="Y1519" s="288">
        <v>7.7916666666666662E-2</v>
      </c>
      <c r="Z1519" s="288">
        <v>8.3333333333333344E-5</v>
      </c>
      <c r="AA1519" s="288">
        <v>0</v>
      </c>
      <c r="AB1519" s="288">
        <v>0</v>
      </c>
      <c r="AC1519" s="289">
        <v>7.8E-2</v>
      </c>
      <c r="AD1519" s="289">
        <v>0</v>
      </c>
    </row>
    <row r="1520" spans="1:30" ht="15" customHeight="1" x14ac:dyDescent="0.25">
      <c r="A1520" s="282" t="s">
        <v>581</v>
      </c>
      <c r="B1520" s="282" t="s">
        <v>611</v>
      </c>
      <c r="C1520" s="282" t="s">
        <v>612</v>
      </c>
      <c r="D1520" s="286" t="s">
        <v>2193</v>
      </c>
      <c r="E1520" s="404">
        <v>45038</v>
      </c>
      <c r="F1520" s="404">
        <v>46865</v>
      </c>
      <c r="G1520" s="290" t="s">
        <v>283</v>
      </c>
      <c r="H1520" s="282" t="s">
        <v>881</v>
      </c>
      <c r="I1520" s="282" t="s">
        <v>590</v>
      </c>
      <c r="J1520" s="282" t="s">
        <v>156</v>
      </c>
      <c r="K1520" s="286" t="s">
        <v>882</v>
      </c>
      <c r="L1520" s="282" t="s">
        <v>574</v>
      </c>
      <c r="M1520" s="287">
        <v>2400</v>
      </c>
      <c r="N1520" s="287">
        <v>0</v>
      </c>
      <c r="O1520" s="287">
        <v>0</v>
      </c>
      <c r="P1520" s="287"/>
      <c r="Q1520" s="288">
        <v>199</v>
      </c>
      <c r="R1520" s="288">
        <v>198</v>
      </c>
      <c r="S1520" s="288">
        <v>0.15</v>
      </c>
      <c r="T1520" s="288"/>
      <c r="U1520" s="288">
        <v>0</v>
      </c>
      <c r="V1520" s="289">
        <v>198.15</v>
      </c>
      <c r="W1520" s="289">
        <v>0</v>
      </c>
      <c r="X1520" s="288">
        <v>8.2916666666666666E-2</v>
      </c>
      <c r="Y1520" s="288">
        <v>8.2500000000000004E-2</v>
      </c>
      <c r="Z1520" s="288">
        <v>6.2500000000000001E-5</v>
      </c>
      <c r="AA1520" s="288">
        <v>0</v>
      </c>
      <c r="AB1520" s="288">
        <v>0</v>
      </c>
      <c r="AC1520" s="289">
        <v>8.2562499999999997E-2</v>
      </c>
      <c r="AD1520" s="289">
        <v>0</v>
      </c>
    </row>
    <row r="1521" spans="1:30" ht="15" customHeight="1" x14ac:dyDescent="0.25">
      <c r="A1521" s="282" t="s">
        <v>581</v>
      </c>
      <c r="B1521" s="282" t="s">
        <v>628</v>
      </c>
      <c r="C1521" s="282" t="s">
        <v>629</v>
      </c>
      <c r="D1521" s="283" t="s">
        <v>2194</v>
      </c>
      <c r="E1521" s="404">
        <v>45016</v>
      </c>
      <c r="F1521" s="404">
        <v>46843</v>
      </c>
      <c r="G1521" s="286" t="s">
        <v>286</v>
      </c>
      <c r="H1521" s="282" t="s">
        <v>782</v>
      </c>
      <c r="I1521" s="282" t="s">
        <v>590</v>
      </c>
      <c r="J1521" s="282" t="s">
        <v>156</v>
      </c>
      <c r="K1521" s="286" t="s">
        <v>783</v>
      </c>
      <c r="L1521" s="282" t="s">
        <v>574</v>
      </c>
      <c r="M1521" s="287">
        <v>2400</v>
      </c>
      <c r="N1521" s="287">
        <v>0</v>
      </c>
      <c r="O1521" s="287">
        <v>0</v>
      </c>
      <c r="P1521" s="287"/>
      <c r="Q1521" s="288">
        <v>192</v>
      </c>
      <c r="R1521" s="288">
        <v>191</v>
      </c>
      <c r="S1521" s="288">
        <v>0.15</v>
      </c>
      <c r="T1521" s="288"/>
      <c r="U1521" s="288">
        <v>0</v>
      </c>
      <c r="V1521" s="289">
        <v>191.15</v>
      </c>
      <c r="W1521" s="289">
        <v>0</v>
      </c>
      <c r="X1521" s="288">
        <v>0.08</v>
      </c>
      <c r="Y1521" s="288">
        <v>7.9583333333333339E-2</v>
      </c>
      <c r="Z1521" s="288">
        <v>6.2500000000000001E-5</v>
      </c>
      <c r="AA1521" s="288">
        <v>0</v>
      </c>
      <c r="AB1521" s="288">
        <v>0</v>
      </c>
      <c r="AC1521" s="289">
        <v>7.9645833333333332E-2</v>
      </c>
      <c r="AD1521" s="289">
        <v>0</v>
      </c>
    </row>
    <row r="1522" spans="1:30" ht="15" customHeight="1" x14ac:dyDescent="0.25">
      <c r="A1522" s="282" t="s">
        <v>581</v>
      </c>
      <c r="B1522" s="282" t="s">
        <v>594</v>
      </c>
      <c r="C1522" s="282" t="s">
        <v>595</v>
      </c>
      <c r="D1522" s="283" t="s">
        <v>2195</v>
      </c>
      <c r="E1522" s="404">
        <v>45016</v>
      </c>
      <c r="F1522" s="404">
        <v>46843</v>
      </c>
      <c r="G1522" s="286" t="s">
        <v>283</v>
      </c>
      <c r="H1522" s="282" t="s">
        <v>736</v>
      </c>
      <c r="I1522" s="282" t="s">
        <v>590</v>
      </c>
      <c r="J1522" s="282" t="s">
        <v>156</v>
      </c>
      <c r="K1522" s="286" t="s">
        <v>737</v>
      </c>
      <c r="L1522" s="282" t="s">
        <v>574</v>
      </c>
      <c r="M1522" s="287">
        <v>2400</v>
      </c>
      <c r="N1522" s="287">
        <v>0</v>
      </c>
      <c r="O1522" s="287">
        <v>0</v>
      </c>
      <c r="P1522" s="287"/>
      <c r="Q1522" s="288">
        <v>189</v>
      </c>
      <c r="R1522" s="288">
        <v>188</v>
      </c>
      <c r="S1522" s="288">
        <v>0.157</v>
      </c>
      <c r="T1522" s="288"/>
      <c r="U1522" s="288">
        <v>0</v>
      </c>
      <c r="V1522" s="289">
        <v>188.15700000000001</v>
      </c>
      <c r="W1522" s="289">
        <v>0</v>
      </c>
      <c r="X1522" s="288">
        <v>7.8750000000000001E-2</v>
      </c>
      <c r="Y1522" s="288">
        <v>7.8333333333333338E-2</v>
      </c>
      <c r="Z1522" s="288">
        <v>6.5416666666666667E-5</v>
      </c>
      <c r="AA1522" s="288">
        <v>0</v>
      </c>
      <c r="AB1522" s="288">
        <v>0</v>
      </c>
      <c r="AC1522" s="289">
        <v>7.8398750000000003E-2</v>
      </c>
      <c r="AD1522" s="289">
        <v>0</v>
      </c>
    </row>
    <row r="1523" spans="1:30" ht="15" customHeight="1" x14ac:dyDescent="0.25">
      <c r="A1523" s="282" t="s">
        <v>581</v>
      </c>
      <c r="B1523" s="282" t="s">
        <v>628</v>
      </c>
      <c r="C1523" s="282" t="s">
        <v>629</v>
      </c>
      <c r="D1523" s="286" t="s">
        <v>2196</v>
      </c>
      <c r="E1523" s="404">
        <v>45038</v>
      </c>
      <c r="F1523" s="404">
        <v>46865</v>
      </c>
      <c r="G1523" s="290" t="s">
        <v>283</v>
      </c>
      <c r="H1523" s="282" t="s">
        <v>881</v>
      </c>
      <c r="I1523" s="282" t="s">
        <v>590</v>
      </c>
      <c r="J1523" s="282" t="s">
        <v>156</v>
      </c>
      <c r="K1523" s="286" t="s">
        <v>882</v>
      </c>
      <c r="L1523" s="282" t="s">
        <v>574</v>
      </c>
      <c r="M1523" s="287">
        <v>2400</v>
      </c>
      <c r="N1523" s="287">
        <v>0</v>
      </c>
      <c r="O1523" s="287">
        <v>0</v>
      </c>
      <c r="P1523" s="287"/>
      <c r="Q1523" s="288">
        <v>185</v>
      </c>
      <c r="R1523" s="288">
        <v>184</v>
      </c>
      <c r="S1523" s="288">
        <v>0.14000000000000001</v>
      </c>
      <c r="T1523" s="288"/>
      <c r="U1523" s="288">
        <v>0</v>
      </c>
      <c r="V1523" s="289">
        <v>184.14</v>
      </c>
      <c r="W1523" s="289">
        <v>0</v>
      </c>
      <c r="X1523" s="288">
        <v>7.7083333333333337E-2</v>
      </c>
      <c r="Y1523" s="288">
        <v>7.6666666666666661E-2</v>
      </c>
      <c r="Z1523" s="288">
        <v>5.833333333333334E-5</v>
      </c>
      <c r="AA1523" s="288">
        <v>0</v>
      </c>
      <c r="AB1523" s="288">
        <v>0</v>
      </c>
      <c r="AC1523" s="289">
        <v>7.6724999999999988E-2</v>
      </c>
      <c r="AD1523" s="289">
        <v>0</v>
      </c>
    </row>
    <row r="1524" spans="1:30" ht="15" customHeight="1" x14ac:dyDescent="0.25">
      <c r="A1524" s="282" t="s">
        <v>581</v>
      </c>
      <c r="B1524" s="282" t="s">
        <v>594</v>
      </c>
      <c r="C1524" s="282" t="s">
        <v>595</v>
      </c>
      <c r="D1524" s="286" t="s">
        <v>2197</v>
      </c>
      <c r="E1524" s="404">
        <v>45038</v>
      </c>
      <c r="F1524" s="404">
        <v>46865</v>
      </c>
      <c r="G1524" s="290" t="s">
        <v>283</v>
      </c>
      <c r="H1524" s="282" t="s">
        <v>881</v>
      </c>
      <c r="I1524" s="282" t="s">
        <v>590</v>
      </c>
      <c r="J1524" s="282" t="s">
        <v>156</v>
      </c>
      <c r="K1524" s="286" t="s">
        <v>882</v>
      </c>
      <c r="L1524" s="282" t="s">
        <v>574</v>
      </c>
      <c r="M1524" s="287">
        <v>2400</v>
      </c>
      <c r="N1524" s="287">
        <v>0</v>
      </c>
      <c r="O1524" s="287">
        <v>0</v>
      </c>
      <c r="P1524" s="287"/>
      <c r="Q1524" s="288">
        <v>157</v>
      </c>
      <c r="R1524" s="288">
        <v>156</v>
      </c>
      <c r="S1524" s="288">
        <v>0.11</v>
      </c>
      <c r="T1524" s="288"/>
      <c r="U1524" s="288">
        <v>0</v>
      </c>
      <c r="V1524" s="289">
        <v>156.11000000000001</v>
      </c>
      <c r="W1524" s="289">
        <v>0</v>
      </c>
      <c r="X1524" s="288">
        <v>6.5416666666666665E-2</v>
      </c>
      <c r="Y1524" s="288">
        <v>6.5000000000000002E-2</v>
      </c>
      <c r="Z1524" s="288">
        <v>4.5833333333333334E-5</v>
      </c>
      <c r="AA1524" s="288">
        <v>0</v>
      </c>
      <c r="AB1524" s="288">
        <v>0</v>
      </c>
      <c r="AC1524" s="289">
        <v>6.5045833333333331E-2</v>
      </c>
      <c r="AD1524" s="289">
        <v>0</v>
      </c>
    </row>
    <row r="1525" spans="1:30" ht="15" customHeight="1" x14ac:dyDescent="0.25">
      <c r="A1525" s="282" t="s">
        <v>581</v>
      </c>
      <c r="B1525" s="282" t="s">
        <v>594</v>
      </c>
      <c r="C1525" s="282" t="s">
        <v>595</v>
      </c>
      <c r="D1525" s="286" t="s">
        <v>2198</v>
      </c>
      <c r="E1525" s="404">
        <v>45038</v>
      </c>
      <c r="F1525" s="404">
        <v>46865</v>
      </c>
      <c r="G1525" s="290" t="s">
        <v>283</v>
      </c>
      <c r="H1525" s="282" t="s">
        <v>881</v>
      </c>
      <c r="I1525" s="282" t="s">
        <v>590</v>
      </c>
      <c r="J1525" s="282" t="s">
        <v>156</v>
      </c>
      <c r="K1525" s="286" t="s">
        <v>882</v>
      </c>
      <c r="L1525" s="282" t="s">
        <v>574</v>
      </c>
      <c r="M1525" s="287">
        <v>2400</v>
      </c>
      <c r="N1525" s="287">
        <v>0</v>
      </c>
      <c r="O1525" s="287">
        <v>0</v>
      </c>
      <c r="P1525" s="287"/>
      <c r="Q1525" s="288">
        <v>157</v>
      </c>
      <c r="R1525" s="288">
        <v>156</v>
      </c>
      <c r="S1525" s="288">
        <v>0.11</v>
      </c>
      <c r="T1525" s="288"/>
      <c r="U1525" s="288">
        <v>0</v>
      </c>
      <c r="V1525" s="289">
        <v>156.11000000000001</v>
      </c>
      <c r="W1525" s="289">
        <v>0</v>
      </c>
      <c r="X1525" s="288">
        <v>6.5416666666666665E-2</v>
      </c>
      <c r="Y1525" s="288">
        <v>6.5000000000000002E-2</v>
      </c>
      <c r="Z1525" s="288">
        <v>4.5833333333333334E-5</v>
      </c>
      <c r="AA1525" s="288">
        <v>0</v>
      </c>
      <c r="AB1525" s="288">
        <v>0</v>
      </c>
      <c r="AC1525" s="289">
        <v>6.5045833333333331E-2</v>
      </c>
      <c r="AD1525" s="289">
        <v>0</v>
      </c>
    </row>
    <row r="1526" spans="1:30" ht="15" customHeight="1" x14ac:dyDescent="0.25">
      <c r="A1526" s="282" t="s">
        <v>2199</v>
      </c>
      <c r="B1526" s="282" t="s">
        <v>2200</v>
      </c>
      <c r="C1526" s="282" t="s">
        <v>2200</v>
      </c>
      <c r="D1526" s="283" t="s">
        <v>2201</v>
      </c>
      <c r="E1526" s="403">
        <v>45022</v>
      </c>
      <c r="F1526" s="403">
        <v>46849</v>
      </c>
      <c r="G1526" s="283" t="s">
        <v>2202</v>
      </c>
      <c r="H1526" s="282" t="s">
        <v>2203</v>
      </c>
      <c r="I1526" s="285"/>
      <c r="J1526" s="282" t="s">
        <v>184</v>
      </c>
      <c r="K1526" s="283" t="s">
        <v>2204</v>
      </c>
      <c r="L1526" s="286" t="s">
        <v>158</v>
      </c>
      <c r="M1526" s="287" t="s">
        <v>159</v>
      </c>
      <c r="N1526" s="287" t="s">
        <v>159</v>
      </c>
      <c r="O1526" s="287" t="s">
        <v>159</v>
      </c>
      <c r="P1526" s="287" t="s">
        <v>159</v>
      </c>
      <c r="Q1526" s="288">
        <v>214</v>
      </c>
      <c r="R1526" s="288">
        <v>211</v>
      </c>
      <c r="S1526" s="288">
        <v>3.3</v>
      </c>
      <c r="T1526" s="288">
        <v>0.69299999999999995</v>
      </c>
      <c r="U1526" s="288">
        <v>0</v>
      </c>
      <c r="V1526" s="289">
        <v>214.99300000000002</v>
      </c>
      <c r="W1526" s="289">
        <v>0</v>
      </c>
      <c r="X1526" s="288">
        <v>0.214</v>
      </c>
      <c r="Y1526" s="288">
        <v>0.21099999999999999</v>
      </c>
      <c r="Z1526" s="288">
        <v>3.3E-3</v>
      </c>
      <c r="AA1526" s="288">
        <v>6.9299999999999993E-4</v>
      </c>
      <c r="AB1526" s="288">
        <v>0</v>
      </c>
      <c r="AC1526" s="289">
        <v>0.21499299999999999</v>
      </c>
      <c r="AD1526" s="289">
        <v>0</v>
      </c>
    </row>
    <row r="1527" spans="1:30" ht="15" customHeight="1" x14ac:dyDescent="0.25">
      <c r="A1527" s="282" t="s">
        <v>2199</v>
      </c>
      <c r="B1527" s="282" t="s">
        <v>2200</v>
      </c>
      <c r="C1527" s="282" t="s">
        <v>2200</v>
      </c>
      <c r="D1527" s="283" t="s">
        <v>2205</v>
      </c>
      <c r="E1527" s="403">
        <v>45022</v>
      </c>
      <c r="F1527" s="403">
        <v>46849</v>
      </c>
      <c r="G1527" s="283" t="s">
        <v>2202</v>
      </c>
      <c r="H1527" s="282" t="s">
        <v>2206</v>
      </c>
      <c r="I1527" s="285"/>
      <c r="J1527" s="282" t="s">
        <v>184</v>
      </c>
      <c r="K1527" s="283" t="s">
        <v>2207</v>
      </c>
      <c r="L1527" s="286" t="s">
        <v>158</v>
      </c>
      <c r="M1527" s="287" t="s">
        <v>159</v>
      </c>
      <c r="N1527" s="287" t="s">
        <v>159</v>
      </c>
      <c r="O1527" s="287" t="s">
        <v>159</v>
      </c>
      <c r="P1527" s="287" t="s">
        <v>159</v>
      </c>
      <c r="Q1527" s="288">
        <v>183</v>
      </c>
      <c r="R1527" s="288">
        <v>180</v>
      </c>
      <c r="S1527" s="288">
        <v>2.4300000000000002</v>
      </c>
      <c r="T1527" s="288">
        <v>0.66400000000000003</v>
      </c>
      <c r="U1527" s="288">
        <v>0</v>
      </c>
      <c r="V1527" s="289">
        <v>183.09399999999999</v>
      </c>
      <c r="W1527" s="289">
        <v>0</v>
      </c>
      <c r="X1527" s="288">
        <v>0.183</v>
      </c>
      <c r="Y1527" s="288">
        <v>0.18</v>
      </c>
      <c r="Z1527" s="288">
        <v>2.4300000000000003E-3</v>
      </c>
      <c r="AA1527" s="288">
        <v>6.6399999999999999E-4</v>
      </c>
      <c r="AB1527" s="288">
        <v>0</v>
      </c>
      <c r="AC1527" s="289">
        <v>0.18309399999999998</v>
      </c>
      <c r="AD1527" s="289">
        <v>0</v>
      </c>
    </row>
    <row r="1528" spans="1:30" ht="15" customHeight="1" x14ac:dyDescent="0.25">
      <c r="A1528" s="282" t="s">
        <v>2199</v>
      </c>
      <c r="B1528" s="282" t="s">
        <v>2208</v>
      </c>
      <c r="C1528" s="282" t="s">
        <v>2209</v>
      </c>
      <c r="D1528" s="283" t="s">
        <v>2210</v>
      </c>
      <c r="E1528" s="403">
        <v>44985</v>
      </c>
      <c r="F1528" s="403">
        <v>46811</v>
      </c>
      <c r="G1528" s="283" t="s">
        <v>154</v>
      </c>
      <c r="H1528" s="282" t="s">
        <v>2211</v>
      </c>
      <c r="I1528" s="285"/>
      <c r="J1528" s="282" t="s">
        <v>184</v>
      </c>
      <c r="K1528" s="283" t="s">
        <v>2212</v>
      </c>
      <c r="L1528" s="286" t="s">
        <v>574</v>
      </c>
      <c r="M1528" s="287">
        <v>1475</v>
      </c>
      <c r="N1528" s="287" t="s">
        <v>159</v>
      </c>
      <c r="O1528" s="287" t="s">
        <v>159</v>
      </c>
      <c r="P1528" s="287" t="s">
        <v>159</v>
      </c>
      <c r="Q1528" s="288">
        <v>317</v>
      </c>
      <c r="R1528" s="288"/>
      <c r="S1528" s="288"/>
      <c r="T1528" s="288"/>
      <c r="U1528" s="288">
        <v>0</v>
      </c>
      <c r="V1528" s="289">
        <v>317</v>
      </c>
      <c r="W1528" s="289">
        <v>0</v>
      </c>
      <c r="X1528" s="288">
        <v>0.21491525423728813</v>
      </c>
      <c r="Y1528" s="288">
        <v>0</v>
      </c>
      <c r="Z1528" s="288">
        <v>0</v>
      </c>
      <c r="AA1528" s="288">
        <v>0</v>
      </c>
      <c r="AB1528" s="288">
        <v>0</v>
      </c>
      <c r="AC1528" s="289">
        <v>0.21491525423728813</v>
      </c>
      <c r="AD1528" s="289">
        <v>0</v>
      </c>
    </row>
    <row r="1529" spans="1:30" ht="15" customHeight="1" x14ac:dyDescent="0.25">
      <c r="A1529" s="282" t="s">
        <v>2199</v>
      </c>
      <c r="B1529" s="282" t="s">
        <v>2200</v>
      </c>
      <c r="C1529" s="282" t="s">
        <v>260</v>
      </c>
      <c r="D1529" s="283" t="s">
        <v>2213</v>
      </c>
      <c r="E1529" s="403">
        <v>0</v>
      </c>
      <c r="F1529" s="403">
        <v>0</v>
      </c>
      <c r="G1529" s="283" t="s">
        <v>154</v>
      </c>
      <c r="H1529" s="282">
        <v>0</v>
      </c>
      <c r="I1529" s="285"/>
      <c r="J1529" s="282" t="s">
        <v>2214</v>
      </c>
      <c r="K1529" s="283" t="s">
        <v>2215</v>
      </c>
      <c r="L1529" s="286" t="s">
        <v>158</v>
      </c>
      <c r="M1529" s="287">
        <v>2400</v>
      </c>
      <c r="N1529" s="287" t="s">
        <v>159</v>
      </c>
      <c r="O1529" s="287" t="s">
        <v>159</v>
      </c>
      <c r="P1529" s="287" t="s">
        <v>159</v>
      </c>
      <c r="Q1529" s="288">
        <v>392.73353686000002</v>
      </c>
      <c r="R1529" s="288"/>
      <c r="S1529" s="288"/>
      <c r="T1529" s="288"/>
      <c r="U1529" s="288">
        <v>0</v>
      </c>
      <c r="V1529" s="289">
        <v>392.73353686000002</v>
      </c>
      <c r="W1529" s="289">
        <v>0</v>
      </c>
      <c r="X1529" s="288">
        <v>0.39273353686000001</v>
      </c>
      <c r="Y1529" s="288">
        <v>0</v>
      </c>
      <c r="Z1529" s="288">
        <v>0</v>
      </c>
      <c r="AA1529" s="288">
        <v>0</v>
      </c>
      <c r="AB1529" s="288">
        <v>0</v>
      </c>
      <c r="AC1529" s="289">
        <v>0.39273353686000001</v>
      </c>
      <c r="AD1529" s="289">
        <v>0</v>
      </c>
    </row>
    <row r="1530" spans="1:30" ht="15" customHeight="1" x14ac:dyDescent="0.25">
      <c r="A1530" s="282" t="s">
        <v>2199</v>
      </c>
      <c r="B1530" s="282" t="s">
        <v>2200</v>
      </c>
      <c r="C1530" s="282" t="s">
        <v>260</v>
      </c>
      <c r="D1530" s="283" t="s">
        <v>2216</v>
      </c>
      <c r="E1530" s="403">
        <v>0</v>
      </c>
      <c r="F1530" s="403">
        <v>0</v>
      </c>
      <c r="G1530" s="283" t="s">
        <v>154</v>
      </c>
      <c r="H1530" s="282">
        <v>0</v>
      </c>
      <c r="I1530" s="285"/>
      <c r="J1530" s="282" t="s">
        <v>2214</v>
      </c>
      <c r="K1530" s="283" t="s">
        <v>2215</v>
      </c>
      <c r="L1530" s="286" t="s">
        <v>158</v>
      </c>
      <c r="M1530" s="287">
        <v>2400</v>
      </c>
      <c r="N1530" s="287" t="s">
        <v>159</v>
      </c>
      <c r="O1530" s="287" t="s">
        <v>159</v>
      </c>
      <c r="P1530" s="287" t="s">
        <v>159</v>
      </c>
      <c r="Q1530" s="288">
        <v>383.47147035199993</v>
      </c>
      <c r="R1530" s="288"/>
      <c r="S1530" s="288"/>
      <c r="T1530" s="288"/>
      <c r="U1530" s="288">
        <v>0</v>
      </c>
      <c r="V1530" s="289">
        <v>383.47147035199993</v>
      </c>
      <c r="W1530" s="289">
        <v>0</v>
      </c>
      <c r="X1530" s="288">
        <v>0.38347147035199991</v>
      </c>
      <c r="Y1530" s="288">
        <v>0</v>
      </c>
      <c r="Z1530" s="288">
        <v>0</v>
      </c>
      <c r="AA1530" s="288">
        <v>0</v>
      </c>
      <c r="AB1530" s="288">
        <v>0</v>
      </c>
      <c r="AC1530" s="289">
        <v>0.38347147035199991</v>
      </c>
      <c r="AD1530" s="289">
        <v>0</v>
      </c>
    </row>
    <row r="1531" spans="1:30" ht="15" customHeight="1" x14ac:dyDescent="0.25">
      <c r="A1531" s="282" t="s">
        <v>2199</v>
      </c>
      <c r="B1531" s="282" t="s">
        <v>2208</v>
      </c>
      <c r="C1531" s="282" t="s">
        <v>2209</v>
      </c>
      <c r="D1531" s="283" t="s">
        <v>2217</v>
      </c>
      <c r="E1531" s="403">
        <v>44985</v>
      </c>
      <c r="F1531" s="403">
        <v>46811</v>
      </c>
      <c r="G1531" s="283" t="s">
        <v>154</v>
      </c>
      <c r="H1531" s="282" t="s">
        <v>2211</v>
      </c>
      <c r="I1531" s="285"/>
      <c r="J1531" s="282" t="s">
        <v>184</v>
      </c>
      <c r="K1531" s="283" t="s">
        <v>2212</v>
      </c>
      <c r="L1531" s="286" t="s">
        <v>574</v>
      </c>
      <c r="M1531" s="287">
        <v>1475</v>
      </c>
      <c r="N1531" s="287" t="s">
        <v>159</v>
      </c>
      <c r="O1531" s="287" t="s">
        <v>159</v>
      </c>
      <c r="P1531" s="287" t="s">
        <v>159</v>
      </c>
      <c r="Q1531" s="288">
        <v>357</v>
      </c>
      <c r="R1531" s="288"/>
      <c r="S1531" s="288"/>
      <c r="T1531" s="288"/>
      <c r="U1531" s="288">
        <v>0</v>
      </c>
      <c r="V1531" s="289">
        <v>357</v>
      </c>
      <c r="W1531" s="289">
        <v>0</v>
      </c>
      <c r="X1531" s="288">
        <v>0.24203389830508473</v>
      </c>
      <c r="Y1531" s="288">
        <v>0</v>
      </c>
      <c r="Z1531" s="288">
        <v>0</v>
      </c>
      <c r="AA1531" s="288">
        <v>0</v>
      </c>
      <c r="AB1531" s="288">
        <v>0</v>
      </c>
      <c r="AC1531" s="289">
        <v>0.24203389830508473</v>
      </c>
      <c r="AD1531" s="289">
        <v>0</v>
      </c>
    </row>
    <row r="1532" spans="1:30" ht="15" customHeight="1" x14ac:dyDescent="0.25">
      <c r="A1532" s="282" t="s">
        <v>2199</v>
      </c>
      <c r="B1532" s="282" t="s">
        <v>2208</v>
      </c>
      <c r="C1532" s="282" t="s">
        <v>2209</v>
      </c>
      <c r="D1532" s="283" t="s">
        <v>2218</v>
      </c>
      <c r="E1532" s="403">
        <v>44985</v>
      </c>
      <c r="F1532" s="403">
        <v>46811</v>
      </c>
      <c r="G1532" s="283" t="s">
        <v>154</v>
      </c>
      <c r="H1532" s="282" t="s">
        <v>2211</v>
      </c>
      <c r="I1532" s="285"/>
      <c r="J1532" s="282" t="s">
        <v>184</v>
      </c>
      <c r="K1532" s="283" t="s">
        <v>2212</v>
      </c>
      <c r="L1532" s="286" t="s">
        <v>574</v>
      </c>
      <c r="M1532" s="287">
        <v>1475</v>
      </c>
      <c r="N1532" s="287" t="s">
        <v>159</v>
      </c>
      <c r="O1532" s="287" t="s">
        <v>159</v>
      </c>
      <c r="P1532" s="287" t="s">
        <v>159</v>
      </c>
      <c r="Q1532" s="288">
        <v>332</v>
      </c>
      <c r="R1532" s="288"/>
      <c r="S1532" s="288"/>
      <c r="T1532" s="288"/>
      <c r="U1532" s="288">
        <v>0</v>
      </c>
      <c r="V1532" s="289">
        <v>332</v>
      </c>
      <c r="W1532" s="289">
        <v>0</v>
      </c>
      <c r="X1532" s="288">
        <v>0.22508474576271187</v>
      </c>
      <c r="Y1532" s="288">
        <v>0</v>
      </c>
      <c r="Z1532" s="288">
        <v>0</v>
      </c>
      <c r="AA1532" s="288">
        <v>0</v>
      </c>
      <c r="AB1532" s="288">
        <v>0</v>
      </c>
      <c r="AC1532" s="289">
        <v>0.22508474576271187</v>
      </c>
      <c r="AD1532" s="289">
        <v>0</v>
      </c>
    </row>
    <row r="1533" spans="1:30" ht="15" customHeight="1" x14ac:dyDescent="0.25">
      <c r="A1533" s="282" t="s">
        <v>2199</v>
      </c>
      <c r="B1533" s="282" t="s">
        <v>2208</v>
      </c>
      <c r="C1533" s="282" t="s">
        <v>2209</v>
      </c>
      <c r="D1533" s="283" t="s">
        <v>2219</v>
      </c>
      <c r="E1533" s="403">
        <v>44985</v>
      </c>
      <c r="F1533" s="403">
        <v>46811</v>
      </c>
      <c r="G1533" s="283" t="s">
        <v>154</v>
      </c>
      <c r="H1533" s="282" t="s">
        <v>2211</v>
      </c>
      <c r="I1533" s="285"/>
      <c r="J1533" s="282" t="s">
        <v>184</v>
      </c>
      <c r="K1533" s="283" t="s">
        <v>2212</v>
      </c>
      <c r="L1533" s="286" t="s">
        <v>574</v>
      </c>
      <c r="M1533" s="287">
        <v>1475</v>
      </c>
      <c r="N1533" s="287" t="s">
        <v>159</v>
      </c>
      <c r="O1533" s="287" t="s">
        <v>159</v>
      </c>
      <c r="P1533" s="287" t="s">
        <v>159</v>
      </c>
      <c r="Q1533" s="288">
        <v>348</v>
      </c>
      <c r="R1533" s="288"/>
      <c r="S1533" s="288"/>
      <c r="T1533" s="288"/>
      <c r="U1533" s="288">
        <v>0</v>
      </c>
      <c r="V1533" s="289">
        <v>348</v>
      </c>
      <c r="W1533" s="289">
        <v>0</v>
      </c>
      <c r="X1533" s="288">
        <v>0.23593220338983051</v>
      </c>
      <c r="Y1533" s="288">
        <v>0</v>
      </c>
      <c r="Z1533" s="288">
        <v>0</v>
      </c>
      <c r="AA1533" s="288">
        <v>0</v>
      </c>
      <c r="AB1533" s="288">
        <v>0</v>
      </c>
      <c r="AC1533" s="289">
        <v>0.23593220338983051</v>
      </c>
      <c r="AD1533" s="289">
        <v>0</v>
      </c>
    </row>
    <row r="1534" spans="1:30" ht="15" customHeight="1" x14ac:dyDescent="0.25">
      <c r="A1534" s="282" t="s">
        <v>2199</v>
      </c>
      <c r="B1534" s="282" t="s">
        <v>2200</v>
      </c>
      <c r="C1534" s="282" t="s">
        <v>2200</v>
      </c>
      <c r="D1534" s="283" t="s">
        <v>2220</v>
      </c>
      <c r="E1534" s="403">
        <v>0</v>
      </c>
      <c r="F1534" s="403">
        <v>0</v>
      </c>
      <c r="G1534" s="283" t="s">
        <v>154</v>
      </c>
      <c r="H1534" s="282">
        <v>0</v>
      </c>
      <c r="I1534" s="285"/>
      <c r="J1534" s="282" t="s">
        <v>2214</v>
      </c>
      <c r="K1534" s="283" t="s">
        <v>2215</v>
      </c>
      <c r="L1534" s="286" t="s">
        <v>158</v>
      </c>
      <c r="M1534" s="287">
        <v>2400</v>
      </c>
      <c r="N1534" s="287" t="s">
        <v>159</v>
      </c>
      <c r="O1534" s="287" t="s">
        <v>159</v>
      </c>
      <c r="P1534" s="287" t="s">
        <v>159</v>
      </c>
      <c r="Q1534" s="288">
        <v>217.85472099999998</v>
      </c>
      <c r="R1534" s="288"/>
      <c r="S1534" s="288"/>
      <c r="T1534" s="288"/>
      <c r="U1534" s="288">
        <v>0</v>
      </c>
      <c r="V1534" s="289">
        <v>217.85472099999998</v>
      </c>
      <c r="W1534" s="289">
        <v>0</v>
      </c>
      <c r="X1534" s="288">
        <v>0.21785472099999997</v>
      </c>
      <c r="Y1534" s="288">
        <v>0</v>
      </c>
      <c r="Z1534" s="288">
        <v>0</v>
      </c>
      <c r="AA1534" s="288">
        <v>0</v>
      </c>
      <c r="AB1534" s="288">
        <v>0</v>
      </c>
      <c r="AC1534" s="289">
        <v>0.21785472099999997</v>
      </c>
      <c r="AD1534" s="289">
        <v>0</v>
      </c>
    </row>
    <row r="1535" spans="1:30" ht="15" customHeight="1" x14ac:dyDescent="0.25">
      <c r="A1535" s="282" t="s">
        <v>2199</v>
      </c>
      <c r="B1535" s="282" t="s">
        <v>2200</v>
      </c>
      <c r="C1535" s="282" t="s">
        <v>2200</v>
      </c>
      <c r="D1535" s="283" t="s">
        <v>2221</v>
      </c>
      <c r="E1535" s="403">
        <v>0</v>
      </c>
      <c r="F1535" s="403">
        <v>0</v>
      </c>
      <c r="G1535" s="283" t="s">
        <v>154</v>
      </c>
      <c r="H1535" s="282">
        <v>0</v>
      </c>
      <c r="I1535" s="285"/>
      <c r="J1535" s="282" t="s">
        <v>2214</v>
      </c>
      <c r="K1535" s="283" t="s">
        <v>2215</v>
      </c>
      <c r="L1535" s="286" t="s">
        <v>158</v>
      </c>
      <c r="M1535" s="287">
        <v>2400</v>
      </c>
      <c r="N1535" s="287" t="s">
        <v>159</v>
      </c>
      <c r="O1535" s="287" t="s">
        <v>159</v>
      </c>
      <c r="P1535" s="287" t="s">
        <v>159</v>
      </c>
      <c r="Q1535" s="288">
        <v>214.74937619999997</v>
      </c>
      <c r="R1535" s="288"/>
      <c r="S1535" s="288"/>
      <c r="T1535" s="288"/>
      <c r="U1535" s="288">
        <v>0</v>
      </c>
      <c r="V1535" s="289">
        <v>214.74937619999997</v>
      </c>
      <c r="W1535" s="289">
        <v>0</v>
      </c>
      <c r="X1535" s="288">
        <v>0.21474937619999998</v>
      </c>
      <c r="Y1535" s="288">
        <v>0</v>
      </c>
      <c r="Z1535" s="288">
        <v>0</v>
      </c>
      <c r="AA1535" s="288">
        <v>0</v>
      </c>
      <c r="AB1535" s="288">
        <v>0</v>
      </c>
      <c r="AC1535" s="289">
        <v>0.21474937619999998</v>
      </c>
      <c r="AD1535" s="289">
        <v>0</v>
      </c>
    </row>
    <row r="1536" spans="1:30" ht="15" customHeight="1" x14ac:dyDescent="0.25">
      <c r="A1536" s="282" t="s">
        <v>2222</v>
      </c>
      <c r="B1536" s="282"/>
      <c r="C1536" s="282" t="s">
        <v>260</v>
      </c>
      <c r="D1536" s="283" t="s">
        <v>2223</v>
      </c>
      <c r="E1536" s="403">
        <v>44847</v>
      </c>
      <c r="F1536" s="403">
        <v>46672</v>
      </c>
      <c r="G1536" s="283" t="s">
        <v>237</v>
      </c>
      <c r="H1536" s="282" t="s">
        <v>2224</v>
      </c>
      <c r="I1536" s="285"/>
      <c r="J1536" s="282" t="s">
        <v>184</v>
      </c>
      <c r="K1536" s="283" t="s">
        <v>2225</v>
      </c>
      <c r="L1536" s="286" t="s">
        <v>321</v>
      </c>
      <c r="M1536" s="287" t="s">
        <v>159</v>
      </c>
      <c r="N1536" s="287">
        <v>45.92</v>
      </c>
      <c r="O1536" s="287" t="s">
        <v>159</v>
      </c>
      <c r="P1536" s="287" t="s">
        <v>159</v>
      </c>
      <c r="Q1536" s="288">
        <v>140</v>
      </c>
      <c r="R1536" s="288">
        <v>139</v>
      </c>
      <c r="S1536" s="288">
        <v>0.85399999999999998</v>
      </c>
      <c r="T1536" s="288">
        <v>0.69699999999999995</v>
      </c>
      <c r="U1536" s="288">
        <v>0</v>
      </c>
      <c r="V1536" s="289">
        <v>140.55100000000002</v>
      </c>
      <c r="W1536" s="289">
        <v>0</v>
      </c>
      <c r="X1536" s="288">
        <v>3.0487804878048781</v>
      </c>
      <c r="Y1536" s="288">
        <v>3.0270034843205575</v>
      </c>
      <c r="Z1536" s="288">
        <v>1.8597560975609755E-2</v>
      </c>
      <c r="AA1536" s="288">
        <v>1.5178571428571427E-2</v>
      </c>
      <c r="AB1536" s="288">
        <v>0</v>
      </c>
      <c r="AC1536" s="289">
        <v>3.0607796167247385</v>
      </c>
      <c r="AD1536" s="289">
        <v>0</v>
      </c>
    </row>
    <row r="1537" spans="1:30" ht="15" customHeight="1" x14ac:dyDescent="0.25">
      <c r="A1537" s="282" t="s">
        <v>2222</v>
      </c>
      <c r="B1537" s="282"/>
      <c r="C1537" s="282" t="s">
        <v>260</v>
      </c>
      <c r="D1537" s="283" t="s">
        <v>2226</v>
      </c>
      <c r="E1537" s="403">
        <v>44571</v>
      </c>
      <c r="F1537" s="403">
        <v>46397</v>
      </c>
      <c r="G1537" s="283" t="s">
        <v>237</v>
      </c>
      <c r="H1537" s="282" t="s">
        <v>2227</v>
      </c>
      <c r="I1537" s="285"/>
      <c r="J1537" s="282" t="s">
        <v>184</v>
      </c>
      <c r="K1537" s="283" t="s">
        <v>2228</v>
      </c>
      <c r="L1537" s="286" t="s">
        <v>321</v>
      </c>
      <c r="M1537" s="287" t="s">
        <v>159</v>
      </c>
      <c r="N1537" s="287">
        <v>53.62812499999999</v>
      </c>
      <c r="O1537" s="287" t="s">
        <v>159</v>
      </c>
      <c r="P1537" s="287" t="s">
        <v>159</v>
      </c>
      <c r="Q1537" s="288">
        <v>86.4</v>
      </c>
      <c r="R1537" s="288">
        <v>85.8</v>
      </c>
      <c r="S1537" s="288">
        <v>0.44700000000000001</v>
      </c>
      <c r="T1537" s="288">
        <v>0.19800000000000001</v>
      </c>
      <c r="U1537" s="288">
        <v>0</v>
      </c>
      <c r="V1537" s="289">
        <v>86.444999999999993</v>
      </c>
      <c r="W1537" s="289">
        <v>0</v>
      </c>
      <c r="X1537" s="288">
        <v>1.6110949245381976</v>
      </c>
      <c r="Y1537" s="288">
        <v>1.5999067653400154</v>
      </c>
      <c r="Z1537" s="288">
        <v>8.3351786026455345E-3</v>
      </c>
      <c r="AA1537" s="288">
        <v>3.6920925354000356E-3</v>
      </c>
      <c r="AB1537" s="288">
        <v>0</v>
      </c>
      <c r="AC1537" s="289">
        <v>1.611934036478061</v>
      </c>
      <c r="AD1537" s="289">
        <v>0</v>
      </c>
    </row>
    <row r="1538" spans="1:30" ht="15" customHeight="1" x14ac:dyDescent="0.25">
      <c r="A1538" s="282" t="s">
        <v>2222</v>
      </c>
      <c r="B1538" s="282"/>
      <c r="C1538" s="282" t="s">
        <v>260</v>
      </c>
      <c r="D1538" s="283" t="s">
        <v>2229</v>
      </c>
      <c r="E1538" s="403">
        <v>44571</v>
      </c>
      <c r="F1538" s="403">
        <v>46397</v>
      </c>
      <c r="G1538" s="283" t="s">
        <v>237</v>
      </c>
      <c r="H1538" s="282" t="s">
        <v>2227</v>
      </c>
      <c r="I1538" s="285"/>
      <c r="J1538" s="282" t="s">
        <v>184</v>
      </c>
      <c r="K1538" s="283" t="s">
        <v>2228</v>
      </c>
      <c r="L1538" s="286" t="s">
        <v>321</v>
      </c>
      <c r="M1538" s="287" t="s">
        <v>159</v>
      </c>
      <c r="N1538" s="287">
        <v>53.284375000000004</v>
      </c>
      <c r="O1538" s="287" t="s">
        <v>159</v>
      </c>
      <c r="P1538" s="287" t="s">
        <v>159</v>
      </c>
      <c r="Q1538" s="288">
        <v>84.8</v>
      </c>
      <c r="R1538" s="288">
        <v>84.2</v>
      </c>
      <c r="S1538" s="288">
        <v>0.44500000000000001</v>
      </c>
      <c r="T1538" s="288">
        <v>0.186</v>
      </c>
      <c r="U1538" s="288">
        <v>0</v>
      </c>
      <c r="V1538" s="289">
        <v>84.831000000000003</v>
      </c>
      <c r="W1538" s="289">
        <v>0</v>
      </c>
      <c r="X1538" s="288">
        <v>1.5914609113834963</v>
      </c>
      <c r="Y1538" s="288">
        <v>1.580200574746349</v>
      </c>
      <c r="Z1538" s="288">
        <v>8.3514163392176405E-3</v>
      </c>
      <c r="AA1538" s="288">
        <v>3.4907043575156879E-3</v>
      </c>
      <c r="AB1538" s="288">
        <v>0</v>
      </c>
      <c r="AC1538" s="289">
        <v>1.5920426954430822</v>
      </c>
      <c r="AD1538" s="289">
        <v>0</v>
      </c>
    </row>
    <row r="1539" spans="1:30" ht="15" customHeight="1" x14ac:dyDescent="0.25">
      <c r="A1539" s="282" t="s">
        <v>2222</v>
      </c>
      <c r="B1539" s="282"/>
      <c r="C1539" s="282" t="s">
        <v>260</v>
      </c>
      <c r="D1539" s="283" t="s">
        <v>2230</v>
      </c>
      <c r="E1539" s="403">
        <v>44571</v>
      </c>
      <c r="F1539" s="403">
        <v>46397</v>
      </c>
      <c r="G1539" s="283" t="s">
        <v>237</v>
      </c>
      <c r="H1539" s="282" t="s">
        <v>2227</v>
      </c>
      <c r="I1539" s="285"/>
      <c r="J1539" s="282" t="s">
        <v>184</v>
      </c>
      <c r="K1539" s="283" t="s">
        <v>2228</v>
      </c>
      <c r="L1539" s="286" t="s">
        <v>321</v>
      </c>
      <c r="M1539" s="287" t="s">
        <v>159</v>
      </c>
      <c r="N1539" s="287">
        <v>53.886458333333337</v>
      </c>
      <c r="O1539" s="287" t="s">
        <v>159</v>
      </c>
      <c r="P1539" s="287" t="s">
        <v>159</v>
      </c>
      <c r="Q1539" s="288">
        <v>88.7</v>
      </c>
      <c r="R1539" s="288">
        <v>88</v>
      </c>
      <c r="S1539" s="288">
        <v>0.48499999999999999</v>
      </c>
      <c r="T1539" s="288">
        <v>0.22600000000000001</v>
      </c>
      <c r="U1539" s="288">
        <v>0</v>
      </c>
      <c r="V1539" s="289">
        <v>88.710999999999999</v>
      </c>
      <c r="W1539" s="289">
        <v>0</v>
      </c>
      <c r="X1539" s="288">
        <v>1.6460536235526086</v>
      </c>
      <c r="Y1539" s="288">
        <v>1.6330633469293072</v>
      </c>
      <c r="Z1539" s="288">
        <v>9.0004059461444765E-3</v>
      </c>
      <c r="AA1539" s="288">
        <v>4.1940035955229937E-3</v>
      </c>
      <c r="AB1539" s="288">
        <v>0</v>
      </c>
      <c r="AC1539" s="289">
        <v>1.6462577564709746</v>
      </c>
      <c r="AD1539" s="289">
        <v>0</v>
      </c>
    </row>
    <row r="1540" spans="1:30" ht="15" customHeight="1" x14ac:dyDescent="0.25">
      <c r="A1540" s="282" t="s">
        <v>2222</v>
      </c>
      <c r="B1540" s="282"/>
      <c r="C1540" s="282" t="s">
        <v>260</v>
      </c>
      <c r="D1540" s="283" t="s">
        <v>2231</v>
      </c>
      <c r="E1540" s="403">
        <v>44937</v>
      </c>
      <c r="F1540" s="403">
        <v>46762</v>
      </c>
      <c r="G1540" s="283" t="s">
        <v>237</v>
      </c>
      <c r="H1540" s="282" t="s">
        <v>2232</v>
      </c>
      <c r="I1540" s="285"/>
      <c r="J1540" s="282" t="s">
        <v>184</v>
      </c>
      <c r="K1540" s="283" t="s">
        <v>2233</v>
      </c>
      <c r="L1540" s="286" t="s">
        <v>321</v>
      </c>
      <c r="M1540" s="287" t="s">
        <v>159</v>
      </c>
      <c r="N1540" s="287">
        <v>45.82</v>
      </c>
      <c r="O1540" s="287" t="s">
        <v>159</v>
      </c>
      <c r="P1540" s="287" t="s">
        <v>159</v>
      </c>
      <c r="Q1540" s="288">
        <v>176</v>
      </c>
      <c r="R1540" s="288"/>
      <c r="S1540" s="288"/>
      <c r="T1540" s="288"/>
      <c r="U1540" s="288">
        <v>0</v>
      </c>
      <c r="V1540" s="289">
        <v>176</v>
      </c>
      <c r="W1540" s="289">
        <v>0</v>
      </c>
      <c r="X1540" s="288">
        <v>3.8411174159755563</v>
      </c>
      <c r="Y1540" s="288">
        <v>0</v>
      </c>
      <c r="Z1540" s="288">
        <v>0</v>
      </c>
      <c r="AA1540" s="288">
        <v>0</v>
      </c>
      <c r="AB1540" s="288">
        <v>0</v>
      </c>
      <c r="AC1540" s="289">
        <v>3.8411174159755563</v>
      </c>
      <c r="AD1540" s="289">
        <v>0</v>
      </c>
    </row>
    <row r="1541" spans="1:30" ht="15" customHeight="1" x14ac:dyDescent="0.25">
      <c r="A1541" s="282" t="s">
        <v>2222</v>
      </c>
      <c r="B1541" s="282"/>
      <c r="C1541" s="282" t="s">
        <v>260</v>
      </c>
      <c r="D1541" s="283" t="s">
        <v>2234</v>
      </c>
      <c r="E1541" s="403">
        <v>44571</v>
      </c>
      <c r="F1541" s="403">
        <v>46397</v>
      </c>
      <c r="G1541" s="283" t="s">
        <v>237</v>
      </c>
      <c r="H1541" s="282" t="s">
        <v>2227</v>
      </c>
      <c r="I1541" s="285"/>
      <c r="J1541" s="282" t="s">
        <v>184</v>
      </c>
      <c r="K1541" s="283" t="s">
        <v>2228</v>
      </c>
      <c r="L1541" s="286" t="s">
        <v>321</v>
      </c>
      <c r="M1541" s="287" t="s">
        <v>159</v>
      </c>
      <c r="N1541" s="287">
        <v>54.091666666666661</v>
      </c>
      <c r="O1541" s="287" t="s">
        <v>159</v>
      </c>
      <c r="P1541" s="287" t="s">
        <v>159</v>
      </c>
      <c r="Q1541" s="288">
        <v>87.5</v>
      </c>
      <c r="R1541" s="288">
        <v>86.8</v>
      </c>
      <c r="S1541" s="288">
        <v>0.48</v>
      </c>
      <c r="T1541" s="288">
        <v>0.21099999999999999</v>
      </c>
      <c r="U1541" s="288">
        <v>0</v>
      </c>
      <c r="V1541" s="289">
        <v>87.491</v>
      </c>
      <c r="W1541" s="289">
        <v>0</v>
      </c>
      <c r="X1541" s="288">
        <v>1.6176244030195657</v>
      </c>
      <c r="Y1541" s="288">
        <v>1.6046834077954091</v>
      </c>
      <c r="Z1541" s="288">
        <v>8.8738252965644745E-3</v>
      </c>
      <c r="AA1541" s="288">
        <v>3.9007857032814668E-3</v>
      </c>
      <c r="AB1541" s="288">
        <v>0</v>
      </c>
      <c r="AC1541" s="289">
        <v>1.6174580187952552</v>
      </c>
      <c r="AD1541" s="289">
        <v>0</v>
      </c>
    </row>
    <row r="1542" spans="1:30" ht="15" customHeight="1" x14ac:dyDescent="0.25">
      <c r="A1542" s="282" t="s">
        <v>2235</v>
      </c>
      <c r="B1542" s="282" t="s">
        <v>2236</v>
      </c>
      <c r="C1542" s="282" t="s">
        <v>260</v>
      </c>
      <c r="D1542" s="283" t="s">
        <v>2237</v>
      </c>
      <c r="E1542" s="403">
        <v>45005</v>
      </c>
      <c r="F1542" s="403">
        <v>46522</v>
      </c>
      <c r="G1542" s="283" t="s">
        <v>2202</v>
      </c>
      <c r="H1542" s="282" t="s">
        <v>2238</v>
      </c>
      <c r="I1542" s="285"/>
      <c r="J1542" s="282" t="s">
        <v>184</v>
      </c>
      <c r="K1542" s="283" t="s">
        <v>2239</v>
      </c>
      <c r="L1542" s="286" t="s">
        <v>321</v>
      </c>
      <c r="M1542" s="287" t="s">
        <v>159</v>
      </c>
      <c r="N1542" s="287">
        <v>28.66</v>
      </c>
      <c r="O1542" s="287" t="s">
        <v>159</v>
      </c>
      <c r="P1542" s="287" t="s">
        <v>159</v>
      </c>
      <c r="Q1542" s="288">
        <v>14.41</v>
      </c>
      <c r="R1542" s="288">
        <v>37.340000000000003</v>
      </c>
      <c r="S1542" s="288">
        <v>-23.18</v>
      </c>
      <c r="T1542" s="288">
        <v>0.18</v>
      </c>
      <c r="U1542" s="288">
        <v>18.333333333333332</v>
      </c>
      <c r="V1542" s="289">
        <v>37.520000000000003</v>
      </c>
      <c r="W1542" s="289">
        <v>18.333333333333332</v>
      </c>
      <c r="X1542" s="288">
        <v>0.50279134682484294</v>
      </c>
      <c r="Y1542" s="288">
        <v>1.3028611304954643</v>
      </c>
      <c r="Z1542" s="288">
        <v>-0.80879274249825539</v>
      </c>
      <c r="AA1542" s="288">
        <v>6.2805303558967195E-3</v>
      </c>
      <c r="AB1542" s="288">
        <v>0.63968364735985106</v>
      </c>
      <c r="AC1542" s="289">
        <v>1.3091416608513611</v>
      </c>
      <c r="AD1542" s="289">
        <v>0.63968364735985106</v>
      </c>
    </row>
    <row r="1543" spans="1:30" ht="15" customHeight="1" x14ac:dyDescent="0.25">
      <c r="A1543" s="282" t="s">
        <v>2235</v>
      </c>
      <c r="B1543" s="282" t="s">
        <v>2240</v>
      </c>
      <c r="C1543" s="282" t="s">
        <v>260</v>
      </c>
      <c r="D1543" s="283" t="s">
        <v>2241</v>
      </c>
      <c r="E1543" s="403">
        <v>45005</v>
      </c>
      <c r="F1543" s="403">
        <v>46831</v>
      </c>
      <c r="G1543" s="283" t="s">
        <v>237</v>
      </c>
      <c r="H1543" s="282" t="s">
        <v>2242</v>
      </c>
      <c r="I1543" s="285"/>
      <c r="J1543" s="282" t="s">
        <v>184</v>
      </c>
      <c r="K1543" s="283" t="s">
        <v>2243</v>
      </c>
      <c r="L1543" s="286" t="s">
        <v>321</v>
      </c>
      <c r="M1543" s="287" t="s">
        <v>159</v>
      </c>
      <c r="N1543" s="287">
        <v>30.3</v>
      </c>
      <c r="O1543" s="287" t="s">
        <v>159</v>
      </c>
      <c r="P1543" s="287" t="s">
        <v>159</v>
      </c>
      <c r="Q1543" s="288">
        <v>38.200000000000003</v>
      </c>
      <c r="R1543" s="288">
        <v>52.3</v>
      </c>
      <c r="S1543" s="288">
        <v>-14.4</v>
      </c>
      <c r="T1543" s="288">
        <v>6.3200000000000006E-2</v>
      </c>
      <c r="U1543" s="288">
        <v>26.033333333333331</v>
      </c>
      <c r="V1543" s="289">
        <v>63.996533333333332</v>
      </c>
      <c r="W1543" s="289">
        <v>26.033333333333331</v>
      </c>
      <c r="X1543" s="288">
        <v>1.2607260726072609</v>
      </c>
      <c r="Y1543" s="288">
        <v>1.726072607260726</v>
      </c>
      <c r="Z1543" s="288">
        <v>-0.47524752475247523</v>
      </c>
      <c r="AA1543" s="288">
        <v>2.0858085808580858E-3</v>
      </c>
      <c r="AB1543" s="288">
        <v>0.85918591859185911</v>
      </c>
      <c r="AC1543" s="289">
        <v>2.1120968096809678</v>
      </c>
      <c r="AD1543" s="289">
        <v>0.85918591859185911</v>
      </c>
    </row>
    <row r="1544" spans="1:30" ht="15" customHeight="1" x14ac:dyDescent="0.25">
      <c r="A1544" s="282" t="s">
        <v>2235</v>
      </c>
      <c r="B1544" s="282" t="s">
        <v>2240</v>
      </c>
      <c r="C1544" s="282" t="s">
        <v>260</v>
      </c>
      <c r="D1544" s="283" t="s">
        <v>2244</v>
      </c>
      <c r="E1544" s="403">
        <v>44614</v>
      </c>
      <c r="F1544" s="403">
        <v>46439</v>
      </c>
      <c r="G1544" s="283" t="s">
        <v>2245</v>
      </c>
      <c r="H1544" s="282" t="s">
        <v>2246</v>
      </c>
      <c r="I1544" s="285"/>
      <c r="J1544" s="282" t="s">
        <v>184</v>
      </c>
      <c r="K1544" s="283" t="s">
        <v>2247</v>
      </c>
      <c r="L1544" s="286" t="s">
        <v>321</v>
      </c>
      <c r="M1544" s="287" t="s">
        <v>159</v>
      </c>
      <c r="N1544" s="287">
        <v>38.5</v>
      </c>
      <c r="O1544" s="287" t="s">
        <v>159</v>
      </c>
      <c r="P1544" s="287" t="s">
        <v>159</v>
      </c>
      <c r="Q1544" s="288">
        <v>80.7</v>
      </c>
      <c r="R1544" s="288">
        <v>87.9</v>
      </c>
      <c r="S1544" s="288">
        <v>-7.54</v>
      </c>
      <c r="T1544" s="288">
        <v>0.32500000000000001</v>
      </c>
      <c r="U1544" s="288">
        <v>0</v>
      </c>
      <c r="V1544" s="289">
        <v>88.225000000000009</v>
      </c>
      <c r="W1544" s="289">
        <v>0</v>
      </c>
      <c r="X1544" s="288">
        <v>2.0961038961038962</v>
      </c>
      <c r="Y1544" s="288">
        <v>2.2831168831168833</v>
      </c>
      <c r="Z1544" s="288">
        <v>-0.19584415584415585</v>
      </c>
      <c r="AA1544" s="288">
        <v>8.4415584415584426E-3</v>
      </c>
      <c r="AB1544" s="288">
        <v>0</v>
      </c>
      <c r="AC1544" s="289">
        <v>2.2915584415584416</v>
      </c>
      <c r="AD1544" s="289">
        <v>0</v>
      </c>
    </row>
    <row r="1545" spans="1:30" ht="15" customHeight="1" x14ac:dyDescent="0.25">
      <c r="A1545" s="282" t="s">
        <v>2235</v>
      </c>
      <c r="B1545" s="282" t="s">
        <v>2248</v>
      </c>
      <c r="C1545" s="282" t="s">
        <v>260</v>
      </c>
      <c r="D1545" s="283" t="s">
        <v>2249</v>
      </c>
      <c r="E1545" s="403">
        <v>44694</v>
      </c>
      <c r="F1545" s="403">
        <v>46517</v>
      </c>
      <c r="G1545" s="283" t="s">
        <v>2250</v>
      </c>
      <c r="H1545" s="282" t="s">
        <v>2251</v>
      </c>
      <c r="I1545" s="285"/>
      <c r="J1545" s="282" t="s">
        <v>184</v>
      </c>
      <c r="K1545" s="283" t="s">
        <v>2252</v>
      </c>
      <c r="L1545" s="286" t="s">
        <v>321</v>
      </c>
      <c r="M1545" s="287" t="s">
        <v>159</v>
      </c>
      <c r="N1545" s="287">
        <v>32.82</v>
      </c>
      <c r="O1545" s="287" t="s">
        <v>159</v>
      </c>
      <c r="P1545" s="287" t="s">
        <v>159</v>
      </c>
      <c r="Q1545" s="288">
        <v>109</v>
      </c>
      <c r="R1545" s="288">
        <v>116</v>
      </c>
      <c r="S1545" s="288">
        <v>-6.23</v>
      </c>
      <c r="T1545" s="288">
        <v>8.6400000000000005E-2</v>
      </c>
      <c r="U1545" s="288">
        <v>0</v>
      </c>
      <c r="V1545" s="289">
        <v>116.0864</v>
      </c>
      <c r="W1545" s="289">
        <v>0</v>
      </c>
      <c r="X1545" s="288">
        <v>3.3211456429006705</v>
      </c>
      <c r="Y1545" s="288">
        <v>3.5344302254722728</v>
      </c>
      <c r="Z1545" s="288">
        <v>-0.1898232784887264</v>
      </c>
      <c r="AA1545" s="288">
        <v>2.6325411334552104E-3</v>
      </c>
      <c r="AB1545" s="288">
        <v>0</v>
      </c>
      <c r="AC1545" s="289">
        <v>3.5370627666057279</v>
      </c>
      <c r="AD1545" s="289">
        <v>0</v>
      </c>
    </row>
    <row r="1546" spans="1:30" ht="15" customHeight="1" x14ac:dyDescent="0.25">
      <c r="A1546" s="282" t="s">
        <v>2235</v>
      </c>
      <c r="B1546" s="282" t="s">
        <v>2248</v>
      </c>
      <c r="C1546" s="282" t="s">
        <v>260</v>
      </c>
      <c r="D1546" s="283" t="s">
        <v>2253</v>
      </c>
      <c r="E1546" s="403">
        <v>44694</v>
      </c>
      <c r="F1546" s="403">
        <v>46517</v>
      </c>
      <c r="G1546" s="283" t="s">
        <v>2250</v>
      </c>
      <c r="H1546" s="282" t="s">
        <v>2251</v>
      </c>
      <c r="I1546" s="285"/>
      <c r="J1546" s="282" t="s">
        <v>184</v>
      </c>
      <c r="K1546" s="283" t="s">
        <v>2252</v>
      </c>
      <c r="L1546" s="286" t="s">
        <v>321</v>
      </c>
      <c r="M1546" s="287" t="s">
        <v>159</v>
      </c>
      <c r="N1546" s="287">
        <v>45.42</v>
      </c>
      <c r="O1546" s="287" t="s">
        <v>159</v>
      </c>
      <c r="P1546" s="287" t="s">
        <v>159</v>
      </c>
      <c r="Q1546" s="288">
        <v>109</v>
      </c>
      <c r="R1546" s="288">
        <v>116</v>
      </c>
      <c r="S1546" s="288">
        <v>-6.23</v>
      </c>
      <c r="T1546" s="288">
        <v>8.6400000000000005E-2</v>
      </c>
      <c r="U1546" s="288">
        <v>0</v>
      </c>
      <c r="V1546" s="289">
        <v>116.0864</v>
      </c>
      <c r="W1546" s="289">
        <v>0</v>
      </c>
      <c r="X1546" s="288">
        <v>2.3998238661382651</v>
      </c>
      <c r="Y1546" s="288">
        <v>2.5539409951563186</v>
      </c>
      <c r="Z1546" s="288">
        <v>-0.13716424482606782</v>
      </c>
      <c r="AA1546" s="288">
        <v>1.9022457067371203E-3</v>
      </c>
      <c r="AB1546" s="288">
        <v>0</v>
      </c>
      <c r="AC1546" s="289">
        <v>2.5558432408630556</v>
      </c>
      <c r="AD1546" s="289">
        <v>0</v>
      </c>
    </row>
    <row r="1547" spans="1:30" ht="15" customHeight="1" x14ac:dyDescent="0.25">
      <c r="A1547" s="282" t="s">
        <v>2235</v>
      </c>
      <c r="B1547" s="282" t="s">
        <v>2248</v>
      </c>
      <c r="C1547" s="282" t="s">
        <v>260</v>
      </c>
      <c r="D1547" s="283" t="s">
        <v>2254</v>
      </c>
      <c r="E1547" s="403">
        <v>44694</v>
      </c>
      <c r="F1547" s="403">
        <v>46517</v>
      </c>
      <c r="G1547" s="283" t="s">
        <v>2250</v>
      </c>
      <c r="H1547" s="282" t="s">
        <v>2251</v>
      </c>
      <c r="I1547" s="285"/>
      <c r="J1547" s="282" t="s">
        <v>184</v>
      </c>
      <c r="K1547" s="283" t="s">
        <v>2252</v>
      </c>
      <c r="L1547" s="286" t="s">
        <v>321</v>
      </c>
      <c r="M1547" s="287" t="s">
        <v>159</v>
      </c>
      <c r="N1547" s="287">
        <v>61.91</v>
      </c>
      <c r="O1547" s="287" t="s">
        <v>159</v>
      </c>
      <c r="P1547" s="287" t="s">
        <v>159</v>
      </c>
      <c r="Q1547" s="288">
        <v>109</v>
      </c>
      <c r="R1547" s="288">
        <v>116</v>
      </c>
      <c r="S1547" s="288">
        <v>-6.23</v>
      </c>
      <c r="T1547" s="288">
        <v>8.6400000000000005E-2</v>
      </c>
      <c r="U1547" s="288">
        <v>0</v>
      </c>
      <c r="V1547" s="289">
        <v>116.0864</v>
      </c>
      <c r="W1547" s="289">
        <v>0</v>
      </c>
      <c r="X1547" s="288">
        <v>1.7606202552091748</v>
      </c>
      <c r="Y1547" s="288">
        <v>1.8736876110482961</v>
      </c>
      <c r="Z1547" s="288">
        <v>-0.10062994669681798</v>
      </c>
      <c r="AA1547" s="288">
        <v>1.3955742206428689E-3</v>
      </c>
      <c r="AB1547" s="288">
        <v>0</v>
      </c>
      <c r="AC1547" s="289">
        <v>1.8750831852689389</v>
      </c>
      <c r="AD1547" s="289">
        <v>0</v>
      </c>
    </row>
    <row r="1548" spans="1:30" ht="15" customHeight="1" x14ac:dyDescent="0.25">
      <c r="A1548" s="282" t="s">
        <v>2235</v>
      </c>
      <c r="B1548" s="282" t="s">
        <v>2236</v>
      </c>
      <c r="C1548" s="282" t="s">
        <v>260</v>
      </c>
      <c r="D1548" s="283" t="s">
        <v>2255</v>
      </c>
      <c r="E1548" s="403">
        <v>44820</v>
      </c>
      <c r="F1548" s="403">
        <v>46645</v>
      </c>
      <c r="G1548" s="283" t="s">
        <v>2202</v>
      </c>
      <c r="H1548" s="282" t="s">
        <v>2256</v>
      </c>
      <c r="I1548" s="285"/>
      <c r="J1548" s="282" t="s">
        <v>184</v>
      </c>
      <c r="K1548" s="283" t="s">
        <v>2257</v>
      </c>
      <c r="L1548" s="286" t="s">
        <v>321</v>
      </c>
      <c r="M1548" s="287" t="s">
        <v>159</v>
      </c>
      <c r="N1548" s="287">
        <v>21.471428571428572</v>
      </c>
      <c r="O1548" s="287" t="s">
        <v>159</v>
      </c>
      <c r="P1548" s="287" t="s">
        <v>159</v>
      </c>
      <c r="Q1548" s="288">
        <v>33</v>
      </c>
      <c r="R1548" s="288">
        <v>35</v>
      </c>
      <c r="S1548" s="288">
        <v>-1.4</v>
      </c>
      <c r="T1548" s="288">
        <v>3.1E-2</v>
      </c>
      <c r="U1548" s="288">
        <v>0</v>
      </c>
      <c r="V1548" s="289">
        <v>35.030999999999999</v>
      </c>
      <c r="W1548" s="289">
        <v>0</v>
      </c>
      <c r="X1548" s="288">
        <v>1.5369261477045908</v>
      </c>
      <c r="Y1548" s="288">
        <v>1.6300731869594145</v>
      </c>
      <c r="Z1548" s="288">
        <v>-6.5202927478376582E-2</v>
      </c>
      <c r="AA1548" s="288">
        <v>1.443779108449767E-3</v>
      </c>
      <c r="AB1548" s="288">
        <v>0</v>
      </c>
      <c r="AC1548" s="289">
        <v>1.6315169660678643</v>
      </c>
      <c r="AD1548" s="289">
        <v>0</v>
      </c>
    </row>
    <row r="1549" spans="1:30" ht="15" customHeight="1" x14ac:dyDescent="0.25">
      <c r="A1549" s="282" t="s">
        <v>2235</v>
      </c>
      <c r="B1549" s="282" t="s">
        <v>2236</v>
      </c>
      <c r="C1549" s="282" t="s">
        <v>260</v>
      </c>
      <c r="D1549" s="283" t="s">
        <v>2255</v>
      </c>
      <c r="E1549" s="403">
        <v>44820</v>
      </c>
      <c r="F1549" s="403">
        <v>46645</v>
      </c>
      <c r="G1549" s="283" t="s">
        <v>2202</v>
      </c>
      <c r="H1549" s="282" t="s">
        <v>2256</v>
      </c>
      <c r="I1549" s="285"/>
      <c r="J1549" s="282" t="s">
        <v>184</v>
      </c>
      <c r="K1549" s="283" t="s">
        <v>2257</v>
      </c>
      <c r="L1549" s="286" t="s">
        <v>321</v>
      </c>
      <c r="M1549" s="287" t="s">
        <v>159</v>
      </c>
      <c r="N1549" s="287">
        <v>21.471428571428572</v>
      </c>
      <c r="O1549" s="287" t="s">
        <v>159</v>
      </c>
      <c r="P1549" s="287" t="s">
        <v>159</v>
      </c>
      <c r="Q1549" s="288">
        <v>33</v>
      </c>
      <c r="R1549" s="288">
        <v>35</v>
      </c>
      <c r="S1549" s="288">
        <v>-1.4</v>
      </c>
      <c r="T1549" s="288">
        <v>3.1E-2</v>
      </c>
      <c r="U1549" s="288">
        <v>0</v>
      </c>
      <c r="V1549" s="289">
        <v>35.030999999999999</v>
      </c>
      <c r="W1549" s="289">
        <v>0</v>
      </c>
      <c r="X1549" s="288">
        <v>1.5369261477045908</v>
      </c>
      <c r="Y1549" s="288">
        <v>1.6300731869594145</v>
      </c>
      <c r="Z1549" s="288">
        <v>-6.5202927478376582E-2</v>
      </c>
      <c r="AA1549" s="288">
        <v>1.443779108449767E-3</v>
      </c>
      <c r="AB1549" s="288">
        <v>0</v>
      </c>
      <c r="AC1549" s="289">
        <v>1.6315169660678643</v>
      </c>
      <c r="AD1549" s="289">
        <v>0</v>
      </c>
    </row>
    <row r="1550" spans="1:30" ht="15" customHeight="1" x14ac:dyDescent="0.25">
      <c r="A1550" s="282" t="s">
        <v>2235</v>
      </c>
      <c r="B1550" s="282" t="s">
        <v>2236</v>
      </c>
      <c r="C1550" s="282" t="s">
        <v>260</v>
      </c>
      <c r="D1550" s="283" t="s">
        <v>2258</v>
      </c>
      <c r="E1550" s="403">
        <v>44820</v>
      </c>
      <c r="F1550" s="403">
        <v>46645</v>
      </c>
      <c r="G1550" s="283" t="s">
        <v>2202</v>
      </c>
      <c r="H1550" s="282" t="s">
        <v>2256</v>
      </c>
      <c r="I1550" s="285"/>
      <c r="J1550" s="282" t="s">
        <v>184</v>
      </c>
      <c r="K1550" s="283" t="s">
        <v>2257</v>
      </c>
      <c r="L1550" s="286" t="s">
        <v>321</v>
      </c>
      <c r="M1550" s="287" t="s">
        <v>159</v>
      </c>
      <c r="N1550" s="287">
        <v>21.523809523809526</v>
      </c>
      <c r="O1550" s="287" t="s">
        <v>159</v>
      </c>
      <c r="P1550" s="287" t="s">
        <v>159</v>
      </c>
      <c r="Q1550" s="288">
        <v>34</v>
      </c>
      <c r="R1550" s="288">
        <v>35</v>
      </c>
      <c r="S1550" s="288">
        <v>-1.3</v>
      </c>
      <c r="T1550" s="288">
        <v>3.2000000000000001E-2</v>
      </c>
      <c r="U1550" s="288">
        <v>0</v>
      </c>
      <c r="V1550" s="289">
        <v>35.031999999999996</v>
      </c>
      <c r="W1550" s="289">
        <v>0</v>
      </c>
      <c r="X1550" s="288">
        <v>1.5796460176991149</v>
      </c>
      <c r="Y1550" s="288">
        <v>1.6261061946902653</v>
      </c>
      <c r="Z1550" s="288">
        <v>-6.0398230088495569E-2</v>
      </c>
      <c r="AA1550" s="288">
        <v>1.4867256637168141E-3</v>
      </c>
      <c r="AB1550" s="288">
        <v>0</v>
      </c>
      <c r="AC1550" s="289">
        <v>1.6275929203539821</v>
      </c>
      <c r="AD1550" s="289">
        <v>0</v>
      </c>
    </row>
    <row r="1551" spans="1:30" ht="15" customHeight="1" x14ac:dyDescent="0.25">
      <c r="A1551" s="282" t="s">
        <v>2235</v>
      </c>
      <c r="B1551" s="282" t="s">
        <v>2240</v>
      </c>
      <c r="C1551" s="282" t="s">
        <v>260</v>
      </c>
      <c r="D1551" s="283" t="s">
        <v>2259</v>
      </c>
      <c r="E1551" s="403">
        <v>44571</v>
      </c>
      <c r="F1551" s="403">
        <v>46397</v>
      </c>
      <c r="G1551" s="283" t="s">
        <v>237</v>
      </c>
      <c r="H1551" s="282" t="s">
        <v>2260</v>
      </c>
      <c r="I1551" s="285"/>
      <c r="J1551" s="282" t="s">
        <v>184</v>
      </c>
      <c r="K1551" s="283" t="s">
        <v>2261</v>
      </c>
      <c r="L1551" s="286" t="s">
        <v>321</v>
      </c>
      <c r="M1551" s="287" t="s">
        <v>159</v>
      </c>
      <c r="N1551" s="287">
        <v>17.566825775656319</v>
      </c>
      <c r="O1551" s="287" t="s">
        <v>159</v>
      </c>
      <c r="P1551" s="287" t="s">
        <v>159</v>
      </c>
      <c r="Q1551" s="288">
        <v>100</v>
      </c>
      <c r="R1551" s="288">
        <v>99.2</v>
      </c>
      <c r="S1551" s="288">
        <v>0.57099999999999995</v>
      </c>
      <c r="T1551" s="288">
        <v>0.44700000000000001</v>
      </c>
      <c r="U1551" s="288">
        <v>0</v>
      </c>
      <c r="V1551" s="289">
        <v>100.218</v>
      </c>
      <c r="W1551" s="289">
        <v>0</v>
      </c>
      <c r="X1551" s="288">
        <v>5.6925480605937118</v>
      </c>
      <c r="Y1551" s="288">
        <v>5.647007676108962</v>
      </c>
      <c r="Z1551" s="288">
        <v>3.2504449425990088E-2</v>
      </c>
      <c r="AA1551" s="288">
        <v>2.544568983085389E-2</v>
      </c>
      <c r="AB1551" s="288">
        <v>0</v>
      </c>
      <c r="AC1551" s="289">
        <v>5.7049578153658063</v>
      </c>
      <c r="AD1551" s="289">
        <v>0</v>
      </c>
    </row>
    <row r="1552" spans="1:30" ht="15" customHeight="1" x14ac:dyDescent="0.25">
      <c r="A1552" s="282" t="s">
        <v>2235</v>
      </c>
      <c r="B1552" s="282" t="s">
        <v>2240</v>
      </c>
      <c r="C1552" s="282" t="s">
        <v>260</v>
      </c>
      <c r="D1552" s="283" t="s">
        <v>2262</v>
      </c>
      <c r="E1552" s="403">
        <v>44720</v>
      </c>
      <c r="F1552" s="403">
        <v>46546</v>
      </c>
      <c r="G1552" s="283" t="s">
        <v>237</v>
      </c>
      <c r="H1552" s="282" t="s">
        <v>2263</v>
      </c>
      <c r="I1552" s="285"/>
      <c r="J1552" s="282" t="s">
        <v>184</v>
      </c>
      <c r="K1552" s="283" t="s">
        <v>2264</v>
      </c>
      <c r="L1552" s="286" t="s">
        <v>321</v>
      </c>
      <c r="M1552" s="287" t="s">
        <v>159</v>
      </c>
      <c r="N1552" s="287">
        <v>23.55966587112172</v>
      </c>
      <c r="O1552" s="287" t="s">
        <v>159</v>
      </c>
      <c r="P1552" s="287" t="s">
        <v>159</v>
      </c>
      <c r="Q1552" s="288">
        <v>82.6</v>
      </c>
      <c r="R1552" s="288">
        <v>81.400000000000006</v>
      </c>
      <c r="S1552" s="288">
        <v>0.42799999999999999</v>
      </c>
      <c r="T1552" s="288">
        <v>0.83299999999999996</v>
      </c>
      <c r="U1552" s="288">
        <v>0</v>
      </c>
      <c r="V1552" s="289">
        <v>82.661000000000001</v>
      </c>
      <c r="W1552" s="289">
        <v>0</v>
      </c>
      <c r="X1552" s="288">
        <v>3.5059919971635511</v>
      </c>
      <c r="Y1552" s="288">
        <v>3.455057488730183</v>
      </c>
      <c r="Z1552" s="288">
        <v>1.8166641341234867E-2</v>
      </c>
      <c r="AA1552" s="288">
        <v>3.5357037937496831E-2</v>
      </c>
      <c r="AB1552" s="288">
        <v>0</v>
      </c>
      <c r="AC1552" s="289">
        <v>3.5085811680089147</v>
      </c>
      <c r="AD1552" s="289">
        <v>0</v>
      </c>
    </row>
    <row r="1553" spans="1:30" ht="15" customHeight="1" x14ac:dyDescent="0.25">
      <c r="A1553" s="282" t="s">
        <v>2235</v>
      </c>
      <c r="B1553" s="282" t="s">
        <v>2240</v>
      </c>
      <c r="C1553" s="282" t="s">
        <v>260</v>
      </c>
      <c r="D1553" s="283" t="s">
        <v>2265</v>
      </c>
      <c r="E1553" s="403">
        <v>44571</v>
      </c>
      <c r="F1553" s="403">
        <v>46397</v>
      </c>
      <c r="G1553" s="283" t="s">
        <v>237</v>
      </c>
      <c r="H1553" s="282" t="s">
        <v>2260</v>
      </c>
      <c r="I1553" s="285"/>
      <c r="J1553" s="282" t="s">
        <v>184</v>
      </c>
      <c r="K1553" s="283" t="s">
        <v>2261</v>
      </c>
      <c r="L1553" s="286" t="s">
        <v>321</v>
      </c>
      <c r="M1553" s="287" t="s">
        <v>159</v>
      </c>
      <c r="N1553" s="287">
        <v>50.616945107398564</v>
      </c>
      <c r="O1553" s="287" t="s">
        <v>159</v>
      </c>
      <c r="P1553" s="287" t="s">
        <v>159</v>
      </c>
      <c r="Q1553" s="288">
        <v>122</v>
      </c>
      <c r="R1553" s="288">
        <v>121</v>
      </c>
      <c r="S1553" s="288">
        <v>0.66500000000000004</v>
      </c>
      <c r="T1553" s="288">
        <v>0.33900000000000002</v>
      </c>
      <c r="U1553" s="288">
        <v>0</v>
      </c>
      <c r="V1553" s="289">
        <v>122.004</v>
      </c>
      <c r="W1553" s="289">
        <v>0</v>
      </c>
      <c r="X1553" s="288">
        <v>2.4102600372492162</v>
      </c>
      <c r="Y1553" s="288">
        <v>2.3905038074356981</v>
      </c>
      <c r="Z1553" s="288">
        <v>1.3137892825989581E-2</v>
      </c>
      <c r="AA1553" s="288">
        <v>6.6973619067826591E-3</v>
      </c>
      <c r="AB1553" s="288">
        <v>0</v>
      </c>
      <c r="AC1553" s="289">
        <v>2.4103390621684704</v>
      </c>
      <c r="AD1553" s="289">
        <v>0</v>
      </c>
    </row>
    <row r="1554" spans="1:30" ht="15" customHeight="1" x14ac:dyDescent="0.25">
      <c r="A1554" s="282" t="s">
        <v>2235</v>
      </c>
      <c r="B1554" s="282" t="s">
        <v>2236</v>
      </c>
      <c r="C1554" s="282" t="s">
        <v>260</v>
      </c>
      <c r="D1554" s="283" t="s">
        <v>2266</v>
      </c>
      <c r="E1554" s="403">
        <v>44179</v>
      </c>
      <c r="F1554" s="403">
        <v>46004</v>
      </c>
      <c r="G1554" s="283" t="s">
        <v>2267</v>
      </c>
      <c r="H1554" s="282" t="s">
        <v>2268</v>
      </c>
      <c r="I1554" s="285"/>
      <c r="J1554" s="282" t="s">
        <v>184</v>
      </c>
      <c r="K1554" s="283" t="s">
        <v>2269</v>
      </c>
      <c r="L1554" s="286" t="s">
        <v>321</v>
      </c>
      <c r="M1554" s="287" t="s">
        <v>159</v>
      </c>
      <c r="N1554" s="287">
        <v>13</v>
      </c>
      <c r="O1554" s="287" t="s">
        <v>159</v>
      </c>
      <c r="P1554" s="287" t="s">
        <v>159</v>
      </c>
      <c r="Q1554" s="288">
        <v>31.46</v>
      </c>
      <c r="R1554" s="288"/>
      <c r="S1554" s="288"/>
      <c r="T1554" s="288"/>
      <c r="U1554" s="288">
        <v>0</v>
      </c>
      <c r="V1554" s="289">
        <v>31.46</v>
      </c>
      <c r="W1554" s="289">
        <v>0</v>
      </c>
      <c r="X1554" s="288">
        <v>2.42</v>
      </c>
      <c r="Y1554" s="288">
        <v>0</v>
      </c>
      <c r="Z1554" s="288">
        <v>0</v>
      </c>
      <c r="AA1554" s="288">
        <v>0</v>
      </c>
      <c r="AB1554" s="288">
        <v>0</v>
      </c>
      <c r="AC1554" s="289">
        <v>2.42</v>
      </c>
      <c r="AD1554" s="289">
        <v>0</v>
      </c>
    </row>
    <row r="1555" spans="1:30" ht="15" customHeight="1" x14ac:dyDescent="0.25">
      <c r="A1555" s="282" t="s">
        <v>2235</v>
      </c>
      <c r="B1555" s="282" t="s">
        <v>2236</v>
      </c>
      <c r="C1555" s="282" t="s">
        <v>260</v>
      </c>
      <c r="D1555" s="283" t="s">
        <v>2270</v>
      </c>
      <c r="E1555" s="403">
        <v>44179</v>
      </c>
      <c r="F1555" s="403">
        <v>46004</v>
      </c>
      <c r="G1555" s="283" t="s">
        <v>2267</v>
      </c>
      <c r="H1555" s="282" t="s">
        <v>2268</v>
      </c>
      <c r="I1555" s="285"/>
      <c r="J1555" s="282" t="s">
        <v>184</v>
      </c>
      <c r="K1555" s="283" t="s">
        <v>2269</v>
      </c>
      <c r="L1555" s="286" t="s">
        <v>321</v>
      </c>
      <c r="M1555" s="287" t="s">
        <v>159</v>
      </c>
      <c r="N1555" s="287">
        <v>22</v>
      </c>
      <c r="O1555" s="287" t="s">
        <v>159</v>
      </c>
      <c r="P1555" s="287" t="s">
        <v>159</v>
      </c>
      <c r="Q1555" s="288">
        <v>89.1</v>
      </c>
      <c r="R1555" s="288"/>
      <c r="S1555" s="288"/>
      <c r="T1555" s="288"/>
      <c r="U1555" s="288">
        <v>0</v>
      </c>
      <c r="V1555" s="289">
        <v>89.1</v>
      </c>
      <c r="W1555" s="289">
        <v>0</v>
      </c>
      <c r="X1555" s="288">
        <v>4.05</v>
      </c>
      <c r="Y1555" s="288">
        <v>0</v>
      </c>
      <c r="Z1555" s="288">
        <v>0</v>
      </c>
      <c r="AA1555" s="288">
        <v>0</v>
      </c>
      <c r="AB1555" s="288">
        <v>0</v>
      </c>
      <c r="AC1555" s="289">
        <v>4.05</v>
      </c>
      <c r="AD1555" s="289">
        <v>0</v>
      </c>
    </row>
    <row r="1556" spans="1:30" ht="15" customHeight="1" x14ac:dyDescent="0.25">
      <c r="A1556" s="282" t="s">
        <v>2235</v>
      </c>
      <c r="B1556" s="282" t="s">
        <v>2271</v>
      </c>
      <c r="C1556" s="282" t="s">
        <v>260</v>
      </c>
      <c r="D1556" s="283" t="s">
        <v>2272</v>
      </c>
      <c r="E1556" s="403">
        <v>44179</v>
      </c>
      <c r="F1556" s="403">
        <v>46004</v>
      </c>
      <c r="G1556" s="283" t="s">
        <v>2267</v>
      </c>
      <c r="H1556" s="282" t="s">
        <v>2268</v>
      </c>
      <c r="I1556" s="285"/>
      <c r="J1556" s="282" t="s">
        <v>184</v>
      </c>
      <c r="K1556" s="283" t="s">
        <v>2269</v>
      </c>
      <c r="L1556" s="286" t="s">
        <v>321</v>
      </c>
      <c r="M1556" s="287" t="s">
        <v>159</v>
      </c>
      <c r="N1556" s="287">
        <v>13</v>
      </c>
      <c r="O1556" s="287" t="s">
        <v>159</v>
      </c>
      <c r="P1556" s="287" t="s">
        <v>159</v>
      </c>
      <c r="Q1556" s="288">
        <v>97.37</v>
      </c>
      <c r="R1556" s="288"/>
      <c r="S1556" s="288"/>
      <c r="T1556" s="288"/>
      <c r="U1556" s="288">
        <v>0</v>
      </c>
      <c r="V1556" s="289">
        <v>97.37</v>
      </c>
      <c r="W1556" s="289">
        <v>0</v>
      </c>
      <c r="X1556" s="288">
        <v>7.49</v>
      </c>
      <c r="Y1556" s="288">
        <v>0</v>
      </c>
      <c r="Z1556" s="288">
        <v>0</v>
      </c>
      <c r="AA1556" s="288">
        <v>0</v>
      </c>
      <c r="AB1556" s="288">
        <v>0</v>
      </c>
      <c r="AC1556" s="289">
        <v>7.49</v>
      </c>
      <c r="AD1556" s="289">
        <v>0</v>
      </c>
    </row>
    <row r="1557" spans="1:30" ht="15" customHeight="1" x14ac:dyDescent="0.25">
      <c r="A1557" s="282" t="s">
        <v>2235</v>
      </c>
      <c r="B1557" s="282" t="s">
        <v>2236</v>
      </c>
      <c r="C1557" s="282" t="s">
        <v>260</v>
      </c>
      <c r="D1557" s="283" t="s">
        <v>2273</v>
      </c>
      <c r="E1557" s="403">
        <v>43480</v>
      </c>
      <c r="F1557" s="403">
        <v>45305</v>
      </c>
      <c r="G1557" s="283" t="s">
        <v>2202</v>
      </c>
      <c r="H1557" s="282" t="s">
        <v>2274</v>
      </c>
      <c r="I1557" s="285"/>
      <c r="J1557" s="282" t="s">
        <v>184</v>
      </c>
      <c r="K1557" s="283" t="s">
        <v>2275</v>
      </c>
      <c r="L1557" s="286" t="s">
        <v>321</v>
      </c>
      <c r="M1557" s="287" t="s">
        <v>159</v>
      </c>
      <c r="N1557" s="287">
        <v>31.927710843373497</v>
      </c>
      <c r="O1557" s="287" t="s">
        <v>159</v>
      </c>
      <c r="P1557" s="287">
        <v>53</v>
      </c>
      <c r="Q1557" s="288">
        <v>29.518072289156628</v>
      </c>
      <c r="R1557" s="288"/>
      <c r="S1557" s="288"/>
      <c r="T1557" s="288"/>
      <c r="U1557" s="288">
        <v>0</v>
      </c>
      <c r="V1557" s="289">
        <v>29.518072289156628</v>
      </c>
      <c r="W1557" s="289">
        <v>0</v>
      </c>
      <c r="X1557" s="288">
        <v>0.92452830188679236</v>
      </c>
      <c r="Y1557" s="288">
        <v>0</v>
      </c>
      <c r="Z1557" s="288">
        <v>0</v>
      </c>
      <c r="AA1557" s="288">
        <v>0</v>
      </c>
      <c r="AB1557" s="288">
        <v>0</v>
      </c>
      <c r="AC1557" s="289">
        <v>0.92452830188679236</v>
      </c>
      <c r="AD1557" s="289">
        <v>0</v>
      </c>
    </row>
    <row r="1558" spans="1:30" ht="15" customHeight="1" x14ac:dyDescent="0.25">
      <c r="A1558" s="282" t="s">
        <v>2235</v>
      </c>
      <c r="B1558" s="282" t="s">
        <v>2236</v>
      </c>
      <c r="C1558" s="282" t="s">
        <v>260</v>
      </c>
      <c r="D1558" s="283" t="s">
        <v>2276</v>
      </c>
      <c r="E1558" s="403">
        <v>43480</v>
      </c>
      <c r="F1558" s="403">
        <v>45305</v>
      </c>
      <c r="G1558" s="283" t="s">
        <v>2202</v>
      </c>
      <c r="H1558" s="282" t="s">
        <v>2274</v>
      </c>
      <c r="I1558" s="285"/>
      <c r="J1558" s="282" t="s">
        <v>184</v>
      </c>
      <c r="K1558" s="283" t="s">
        <v>2275</v>
      </c>
      <c r="L1558" s="286" t="s">
        <v>321</v>
      </c>
      <c r="M1558" s="287" t="s">
        <v>159</v>
      </c>
      <c r="N1558" s="287">
        <v>43.975903614457835</v>
      </c>
      <c r="O1558" s="287" t="s">
        <v>159</v>
      </c>
      <c r="P1558" s="287">
        <v>73</v>
      </c>
      <c r="Q1558" s="288">
        <v>52.409638554216869</v>
      </c>
      <c r="R1558" s="288"/>
      <c r="S1558" s="288"/>
      <c r="T1558" s="288"/>
      <c r="U1558" s="288">
        <v>0</v>
      </c>
      <c r="V1558" s="289">
        <v>52.409638554216869</v>
      </c>
      <c r="W1558" s="289">
        <v>0</v>
      </c>
      <c r="X1558" s="288">
        <v>1.1917808219178081</v>
      </c>
      <c r="Y1558" s="288">
        <v>0</v>
      </c>
      <c r="Z1558" s="288">
        <v>0</v>
      </c>
      <c r="AA1558" s="288">
        <v>0</v>
      </c>
      <c r="AB1558" s="288">
        <v>0</v>
      </c>
      <c r="AC1558" s="289">
        <v>1.1917808219178081</v>
      </c>
      <c r="AD1558" s="289">
        <v>0</v>
      </c>
    </row>
    <row r="1559" spans="1:30" ht="15" customHeight="1" x14ac:dyDescent="0.25">
      <c r="A1559" s="282" t="s">
        <v>2235</v>
      </c>
      <c r="B1559" s="282" t="s">
        <v>2236</v>
      </c>
      <c r="C1559" s="282" t="s">
        <v>260</v>
      </c>
      <c r="D1559" s="283" t="s">
        <v>2277</v>
      </c>
      <c r="E1559" s="403">
        <v>43480</v>
      </c>
      <c r="F1559" s="403">
        <v>45305</v>
      </c>
      <c r="G1559" s="283" t="s">
        <v>2202</v>
      </c>
      <c r="H1559" s="282" t="s">
        <v>2274</v>
      </c>
      <c r="I1559" s="285"/>
      <c r="J1559" s="282" t="s">
        <v>184</v>
      </c>
      <c r="K1559" s="283" t="s">
        <v>2275</v>
      </c>
      <c r="L1559" s="286" t="s">
        <v>321</v>
      </c>
      <c r="M1559" s="287" t="s">
        <v>159</v>
      </c>
      <c r="N1559" s="287">
        <v>37.349397590361448</v>
      </c>
      <c r="O1559" s="287" t="s">
        <v>159</v>
      </c>
      <c r="P1559" s="287">
        <v>62</v>
      </c>
      <c r="Q1559" s="288">
        <v>52.409638554216869</v>
      </c>
      <c r="R1559" s="288"/>
      <c r="S1559" s="288"/>
      <c r="T1559" s="288"/>
      <c r="U1559" s="288">
        <v>0</v>
      </c>
      <c r="V1559" s="289">
        <v>52.409638554216869</v>
      </c>
      <c r="W1559" s="289">
        <v>0</v>
      </c>
      <c r="X1559" s="288">
        <v>1.4032258064516128</v>
      </c>
      <c r="Y1559" s="288">
        <v>0</v>
      </c>
      <c r="Z1559" s="288">
        <v>0</v>
      </c>
      <c r="AA1559" s="288">
        <v>0</v>
      </c>
      <c r="AB1559" s="288">
        <v>0</v>
      </c>
      <c r="AC1559" s="289">
        <v>1.4032258064516128</v>
      </c>
      <c r="AD1559" s="289">
        <v>0</v>
      </c>
    </row>
    <row r="1560" spans="1:30" ht="15" customHeight="1" x14ac:dyDescent="0.25">
      <c r="A1560" s="282" t="s">
        <v>2235</v>
      </c>
      <c r="B1560" s="282" t="s">
        <v>2236</v>
      </c>
      <c r="C1560" s="282" t="s">
        <v>260</v>
      </c>
      <c r="D1560" s="283" t="s">
        <v>2278</v>
      </c>
      <c r="E1560" s="403">
        <v>43480</v>
      </c>
      <c r="F1560" s="403">
        <v>45305</v>
      </c>
      <c r="G1560" s="283" t="s">
        <v>2202</v>
      </c>
      <c r="H1560" s="282" t="s">
        <v>2274</v>
      </c>
      <c r="I1560" s="285"/>
      <c r="J1560" s="282" t="s">
        <v>184</v>
      </c>
      <c r="K1560" s="283" t="s">
        <v>2275</v>
      </c>
      <c r="L1560" s="286" t="s">
        <v>321</v>
      </c>
      <c r="M1560" s="287" t="s">
        <v>159</v>
      </c>
      <c r="N1560" s="287">
        <v>49.397590361445786</v>
      </c>
      <c r="O1560" s="287" t="s">
        <v>159</v>
      </c>
      <c r="P1560" s="287">
        <v>82</v>
      </c>
      <c r="Q1560" s="288">
        <v>77.108433734939766</v>
      </c>
      <c r="R1560" s="288"/>
      <c r="S1560" s="288"/>
      <c r="T1560" s="288"/>
      <c r="U1560" s="288">
        <v>0</v>
      </c>
      <c r="V1560" s="289">
        <v>77.108433734939766</v>
      </c>
      <c r="W1560" s="289">
        <v>0</v>
      </c>
      <c r="X1560" s="288">
        <v>1.5609756097560976</v>
      </c>
      <c r="Y1560" s="288">
        <v>0</v>
      </c>
      <c r="Z1560" s="288">
        <v>0</v>
      </c>
      <c r="AA1560" s="288">
        <v>0</v>
      </c>
      <c r="AB1560" s="288">
        <v>0</v>
      </c>
      <c r="AC1560" s="289">
        <v>1.5609756097560976</v>
      </c>
      <c r="AD1560" s="289">
        <v>0</v>
      </c>
    </row>
    <row r="1561" spans="1:30" ht="15" customHeight="1" x14ac:dyDescent="0.25">
      <c r="A1561" s="282" t="s">
        <v>2235</v>
      </c>
      <c r="B1561" s="282" t="s">
        <v>2279</v>
      </c>
      <c r="C1561" s="282" t="s">
        <v>260</v>
      </c>
      <c r="D1561" s="283" t="s">
        <v>2280</v>
      </c>
      <c r="E1561" s="403">
        <v>43480</v>
      </c>
      <c r="F1561" s="403">
        <v>45305</v>
      </c>
      <c r="G1561" s="283" t="s">
        <v>2202</v>
      </c>
      <c r="H1561" s="282" t="s">
        <v>2281</v>
      </c>
      <c r="I1561" s="285"/>
      <c r="J1561" s="282" t="s">
        <v>184</v>
      </c>
      <c r="K1561" s="283" t="s">
        <v>2282</v>
      </c>
      <c r="L1561" s="286" t="s">
        <v>2283</v>
      </c>
      <c r="M1561" s="287" t="s">
        <v>159</v>
      </c>
      <c r="N1561" s="287" t="s">
        <v>159</v>
      </c>
      <c r="O1561" s="287" t="s">
        <v>159</v>
      </c>
      <c r="P1561" s="287">
        <v>98</v>
      </c>
      <c r="Q1561" s="288">
        <v>253</v>
      </c>
      <c r="R1561" s="288"/>
      <c r="S1561" s="288"/>
      <c r="T1561" s="288"/>
      <c r="U1561" s="288">
        <v>0</v>
      </c>
      <c r="V1561" s="289">
        <v>253</v>
      </c>
      <c r="W1561" s="289">
        <v>0</v>
      </c>
      <c r="X1561" s="288">
        <v>2.5816326530612246</v>
      </c>
      <c r="Y1561" s="288">
        <v>0</v>
      </c>
      <c r="Z1561" s="288">
        <v>0</v>
      </c>
      <c r="AA1561" s="288">
        <v>0</v>
      </c>
      <c r="AB1561" s="288">
        <v>0</v>
      </c>
      <c r="AC1561" s="289">
        <v>2.5816326530612246</v>
      </c>
      <c r="AD1561" s="289">
        <v>0</v>
      </c>
    </row>
    <row r="1562" spans="1:30" ht="15" customHeight="1" x14ac:dyDescent="0.25">
      <c r="A1562" s="282" t="s">
        <v>2235</v>
      </c>
      <c r="B1562" s="282" t="s">
        <v>2279</v>
      </c>
      <c r="C1562" s="282" t="s">
        <v>260</v>
      </c>
      <c r="D1562" s="283" t="s">
        <v>2284</v>
      </c>
      <c r="E1562" s="403">
        <v>43480</v>
      </c>
      <c r="F1562" s="403">
        <v>45305</v>
      </c>
      <c r="G1562" s="283" t="s">
        <v>2202</v>
      </c>
      <c r="H1562" s="282" t="s">
        <v>2281</v>
      </c>
      <c r="I1562" s="285"/>
      <c r="J1562" s="282" t="s">
        <v>184</v>
      </c>
      <c r="K1562" s="283" t="s">
        <v>2282</v>
      </c>
      <c r="L1562" s="286" t="s">
        <v>2283</v>
      </c>
      <c r="M1562" s="287" t="s">
        <v>159</v>
      </c>
      <c r="N1562" s="287" t="s">
        <v>159</v>
      </c>
      <c r="O1562" s="287" t="s">
        <v>159</v>
      </c>
      <c r="P1562" s="287">
        <v>69</v>
      </c>
      <c r="Q1562" s="288">
        <v>315</v>
      </c>
      <c r="R1562" s="288"/>
      <c r="S1562" s="288"/>
      <c r="T1562" s="288"/>
      <c r="U1562" s="288">
        <v>0</v>
      </c>
      <c r="V1562" s="289">
        <v>315</v>
      </c>
      <c r="W1562" s="289">
        <v>0</v>
      </c>
      <c r="X1562" s="288">
        <v>4.5652173913043477</v>
      </c>
      <c r="Y1562" s="288">
        <v>0</v>
      </c>
      <c r="Z1562" s="288">
        <v>0</v>
      </c>
      <c r="AA1562" s="288">
        <v>0</v>
      </c>
      <c r="AB1562" s="288">
        <v>0</v>
      </c>
      <c r="AC1562" s="289">
        <v>4.5652173913043477</v>
      </c>
      <c r="AD1562" s="289">
        <v>0</v>
      </c>
    </row>
    <row r="1563" spans="1:30" ht="15" customHeight="1" x14ac:dyDescent="0.25">
      <c r="A1563" s="282" t="s">
        <v>2235</v>
      </c>
      <c r="B1563" s="282" t="s">
        <v>2279</v>
      </c>
      <c r="C1563" s="282" t="s">
        <v>260</v>
      </c>
      <c r="D1563" s="283" t="s">
        <v>2285</v>
      </c>
      <c r="E1563" s="403">
        <v>43480</v>
      </c>
      <c r="F1563" s="403">
        <v>45305</v>
      </c>
      <c r="G1563" s="283" t="s">
        <v>2202</v>
      </c>
      <c r="H1563" s="282" t="s">
        <v>2281</v>
      </c>
      <c r="I1563" s="285"/>
      <c r="J1563" s="282" t="s">
        <v>184</v>
      </c>
      <c r="K1563" s="283" t="s">
        <v>2282</v>
      </c>
      <c r="L1563" s="286" t="s">
        <v>2283</v>
      </c>
      <c r="M1563" s="287" t="s">
        <v>159</v>
      </c>
      <c r="N1563" s="287" t="s">
        <v>159</v>
      </c>
      <c r="O1563" s="287" t="s">
        <v>159</v>
      </c>
      <c r="P1563" s="287">
        <v>105</v>
      </c>
      <c r="Q1563" s="288">
        <v>258</v>
      </c>
      <c r="R1563" s="288"/>
      <c r="S1563" s="288"/>
      <c r="T1563" s="288"/>
      <c r="U1563" s="288">
        <v>0</v>
      </c>
      <c r="V1563" s="289">
        <v>258</v>
      </c>
      <c r="W1563" s="289">
        <v>0</v>
      </c>
      <c r="X1563" s="288">
        <v>2.4571428571428573</v>
      </c>
      <c r="Y1563" s="288">
        <v>0</v>
      </c>
      <c r="Z1563" s="288">
        <v>0</v>
      </c>
      <c r="AA1563" s="288">
        <v>0</v>
      </c>
      <c r="AB1563" s="288">
        <v>0</v>
      </c>
      <c r="AC1563" s="289">
        <v>2.4571428571428573</v>
      </c>
      <c r="AD1563" s="289">
        <v>0</v>
      </c>
    </row>
    <row r="1564" spans="1:30" ht="15" customHeight="1" x14ac:dyDescent="0.25">
      <c r="A1564" s="282" t="s">
        <v>2235</v>
      </c>
      <c r="B1564" s="282" t="s">
        <v>2286</v>
      </c>
      <c r="C1564" s="282" t="s">
        <v>2287</v>
      </c>
      <c r="D1564" s="283" t="s">
        <v>2288</v>
      </c>
      <c r="E1564" s="403">
        <v>45349</v>
      </c>
      <c r="F1564" s="403">
        <v>47175</v>
      </c>
      <c r="G1564" s="283" t="s">
        <v>193</v>
      </c>
      <c r="H1564" s="282" t="s">
        <v>2289</v>
      </c>
      <c r="I1564" s="285"/>
      <c r="J1564" s="282" t="s">
        <v>2290</v>
      </c>
      <c r="K1564" s="283" t="s">
        <v>2291</v>
      </c>
      <c r="L1564" s="286" t="s">
        <v>321</v>
      </c>
      <c r="M1564" s="287" t="s">
        <v>159</v>
      </c>
      <c r="N1564" s="287">
        <v>23.294</v>
      </c>
      <c r="O1564" s="287" t="s">
        <v>159</v>
      </c>
      <c r="P1564" s="287" t="s">
        <v>159</v>
      </c>
      <c r="Q1564" s="288">
        <v>110</v>
      </c>
      <c r="R1564" s="288"/>
      <c r="S1564" s="288"/>
      <c r="T1564" s="288"/>
      <c r="U1564" s="288">
        <v>0</v>
      </c>
      <c r="V1564" s="289">
        <v>110</v>
      </c>
      <c r="W1564" s="289">
        <v>0</v>
      </c>
      <c r="X1564" s="288">
        <v>4.7222460719498578</v>
      </c>
      <c r="Y1564" s="288">
        <v>0</v>
      </c>
      <c r="Z1564" s="288">
        <v>0</v>
      </c>
      <c r="AA1564" s="288">
        <v>0</v>
      </c>
      <c r="AB1564" s="288">
        <v>0</v>
      </c>
      <c r="AC1564" s="289">
        <v>4.7222460719498578</v>
      </c>
      <c r="AD1564" s="289">
        <v>0</v>
      </c>
    </row>
    <row r="1565" spans="1:30" ht="15" customHeight="1" x14ac:dyDescent="0.25">
      <c r="A1565" s="282" t="s">
        <v>2235</v>
      </c>
      <c r="B1565" s="282" t="s">
        <v>2286</v>
      </c>
      <c r="C1565" s="282" t="s">
        <v>2287</v>
      </c>
      <c r="D1565" s="283" t="s">
        <v>2292</v>
      </c>
      <c r="E1565" s="403">
        <v>45349</v>
      </c>
      <c r="F1565" s="403">
        <v>47175</v>
      </c>
      <c r="G1565" s="283" t="s">
        <v>193</v>
      </c>
      <c r="H1565" s="282" t="s">
        <v>2293</v>
      </c>
      <c r="I1565" s="285"/>
      <c r="J1565" s="282" t="s">
        <v>2290</v>
      </c>
      <c r="K1565" s="283" t="s">
        <v>2294</v>
      </c>
      <c r="L1565" s="286" t="s">
        <v>321</v>
      </c>
      <c r="M1565" s="287" t="s">
        <v>159</v>
      </c>
      <c r="N1565" s="287">
        <v>29.693999999999999</v>
      </c>
      <c r="O1565" s="287" t="s">
        <v>159</v>
      </c>
      <c r="P1565" s="287" t="s">
        <v>159</v>
      </c>
      <c r="Q1565" s="288">
        <v>96.7</v>
      </c>
      <c r="R1565" s="288"/>
      <c r="S1565" s="288"/>
      <c r="T1565" s="288"/>
      <c r="U1565" s="288">
        <v>0</v>
      </c>
      <c r="V1565" s="289">
        <v>96.7</v>
      </c>
      <c r="W1565" s="289">
        <v>0</v>
      </c>
      <c r="X1565" s="288">
        <v>3.2565501448103995</v>
      </c>
      <c r="Y1565" s="288">
        <v>0</v>
      </c>
      <c r="Z1565" s="288">
        <v>0</v>
      </c>
      <c r="AA1565" s="288">
        <v>0</v>
      </c>
      <c r="AB1565" s="288">
        <v>0</v>
      </c>
      <c r="AC1565" s="289">
        <v>3.2565501448103995</v>
      </c>
      <c r="AD1565" s="289">
        <v>0</v>
      </c>
    </row>
    <row r="1566" spans="1:30" ht="15" customHeight="1" x14ac:dyDescent="0.25">
      <c r="A1566" s="282" t="s">
        <v>2235</v>
      </c>
      <c r="B1566" s="282" t="s">
        <v>2240</v>
      </c>
      <c r="C1566" s="282" t="s">
        <v>260</v>
      </c>
      <c r="D1566" s="283" t="s">
        <v>2295</v>
      </c>
      <c r="E1566" s="403">
        <v>44571</v>
      </c>
      <c r="F1566" s="403">
        <v>46397</v>
      </c>
      <c r="G1566" s="283" t="s">
        <v>237</v>
      </c>
      <c r="H1566" s="282" t="s">
        <v>2260</v>
      </c>
      <c r="I1566" s="285"/>
      <c r="J1566" s="282" t="s">
        <v>184</v>
      </c>
      <c r="K1566" s="283" t="s">
        <v>2261</v>
      </c>
      <c r="L1566" s="286" t="s">
        <v>321</v>
      </c>
      <c r="M1566" s="287" t="s">
        <v>159</v>
      </c>
      <c r="N1566" s="287">
        <v>39.935560859188534</v>
      </c>
      <c r="O1566" s="287" t="s">
        <v>159</v>
      </c>
      <c r="P1566" s="287" t="s">
        <v>159</v>
      </c>
      <c r="Q1566" s="288">
        <v>104</v>
      </c>
      <c r="R1566" s="288">
        <v>103</v>
      </c>
      <c r="S1566" s="288">
        <v>0.627</v>
      </c>
      <c r="T1566" s="288">
        <v>0.32500000000000001</v>
      </c>
      <c r="U1566" s="288">
        <v>0</v>
      </c>
      <c r="V1566" s="289">
        <v>103.952</v>
      </c>
      <c r="W1566" s="289">
        <v>0</v>
      </c>
      <c r="X1566" s="288">
        <v>2.6041953026952736</v>
      </c>
      <c r="Y1566" s="288">
        <v>2.5791549632462805</v>
      </c>
      <c r="Z1566" s="288">
        <v>1.5700292834518619E-2</v>
      </c>
      <c r="AA1566" s="288">
        <v>8.1381103209227298E-3</v>
      </c>
      <c r="AB1566" s="288">
        <v>0</v>
      </c>
      <c r="AC1566" s="289">
        <v>2.602993366401722</v>
      </c>
      <c r="AD1566" s="289">
        <v>0</v>
      </c>
    </row>
    <row r="1567" spans="1:30" ht="15" customHeight="1" x14ac:dyDescent="0.25">
      <c r="A1567" s="282" t="s">
        <v>2235</v>
      </c>
      <c r="B1567" s="282" t="s">
        <v>2240</v>
      </c>
      <c r="C1567" s="282" t="s">
        <v>260</v>
      </c>
      <c r="D1567" s="283" t="s">
        <v>2296</v>
      </c>
      <c r="E1567" s="403">
        <v>44690</v>
      </c>
      <c r="F1567" s="403">
        <v>46515</v>
      </c>
      <c r="G1567" s="283" t="s">
        <v>2245</v>
      </c>
      <c r="H1567" s="282" t="s">
        <v>2297</v>
      </c>
      <c r="I1567" s="285"/>
      <c r="J1567" s="282" t="s">
        <v>184</v>
      </c>
      <c r="K1567" s="283" t="s">
        <v>2298</v>
      </c>
      <c r="L1567" s="286" t="s">
        <v>321</v>
      </c>
      <c r="M1567" s="287" t="s">
        <v>159</v>
      </c>
      <c r="N1567" s="287">
        <v>67.5</v>
      </c>
      <c r="O1567" s="287" t="s">
        <v>159</v>
      </c>
      <c r="P1567" s="287" t="s">
        <v>159</v>
      </c>
      <c r="Q1567" s="288">
        <v>126</v>
      </c>
      <c r="R1567" s="288">
        <v>125</v>
      </c>
      <c r="S1567" s="288">
        <v>0.36</v>
      </c>
      <c r="T1567" s="288">
        <v>0.38500000000000001</v>
      </c>
      <c r="U1567" s="288">
        <v>0</v>
      </c>
      <c r="V1567" s="289">
        <v>125.745</v>
      </c>
      <c r="W1567" s="289">
        <v>0</v>
      </c>
      <c r="X1567" s="288">
        <v>1.8666666666666667</v>
      </c>
      <c r="Y1567" s="288">
        <v>1.8518518518518519</v>
      </c>
      <c r="Z1567" s="288">
        <v>5.3333333333333332E-3</v>
      </c>
      <c r="AA1567" s="288">
        <v>5.7037037037037039E-3</v>
      </c>
      <c r="AB1567" s="288">
        <v>0</v>
      </c>
      <c r="AC1567" s="289">
        <v>1.862888888888889</v>
      </c>
      <c r="AD1567" s="289">
        <v>0</v>
      </c>
    </row>
    <row r="1568" spans="1:30" ht="15" customHeight="1" x14ac:dyDescent="0.25">
      <c r="A1568" s="282" t="s">
        <v>2235</v>
      </c>
      <c r="B1568" s="282" t="s">
        <v>2240</v>
      </c>
      <c r="C1568" s="282" t="s">
        <v>260</v>
      </c>
      <c r="D1568" s="283" t="s">
        <v>2299</v>
      </c>
      <c r="E1568" s="403">
        <v>44571</v>
      </c>
      <c r="F1568" s="403">
        <v>46397</v>
      </c>
      <c r="G1568" s="283" t="s">
        <v>237</v>
      </c>
      <c r="H1568" s="282" t="s">
        <v>2260</v>
      </c>
      <c r="I1568" s="285"/>
      <c r="J1568" s="282" t="s">
        <v>184</v>
      </c>
      <c r="K1568" s="283" t="s">
        <v>2261</v>
      </c>
      <c r="L1568" s="286" t="s">
        <v>321</v>
      </c>
      <c r="M1568" s="287" t="s">
        <v>159</v>
      </c>
      <c r="N1568" s="287">
        <v>55.897374701670635</v>
      </c>
      <c r="O1568" s="287" t="s">
        <v>159</v>
      </c>
      <c r="P1568" s="287" t="s">
        <v>159</v>
      </c>
      <c r="Q1568" s="288">
        <v>147</v>
      </c>
      <c r="R1568" s="288">
        <v>145</v>
      </c>
      <c r="S1568" s="288">
        <v>0.95899999999999996</v>
      </c>
      <c r="T1568" s="288">
        <v>0.52200000000000002</v>
      </c>
      <c r="U1568" s="288">
        <v>0</v>
      </c>
      <c r="V1568" s="289">
        <v>146.48099999999999</v>
      </c>
      <c r="W1568" s="289">
        <v>0</v>
      </c>
      <c r="X1568" s="288">
        <v>2.6298193928525686</v>
      </c>
      <c r="Y1568" s="288">
        <v>2.5940395371674998</v>
      </c>
      <c r="Z1568" s="288">
        <v>1.7156440800990568E-2</v>
      </c>
      <c r="AA1568" s="288">
        <v>9.3385423338029992E-3</v>
      </c>
      <c r="AB1568" s="288">
        <v>0</v>
      </c>
      <c r="AC1568" s="289">
        <v>2.6205345203022934</v>
      </c>
      <c r="AD1568" s="289">
        <v>0</v>
      </c>
    </row>
    <row r="1569" spans="1:30" ht="15" customHeight="1" x14ac:dyDescent="0.25">
      <c r="A1569" s="282" t="s">
        <v>2235</v>
      </c>
      <c r="B1569" s="282"/>
      <c r="C1569" s="282" t="s">
        <v>260</v>
      </c>
      <c r="D1569" s="283" t="s">
        <v>2300</v>
      </c>
      <c r="E1569" s="403">
        <v>44237</v>
      </c>
      <c r="F1569" s="403">
        <v>46062</v>
      </c>
      <c r="G1569" s="283" t="s">
        <v>231</v>
      </c>
      <c r="H1569" s="282" t="s">
        <v>2301</v>
      </c>
      <c r="I1569" s="285"/>
      <c r="J1569" s="282" t="s">
        <v>184</v>
      </c>
      <c r="K1569" s="283" t="s">
        <v>2302</v>
      </c>
      <c r="L1569" s="286" t="s">
        <v>321</v>
      </c>
      <c r="M1569" s="287" t="s">
        <v>159</v>
      </c>
      <c r="N1569" s="287">
        <v>3.5</v>
      </c>
      <c r="O1569" s="287" t="s">
        <v>159</v>
      </c>
      <c r="P1569" s="287" t="s">
        <v>159</v>
      </c>
      <c r="Q1569" s="288">
        <v>-4.9800000000000004</v>
      </c>
      <c r="R1569" s="288">
        <v>1.35</v>
      </c>
      <c r="S1569" s="288">
        <v>-6.33</v>
      </c>
      <c r="T1569" s="288">
        <v>-4.0000000000000001E-3</v>
      </c>
      <c r="U1569" s="288">
        <v>0</v>
      </c>
      <c r="V1569" s="289">
        <v>1.3460000000000001</v>
      </c>
      <c r="W1569" s="289">
        <v>0</v>
      </c>
      <c r="X1569" s="288">
        <v>-1.422857142857143</v>
      </c>
      <c r="Y1569" s="288">
        <v>0.38571428571428573</v>
      </c>
      <c r="Z1569" s="288">
        <v>-1.8085714285714285</v>
      </c>
      <c r="AA1569" s="288">
        <v>-1.1428571428571429E-3</v>
      </c>
      <c r="AB1569" s="288">
        <v>0</v>
      </c>
      <c r="AC1569" s="289">
        <v>0.38457142857142856</v>
      </c>
      <c r="AD1569" s="289">
        <v>0</v>
      </c>
    </row>
    <row r="1570" spans="1:30" ht="15" customHeight="1" x14ac:dyDescent="0.25">
      <c r="A1570" s="282" t="s">
        <v>2303</v>
      </c>
      <c r="B1570" s="282"/>
      <c r="C1570" s="282" t="s">
        <v>260</v>
      </c>
      <c r="D1570" s="283" t="s">
        <v>2304</v>
      </c>
      <c r="E1570" s="403">
        <v>44897</v>
      </c>
      <c r="F1570" s="403">
        <v>46723</v>
      </c>
      <c r="G1570" s="283" t="s">
        <v>237</v>
      </c>
      <c r="H1570" s="282" t="s">
        <v>2305</v>
      </c>
      <c r="I1570" s="285"/>
      <c r="J1570" s="282" t="s">
        <v>184</v>
      </c>
      <c r="K1570" s="283" t="s">
        <v>2306</v>
      </c>
      <c r="L1570" s="286" t="s">
        <v>2307</v>
      </c>
      <c r="M1570" s="287" t="s">
        <v>159</v>
      </c>
      <c r="N1570" s="287" t="s">
        <v>159</v>
      </c>
      <c r="O1570" s="287">
        <v>1.4</v>
      </c>
      <c r="P1570" s="287" t="s">
        <v>159</v>
      </c>
      <c r="Q1570" s="288">
        <v>3.19</v>
      </c>
      <c r="R1570" s="288">
        <v>3.44</v>
      </c>
      <c r="S1570" s="288">
        <v>-0.25600000000000001</v>
      </c>
      <c r="T1570" s="288">
        <v>2.2699999999999999E-3</v>
      </c>
      <c r="U1570" s="288">
        <v>0</v>
      </c>
      <c r="V1570" s="289">
        <v>3.4422700000000006</v>
      </c>
      <c r="W1570" s="289">
        <v>0</v>
      </c>
      <c r="X1570" s="288">
        <v>2.2785714285714285</v>
      </c>
      <c r="Y1570" s="288">
        <v>2.4571428571428573</v>
      </c>
      <c r="Z1570" s="288">
        <v>-0.18285714285714288</v>
      </c>
      <c r="AA1570" s="288">
        <v>1.6214285714285714E-3</v>
      </c>
      <c r="AB1570" s="288">
        <v>0</v>
      </c>
      <c r="AC1570" s="289">
        <v>2.458764285714286</v>
      </c>
      <c r="AD1570" s="289">
        <v>0</v>
      </c>
    </row>
    <row r="1571" spans="1:30" ht="15" customHeight="1" x14ac:dyDescent="0.25">
      <c r="A1571" s="282" t="s">
        <v>2303</v>
      </c>
      <c r="B1571" s="282"/>
      <c r="C1571" s="282" t="s">
        <v>260</v>
      </c>
      <c r="D1571" s="283" t="s">
        <v>2308</v>
      </c>
      <c r="E1571" s="403">
        <v>45215</v>
      </c>
      <c r="F1571" s="403">
        <v>47041</v>
      </c>
      <c r="G1571" s="283" t="s">
        <v>237</v>
      </c>
      <c r="H1571" s="282" t="s">
        <v>2309</v>
      </c>
      <c r="I1571" s="285"/>
      <c r="J1571" s="282" t="s">
        <v>184</v>
      </c>
      <c r="K1571" s="283" t="s">
        <v>2310</v>
      </c>
      <c r="L1571" s="286" t="s">
        <v>219</v>
      </c>
      <c r="M1571" s="287" t="s">
        <v>159</v>
      </c>
      <c r="N1571" s="287" t="s">
        <v>159</v>
      </c>
      <c r="O1571" s="287" t="s">
        <v>159</v>
      </c>
      <c r="P1571" s="287" t="s">
        <v>159</v>
      </c>
      <c r="Q1571" s="288">
        <v>4.17</v>
      </c>
      <c r="R1571" s="288">
        <v>4.16</v>
      </c>
      <c r="S1571" s="288">
        <v>6.0800000000000003E-3</v>
      </c>
      <c r="T1571" s="288">
        <v>4.13E-3</v>
      </c>
      <c r="U1571" s="288">
        <v>0</v>
      </c>
      <c r="V1571" s="289">
        <v>4.17021</v>
      </c>
      <c r="W1571" s="289">
        <v>0</v>
      </c>
      <c r="X1571" s="288">
        <v>4.17</v>
      </c>
      <c r="Y1571" s="288">
        <v>4.16</v>
      </c>
      <c r="Z1571" s="288">
        <v>6.0800000000000003E-3</v>
      </c>
      <c r="AA1571" s="288">
        <v>4.13E-3</v>
      </c>
      <c r="AB1571" s="288">
        <v>0</v>
      </c>
      <c r="AC1571" s="289">
        <v>4.17021</v>
      </c>
      <c r="AD1571" s="289">
        <v>0</v>
      </c>
    </row>
    <row r="1572" spans="1:30" ht="15" customHeight="1" x14ac:dyDescent="0.25">
      <c r="A1572" s="282" t="s">
        <v>2303</v>
      </c>
      <c r="B1572" s="282"/>
      <c r="C1572" s="282" t="s">
        <v>260</v>
      </c>
      <c r="D1572" s="283" t="s">
        <v>2311</v>
      </c>
      <c r="E1572" s="403">
        <v>43604</v>
      </c>
      <c r="F1572" s="403">
        <v>45502</v>
      </c>
      <c r="G1572" s="283" t="s">
        <v>237</v>
      </c>
      <c r="H1572" s="282" t="s">
        <v>2312</v>
      </c>
      <c r="I1572" s="285"/>
      <c r="J1572" s="282" t="s">
        <v>184</v>
      </c>
      <c r="K1572" s="283" t="s">
        <v>2313</v>
      </c>
      <c r="L1572" s="286" t="s">
        <v>321</v>
      </c>
      <c r="M1572" s="287" t="s">
        <v>159</v>
      </c>
      <c r="N1572" s="287">
        <v>1.63</v>
      </c>
      <c r="O1572" s="287" t="s">
        <v>159</v>
      </c>
      <c r="P1572" s="287" t="s">
        <v>159</v>
      </c>
      <c r="Q1572" s="288">
        <v>9.9040029999999994</v>
      </c>
      <c r="R1572" s="288">
        <v>9.8840000000000003</v>
      </c>
      <c r="S1572" s="288">
        <v>0.02</v>
      </c>
      <c r="T1572" s="288">
        <v>3.0000000000000001E-6</v>
      </c>
      <c r="U1572" s="288">
        <v>0</v>
      </c>
      <c r="V1572" s="289">
        <v>9.9040029999999994</v>
      </c>
      <c r="W1572" s="289">
        <v>0</v>
      </c>
      <c r="X1572" s="288">
        <v>6.0760754601226994</v>
      </c>
      <c r="Y1572" s="288">
        <v>6.0638036809815956</v>
      </c>
      <c r="Z1572" s="288">
        <v>1.2269938650306749E-2</v>
      </c>
      <c r="AA1572" s="288">
        <v>1.8404907975460124E-6</v>
      </c>
      <c r="AB1572" s="288">
        <v>0</v>
      </c>
      <c r="AC1572" s="289">
        <v>6.0760754601227003</v>
      </c>
      <c r="AD1572" s="289">
        <v>0</v>
      </c>
    </row>
    <row r="1573" spans="1:30" ht="15" customHeight="1" x14ac:dyDescent="0.25">
      <c r="A1573" s="282" t="s">
        <v>2303</v>
      </c>
      <c r="B1573" s="282"/>
      <c r="C1573" s="282" t="s">
        <v>260</v>
      </c>
      <c r="D1573" s="283" t="s">
        <v>2314</v>
      </c>
      <c r="E1573" s="403">
        <v>44249</v>
      </c>
      <c r="F1573" s="403">
        <v>46044</v>
      </c>
      <c r="G1573" s="283" t="s">
        <v>237</v>
      </c>
      <c r="H1573" s="282" t="s">
        <v>2315</v>
      </c>
      <c r="I1573" s="285"/>
      <c r="J1573" s="282" t="s">
        <v>184</v>
      </c>
      <c r="K1573" s="283" t="s">
        <v>2316</v>
      </c>
      <c r="L1573" s="286" t="s">
        <v>321</v>
      </c>
      <c r="M1573" s="287" t="s">
        <v>159</v>
      </c>
      <c r="N1573" s="287" t="s">
        <v>159</v>
      </c>
      <c r="O1573" s="287" t="s">
        <v>159</v>
      </c>
      <c r="P1573" s="287" t="s">
        <v>159</v>
      </c>
      <c r="Q1573" s="288">
        <v>3.19</v>
      </c>
      <c r="R1573" s="288"/>
      <c r="S1573" s="288"/>
      <c r="T1573" s="288"/>
      <c r="U1573" s="288">
        <v>0</v>
      </c>
      <c r="V1573" s="289">
        <v>3.19</v>
      </c>
      <c r="W1573" s="289">
        <v>0</v>
      </c>
      <c r="X1573" s="288" t="s">
        <v>159</v>
      </c>
      <c r="Y1573" s="288" t="s">
        <v>159</v>
      </c>
      <c r="Z1573" s="288" t="s">
        <v>159</v>
      </c>
      <c r="AA1573" s="288" t="s">
        <v>159</v>
      </c>
      <c r="AB1573" s="288" t="s">
        <v>159</v>
      </c>
      <c r="AC1573" s="289">
        <v>0</v>
      </c>
      <c r="AD1573" s="289">
        <v>0</v>
      </c>
    </row>
    <row r="1574" spans="1:30" ht="15" customHeight="1" x14ac:dyDescent="0.25">
      <c r="A1574" s="282" t="s">
        <v>2317</v>
      </c>
      <c r="B1574" s="282"/>
      <c r="C1574" s="282" t="s">
        <v>2318</v>
      </c>
      <c r="D1574" s="283" t="s">
        <v>2319</v>
      </c>
      <c r="E1574" s="403">
        <v>45079</v>
      </c>
      <c r="F1574" s="403">
        <v>46905</v>
      </c>
      <c r="G1574" s="283" t="s">
        <v>237</v>
      </c>
      <c r="H1574" s="282" t="s">
        <v>2320</v>
      </c>
      <c r="I1574" s="285"/>
      <c r="J1574" s="282" t="s">
        <v>184</v>
      </c>
      <c r="K1574" s="283" t="s">
        <v>191</v>
      </c>
      <c r="L1574" s="286" t="s">
        <v>219</v>
      </c>
      <c r="M1574" s="287">
        <v>1100</v>
      </c>
      <c r="N1574" s="287" t="s">
        <v>159</v>
      </c>
      <c r="O1574" s="287" t="s">
        <v>159</v>
      </c>
      <c r="P1574" s="287" t="s">
        <v>159</v>
      </c>
      <c r="Q1574" s="288">
        <v>3.7454545454545456</v>
      </c>
      <c r="R1574" s="288"/>
      <c r="S1574" s="288"/>
      <c r="T1574" s="288"/>
      <c r="U1574" s="288">
        <v>0</v>
      </c>
      <c r="V1574" s="289">
        <v>3.7454545454545456</v>
      </c>
      <c r="W1574" s="289">
        <v>0</v>
      </c>
      <c r="X1574" s="288">
        <v>3.7454545454545456</v>
      </c>
      <c r="Y1574" s="288">
        <v>0</v>
      </c>
      <c r="Z1574" s="288">
        <v>0</v>
      </c>
      <c r="AA1574" s="288">
        <v>0</v>
      </c>
      <c r="AB1574" s="288">
        <v>0</v>
      </c>
      <c r="AC1574" s="289">
        <v>3.7454545454545456</v>
      </c>
      <c r="AD1574" s="289">
        <v>0</v>
      </c>
    </row>
    <row r="1575" spans="1:30" ht="15" customHeight="1" x14ac:dyDescent="0.25">
      <c r="A1575" s="282" t="s">
        <v>2317</v>
      </c>
      <c r="B1575" s="282"/>
      <c r="C1575" s="282" t="s">
        <v>2318</v>
      </c>
      <c r="D1575" s="283" t="s">
        <v>2321</v>
      </c>
      <c r="E1575" s="403">
        <v>45335</v>
      </c>
      <c r="F1575" s="403">
        <v>47161</v>
      </c>
      <c r="G1575" s="283" t="s">
        <v>237</v>
      </c>
      <c r="H1575" s="282" t="s">
        <v>2322</v>
      </c>
      <c r="I1575" s="285"/>
      <c r="J1575" s="282" t="s">
        <v>184</v>
      </c>
      <c r="K1575" s="283" t="s">
        <v>2323</v>
      </c>
      <c r="L1575" s="286" t="s">
        <v>219</v>
      </c>
      <c r="M1575" s="287" t="s">
        <v>159</v>
      </c>
      <c r="N1575" s="287">
        <v>1.32</v>
      </c>
      <c r="O1575" s="287" t="s">
        <v>159</v>
      </c>
      <c r="P1575" s="287" t="s">
        <v>159</v>
      </c>
      <c r="Q1575" s="288">
        <v>2.2651515151515151</v>
      </c>
      <c r="R1575" s="288"/>
      <c r="S1575" s="288"/>
      <c r="T1575" s="288"/>
      <c r="U1575" s="288">
        <v>0</v>
      </c>
      <c r="V1575" s="289">
        <v>2.2651515151515151</v>
      </c>
      <c r="W1575" s="289">
        <v>0</v>
      </c>
      <c r="X1575" s="288">
        <v>2.2651515151515151</v>
      </c>
      <c r="Y1575" s="288">
        <v>0</v>
      </c>
      <c r="Z1575" s="288">
        <v>0</v>
      </c>
      <c r="AA1575" s="288">
        <v>0</v>
      </c>
      <c r="AB1575" s="288">
        <v>0</v>
      </c>
      <c r="AC1575" s="289">
        <v>2.2651515151515151</v>
      </c>
      <c r="AD1575" s="289">
        <v>0</v>
      </c>
    </row>
    <row r="1576" spans="1:30" ht="15" customHeight="1" x14ac:dyDescent="0.25">
      <c r="A1576" s="282" t="s">
        <v>2317</v>
      </c>
      <c r="B1576" s="282"/>
      <c r="C1576" s="282" t="s">
        <v>2318</v>
      </c>
      <c r="D1576" s="283" t="s">
        <v>2324</v>
      </c>
      <c r="E1576" s="403">
        <v>43847</v>
      </c>
      <c r="F1576" s="403">
        <v>45673</v>
      </c>
      <c r="G1576" s="283" t="s">
        <v>237</v>
      </c>
      <c r="H1576" s="282" t="s">
        <v>2325</v>
      </c>
      <c r="I1576" s="285"/>
      <c r="J1576" s="282" t="s">
        <v>184</v>
      </c>
      <c r="K1576" s="283" t="s">
        <v>2326</v>
      </c>
      <c r="L1576" s="286" t="s">
        <v>219</v>
      </c>
      <c r="M1576" s="287" t="s">
        <v>159</v>
      </c>
      <c r="N1576" s="287">
        <v>1.96</v>
      </c>
      <c r="O1576" s="287" t="s">
        <v>159</v>
      </c>
      <c r="P1576" s="287" t="s">
        <v>159</v>
      </c>
      <c r="Q1576" s="288">
        <v>4.3928571428571423</v>
      </c>
      <c r="R1576" s="288"/>
      <c r="S1576" s="288"/>
      <c r="T1576" s="288"/>
      <c r="U1576" s="288">
        <v>0</v>
      </c>
      <c r="V1576" s="289">
        <v>4.3928571428571423</v>
      </c>
      <c r="W1576" s="289">
        <v>0</v>
      </c>
      <c r="X1576" s="288">
        <v>4.3928571428571423</v>
      </c>
      <c r="Y1576" s="288">
        <v>0</v>
      </c>
      <c r="Z1576" s="288">
        <v>0</v>
      </c>
      <c r="AA1576" s="288">
        <v>0</v>
      </c>
      <c r="AB1576" s="288">
        <v>0</v>
      </c>
      <c r="AC1576" s="289">
        <v>4.3928571428571423</v>
      </c>
      <c r="AD1576" s="289">
        <v>0</v>
      </c>
    </row>
    <row r="1577" spans="1:30" ht="15" customHeight="1" x14ac:dyDescent="0.25">
      <c r="A1577" s="282" t="s">
        <v>2327</v>
      </c>
      <c r="B1577" s="282" t="s">
        <v>2328</v>
      </c>
      <c r="C1577" s="282" t="s">
        <v>2329</v>
      </c>
      <c r="D1577" s="283" t="s">
        <v>2330</v>
      </c>
      <c r="E1577" s="403">
        <v>45124</v>
      </c>
      <c r="F1577" s="403">
        <v>46951</v>
      </c>
      <c r="G1577" s="283" t="s">
        <v>154</v>
      </c>
      <c r="H1577" s="282" t="s">
        <v>2331</v>
      </c>
      <c r="I1577" s="285"/>
      <c r="J1577" s="282" t="s">
        <v>156</v>
      </c>
      <c r="K1577" s="283" t="s">
        <v>2332</v>
      </c>
      <c r="L1577" s="286" t="s">
        <v>321</v>
      </c>
      <c r="M1577" s="287"/>
      <c r="N1577" s="287">
        <v>20.8</v>
      </c>
      <c r="O1577" s="287"/>
      <c r="P1577" s="287"/>
      <c r="Q1577" s="288">
        <v>15.7</v>
      </c>
      <c r="R1577" s="288">
        <v>18.399999999999999</v>
      </c>
      <c r="S1577" s="288">
        <v>-2.66</v>
      </c>
      <c r="T1577" s="288"/>
      <c r="U1577" s="288">
        <v>4.4999999999999998E-2</v>
      </c>
      <c r="V1577" s="289">
        <v>18.399999999999999</v>
      </c>
      <c r="W1577" s="289">
        <v>4.4999999999999998E-2</v>
      </c>
      <c r="X1577" s="288">
        <v>0.75480769230769229</v>
      </c>
      <c r="Y1577" s="288">
        <v>0.88461538461538447</v>
      </c>
      <c r="Z1577" s="288">
        <v>-0.12788461538461537</v>
      </c>
      <c r="AA1577" s="288">
        <v>0</v>
      </c>
      <c r="AB1577" s="288">
        <v>2.1634615384615381E-3</v>
      </c>
      <c r="AC1577" s="289">
        <v>0.88461538461538447</v>
      </c>
      <c r="AD1577" s="289">
        <v>2.1634615384615381E-3</v>
      </c>
    </row>
    <row r="1578" spans="1:30" ht="15" customHeight="1" x14ac:dyDescent="0.25">
      <c r="A1578" s="282" t="s">
        <v>2327</v>
      </c>
      <c r="B1578" s="282" t="s">
        <v>2328</v>
      </c>
      <c r="C1578" s="282" t="s">
        <v>2329</v>
      </c>
      <c r="D1578" s="283" t="s">
        <v>2333</v>
      </c>
      <c r="E1578" s="403">
        <v>45124</v>
      </c>
      <c r="F1578" s="403">
        <v>46951</v>
      </c>
      <c r="G1578" s="283" t="s">
        <v>154</v>
      </c>
      <c r="H1578" s="282" t="s">
        <v>2331</v>
      </c>
      <c r="I1578" s="285"/>
      <c r="J1578" s="282" t="s">
        <v>156</v>
      </c>
      <c r="K1578" s="283" t="s">
        <v>2332</v>
      </c>
      <c r="L1578" s="286" t="s">
        <v>321</v>
      </c>
      <c r="M1578" s="287"/>
      <c r="N1578" s="287">
        <v>24.1</v>
      </c>
      <c r="O1578" s="287"/>
      <c r="P1578" s="287"/>
      <c r="Q1578" s="288">
        <v>18.5</v>
      </c>
      <c r="R1578" s="288">
        <v>21.6</v>
      </c>
      <c r="S1578" s="288">
        <v>-3.11</v>
      </c>
      <c r="T1578" s="288"/>
      <c r="U1578" s="288">
        <v>4.4999999999999998E-2</v>
      </c>
      <c r="V1578" s="289">
        <v>21.6</v>
      </c>
      <c r="W1578" s="289">
        <v>4.4999999999999998E-2</v>
      </c>
      <c r="X1578" s="288">
        <v>0.76763485477178417</v>
      </c>
      <c r="Y1578" s="288">
        <v>0.89626556016597514</v>
      </c>
      <c r="Z1578" s="288">
        <v>-0.12904564315352696</v>
      </c>
      <c r="AA1578" s="288">
        <v>0</v>
      </c>
      <c r="AB1578" s="288">
        <v>1.867219917012448E-3</v>
      </c>
      <c r="AC1578" s="289">
        <v>0.89626556016597514</v>
      </c>
      <c r="AD1578" s="289">
        <v>1.867219917012448E-3</v>
      </c>
    </row>
    <row r="1579" spans="1:30" ht="15" customHeight="1" x14ac:dyDescent="0.25">
      <c r="A1579" s="282" t="s">
        <v>2327</v>
      </c>
      <c r="B1579" s="282" t="s">
        <v>2334</v>
      </c>
      <c r="C1579" s="282" t="s">
        <v>2329</v>
      </c>
      <c r="D1579" s="283" t="s">
        <v>2335</v>
      </c>
      <c r="E1579" s="403">
        <v>45124</v>
      </c>
      <c r="F1579" s="403">
        <v>46951</v>
      </c>
      <c r="G1579" s="283" t="s">
        <v>154</v>
      </c>
      <c r="H1579" s="282" t="s">
        <v>2331</v>
      </c>
      <c r="I1579" s="285"/>
      <c r="J1579" s="282" t="s">
        <v>156</v>
      </c>
      <c r="K1579" s="283" t="s">
        <v>2332</v>
      </c>
      <c r="L1579" s="286" t="s">
        <v>321</v>
      </c>
      <c r="M1579" s="287"/>
      <c r="N1579" s="287">
        <v>24.1</v>
      </c>
      <c r="O1579" s="287"/>
      <c r="P1579" s="287"/>
      <c r="Q1579" s="288">
        <v>18.600000000000001</v>
      </c>
      <c r="R1579" s="288">
        <v>21.7</v>
      </c>
      <c r="S1579" s="288">
        <v>-3.11</v>
      </c>
      <c r="T1579" s="288"/>
      <c r="U1579" s="288">
        <v>4.4999999999999998E-2</v>
      </c>
      <c r="V1579" s="289">
        <v>21.7</v>
      </c>
      <c r="W1579" s="289">
        <v>4.4999999999999998E-2</v>
      </c>
      <c r="X1579" s="288">
        <v>0.77178423236514526</v>
      </c>
      <c r="Y1579" s="288">
        <v>0.90041493775933601</v>
      </c>
      <c r="Z1579" s="288">
        <v>-0.12904564315352696</v>
      </c>
      <c r="AA1579" s="288">
        <v>0</v>
      </c>
      <c r="AB1579" s="288">
        <v>1.867219917012448E-3</v>
      </c>
      <c r="AC1579" s="289">
        <v>0.90041493775933601</v>
      </c>
      <c r="AD1579" s="289">
        <v>1.867219917012448E-3</v>
      </c>
    </row>
    <row r="1580" spans="1:30" ht="15" customHeight="1" x14ac:dyDescent="0.25">
      <c r="A1580" s="282" t="s">
        <v>2327</v>
      </c>
      <c r="B1580" s="282" t="s">
        <v>2328</v>
      </c>
      <c r="C1580" s="282" t="s">
        <v>2329</v>
      </c>
      <c r="D1580" s="283" t="s">
        <v>2336</v>
      </c>
      <c r="E1580" s="403">
        <v>45124</v>
      </c>
      <c r="F1580" s="403">
        <v>46951</v>
      </c>
      <c r="G1580" s="283" t="s">
        <v>154</v>
      </c>
      <c r="H1580" s="282" t="s">
        <v>2331</v>
      </c>
      <c r="I1580" s="285"/>
      <c r="J1580" s="282" t="s">
        <v>156</v>
      </c>
      <c r="K1580" s="283" t="s">
        <v>2332</v>
      </c>
      <c r="L1580" s="286" t="s">
        <v>321</v>
      </c>
      <c r="M1580" s="287"/>
      <c r="N1580" s="287">
        <v>20.8</v>
      </c>
      <c r="O1580" s="287"/>
      <c r="P1580" s="287"/>
      <c r="Q1580" s="288">
        <v>16.100000000000001</v>
      </c>
      <c r="R1580" s="288">
        <v>18.7</v>
      </c>
      <c r="S1580" s="288">
        <v>-2.66</v>
      </c>
      <c r="T1580" s="288"/>
      <c r="U1580" s="288">
        <v>4.4999999999999998E-2</v>
      </c>
      <c r="V1580" s="289">
        <v>18.7</v>
      </c>
      <c r="W1580" s="289">
        <v>4.4999999999999998E-2</v>
      </c>
      <c r="X1580" s="288">
        <v>0.77403846153846156</v>
      </c>
      <c r="Y1580" s="288">
        <v>0.89903846153846145</v>
      </c>
      <c r="Z1580" s="288">
        <v>-0.12788461538461537</v>
      </c>
      <c r="AA1580" s="288">
        <v>0</v>
      </c>
      <c r="AB1580" s="288">
        <v>2.1634615384615381E-3</v>
      </c>
      <c r="AC1580" s="289">
        <v>0.89903846153846145</v>
      </c>
      <c r="AD1580" s="289">
        <v>2.1634615384615381E-3</v>
      </c>
    </row>
    <row r="1581" spans="1:30" ht="15" customHeight="1" x14ac:dyDescent="0.25">
      <c r="A1581" s="282" t="s">
        <v>2327</v>
      </c>
      <c r="B1581" s="282" t="s">
        <v>2337</v>
      </c>
      <c r="C1581" s="282" t="s">
        <v>2329</v>
      </c>
      <c r="D1581" s="283" t="s">
        <v>2338</v>
      </c>
      <c r="E1581" s="403">
        <v>45124</v>
      </c>
      <c r="F1581" s="403">
        <v>46951</v>
      </c>
      <c r="G1581" s="283" t="s">
        <v>154</v>
      </c>
      <c r="H1581" s="282" t="s">
        <v>2331</v>
      </c>
      <c r="I1581" s="285"/>
      <c r="J1581" s="282" t="s">
        <v>156</v>
      </c>
      <c r="K1581" s="283" t="s">
        <v>2332</v>
      </c>
      <c r="L1581" s="286" t="s">
        <v>321</v>
      </c>
      <c r="M1581" s="287"/>
      <c r="N1581" s="287">
        <v>10.199999999999999</v>
      </c>
      <c r="O1581" s="287"/>
      <c r="P1581" s="287"/>
      <c r="Q1581" s="288">
        <v>6.66</v>
      </c>
      <c r="R1581" s="288">
        <v>7.51</v>
      </c>
      <c r="S1581" s="288">
        <v>-0.85099999999999998</v>
      </c>
      <c r="T1581" s="288"/>
      <c r="U1581" s="288">
        <v>4.4999999999999998E-2</v>
      </c>
      <c r="V1581" s="289">
        <v>7.51</v>
      </c>
      <c r="W1581" s="289">
        <v>4.4999999999999998E-2</v>
      </c>
      <c r="X1581" s="288">
        <v>0.65294117647058825</v>
      </c>
      <c r="Y1581" s="288">
        <v>0.73627450980392162</v>
      </c>
      <c r="Z1581" s="288">
        <v>-8.3431372549019611E-2</v>
      </c>
      <c r="AA1581" s="288">
        <v>0</v>
      </c>
      <c r="AB1581" s="288">
        <v>4.4117647058823529E-3</v>
      </c>
      <c r="AC1581" s="289">
        <v>0.73627450980392162</v>
      </c>
      <c r="AD1581" s="289">
        <v>4.4117647058823529E-3</v>
      </c>
    </row>
    <row r="1582" spans="1:30" ht="15" customHeight="1" x14ac:dyDescent="0.25">
      <c r="A1582" s="282" t="s">
        <v>2327</v>
      </c>
      <c r="B1582" s="282" t="s">
        <v>2337</v>
      </c>
      <c r="C1582" s="282" t="s">
        <v>2329</v>
      </c>
      <c r="D1582" s="283" t="s">
        <v>2339</v>
      </c>
      <c r="E1582" s="403">
        <v>45124</v>
      </c>
      <c r="F1582" s="403">
        <v>46951</v>
      </c>
      <c r="G1582" s="283" t="s">
        <v>154</v>
      </c>
      <c r="H1582" s="282" t="s">
        <v>2331</v>
      </c>
      <c r="I1582" s="285"/>
      <c r="J1582" s="282" t="s">
        <v>156</v>
      </c>
      <c r="K1582" s="283" t="s">
        <v>2332</v>
      </c>
      <c r="L1582" s="286" t="s">
        <v>321</v>
      </c>
      <c r="M1582" s="287"/>
      <c r="N1582" s="287">
        <v>9</v>
      </c>
      <c r="O1582" s="287"/>
      <c r="P1582" s="287"/>
      <c r="Q1582" s="288">
        <v>6.09</v>
      </c>
      <c r="R1582" s="288">
        <v>6.86</v>
      </c>
      <c r="S1582" s="288">
        <v>-0.77200000000000002</v>
      </c>
      <c r="T1582" s="288"/>
      <c r="U1582" s="288">
        <v>4.4999999999999998E-2</v>
      </c>
      <c r="V1582" s="289">
        <v>6.86</v>
      </c>
      <c r="W1582" s="289">
        <v>4.4999999999999998E-2</v>
      </c>
      <c r="X1582" s="288">
        <v>0.67666666666666664</v>
      </c>
      <c r="Y1582" s="288">
        <v>0.76222222222222225</v>
      </c>
      <c r="Z1582" s="288">
        <v>-8.5777777777777786E-2</v>
      </c>
      <c r="AA1582" s="288">
        <v>0</v>
      </c>
      <c r="AB1582" s="288">
        <v>5.0000000000000001E-3</v>
      </c>
      <c r="AC1582" s="289">
        <v>0.76222222222222213</v>
      </c>
      <c r="AD1582" s="289">
        <v>5.0000000000000001E-3</v>
      </c>
    </row>
    <row r="1583" spans="1:30" ht="15" customHeight="1" x14ac:dyDescent="0.25">
      <c r="A1583" s="282" t="s">
        <v>2327</v>
      </c>
      <c r="B1583" s="282" t="s">
        <v>2328</v>
      </c>
      <c r="C1583" s="282" t="s">
        <v>2329</v>
      </c>
      <c r="D1583" s="283" t="s">
        <v>2340</v>
      </c>
      <c r="E1583" s="403">
        <v>45124</v>
      </c>
      <c r="F1583" s="403">
        <v>46951</v>
      </c>
      <c r="G1583" s="283" t="s">
        <v>154</v>
      </c>
      <c r="H1583" s="282" t="s">
        <v>2331</v>
      </c>
      <c r="I1583" s="285"/>
      <c r="J1583" s="282" t="s">
        <v>156</v>
      </c>
      <c r="K1583" s="283" t="s">
        <v>2332</v>
      </c>
      <c r="L1583" s="286" t="s">
        <v>321</v>
      </c>
      <c r="M1583" s="287"/>
      <c r="N1583" s="287">
        <v>19.0364</v>
      </c>
      <c r="O1583" s="287"/>
      <c r="P1583" s="287"/>
      <c r="Q1583" s="288">
        <v>22.5</v>
      </c>
      <c r="R1583" s="288">
        <v>25.2</v>
      </c>
      <c r="S1583" s="288">
        <v>-2.63</v>
      </c>
      <c r="T1583" s="288"/>
      <c r="U1583" s="288">
        <v>4.4999999999999998E-2</v>
      </c>
      <c r="V1583" s="289">
        <v>25.2</v>
      </c>
      <c r="W1583" s="289">
        <v>4.4999999999999998E-2</v>
      </c>
      <c r="X1583" s="288">
        <v>1.1819461662919459</v>
      </c>
      <c r="Y1583" s="288">
        <v>1.3237797062469794</v>
      </c>
      <c r="Z1583" s="288">
        <v>-0.13815637410434745</v>
      </c>
      <c r="AA1583" s="288">
        <v>0</v>
      </c>
      <c r="AB1583" s="288">
        <v>2.3638923325838917E-3</v>
      </c>
      <c r="AC1583" s="289">
        <v>1.3237797062469794</v>
      </c>
      <c r="AD1583" s="289">
        <v>2.3638923325838917E-3</v>
      </c>
    </row>
    <row r="1584" spans="1:30" ht="15" customHeight="1" x14ac:dyDescent="0.25">
      <c r="A1584" s="282" t="s">
        <v>2327</v>
      </c>
      <c r="B1584" s="282" t="s">
        <v>2337</v>
      </c>
      <c r="C1584" s="282" t="s">
        <v>2329</v>
      </c>
      <c r="D1584" s="283" t="s">
        <v>2341</v>
      </c>
      <c r="E1584" s="403">
        <v>45124</v>
      </c>
      <c r="F1584" s="403">
        <v>46951</v>
      </c>
      <c r="G1584" s="283" t="s">
        <v>154</v>
      </c>
      <c r="H1584" s="282" t="s">
        <v>2331</v>
      </c>
      <c r="I1584" s="285"/>
      <c r="J1584" s="282" t="s">
        <v>156</v>
      </c>
      <c r="K1584" s="283" t="s">
        <v>2332</v>
      </c>
      <c r="L1584" s="286" t="s">
        <v>321</v>
      </c>
      <c r="M1584" s="287"/>
      <c r="N1584" s="287">
        <v>10.199999999999999</v>
      </c>
      <c r="O1584" s="287"/>
      <c r="P1584" s="287"/>
      <c r="Q1584" s="288">
        <v>7.17</v>
      </c>
      <c r="R1584" s="288">
        <v>8</v>
      </c>
      <c r="S1584" s="288">
        <v>-0.82699999999999996</v>
      </c>
      <c r="T1584" s="288"/>
      <c r="U1584" s="288">
        <v>4.4999999999999998E-2</v>
      </c>
      <c r="V1584" s="289">
        <v>8</v>
      </c>
      <c r="W1584" s="289">
        <v>4.4999999999999998E-2</v>
      </c>
      <c r="X1584" s="288">
        <v>0.70294117647058829</v>
      </c>
      <c r="Y1584" s="288">
        <v>0.78431372549019618</v>
      </c>
      <c r="Z1584" s="288">
        <v>-8.1078431372549026E-2</v>
      </c>
      <c r="AA1584" s="288">
        <v>0</v>
      </c>
      <c r="AB1584" s="288">
        <v>4.4117647058823529E-3</v>
      </c>
      <c r="AC1584" s="289">
        <v>0.78431372549019618</v>
      </c>
      <c r="AD1584" s="289">
        <v>4.4117647058823529E-3</v>
      </c>
    </row>
    <row r="1585" spans="1:30" ht="15" customHeight="1" x14ac:dyDescent="0.25">
      <c r="A1585" s="282" t="s">
        <v>2327</v>
      </c>
      <c r="B1585" s="282" t="s">
        <v>2337</v>
      </c>
      <c r="C1585" s="282" t="s">
        <v>2329</v>
      </c>
      <c r="D1585" s="283" t="s">
        <v>2342</v>
      </c>
      <c r="E1585" s="403">
        <v>45124</v>
      </c>
      <c r="F1585" s="403">
        <v>46951</v>
      </c>
      <c r="G1585" s="283" t="s">
        <v>154</v>
      </c>
      <c r="H1585" s="282" t="s">
        <v>2331</v>
      </c>
      <c r="I1585" s="285"/>
      <c r="J1585" s="282" t="s">
        <v>156</v>
      </c>
      <c r="K1585" s="283" t="s">
        <v>2332</v>
      </c>
      <c r="L1585" s="286" t="s">
        <v>321</v>
      </c>
      <c r="M1585" s="287"/>
      <c r="N1585" s="287">
        <v>10.8</v>
      </c>
      <c r="O1585" s="287"/>
      <c r="P1585" s="287"/>
      <c r="Q1585" s="288">
        <v>8.8800000000000008</v>
      </c>
      <c r="R1585" s="288">
        <v>9.85</v>
      </c>
      <c r="S1585" s="288">
        <v>-0.97599999999999998</v>
      </c>
      <c r="T1585" s="288"/>
      <c r="U1585" s="288">
        <v>4.4999999999999998E-2</v>
      </c>
      <c r="V1585" s="289">
        <v>9.8499999999999979</v>
      </c>
      <c r="W1585" s="289">
        <v>4.4999999999999998E-2</v>
      </c>
      <c r="X1585" s="288">
        <v>0.82222222222222219</v>
      </c>
      <c r="Y1585" s="288">
        <v>0.91203703703703698</v>
      </c>
      <c r="Z1585" s="288">
        <v>-9.0370370370370365E-2</v>
      </c>
      <c r="AA1585" s="288">
        <v>0</v>
      </c>
      <c r="AB1585" s="288">
        <v>4.1666666666666666E-3</v>
      </c>
      <c r="AC1585" s="289">
        <v>0.91203703703703698</v>
      </c>
      <c r="AD1585" s="289">
        <v>4.1666666666666666E-3</v>
      </c>
    </row>
    <row r="1586" spans="1:30" ht="15" customHeight="1" x14ac:dyDescent="0.25">
      <c r="A1586" s="282" t="s">
        <v>2327</v>
      </c>
      <c r="B1586" s="282" t="s">
        <v>2337</v>
      </c>
      <c r="C1586" s="282" t="s">
        <v>2329</v>
      </c>
      <c r="D1586" s="283" t="s">
        <v>2343</v>
      </c>
      <c r="E1586" s="403">
        <v>45124</v>
      </c>
      <c r="F1586" s="403">
        <v>46951</v>
      </c>
      <c r="G1586" s="283" t="s">
        <v>154</v>
      </c>
      <c r="H1586" s="282" t="s">
        <v>2331</v>
      </c>
      <c r="I1586" s="285"/>
      <c r="J1586" s="282" t="s">
        <v>156</v>
      </c>
      <c r="K1586" s="283" t="s">
        <v>2332</v>
      </c>
      <c r="L1586" s="286" t="s">
        <v>321</v>
      </c>
      <c r="M1586" s="287"/>
      <c r="N1586" s="287">
        <v>13.7</v>
      </c>
      <c r="O1586" s="287"/>
      <c r="P1586" s="287"/>
      <c r="Q1586" s="288">
        <v>11.1</v>
      </c>
      <c r="R1586" s="288">
        <v>12.3</v>
      </c>
      <c r="S1586" s="288">
        <v>-1.1299999999999999</v>
      </c>
      <c r="T1586" s="288"/>
      <c r="U1586" s="288">
        <v>4.4999999999999998E-2</v>
      </c>
      <c r="V1586" s="289">
        <v>12.3</v>
      </c>
      <c r="W1586" s="289">
        <v>4.4999999999999998E-2</v>
      </c>
      <c r="X1586" s="288">
        <v>0.81021897810218979</v>
      </c>
      <c r="Y1586" s="288">
        <v>0.89781021897810231</v>
      </c>
      <c r="Z1586" s="288">
        <v>-8.2481751824817512E-2</v>
      </c>
      <c r="AA1586" s="288">
        <v>0</v>
      </c>
      <c r="AB1586" s="288">
        <v>3.2846715328467154E-3</v>
      </c>
      <c r="AC1586" s="289">
        <v>0.89781021897810231</v>
      </c>
      <c r="AD1586" s="289">
        <v>3.2846715328467154E-3</v>
      </c>
    </row>
    <row r="1587" spans="1:30" ht="15" customHeight="1" x14ac:dyDescent="0.25">
      <c r="A1587" s="282" t="s">
        <v>2327</v>
      </c>
      <c r="B1587" s="282" t="s">
        <v>2334</v>
      </c>
      <c r="C1587" s="282" t="s">
        <v>2329</v>
      </c>
      <c r="D1587" s="283" t="s">
        <v>2344</v>
      </c>
      <c r="E1587" s="403">
        <v>45124</v>
      </c>
      <c r="F1587" s="403">
        <v>46951</v>
      </c>
      <c r="G1587" s="283" t="s">
        <v>154</v>
      </c>
      <c r="H1587" s="282" t="s">
        <v>2331</v>
      </c>
      <c r="I1587" s="285"/>
      <c r="J1587" s="282" t="s">
        <v>156</v>
      </c>
      <c r="K1587" s="283" t="s">
        <v>2332</v>
      </c>
      <c r="L1587" s="286" t="s">
        <v>321</v>
      </c>
      <c r="M1587" s="287"/>
      <c r="N1587" s="287">
        <v>10.8</v>
      </c>
      <c r="O1587" s="287"/>
      <c r="P1587" s="287"/>
      <c r="Q1587" s="288">
        <v>7.84</v>
      </c>
      <c r="R1587" s="288">
        <v>8.65</v>
      </c>
      <c r="S1587" s="288">
        <v>-0.80200000000000005</v>
      </c>
      <c r="T1587" s="288"/>
      <c r="U1587" s="288">
        <v>4.4999999999999998E-2</v>
      </c>
      <c r="V1587" s="289">
        <v>8.65</v>
      </c>
      <c r="W1587" s="289">
        <v>4.4999999999999998E-2</v>
      </c>
      <c r="X1587" s="288">
        <v>0.72592592592592586</v>
      </c>
      <c r="Y1587" s="288">
        <v>0.80092592592592593</v>
      </c>
      <c r="Z1587" s="288">
        <v>-7.4259259259259261E-2</v>
      </c>
      <c r="AA1587" s="288">
        <v>0</v>
      </c>
      <c r="AB1587" s="288">
        <v>4.1666666666666666E-3</v>
      </c>
      <c r="AC1587" s="289">
        <v>0.80092592592592593</v>
      </c>
      <c r="AD1587" s="289">
        <v>4.1666666666666666E-3</v>
      </c>
    </row>
    <row r="1588" spans="1:30" ht="15" customHeight="1" x14ac:dyDescent="0.25">
      <c r="A1588" s="282" t="s">
        <v>2327</v>
      </c>
      <c r="B1588" s="282" t="s">
        <v>2337</v>
      </c>
      <c r="C1588" s="282" t="s">
        <v>2329</v>
      </c>
      <c r="D1588" s="283" t="s">
        <v>2345</v>
      </c>
      <c r="E1588" s="403">
        <v>45124</v>
      </c>
      <c r="F1588" s="403">
        <v>46951</v>
      </c>
      <c r="G1588" s="283" t="s">
        <v>154</v>
      </c>
      <c r="H1588" s="282" t="s">
        <v>2331</v>
      </c>
      <c r="I1588" s="285"/>
      <c r="J1588" s="282" t="s">
        <v>156</v>
      </c>
      <c r="K1588" s="283" t="s">
        <v>2332</v>
      </c>
      <c r="L1588" s="286" t="s">
        <v>321</v>
      </c>
      <c r="M1588" s="287"/>
      <c r="N1588" s="287">
        <v>17.600000000000001</v>
      </c>
      <c r="O1588" s="287"/>
      <c r="P1588" s="287"/>
      <c r="Q1588" s="288">
        <v>14.2</v>
      </c>
      <c r="R1588" s="288">
        <v>15.6</v>
      </c>
      <c r="S1588" s="288">
        <v>-1.38</v>
      </c>
      <c r="T1588" s="288"/>
      <c r="U1588" s="288">
        <v>4.4999999999999998E-2</v>
      </c>
      <c r="V1588" s="289">
        <v>15.599999999999998</v>
      </c>
      <c r="W1588" s="289">
        <v>4.4999999999999998E-2</v>
      </c>
      <c r="X1588" s="288">
        <v>0.80681818181818177</v>
      </c>
      <c r="Y1588" s="288">
        <v>0.88636363636363624</v>
      </c>
      <c r="Z1588" s="288">
        <v>-7.8409090909090901E-2</v>
      </c>
      <c r="AA1588" s="288">
        <v>0</v>
      </c>
      <c r="AB1588" s="288">
        <v>2.5568181818181814E-3</v>
      </c>
      <c r="AC1588" s="289">
        <v>0.88636363636363624</v>
      </c>
      <c r="AD1588" s="289">
        <v>2.5568181818181814E-3</v>
      </c>
    </row>
    <row r="1589" spans="1:30" ht="15" customHeight="1" x14ac:dyDescent="0.25">
      <c r="A1589" s="282" t="s">
        <v>2327</v>
      </c>
      <c r="B1589" s="282" t="s">
        <v>2334</v>
      </c>
      <c r="C1589" s="282" t="s">
        <v>2329</v>
      </c>
      <c r="D1589" s="283" t="s">
        <v>2346</v>
      </c>
      <c r="E1589" s="403">
        <v>45124</v>
      </c>
      <c r="F1589" s="403">
        <v>46951</v>
      </c>
      <c r="G1589" s="283" t="s">
        <v>154</v>
      </c>
      <c r="H1589" s="282" t="s">
        <v>2331</v>
      </c>
      <c r="I1589" s="285"/>
      <c r="J1589" s="282" t="s">
        <v>156</v>
      </c>
      <c r="K1589" s="283" t="s">
        <v>2332</v>
      </c>
      <c r="L1589" s="286" t="s">
        <v>321</v>
      </c>
      <c r="M1589" s="287"/>
      <c r="N1589" s="287">
        <v>7.2</v>
      </c>
      <c r="O1589" s="287"/>
      <c r="P1589" s="287"/>
      <c r="Q1589" s="288">
        <v>5.09</v>
      </c>
      <c r="R1589" s="288">
        <v>5.62</v>
      </c>
      <c r="S1589" s="288">
        <v>-0.52400000000000002</v>
      </c>
      <c r="T1589" s="288"/>
      <c r="U1589" s="288">
        <v>4.4999999999999998E-2</v>
      </c>
      <c r="V1589" s="289">
        <v>5.62</v>
      </c>
      <c r="W1589" s="289">
        <v>4.4999999999999998E-2</v>
      </c>
      <c r="X1589" s="288">
        <v>0.70694444444444438</v>
      </c>
      <c r="Y1589" s="288">
        <v>0.78055555555555556</v>
      </c>
      <c r="Z1589" s="288">
        <v>-7.2777777777777775E-2</v>
      </c>
      <c r="AA1589" s="288">
        <v>0</v>
      </c>
      <c r="AB1589" s="288">
        <v>6.2499999999999995E-3</v>
      </c>
      <c r="AC1589" s="289">
        <v>0.78055555555555567</v>
      </c>
      <c r="AD1589" s="289">
        <v>6.2499999999999995E-3</v>
      </c>
    </row>
    <row r="1590" spans="1:30" ht="15" customHeight="1" x14ac:dyDescent="0.25">
      <c r="A1590" s="282" t="s">
        <v>2327</v>
      </c>
      <c r="B1590" s="282" t="s">
        <v>2337</v>
      </c>
      <c r="C1590" s="282" t="s">
        <v>2329</v>
      </c>
      <c r="D1590" s="283" t="s">
        <v>2347</v>
      </c>
      <c r="E1590" s="403">
        <v>45124</v>
      </c>
      <c r="F1590" s="403">
        <v>46951</v>
      </c>
      <c r="G1590" s="283" t="s">
        <v>154</v>
      </c>
      <c r="H1590" s="282" t="s">
        <v>2331</v>
      </c>
      <c r="I1590" s="285"/>
      <c r="J1590" s="282" t="s">
        <v>156</v>
      </c>
      <c r="K1590" s="283" t="s">
        <v>2332</v>
      </c>
      <c r="L1590" s="286" t="s">
        <v>321</v>
      </c>
      <c r="M1590" s="287"/>
      <c r="N1590" s="287">
        <v>41.2</v>
      </c>
      <c r="O1590" s="287"/>
      <c r="P1590" s="287"/>
      <c r="Q1590" s="288">
        <v>41.9</v>
      </c>
      <c r="R1590" s="288">
        <v>45.9</v>
      </c>
      <c r="S1590" s="288">
        <v>-3.97</v>
      </c>
      <c r="T1590" s="288"/>
      <c r="U1590" s="288">
        <v>4.4999999999999998E-2</v>
      </c>
      <c r="V1590" s="289">
        <v>45.9</v>
      </c>
      <c r="W1590" s="289">
        <v>4.4999999999999998E-2</v>
      </c>
      <c r="X1590" s="288">
        <v>1.0169902912621358</v>
      </c>
      <c r="Y1590" s="288">
        <v>1.1140776699029125</v>
      </c>
      <c r="Z1590" s="288">
        <v>-9.6359223300970867E-2</v>
      </c>
      <c r="AA1590" s="288">
        <v>0</v>
      </c>
      <c r="AB1590" s="288">
        <v>1.0922330097087377E-3</v>
      </c>
      <c r="AC1590" s="289">
        <v>1.1140776699029125</v>
      </c>
      <c r="AD1590" s="289">
        <v>1.0922330097087377E-3</v>
      </c>
    </row>
    <row r="1591" spans="1:30" ht="15" customHeight="1" x14ac:dyDescent="0.25">
      <c r="A1591" s="282" t="s">
        <v>2327</v>
      </c>
      <c r="B1591" s="282" t="s">
        <v>2334</v>
      </c>
      <c r="C1591" s="282" t="s">
        <v>2329</v>
      </c>
      <c r="D1591" s="283" t="s">
        <v>2348</v>
      </c>
      <c r="E1591" s="403">
        <v>45124</v>
      </c>
      <c r="F1591" s="403">
        <v>46951</v>
      </c>
      <c r="G1591" s="283" t="s">
        <v>154</v>
      </c>
      <c r="H1591" s="282" t="s">
        <v>2331</v>
      </c>
      <c r="I1591" s="285"/>
      <c r="J1591" s="282" t="s">
        <v>156</v>
      </c>
      <c r="K1591" s="283" t="s">
        <v>2332</v>
      </c>
      <c r="L1591" s="286" t="s">
        <v>321</v>
      </c>
      <c r="M1591" s="287"/>
      <c r="N1591" s="287">
        <v>10.8</v>
      </c>
      <c r="O1591" s="287"/>
      <c r="P1591" s="287"/>
      <c r="Q1591" s="288">
        <v>7.9</v>
      </c>
      <c r="R1591" s="288">
        <v>8.68</v>
      </c>
      <c r="S1591" s="288">
        <v>-0.77800000000000002</v>
      </c>
      <c r="T1591" s="288"/>
      <c r="U1591" s="288">
        <v>4.4999999999999998E-2</v>
      </c>
      <c r="V1591" s="289">
        <v>8.68</v>
      </c>
      <c r="W1591" s="289">
        <v>4.4999999999999998E-2</v>
      </c>
      <c r="X1591" s="288">
        <v>0.73148148148148151</v>
      </c>
      <c r="Y1591" s="288">
        <v>0.80370370370370359</v>
      </c>
      <c r="Z1591" s="288">
        <v>-7.2037037037037038E-2</v>
      </c>
      <c r="AA1591" s="288">
        <v>0</v>
      </c>
      <c r="AB1591" s="288">
        <v>4.1666666666666666E-3</v>
      </c>
      <c r="AC1591" s="289">
        <v>0.80370370370370359</v>
      </c>
      <c r="AD1591" s="289">
        <v>4.1666666666666666E-3</v>
      </c>
    </row>
    <row r="1592" spans="1:30" ht="15" customHeight="1" x14ac:dyDescent="0.25">
      <c r="A1592" s="282" t="s">
        <v>2327</v>
      </c>
      <c r="B1592" s="282" t="s">
        <v>2337</v>
      </c>
      <c r="C1592" s="282" t="s">
        <v>2329</v>
      </c>
      <c r="D1592" s="283" t="s">
        <v>2349</v>
      </c>
      <c r="E1592" s="403">
        <v>45124</v>
      </c>
      <c r="F1592" s="403">
        <v>46951</v>
      </c>
      <c r="G1592" s="283" t="s">
        <v>154</v>
      </c>
      <c r="H1592" s="282" t="s">
        <v>2331</v>
      </c>
      <c r="I1592" s="285"/>
      <c r="J1592" s="282" t="s">
        <v>156</v>
      </c>
      <c r="K1592" s="283" t="s">
        <v>2332</v>
      </c>
      <c r="L1592" s="286" t="s">
        <v>321</v>
      </c>
      <c r="M1592" s="287"/>
      <c r="N1592" s="287">
        <v>31</v>
      </c>
      <c r="O1592" s="287"/>
      <c r="P1592" s="287"/>
      <c r="Q1592" s="288">
        <v>29.7</v>
      </c>
      <c r="R1592" s="288">
        <v>32.5</v>
      </c>
      <c r="S1592" s="288">
        <v>-2.81</v>
      </c>
      <c r="T1592" s="288"/>
      <c r="U1592" s="288">
        <v>4.4999999999999998E-2</v>
      </c>
      <c r="V1592" s="289">
        <v>32.5</v>
      </c>
      <c r="W1592" s="289">
        <v>4.4999999999999998E-2</v>
      </c>
      <c r="X1592" s="288">
        <v>0.95806451612903221</v>
      </c>
      <c r="Y1592" s="288">
        <v>1.0483870967741935</v>
      </c>
      <c r="Z1592" s="288">
        <v>-9.0645161290322587E-2</v>
      </c>
      <c r="AA1592" s="288">
        <v>0</v>
      </c>
      <c r="AB1592" s="288">
        <v>1.4516129032258063E-3</v>
      </c>
      <c r="AC1592" s="289">
        <v>1.0483870967741935</v>
      </c>
      <c r="AD1592" s="289">
        <v>1.4516129032258063E-3</v>
      </c>
    </row>
    <row r="1593" spans="1:30" ht="15" customHeight="1" x14ac:dyDescent="0.25">
      <c r="A1593" s="282" t="s">
        <v>2327</v>
      </c>
      <c r="B1593" s="282" t="s">
        <v>2337</v>
      </c>
      <c r="C1593" s="282" t="s">
        <v>2329</v>
      </c>
      <c r="D1593" s="283" t="s">
        <v>2350</v>
      </c>
      <c r="E1593" s="403">
        <v>45124</v>
      </c>
      <c r="F1593" s="403">
        <v>46951</v>
      </c>
      <c r="G1593" s="283" t="s">
        <v>154</v>
      </c>
      <c r="H1593" s="282" t="s">
        <v>2331</v>
      </c>
      <c r="I1593" s="285"/>
      <c r="J1593" s="282" t="s">
        <v>156</v>
      </c>
      <c r="K1593" s="283" t="s">
        <v>2332</v>
      </c>
      <c r="L1593" s="286" t="s">
        <v>321</v>
      </c>
      <c r="M1593" s="287"/>
      <c r="N1593" s="287">
        <v>25.9</v>
      </c>
      <c r="O1593" s="287"/>
      <c r="P1593" s="287"/>
      <c r="Q1593" s="288">
        <v>25.5</v>
      </c>
      <c r="R1593" s="288">
        <v>27.9</v>
      </c>
      <c r="S1593" s="288">
        <v>-2.44</v>
      </c>
      <c r="T1593" s="288"/>
      <c r="U1593" s="288">
        <v>4.4999999999999998E-2</v>
      </c>
      <c r="V1593" s="289">
        <v>27.9</v>
      </c>
      <c r="W1593" s="289">
        <v>4.4999999999999998E-2</v>
      </c>
      <c r="X1593" s="288">
        <v>0.98455598455598459</v>
      </c>
      <c r="Y1593" s="288">
        <v>1.0772200772200773</v>
      </c>
      <c r="Z1593" s="288">
        <v>-9.4208494208494212E-2</v>
      </c>
      <c r="AA1593" s="288">
        <v>0</v>
      </c>
      <c r="AB1593" s="288">
        <v>1.7374517374517376E-3</v>
      </c>
      <c r="AC1593" s="289">
        <v>1.0772200772200773</v>
      </c>
      <c r="AD1593" s="289">
        <v>1.7374517374517376E-3</v>
      </c>
    </row>
    <row r="1594" spans="1:30" ht="15" customHeight="1" x14ac:dyDescent="0.25">
      <c r="A1594" s="282" t="s">
        <v>2327</v>
      </c>
      <c r="B1594" s="282" t="s">
        <v>2334</v>
      </c>
      <c r="C1594" s="282" t="s">
        <v>2329</v>
      </c>
      <c r="D1594" s="283" t="s">
        <v>2351</v>
      </c>
      <c r="E1594" s="403">
        <v>45124</v>
      </c>
      <c r="F1594" s="403">
        <v>46951</v>
      </c>
      <c r="G1594" s="283" t="s">
        <v>154</v>
      </c>
      <c r="H1594" s="282" t="s">
        <v>2331</v>
      </c>
      <c r="I1594" s="285"/>
      <c r="J1594" s="282" t="s">
        <v>156</v>
      </c>
      <c r="K1594" s="283" t="s">
        <v>2332</v>
      </c>
      <c r="L1594" s="286" t="s">
        <v>321</v>
      </c>
      <c r="M1594" s="287"/>
      <c r="N1594" s="287">
        <v>7.2</v>
      </c>
      <c r="O1594" s="287"/>
      <c r="P1594" s="287"/>
      <c r="Q1594" s="288">
        <v>5.19</v>
      </c>
      <c r="R1594" s="288">
        <v>5.71</v>
      </c>
      <c r="S1594" s="288">
        <v>-0.52700000000000002</v>
      </c>
      <c r="T1594" s="288"/>
      <c r="U1594" s="288">
        <v>4.4999999999999998E-2</v>
      </c>
      <c r="V1594" s="289">
        <v>5.71</v>
      </c>
      <c r="W1594" s="289">
        <v>4.4999999999999998E-2</v>
      </c>
      <c r="X1594" s="288">
        <v>0.72083333333333333</v>
      </c>
      <c r="Y1594" s="288">
        <v>0.79305555555555551</v>
      </c>
      <c r="Z1594" s="288">
        <v>-7.3194444444444451E-2</v>
      </c>
      <c r="AA1594" s="288">
        <v>0</v>
      </c>
      <c r="AB1594" s="288">
        <v>6.2499999999999995E-3</v>
      </c>
      <c r="AC1594" s="289">
        <v>0.79305555555555551</v>
      </c>
      <c r="AD1594" s="289">
        <v>6.2499999999999995E-3</v>
      </c>
    </row>
    <row r="1595" spans="1:30" ht="15" customHeight="1" x14ac:dyDescent="0.25">
      <c r="A1595" s="282" t="s">
        <v>2327</v>
      </c>
      <c r="B1595" s="282" t="s">
        <v>2337</v>
      </c>
      <c r="C1595" s="282" t="s">
        <v>2329</v>
      </c>
      <c r="D1595" s="283" t="s">
        <v>2352</v>
      </c>
      <c r="E1595" s="403">
        <v>45124</v>
      </c>
      <c r="F1595" s="403">
        <v>46951</v>
      </c>
      <c r="G1595" s="283" t="s">
        <v>154</v>
      </c>
      <c r="H1595" s="282" t="s">
        <v>2331</v>
      </c>
      <c r="I1595" s="285"/>
      <c r="J1595" s="282" t="s">
        <v>156</v>
      </c>
      <c r="K1595" s="283" t="s">
        <v>2332</v>
      </c>
      <c r="L1595" s="286" t="s">
        <v>321</v>
      </c>
      <c r="M1595" s="287"/>
      <c r="N1595" s="287">
        <v>10.199999999999999</v>
      </c>
      <c r="O1595" s="287"/>
      <c r="P1595" s="287"/>
      <c r="Q1595" s="288">
        <v>8.93</v>
      </c>
      <c r="R1595" s="288">
        <v>9.7899999999999991</v>
      </c>
      <c r="S1595" s="288">
        <v>-0.86799999999999999</v>
      </c>
      <c r="T1595" s="288"/>
      <c r="U1595" s="288">
        <v>4.4999999999999998E-2</v>
      </c>
      <c r="V1595" s="289">
        <v>9.7899999999999991</v>
      </c>
      <c r="W1595" s="289">
        <v>4.4999999999999998E-2</v>
      </c>
      <c r="X1595" s="288">
        <v>0.87549019607843137</v>
      </c>
      <c r="Y1595" s="288">
        <v>0.95980392156862748</v>
      </c>
      <c r="Z1595" s="288">
        <v>-8.5098039215686275E-2</v>
      </c>
      <c r="AA1595" s="288">
        <v>0</v>
      </c>
      <c r="AB1595" s="288">
        <v>4.4117647058823529E-3</v>
      </c>
      <c r="AC1595" s="289">
        <v>0.95980392156862748</v>
      </c>
      <c r="AD1595" s="289">
        <v>4.4117647058823529E-3</v>
      </c>
    </row>
    <row r="1596" spans="1:30" ht="15" customHeight="1" x14ac:dyDescent="0.25">
      <c r="A1596" s="282" t="s">
        <v>2327</v>
      </c>
      <c r="B1596" s="282" t="s">
        <v>2328</v>
      </c>
      <c r="C1596" s="282" t="s">
        <v>2329</v>
      </c>
      <c r="D1596" s="283" t="s">
        <v>2353</v>
      </c>
      <c r="E1596" s="403">
        <v>45124</v>
      </c>
      <c r="F1596" s="403">
        <v>46951</v>
      </c>
      <c r="G1596" s="283" t="s">
        <v>154</v>
      </c>
      <c r="H1596" s="282" t="s">
        <v>2331</v>
      </c>
      <c r="I1596" s="285"/>
      <c r="J1596" s="282" t="s">
        <v>156</v>
      </c>
      <c r="K1596" s="283" t="s">
        <v>2332</v>
      </c>
      <c r="L1596" s="286" t="s">
        <v>321</v>
      </c>
      <c r="M1596" s="287"/>
      <c r="N1596" s="287">
        <v>20.019938461538501</v>
      </c>
      <c r="O1596" s="287"/>
      <c r="P1596" s="287"/>
      <c r="Q1596" s="288">
        <v>7.44</v>
      </c>
      <c r="R1596" s="288">
        <v>8.15</v>
      </c>
      <c r="S1596" s="288">
        <v>-0.70499999999999996</v>
      </c>
      <c r="T1596" s="288"/>
      <c r="U1596" s="288">
        <v>4.4999999999999998E-2</v>
      </c>
      <c r="V1596" s="289">
        <v>8.15</v>
      </c>
      <c r="W1596" s="289">
        <v>4.4999999999999998E-2</v>
      </c>
      <c r="X1596" s="288">
        <v>0.37162951396146537</v>
      </c>
      <c r="Y1596" s="288">
        <v>0.40709415843897084</v>
      </c>
      <c r="Z1596" s="288">
        <v>-3.5214893460058211E-2</v>
      </c>
      <c r="AA1596" s="288">
        <v>0</v>
      </c>
      <c r="AB1596" s="288">
        <v>2.2477591570249922E-3</v>
      </c>
      <c r="AC1596" s="289">
        <v>0.4070941584389709</v>
      </c>
      <c r="AD1596" s="289">
        <v>2.2477591570249922E-3</v>
      </c>
    </row>
    <row r="1597" spans="1:30" ht="15" customHeight="1" x14ac:dyDescent="0.25">
      <c r="A1597" s="282" t="s">
        <v>2327</v>
      </c>
      <c r="B1597" s="282" t="s">
        <v>2337</v>
      </c>
      <c r="C1597" s="282" t="s">
        <v>2329</v>
      </c>
      <c r="D1597" s="283" t="s">
        <v>2354</v>
      </c>
      <c r="E1597" s="403">
        <v>45124</v>
      </c>
      <c r="F1597" s="403">
        <v>46951</v>
      </c>
      <c r="G1597" s="283" t="s">
        <v>154</v>
      </c>
      <c r="H1597" s="282" t="s">
        <v>2331</v>
      </c>
      <c r="I1597" s="285"/>
      <c r="J1597" s="282" t="s">
        <v>156</v>
      </c>
      <c r="K1597" s="283" t="s">
        <v>2332</v>
      </c>
      <c r="L1597" s="286" t="s">
        <v>321</v>
      </c>
      <c r="M1597" s="287"/>
      <c r="N1597" s="287">
        <v>5.4</v>
      </c>
      <c r="O1597" s="287"/>
      <c r="P1597" s="287"/>
      <c r="Q1597" s="288">
        <v>4.09</v>
      </c>
      <c r="R1597" s="288">
        <v>4.5</v>
      </c>
      <c r="S1597" s="288">
        <v>-0.41099999999999998</v>
      </c>
      <c r="T1597" s="288"/>
      <c r="U1597" s="288">
        <v>4.4999999999999998E-2</v>
      </c>
      <c r="V1597" s="289">
        <v>4.5</v>
      </c>
      <c r="W1597" s="289">
        <v>4.4999999999999998E-2</v>
      </c>
      <c r="X1597" s="288">
        <v>0.75740740740740731</v>
      </c>
      <c r="Y1597" s="288">
        <v>0.83333333333333326</v>
      </c>
      <c r="Z1597" s="288">
        <v>-7.6111111111111102E-2</v>
      </c>
      <c r="AA1597" s="288">
        <v>0</v>
      </c>
      <c r="AB1597" s="288">
        <v>8.3333333333333332E-3</v>
      </c>
      <c r="AC1597" s="289">
        <v>0.83333333333333326</v>
      </c>
      <c r="AD1597" s="289">
        <v>8.3333333333333332E-3</v>
      </c>
    </row>
    <row r="1598" spans="1:30" ht="15" customHeight="1" x14ac:dyDescent="0.25">
      <c r="A1598" s="282" t="s">
        <v>2327</v>
      </c>
      <c r="B1598" s="282" t="s">
        <v>2337</v>
      </c>
      <c r="C1598" s="282" t="s">
        <v>2329</v>
      </c>
      <c r="D1598" s="283" t="s">
        <v>2355</v>
      </c>
      <c r="E1598" s="403">
        <v>45124</v>
      </c>
      <c r="F1598" s="403">
        <v>46951</v>
      </c>
      <c r="G1598" s="283" t="s">
        <v>154</v>
      </c>
      <c r="H1598" s="282" t="s">
        <v>2331</v>
      </c>
      <c r="I1598" s="285"/>
      <c r="J1598" s="282" t="s">
        <v>156</v>
      </c>
      <c r="K1598" s="283" t="s">
        <v>2332</v>
      </c>
      <c r="L1598" s="286" t="s">
        <v>321</v>
      </c>
      <c r="M1598" s="287"/>
      <c r="N1598" s="287">
        <v>7.2</v>
      </c>
      <c r="O1598" s="287"/>
      <c r="P1598" s="287"/>
      <c r="Q1598" s="288">
        <v>6.05</v>
      </c>
      <c r="R1598" s="288">
        <v>6.62</v>
      </c>
      <c r="S1598" s="288">
        <v>-0.57099999999999995</v>
      </c>
      <c r="T1598" s="288"/>
      <c r="U1598" s="288">
        <v>4.4999999999999998E-2</v>
      </c>
      <c r="V1598" s="289">
        <v>6.62</v>
      </c>
      <c r="W1598" s="289">
        <v>4.4999999999999998E-2</v>
      </c>
      <c r="X1598" s="288">
        <v>0.84027777777777768</v>
      </c>
      <c r="Y1598" s="288">
        <v>0.9194444444444444</v>
      </c>
      <c r="Z1598" s="288">
        <v>-7.9305555555555546E-2</v>
      </c>
      <c r="AA1598" s="288">
        <v>0</v>
      </c>
      <c r="AB1598" s="288">
        <v>6.2499999999999995E-3</v>
      </c>
      <c r="AC1598" s="289">
        <v>0.9194444444444444</v>
      </c>
      <c r="AD1598" s="289">
        <v>6.2499999999999995E-3</v>
      </c>
    </row>
    <row r="1599" spans="1:30" ht="15" customHeight="1" x14ac:dyDescent="0.25">
      <c r="A1599" s="282" t="s">
        <v>2327</v>
      </c>
      <c r="B1599" s="282" t="s">
        <v>2337</v>
      </c>
      <c r="C1599" s="282" t="s">
        <v>2329</v>
      </c>
      <c r="D1599" s="283" t="s">
        <v>2356</v>
      </c>
      <c r="E1599" s="403">
        <v>45124</v>
      </c>
      <c r="F1599" s="403">
        <v>46951</v>
      </c>
      <c r="G1599" s="283" t="s">
        <v>154</v>
      </c>
      <c r="H1599" s="282" t="s">
        <v>2331</v>
      </c>
      <c r="I1599" s="285"/>
      <c r="J1599" s="282" t="s">
        <v>156</v>
      </c>
      <c r="K1599" s="283" t="s">
        <v>2332</v>
      </c>
      <c r="L1599" s="286" t="s">
        <v>321</v>
      </c>
      <c r="M1599" s="287"/>
      <c r="N1599" s="287">
        <v>5.4</v>
      </c>
      <c r="O1599" s="287"/>
      <c r="P1599" s="287"/>
      <c r="Q1599" s="288">
        <v>4.2300000000000004</v>
      </c>
      <c r="R1599" s="288">
        <v>4.62</v>
      </c>
      <c r="S1599" s="288">
        <v>-0.39200000000000002</v>
      </c>
      <c r="T1599" s="288"/>
      <c r="U1599" s="288">
        <v>4.4999999999999998E-2</v>
      </c>
      <c r="V1599" s="289">
        <v>4.62</v>
      </c>
      <c r="W1599" s="289">
        <v>4.4999999999999998E-2</v>
      </c>
      <c r="X1599" s="288">
        <v>0.78333333333333333</v>
      </c>
      <c r="Y1599" s="288">
        <v>0.85555555555555551</v>
      </c>
      <c r="Z1599" s="288">
        <v>-7.2592592592592597E-2</v>
      </c>
      <c r="AA1599" s="288">
        <v>0</v>
      </c>
      <c r="AB1599" s="288">
        <v>8.3333333333333332E-3</v>
      </c>
      <c r="AC1599" s="289">
        <v>0.8555555555555554</v>
      </c>
      <c r="AD1599" s="289">
        <v>8.3333333333333332E-3</v>
      </c>
    </row>
    <row r="1600" spans="1:30" ht="15" customHeight="1" x14ac:dyDescent="0.25">
      <c r="A1600" s="282" t="s">
        <v>2327</v>
      </c>
      <c r="B1600" s="282" t="s">
        <v>2337</v>
      </c>
      <c r="C1600" s="282" t="s">
        <v>2329</v>
      </c>
      <c r="D1600" s="283" t="s">
        <v>2357</v>
      </c>
      <c r="E1600" s="403">
        <v>45124</v>
      </c>
      <c r="F1600" s="403">
        <v>46951</v>
      </c>
      <c r="G1600" s="283" t="s">
        <v>154</v>
      </c>
      <c r="H1600" s="282" t="s">
        <v>2331</v>
      </c>
      <c r="I1600" s="285"/>
      <c r="J1600" s="282" t="s">
        <v>156</v>
      </c>
      <c r="K1600" s="283" t="s">
        <v>2332</v>
      </c>
      <c r="L1600" s="286" t="s">
        <v>321</v>
      </c>
      <c r="M1600" s="287"/>
      <c r="N1600" s="287">
        <v>15.4</v>
      </c>
      <c r="O1600" s="287"/>
      <c r="P1600" s="287"/>
      <c r="Q1600" s="288">
        <v>13.8</v>
      </c>
      <c r="R1600" s="288">
        <v>14.9</v>
      </c>
      <c r="S1600" s="288">
        <v>-1.1299999999999999</v>
      </c>
      <c r="T1600" s="288"/>
      <c r="U1600" s="288">
        <v>4.4999999999999998E-2</v>
      </c>
      <c r="V1600" s="289">
        <v>14.899999999999999</v>
      </c>
      <c r="W1600" s="289">
        <v>4.4999999999999998E-2</v>
      </c>
      <c r="X1600" s="288">
        <v>0.89610389610389618</v>
      </c>
      <c r="Y1600" s="288">
        <v>0.96753246753246758</v>
      </c>
      <c r="Z1600" s="288">
        <v>-7.3376623376623373E-2</v>
      </c>
      <c r="AA1600" s="288">
        <v>0</v>
      </c>
      <c r="AB1600" s="288">
        <v>2.9220779220779218E-3</v>
      </c>
      <c r="AC1600" s="289">
        <v>0.96753246753246747</v>
      </c>
      <c r="AD1600" s="289">
        <v>2.9220779220779218E-3</v>
      </c>
    </row>
    <row r="1601" spans="1:30" ht="15" customHeight="1" x14ac:dyDescent="0.25">
      <c r="A1601" s="282" t="s">
        <v>2327</v>
      </c>
      <c r="B1601" s="282" t="s">
        <v>2337</v>
      </c>
      <c r="C1601" s="282" t="s">
        <v>2329</v>
      </c>
      <c r="D1601" s="283" t="s">
        <v>2358</v>
      </c>
      <c r="E1601" s="403">
        <v>45124</v>
      </c>
      <c r="F1601" s="403">
        <v>46951</v>
      </c>
      <c r="G1601" s="283" t="s">
        <v>154</v>
      </c>
      <c r="H1601" s="282" t="s">
        <v>2331</v>
      </c>
      <c r="I1601" s="285"/>
      <c r="J1601" s="282" t="s">
        <v>156</v>
      </c>
      <c r="K1601" s="283" t="s">
        <v>2332</v>
      </c>
      <c r="L1601" s="286" t="s">
        <v>321</v>
      </c>
      <c r="M1601" s="287"/>
      <c r="N1601" s="287">
        <v>15.36</v>
      </c>
      <c r="O1601" s="287"/>
      <c r="P1601" s="287"/>
      <c r="Q1601" s="288">
        <v>13.9</v>
      </c>
      <c r="R1601" s="288">
        <v>15</v>
      </c>
      <c r="S1601" s="288">
        <v>-1.1200000000000001</v>
      </c>
      <c r="T1601" s="288"/>
      <c r="U1601" s="288">
        <v>4.4999999999999998E-2</v>
      </c>
      <c r="V1601" s="289">
        <v>15</v>
      </c>
      <c r="W1601" s="289">
        <v>4.4999999999999998E-2</v>
      </c>
      <c r="X1601" s="288">
        <v>0.90494791666666674</v>
      </c>
      <c r="Y1601" s="288">
        <v>0.9765625</v>
      </c>
      <c r="Z1601" s="288">
        <v>-7.2916666666666671E-2</v>
      </c>
      <c r="AA1601" s="288">
        <v>0</v>
      </c>
      <c r="AB1601" s="288">
        <v>2.9296875E-3</v>
      </c>
      <c r="AC1601" s="289">
        <v>0.9765625</v>
      </c>
      <c r="AD1601" s="289">
        <v>2.9296875E-3</v>
      </c>
    </row>
    <row r="1602" spans="1:30" ht="15" customHeight="1" x14ac:dyDescent="0.25">
      <c r="A1602" s="282" t="s">
        <v>2327</v>
      </c>
      <c r="B1602" s="282" t="s">
        <v>2328</v>
      </c>
      <c r="C1602" s="282" t="s">
        <v>2329</v>
      </c>
      <c r="D1602" s="283" t="s">
        <v>2359</v>
      </c>
      <c r="E1602" s="403">
        <v>45124</v>
      </c>
      <c r="F1602" s="403">
        <v>46951</v>
      </c>
      <c r="G1602" s="283" t="s">
        <v>154</v>
      </c>
      <c r="H1602" s="282" t="s">
        <v>2331</v>
      </c>
      <c r="I1602" s="285"/>
      <c r="J1602" s="282" t="s">
        <v>156</v>
      </c>
      <c r="K1602" t="s">
        <v>2332</v>
      </c>
      <c r="L1602" s="286" t="s">
        <v>321</v>
      </c>
      <c r="M1602" s="287"/>
      <c r="N1602" s="287">
        <v>19.3642461538461</v>
      </c>
      <c r="O1602" s="287"/>
      <c r="P1602" s="287"/>
      <c r="Q1602" s="288">
        <v>6.43</v>
      </c>
      <c r="R1602" s="288">
        <v>6.96</v>
      </c>
      <c r="S1602" s="288">
        <v>-0.53600000000000003</v>
      </c>
      <c r="T1602" s="288"/>
      <c r="U1602" s="288">
        <v>4.4999999999999998E-2</v>
      </c>
      <c r="V1602" s="289">
        <v>6.9599999999999991</v>
      </c>
      <c r="W1602" s="289">
        <v>4.4999999999999998E-2</v>
      </c>
      <c r="X1602" s="288">
        <v>0.33205527077659475</v>
      </c>
      <c r="Y1602" s="288">
        <v>0.35942530087171065</v>
      </c>
      <c r="Z1602" s="288">
        <v>-2.7679879492419096E-2</v>
      </c>
      <c r="AA1602" s="288">
        <v>0</v>
      </c>
      <c r="AB1602" s="288">
        <v>2.323870479773991E-3</v>
      </c>
      <c r="AC1602" s="289">
        <v>0.35942530087171065</v>
      </c>
      <c r="AD1602" s="289">
        <v>2.323870479773991E-3</v>
      </c>
    </row>
    <row r="1603" spans="1:30" ht="15" customHeight="1" x14ac:dyDescent="0.25">
      <c r="A1603" s="282" t="s">
        <v>2327</v>
      </c>
      <c r="B1603" s="282" t="s">
        <v>2328</v>
      </c>
      <c r="C1603" s="282" t="s">
        <v>2329</v>
      </c>
      <c r="D1603" s="283" t="s">
        <v>2360</v>
      </c>
      <c r="E1603" s="403">
        <v>45124</v>
      </c>
      <c r="F1603" s="403">
        <v>46951</v>
      </c>
      <c r="G1603" s="283" t="s">
        <v>154</v>
      </c>
      <c r="H1603" s="282" t="s">
        <v>2331</v>
      </c>
      <c r="I1603" s="285"/>
      <c r="J1603" s="282" t="s">
        <v>156</v>
      </c>
      <c r="K1603" s="283" t="s">
        <v>2332</v>
      </c>
      <c r="L1603" s="286" t="s">
        <v>321</v>
      </c>
      <c r="M1603" s="287"/>
      <c r="N1603" s="287">
        <v>19.692092307692299</v>
      </c>
      <c r="O1603" s="287"/>
      <c r="P1603" s="287"/>
      <c r="Q1603" s="288">
        <v>5.59</v>
      </c>
      <c r="R1603" s="288">
        <v>6.05</v>
      </c>
      <c r="S1603" s="288">
        <v>-0.46600000000000003</v>
      </c>
      <c r="T1603" s="288"/>
      <c r="U1603" s="288">
        <v>4.4999999999999998E-2</v>
      </c>
      <c r="V1603" s="289">
        <v>6.05</v>
      </c>
      <c r="W1603" s="289">
        <v>4.4999999999999998E-2</v>
      </c>
      <c r="X1603" s="288">
        <v>0.28387029233132249</v>
      </c>
      <c r="Y1603" s="288">
        <v>0.30722992282728107</v>
      </c>
      <c r="Z1603" s="288">
        <v>-2.3664321328514544E-2</v>
      </c>
      <c r="AA1603" s="288">
        <v>0</v>
      </c>
      <c r="AB1603" s="288">
        <v>2.2851812441698591E-3</v>
      </c>
      <c r="AC1603" s="289">
        <v>0.30722992282728107</v>
      </c>
      <c r="AD1603" s="289">
        <v>2.2851812441698591E-3</v>
      </c>
    </row>
    <row r="1604" spans="1:30" ht="15" customHeight="1" x14ac:dyDescent="0.25">
      <c r="A1604" s="282" t="s">
        <v>2327</v>
      </c>
      <c r="B1604" s="282" t="s">
        <v>2337</v>
      </c>
      <c r="C1604" s="282" t="s">
        <v>2329</v>
      </c>
      <c r="D1604" s="283" t="s">
        <v>2361</v>
      </c>
      <c r="E1604" s="403">
        <v>45124</v>
      </c>
      <c r="F1604" s="403">
        <v>46951</v>
      </c>
      <c r="G1604" s="283" t="s">
        <v>154</v>
      </c>
      <c r="H1604" s="282" t="s">
        <v>2331</v>
      </c>
      <c r="I1604" s="285"/>
      <c r="J1604" s="282" t="s">
        <v>156</v>
      </c>
      <c r="K1604" s="283" t="s">
        <v>2332</v>
      </c>
      <c r="L1604" s="286" t="s">
        <v>321</v>
      </c>
      <c r="M1604" s="287"/>
      <c r="N1604" s="287">
        <v>9.6</v>
      </c>
      <c r="O1604" s="287"/>
      <c r="P1604" s="287"/>
      <c r="Q1604" s="288">
        <v>8.1</v>
      </c>
      <c r="R1604" s="288">
        <v>8.7100000000000009</v>
      </c>
      <c r="S1604" s="288">
        <v>-0.60799999999999998</v>
      </c>
      <c r="T1604" s="288"/>
      <c r="U1604" s="288">
        <v>4.4999999999999998E-2</v>
      </c>
      <c r="V1604" s="289">
        <v>8.7100000000000009</v>
      </c>
      <c r="W1604" s="289">
        <v>4.4999999999999998E-2</v>
      </c>
      <c r="X1604" s="288">
        <v>0.84375</v>
      </c>
      <c r="Y1604" s="288">
        <v>0.90729166666666683</v>
      </c>
      <c r="Z1604" s="288">
        <v>-6.3333333333333339E-2</v>
      </c>
      <c r="AA1604" s="288">
        <v>0</v>
      </c>
      <c r="AB1604" s="288">
        <v>4.6874999999999998E-3</v>
      </c>
      <c r="AC1604" s="289">
        <v>0.90729166666666683</v>
      </c>
      <c r="AD1604" s="289">
        <v>4.6874999999999998E-3</v>
      </c>
    </row>
    <row r="1605" spans="1:30" ht="15" customHeight="1" x14ac:dyDescent="0.25">
      <c r="A1605" s="282" t="s">
        <v>2327</v>
      </c>
      <c r="B1605" s="282" t="s">
        <v>2334</v>
      </c>
      <c r="C1605" s="282" t="s">
        <v>2329</v>
      </c>
      <c r="D1605" s="283" t="s">
        <v>2362</v>
      </c>
      <c r="E1605" s="403">
        <v>45124</v>
      </c>
      <c r="F1605" s="403">
        <v>46951</v>
      </c>
      <c r="G1605" s="283" t="s">
        <v>154</v>
      </c>
      <c r="H1605" s="282" t="s">
        <v>2331</v>
      </c>
      <c r="I1605" s="285"/>
      <c r="J1605" s="282" t="s">
        <v>156</v>
      </c>
      <c r="K1605" s="283" t="s">
        <v>2332</v>
      </c>
      <c r="L1605" s="286" t="s">
        <v>321</v>
      </c>
      <c r="M1605" s="287"/>
      <c r="N1605" s="287">
        <v>5.4</v>
      </c>
      <c r="O1605" s="287"/>
      <c r="P1605" s="287"/>
      <c r="Q1605" s="288">
        <v>4.33</v>
      </c>
      <c r="R1605" s="288">
        <v>4.67</v>
      </c>
      <c r="S1605" s="288">
        <v>-0.34</v>
      </c>
      <c r="T1605" s="288"/>
      <c r="U1605" s="288">
        <v>4.4999999999999998E-2</v>
      </c>
      <c r="V1605" s="289">
        <v>4.67</v>
      </c>
      <c r="W1605" s="289">
        <v>4.4999999999999998E-2</v>
      </c>
      <c r="X1605" s="288">
        <v>0.80185185185185182</v>
      </c>
      <c r="Y1605" s="288">
        <v>0.8648148148148147</v>
      </c>
      <c r="Z1605" s="288">
        <v>-6.2962962962962957E-2</v>
      </c>
      <c r="AA1605" s="288">
        <v>0</v>
      </c>
      <c r="AB1605" s="288">
        <v>8.3333333333333332E-3</v>
      </c>
      <c r="AC1605" s="289">
        <v>0.8648148148148147</v>
      </c>
      <c r="AD1605" s="289">
        <v>8.3333333333333332E-3</v>
      </c>
    </row>
    <row r="1606" spans="1:30" ht="15" customHeight="1" x14ac:dyDescent="0.25">
      <c r="A1606" s="282" t="s">
        <v>2327</v>
      </c>
      <c r="B1606" s="282" t="s">
        <v>2363</v>
      </c>
      <c r="C1606" s="282" t="s">
        <v>2329</v>
      </c>
      <c r="D1606" s="283" t="s">
        <v>2364</v>
      </c>
      <c r="E1606" s="403">
        <v>43623</v>
      </c>
      <c r="F1606" s="403">
        <v>45449</v>
      </c>
      <c r="G1606" s="283" t="s">
        <v>201</v>
      </c>
      <c r="H1606" s="282" t="s">
        <v>2365</v>
      </c>
      <c r="I1606" s="285"/>
      <c r="J1606" s="282" t="s">
        <v>184</v>
      </c>
      <c r="K1606" s="283" t="s">
        <v>2366</v>
      </c>
      <c r="L1606" s="286" t="s">
        <v>321</v>
      </c>
      <c r="M1606" s="287">
        <v>1350</v>
      </c>
      <c r="N1606" s="287">
        <v>8.1</v>
      </c>
      <c r="O1606" s="287" t="s">
        <v>159</v>
      </c>
      <c r="P1606" s="287" t="s">
        <v>159</v>
      </c>
      <c r="Q1606" s="288">
        <v>9.33</v>
      </c>
      <c r="R1606" s="288"/>
      <c r="S1606" s="288"/>
      <c r="T1606" s="288"/>
      <c r="U1606" s="288">
        <v>0</v>
      </c>
      <c r="V1606" s="289">
        <v>9.33</v>
      </c>
      <c r="W1606" s="289">
        <v>0</v>
      </c>
      <c r="X1606" s="288">
        <v>1.1518518518518519</v>
      </c>
      <c r="Y1606" s="288">
        <v>0</v>
      </c>
      <c r="Z1606" s="288">
        <v>0</v>
      </c>
      <c r="AA1606" s="288">
        <v>0</v>
      </c>
      <c r="AB1606" s="288">
        <v>0</v>
      </c>
      <c r="AC1606" s="289">
        <v>1.1518518518518519</v>
      </c>
      <c r="AD1606" s="289">
        <v>0</v>
      </c>
    </row>
    <row r="1607" spans="1:30" ht="15" customHeight="1" x14ac:dyDescent="0.25">
      <c r="A1607" s="282" t="s">
        <v>2327</v>
      </c>
      <c r="B1607" s="282" t="s">
        <v>2337</v>
      </c>
      <c r="C1607" s="282" t="s">
        <v>2329</v>
      </c>
      <c r="D1607" s="283" t="s">
        <v>2367</v>
      </c>
      <c r="E1607" s="403">
        <v>43623</v>
      </c>
      <c r="F1607" s="403">
        <v>45449</v>
      </c>
      <c r="G1607" s="283" t="s">
        <v>201</v>
      </c>
      <c r="H1607" s="282" t="s">
        <v>2365</v>
      </c>
      <c r="I1607" s="285"/>
      <c r="J1607" s="282" t="s">
        <v>184</v>
      </c>
      <c r="K1607" s="283" t="s">
        <v>2366</v>
      </c>
      <c r="L1607" s="286" t="s">
        <v>321</v>
      </c>
      <c r="M1607" s="287">
        <v>1200</v>
      </c>
      <c r="N1607" s="287">
        <v>4.8</v>
      </c>
      <c r="O1607" s="287" t="s">
        <v>159</v>
      </c>
      <c r="P1607" s="287" t="s">
        <v>159</v>
      </c>
      <c r="Q1607" s="288">
        <v>3.51</v>
      </c>
      <c r="R1607" s="288"/>
      <c r="S1607" s="288"/>
      <c r="T1607" s="288"/>
      <c r="U1607" s="288">
        <v>0</v>
      </c>
      <c r="V1607" s="289">
        <v>3.51</v>
      </c>
      <c r="W1607" s="289">
        <v>0</v>
      </c>
      <c r="X1607" s="288">
        <v>0.73124999999999996</v>
      </c>
      <c r="Y1607" s="288">
        <v>0</v>
      </c>
      <c r="Z1607" s="288">
        <v>0</v>
      </c>
      <c r="AA1607" s="288">
        <v>0</v>
      </c>
      <c r="AB1607" s="288">
        <v>0</v>
      </c>
      <c r="AC1607" s="289">
        <v>0.73124999999999996</v>
      </c>
      <c r="AD1607" s="289">
        <v>0</v>
      </c>
    </row>
    <row r="1608" spans="1:30" ht="15" customHeight="1" x14ac:dyDescent="0.25">
      <c r="A1608" s="282" t="s">
        <v>2327</v>
      </c>
      <c r="B1608" s="282" t="s">
        <v>2337</v>
      </c>
      <c r="C1608" s="282" t="s">
        <v>2329</v>
      </c>
      <c r="D1608" s="283" t="s">
        <v>2368</v>
      </c>
      <c r="E1608" s="403">
        <v>43623</v>
      </c>
      <c r="F1608" s="403">
        <v>45449</v>
      </c>
      <c r="G1608" s="283" t="s">
        <v>201</v>
      </c>
      <c r="H1608" s="282" t="s">
        <v>2365</v>
      </c>
      <c r="I1608" s="285"/>
      <c r="J1608" s="282" t="s">
        <v>184</v>
      </c>
      <c r="K1608" s="283" t="s">
        <v>2366</v>
      </c>
      <c r="L1608" s="286" t="s">
        <v>321</v>
      </c>
      <c r="M1608" s="287">
        <v>900</v>
      </c>
      <c r="N1608" s="287">
        <v>5.4</v>
      </c>
      <c r="O1608" s="287" t="s">
        <v>159</v>
      </c>
      <c r="P1608" s="287" t="s">
        <v>159</v>
      </c>
      <c r="Q1608" s="288">
        <v>5.26</v>
      </c>
      <c r="R1608" s="288"/>
      <c r="S1608" s="288"/>
      <c r="T1608" s="288"/>
      <c r="U1608" s="288">
        <v>0</v>
      </c>
      <c r="V1608" s="289">
        <v>5.26</v>
      </c>
      <c r="W1608" s="289">
        <v>0</v>
      </c>
      <c r="X1608" s="288">
        <v>0.97407407407407398</v>
      </c>
      <c r="Y1608" s="288">
        <v>0</v>
      </c>
      <c r="Z1608" s="288">
        <v>0</v>
      </c>
      <c r="AA1608" s="288">
        <v>0</v>
      </c>
      <c r="AB1608" s="288">
        <v>0</v>
      </c>
      <c r="AC1608" s="289">
        <v>0.97407407407407398</v>
      </c>
      <c r="AD1608" s="289">
        <v>0</v>
      </c>
    </row>
    <row r="1609" spans="1:30" ht="15" customHeight="1" x14ac:dyDescent="0.25">
      <c r="A1609" s="282" t="s">
        <v>2327</v>
      </c>
      <c r="B1609" s="282" t="s">
        <v>2337</v>
      </c>
      <c r="C1609" s="282" t="s">
        <v>2329</v>
      </c>
      <c r="D1609" s="283" t="s">
        <v>2369</v>
      </c>
      <c r="E1609" s="403">
        <v>44414</v>
      </c>
      <c r="F1609" s="403">
        <v>46238</v>
      </c>
      <c r="G1609" s="283" t="s">
        <v>226</v>
      </c>
      <c r="H1609" s="282" t="s">
        <v>2370</v>
      </c>
      <c r="I1609" s="285"/>
      <c r="J1609" s="282" t="s">
        <v>184</v>
      </c>
      <c r="K1609" s="283" t="s">
        <v>2371</v>
      </c>
      <c r="L1609" s="286" t="s">
        <v>321</v>
      </c>
      <c r="M1609" s="287" t="s">
        <v>159</v>
      </c>
      <c r="N1609" s="287">
        <v>14.4</v>
      </c>
      <c r="O1609" s="287" t="s">
        <v>159</v>
      </c>
      <c r="P1609" s="287" t="s">
        <v>159</v>
      </c>
      <c r="Q1609" s="288">
        <v>10.8</v>
      </c>
      <c r="R1609" s="288"/>
      <c r="S1609" s="288"/>
      <c r="T1609" s="288"/>
      <c r="U1609" s="288">
        <v>0</v>
      </c>
      <c r="V1609" s="289">
        <v>10.8</v>
      </c>
      <c r="W1609" s="289">
        <v>0</v>
      </c>
      <c r="X1609" s="288">
        <v>0.75</v>
      </c>
      <c r="Y1609" s="288">
        <v>0</v>
      </c>
      <c r="Z1609" s="288">
        <v>0</v>
      </c>
      <c r="AA1609" s="288">
        <v>0</v>
      </c>
      <c r="AB1609" s="288">
        <v>0</v>
      </c>
      <c r="AC1609" s="289">
        <v>0.75</v>
      </c>
      <c r="AD1609" s="289">
        <v>0</v>
      </c>
    </row>
    <row r="1610" spans="1:30" ht="15" customHeight="1" x14ac:dyDescent="0.25">
      <c r="A1610" s="282" t="s">
        <v>2327</v>
      </c>
      <c r="B1610" s="282" t="s">
        <v>2337</v>
      </c>
      <c r="C1610" s="282" t="s">
        <v>2329</v>
      </c>
      <c r="D1610" s="283" t="s">
        <v>2372</v>
      </c>
      <c r="E1610" s="403">
        <v>44414</v>
      </c>
      <c r="F1610" s="403">
        <v>46238</v>
      </c>
      <c r="G1610" s="283" t="s">
        <v>226</v>
      </c>
      <c r="H1610" s="282" t="s">
        <v>2370</v>
      </c>
      <c r="I1610" s="285"/>
      <c r="J1610" s="282" t="s">
        <v>184</v>
      </c>
      <c r="K1610" s="283" t="s">
        <v>2371</v>
      </c>
      <c r="L1610" s="286" t="s">
        <v>321</v>
      </c>
      <c r="M1610" s="287" t="s">
        <v>159</v>
      </c>
      <c r="N1610" s="287">
        <v>18</v>
      </c>
      <c r="O1610" s="287" t="s">
        <v>159</v>
      </c>
      <c r="P1610" s="287" t="s">
        <v>159</v>
      </c>
      <c r="Q1610" s="288">
        <v>13.5</v>
      </c>
      <c r="R1610" s="288"/>
      <c r="S1610" s="288"/>
      <c r="T1610" s="288"/>
      <c r="U1610" s="288">
        <v>0</v>
      </c>
      <c r="V1610" s="289">
        <v>13.5</v>
      </c>
      <c r="W1610" s="289">
        <v>0</v>
      </c>
      <c r="X1610" s="288">
        <v>0.75</v>
      </c>
      <c r="Y1610" s="288">
        <v>0</v>
      </c>
      <c r="Z1610" s="288">
        <v>0</v>
      </c>
      <c r="AA1610" s="288">
        <v>0</v>
      </c>
      <c r="AB1610" s="288">
        <v>0</v>
      </c>
      <c r="AC1610" s="289">
        <v>0.75</v>
      </c>
      <c r="AD1610" s="289">
        <v>0</v>
      </c>
    </row>
    <row r="1611" spans="1:30" ht="15" customHeight="1" x14ac:dyDescent="0.25">
      <c r="A1611" s="282" t="s">
        <v>2327</v>
      </c>
      <c r="B1611" s="282" t="s">
        <v>2337</v>
      </c>
      <c r="C1611" s="282" t="s">
        <v>2329</v>
      </c>
      <c r="D1611" s="283" t="s">
        <v>2373</v>
      </c>
      <c r="E1611" s="403">
        <v>44414</v>
      </c>
      <c r="F1611" s="403">
        <v>46238</v>
      </c>
      <c r="G1611" s="283" t="s">
        <v>226</v>
      </c>
      <c r="H1611" s="282" t="s">
        <v>2370</v>
      </c>
      <c r="I1611" s="285"/>
      <c r="J1611" s="282" t="s">
        <v>184</v>
      </c>
      <c r="K1611" s="283" t="s">
        <v>2371</v>
      </c>
      <c r="L1611" s="286" t="s">
        <v>321</v>
      </c>
      <c r="M1611" s="287" t="s">
        <v>159</v>
      </c>
      <c r="N1611" s="287">
        <v>21.6</v>
      </c>
      <c r="O1611" s="287" t="s">
        <v>159</v>
      </c>
      <c r="P1611" s="287" t="s">
        <v>159</v>
      </c>
      <c r="Q1611" s="288">
        <v>18.100000000000001</v>
      </c>
      <c r="R1611" s="288"/>
      <c r="S1611" s="288"/>
      <c r="T1611" s="288"/>
      <c r="U1611" s="288">
        <v>0</v>
      </c>
      <c r="V1611" s="289">
        <v>18.100000000000001</v>
      </c>
      <c r="W1611" s="289">
        <v>0</v>
      </c>
      <c r="X1611" s="288">
        <v>0.83796296296296302</v>
      </c>
      <c r="Y1611" s="288">
        <v>0</v>
      </c>
      <c r="Z1611" s="288">
        <v>0</v>
      </c>
      <c r="AA1611" s="288">
        <v>0</v>
      </c>
      <c r="AB1611" s="288">
        <v>0</v>
      </c>
      <c r="AC1611" s="289">
        <v>0.83796296296296302</v>
      </c>
      <c r="AD1611" s="289">
        <v>0</v>
      </c>
    </row>
    <row r="1612" spans="1:30" ht="15" customHeight="1" x14ac:dyDescent="0.25">
      <c r="A1612" s="282" t="s">
        <v>2374</v>
      </c>
      <c r="B1612" s="282" t="s">
        <v>2375</v>
      </c>
      <c r="C1612" s="282" t="s">
        <v>2375</v>
      </c>
      <c r="D1612" s="286" t="s">
        <v>2376</v>
      </c>
      <c r="E1612" s="403">
        <v>43077</v>
      </c>
      <c r="F1612" s="403">
        <v>44903</v>
      </c>
      <c r="G1612" s="283" t="s">
        <v>154</v>
      </c>
      <c r="H1612" s="282" t="s">
        <v>2377</v>
      </c>
      <c r="I1612" s="282" t="s">
        <v>1600</v>
      </c>
      <c r="J1612" s="282" t="s">
        <v>156</v>
      </c>
      <c r="K1612" s="283" t="s">
        <v>2378</v>
      </c>
      <c r="L1612" s="292" t="s">
        <v>574</v>
      </c>
      <c r="M1612" s="293">
        <v>705</v>
      </c>
      <c r="N1612" s="293">
        <v>705</v>
      </c>
      <c r="O1612" s="287"/>
      <c r="P1612" s="287"/>
      <c r="Q1612" s="288">
        <v>-187.06534090909091</v>
      </c>
      <c r="R1612" s="288">
        <v>849.20454545454504</v>
      </c>
      <c r="S1612" s="288">
        <v>-1037.4715909090908</v>
      </c>
      <c r="T1612" s="288"/>
      <c r="U1612" s="288">
        <v>1202.0249999999999</v>
      </c>
      <c r="V1612" s="289">
        <v>1013.7579545454541</v>
      </c>
      <c r="W1612" s="289">
        <v>1202.0249999999999</v>
      </c>
      <c r="X1612" s="288">
        <v>-0.26534090909090907</v>
      </c>
      <c r="Y1612" s="288">
        <v>1.2045454545454539</v>
      </c>
      <c r="Z1612" s="288">
        <v>-1.4715909090909089</v>
      </c>
      <c r="AA1612" s="288">
        <v>0</v>
      </c>
      <c r="AB1612" s="288">
        <v>1.7049999999999998</v>
      </c>
      <c r="AC1612" s="289">
        <v>1.4379545454545448</v>
      </c>
      <c r="AD1612" s="289">
        <v>1.7049999999999998</v>
      </c>
    </row>
    <row r="1613" spans="1:30" ht="15" customHeight="1" x14ac:dyDescent="0.25">
      <c r="A1613" s="282" t="s">
        <v>2374</v>
      </c>
      <c r="B1613" s="282" t="s">
        <v>2375</v>
      </c>
      <c r="C1613" s="282" t="s">
        <v>2375</v>
      </c>
      <c r="D1613" s="286" t="s">
        <v>2379</v>
      </c>
      <c r="E1613" s="403">
        <v>43077</v>
      </c>
      <c r="F1613" s="403">
        <v>44903</v>
      </c>
      <c r="G1613" s="283" t="s">
        <v>154</v>
      </c>
      <c r="H1613" s="282" t="s">
        <v>2377</v>
      </c>
      <c r="I1613" s="282" t="s">
        <v>1600</v>
      </c>
      <c r="J1613" s="282" t="s">
        <v>156</v>
      </c>
      <c r="K1613" s="283" t="s">
        <v>2378</v>
      </c>
      <c r="L1613" s="292" t="s">
        <v>574</v>
      </c>
      <c r="M1613" s="293">
        <v>722</v>
      </c>
      <c r="N1613" s="293">
        <v>722</v>
      </c>
      <c r="O1613" s="287"/>
      <c r="P1613" s="287"/>
      <c r="Q1613" s="288">
        <v>-515.95230769230761</v>
      </c>
      <c r="R1613" s="288">
        <v>572.04615384615386</v>
      </c>
      <c r="S1613" s="288">
        <v>-1088.5538461538463</v>
      </c>
      <c r="T1613" s="288"/>
      <c r="U1613" s="288">
        <v>1231.01</v>
      </c>
      <c r="V1613" s="289">
        <v>714.50230769230757</v>
      </c>
      <c r="W1613" s="289">
        <v>1231.01</v>
      </c>
      <c r="X1613" s="288">
        <v>-0.71461538461538454</v>
      </c>
      <c r="Y1613" s="288">
        <v>0.79230769230769227</v>
      </c>
      <c r="Z1613" s="288">
        <v>-1.5076923076923079</v>
      </c>
      <c r="AA1613" s="288">
        <v>0</v>
      </c>
      <c r="AB1613" s="288">
        <v>1.7050000000000001</v>
      </c>
      <c r="AC1613" s="289">
        <v>0.98961538461538445</v>
      </c>
      <c r="AD1613" s="289">
        <v>1.7050000000000001</v>
      </c>
    </row>
    <row r="1614" spans="1:30" ht="15" customHeight="1" x14ac:dyDescent="0.25">
      <c r="A1614" s="282" t="s">
        <v>2374</v>
      </c>
      <c r="B1614" s="282" t="s">
        <v>2375</v>
      </c>
      <c r="C1614" s="282" t="s">
        <v>2375</v>
      </c>
      <c r="D1614" s="286" t="s">
        <v>2380</v>
      </c>
      <c r="E1614" s="403">
        <v>43077</v>
      </c>
      <c r="F1614" s="403">
        <v>44903</v>
      </c>
      <c r="G1614" s="283" t="s">
        <v>154</v>
      </c>
      <c r="H1614" s="282" t="s">
        <v>2377</v>
      </c>
      <c r="I1614" s="282" t="s">
        <v>1600</v>
      </c>
      <c r="J1614" s="282" t="s">
        <v>156</v>
      </c>
      <c r="K1614" s="283" t="s">
        <v>2378</v>
      </c>
      <c r="L1614" s="292" t="s">
        <v>574</v>
      </c>
      <c r="M1614" s="293">
        <v>732</v>
      </c>
      <c r="N1614" s="293">
        <v>732</v>
      </c>
      <c r="O1614" s="287"/>
      <c r="P1614" s="287"/>
      <c r="Q1614" s="288">
        <v>-325.33333333333337</v>
      </c>
      <c r="R1614" s="288">
        <v>757.02564102564111</v>
      </c>
      <c r="S1614" s="288">
        <v>-1082.3589743589746</v>
      </c>
      <c r="T1614" s="288"/>
      <c r="U1614" s="288">
        <v>1248.06</v>
      </c>
      <c r="V1614" s="289">
        <v>922.72666666666646</v>
      </c>
      <c r="W1614" s="289">
        <v>1248.06</v>
      </c>
      <c r="X1614" s="288">
        <v>-0.44444444444444448</v>
      </c>
      <c r="Y1614" s="288">
        <v>1.0341880341880343</v>
      </c>
      <c r="Z1614" s="288">
        <v>-1.4786324786324789</v>
      </c>
      <c r="AA1614" s="288">
        <v>0</v>
      </c>
      <c r="AB1614" s="288">
        <v>1.7049999999999998</v>
      </c>
      <c r="AC1614" s="289">
        <v>1.2605555555555552</v>
      </c>
      <c r="AD1614" s="289">
        <v>1.7049999999999998</v>
      </c>
    </row>
    <row r="1615" spans="1:30" ht="15" customHeight="1" x14ac:dyDescent="0.25">
      <c r="A1615" s="282" t="s">
        <v>2374</v>
      </c>
      <c r="B1615" s="282" t="s">
        <v>2375</v>
      </c>
      <c r="C1615" s="282" t="s">
        <v>2375</v>
      </c>
      <c r="D1615" s="286" t="s">
        <v>2381</v>
      </c>
      <c r="E1615" s="403">
        <v>43077</v>
      </c>
      <c r="F1615" s="403">
        <v>44903</v>
      </c>
      <c r="G1615" s="283" t="s">
        <v>154</v>
      </c>
      <c r="H1615" s="282" t="s">
        <v>2377</v>
      </c>
      <c r="I1615" s="282" t="s">
        <v>1600</v>
      </c>
      <c r="J1615" s="282" t="s">
        <v>156</v>
      </c>
      <c r="K1615" s="283" t="s">
        <v>2378</v>
      </c>
      <c r="L1615" s="292" t="s">
        <v>574</v>
      </c>
      <c r="M1615" s="293">
        <v>701</v>
      </c>
      <c r="N1615" s="293">
        <v>701</v>
      </c>
      <c r="O1615" s="287"/>
      <c r="P1615" s="287"/>
      <c r="Q1615" s="288">
        <v>-316.45142857142861</v>
      </c>
      <c r="R1615" s="288">
        <v>721.02857142857147</v>
      </c>
      <c r="S1615" s="288">
        <v>-1037.48</v>
      </c>
      <c r="T1615" s="288"/>
      <c r="U1615" s="288">
        <v>1195.2049999999999</v>
      </c>
      <c r="V1615" s="289">
        <v>878.75357142857138</v>
      </c>
      <c r="W1615" s="289">
        <v>1195.2049999999999</v>
      </c>
      <c r="X1615" s="288">
        <v>-0.45142857142857146</v>
      </c>
      <c r="Y1615" s="288">
        <v>1.0285714285714287</v>
      </c>
      <c r="Z1615" s="288">
        <v>-1.48</v>
      </c>
      <c r="AA1615" s="288">
        <v>0</v>
      </c>
      <c r="AB1615" s="288">
        <v>1.7049999999999998</v>
      </c>
      <c r="AC1615" s="289">
        <v>1.2535714285714286</v>
      </c>
      <c r="AD1615" s="289">
        <v>1.7049999999999998</v>
      </c>
    </row>
    <row r="1616" spans="1:30" ht="15" customHeight="1" x14ac:dyDescent="0.25">
      <c r="A1616" s="282" t="s">
        <v>2374</v>
      </c>
      <c r="B1616" s="282" t="s">
        <v>2375</v>
      </c>
      <c r="C1616" s="282" t="s">
        <v>2375</v>
      </c>
      <c r="D1616" s="286" t="s">
        <v>2382</v>
      </c>
      <c r="E1616" s="403">
        <v>43077</v>
      </c>
      <c r="F1616" s="403">
        <v>44903</v>
      </c>
      <c r="G1616" s="283" t="s">
        <v>154</v>
      </c>
      <c r="H1616" s="282" t="s">
        <v>2377</v>
      </c>
      <c r="I1616" s="282" t="s">
        <v>1600</v>
      </c>
      <c r="J1616" s="282" t="s">
        <v>156</v>
      </c>
      <c r="K1616" s="283" t="s">
        <v>2378</v>
      </c>
      <c r="L1616" s="292" t="s">
        <v>574</v>
      </c>
      <c r="M1616" s="293">
        <v>724</v>
      </c>
      <c r="N1616" s="293">
        <v>724</v>
      </c>
      <c r="O1616" s="287"/>
      <c r="P1616" s="287"/>
      <c r="Q1616" s="288">
        <v>-478.08965517241381</v>
      </c>
      <c r="R1616" s="288">
        <v>604.16551724137935</v>
      </c>
      <c r="S1616" s="288">
        <v>-1079.7586206896553</v>
      </c>
      <c r="T1616" s="288"/>
      <c r="U1616" s="288">
        <v>1234.4199999999998</v>
      </c>
      <c r="V1616" s="289">
        <v>758.82689655172385</v>
      </c>
      <c r="W1616" s="289">
        <v>1234.4199999999998</v>
      </c>
      <c r="X1616" s="288">
        <v>-0.66034482758620694</v>
      </c>
      <c r="Y1616" s="288">
        <v>0.83448275862068966</v>
      </c>
      <c r="Z1616" s="288">
        <v>-1.4913793103448278</v>
      </c>
      <c r="AA1616" s="288">
        <v>0</v>
      </c>
      <c r="AB1616" s="288">
        <v>1.7049999999999998</v>
      </c>
      <c r="AC1616" s="289">
        <v>1.0481034482758615</v>
      </c>
      <c r="AD1616" s="289">
        <v>1.7049999999999998</v>
      </c>
    </row>
    <row r="1617" spans="1:30" ht="15" customHeight="1" x14ac:dyDescent="0.25">
      <c r="A1617" s="282" t="s">
        <v>2374</v>
      </c>
      <c r="B1617" s="282" t="s">
        <v>2375</v>
      </c>
      <c r="C1617" s="282" t="s">
        <v>2375</v>
      </c>
      <c r="D1617" s="286" t="s">
        <v>2383</v>
      </c>
      <c r="E1617" s="403">
        <v>43077</v>
      </c>
      <c r="F1617" s="403">
        <v>44903</v>
      </c>
      <c r="G1617" s="283" t="s">
        <v>154</v>
      </c>
      <c r="H1617" s="282" t="s">
        <v>2377</v>
      </c>
      <c r="I1617" s="282" t="s">
        <v>1600</v>
      </c>
      <c r="J1617" s="282" t="s">
        <v>156</v>
      </c>
      <c r="K1617" s="283" t="s">
        <v>2378</v>
      </c>
      <c r="L1617" s="292" t="s">
        <v>574</v>
      </c>
      <c r="M1617" s="293">
        <v>721</v>
      </c>
      <c r="N1617" s="293">
        <v>721</v>
      </c>
      <c r="O1617" s="287"/>
      <c r="P1617" s="287"/>
      <c r="Q1617" s="288">
        <v>-196.88846153846151</v>
      </c>
      <c r="R1617" s="288">
        <v>870.74615384615379</v>
      </c>
      <c r="S1617" s="288">
        <v>-1064.8615384615384</v>
      </c>
      <c r="T1617" s="288"/>
      <c r="U1617" s="288">
        <v>1229.3050000000001</v>
      </c>
      <c r="V1617" s="289">
        <v>1035.1896153846155</v>
      </c>
      <c r="W1617" s="289">
        <v>1229.3050000000001</v>
      </c>
      <c r="X1617" s="288">
        <v>-0.27307692307692305</v>
      </c>
      <c r="Y1617" s="288">
        <v>1.2076923076923076</v>
      </c>
      <c r="Z1617" s="288">
        <v>-1.4769230769230768</v>
      </c>
      <c r="AA1617" s="288">
        <v>0</v>
      </c>
      <c r="AB1617" s="288">
        <v>1.7050000000000001</v>
      </c>
      <c r="AC1617" s="289">
        <v>1.4357692307692309</v>
      </c>
      <c r="AD1617" s="289">
        <v>1.7050000000000001</v>
      </c>
    </row>
    <row r="1618" spans="1:30" ht="15" customHeight="1" x14ac:dyDescent="0.25">
      <c r="A1618" s="282" t="s">
        <v>2384</v>
      </c>
      <c r="B1618" s="282" t="s">
        <v>2385</v>
      </c>
      <c r="C1618" s="282" t="s">
        <v>2386</v>
      </c>
      <c r="D1618" s="283" t="s">
        <v>2387</v>
      </c>
      <c r="E1618" s="403">
        <v>45310</v>
      </c>
      <c r="F1618" s="403">
        <v>47136</v>
      </c>
      <c r="G1618" s="283" t="s">
        <v>2202</v>
      </c>
      <c r="H1618" s="282" t="s">
        <v>2388</v>
      </c>
      <c r="I1618" s="285"/>
      <c r="J1618" s="282" t="s">
        <v>2290</v>
      </c>
      <c r="K1618" s="283" t="s">
        <v>2389</v>
      </c>
      <c r="L1618" s="286" t="s">
        <v>321</v>
      </c>
      <c r="M1618" s="287" t="s">
        <v>159</v>
      </c>
      <c r="N1618" s="287">
        <v>8.6</v>
      </c>
      <c r="O1618" s="287" t="s">
        <v>159</v>
      </c>
      <c r="P1618" s="287" t="s">
        <v>159</v>
      </c>
      <c r="Q1618" s="288">
        <v>1.37</v>
      </c>
      <c r="R1618" s="288">
        <v>12.9</v>
      </c>
      <c r="S1618" s="288">
        <v>-11.7</v>
      </c>
      <c r="T1618" s="288">
        <v>0.13200000000000001</v>
      </c>
      <c r="U1618" s="288">
        <v>9.0933333333333337</v>
      </c>
      <c r="V1618" s="289">
        <v>13.032</v>
      </c>
      <c r="W1618" s="289">
        <v>9.0933333333333337</v>
      </c>
      <c r="X1618" s="288">
        <v>0.15930232558139537</v>
      </c>
      <c r="Y1618" s="288">
        <v>1.5</v>
      </c>
      <c r="Z1618" s="288">
        <v>-1.3604651162790697</v>
      </c>
      <c r="AA1618" s="288">
        <v>1.5348837209302328E-2</v>
      </c>
      <c r="AB1618" s="288">
        <v>1.0573643410852713</v>
      </c>
      <c r="AC1618" s="289">
        <v>1.5153488372093022</v>
      </c>
      <c r="AD1618" s="289">
        <v>1.0573643410852713</v>
      </c>
    </row>
    <row r="1619" spans="1:30" ht="15" customHeight="1" x14ac:dyDescent="0.25">
      <c r="A1619" s="282" t="s">
        <v>2384</v>
      </c>
      <c r="B1619" s="282" t="s">
        <v>2390</v>
      </c>
      <c r="C1619" s="282" t="s">
        <v>2391</v>
      </c>
      <c r="D1619" s="283" t="s">
        <v>2392</v>
      </c>
      <c r="E1619" s="403">
        <v>45322</v>
      </c>
      <c r="F1619" s="403">
        <v>47149</v>
      </c>
      <c r="G1619" s="283" t="s">
        <v>182</v>
      </c>
      <c r="H1619" s="282" t="s">
        <v>2393</v>
      </c>
      <c r="I1619" s="285"/>
      <c r="J1619" s="282" t="s">
        <v>2290</v>
      </c>
      <c r="K1619" s="283" t="s">
        <v>2394</v>
      </c>
      <c r="L1619" s="286" t="s">
        <v>321</v>
      </c>
      <c r="M1619" s="287" t="s">
        <v>159</v>
      </c>
      <c r="N1619" s="287">
        <v>10.5</v>
      </c>
      <c r="O1619" s="287" t="s">
        <v>159</v>
      </c>
      <c r="P1619" s="287" t="s">
        <v>159</v>
      </c>
      <c r="Q1619" s="288">
        <v>19</v>
      </c>
      <c r="R1619" s="288">
        <v>21</v>
      </c>
      <c r="S1619" s="288">
        <v>-1.03</v>
      </c>
      <c r="T1619" s="288">
        <v>8.8800000000000004E-2</v>
      </c>
      <c r="U1619" s="288">
        <v>0</v>
      </c>
      <c r="V1619" s="289">
        <v>21.088799999999999</v>
      </c>
      <c r="W1619" s="289">
        <v>0</v>
      </c>
      <c r="X1619" s="288">
        <v>1.8095238095238095</v>
      </c>
      <c r="Y1619" s="288">
        <v>2</v>
      </c>
      <c r="Z1619" s="288">
        <v>-9.8095238095238096E-2</v>
      </c>
      <c r="AA1619" s="288">
        <v>8.4571428571428575E-3</v>
      </c>
      <c r="AB1619" s="288">
        <v>0</v>
      </c>
      <c r="AC1619" s="289">
        <v>2.0084571428571429</v>
      </c>
      <c r="AD1619" s="289">
        <v>0</v>
      </c>
    </row>
    <row r="1620" spans="1:30" ht="15" customHeight="1" x14ac:dyDescent="0.25">
      <c r="A1620" s="282" t="s">
        <v>2384</v>
      </c>
      <c r="B1620" s="282" t="s">
        <v>2390</v>
      </c>
      <c r="C1620" s="282" t="s">
        <v>2391</v>
      </c>
      <c r="D1620" s="283" t="s">
        <v>2392</v>
      </c>
      <c r="E1620" s="403">
        <v>45322</v>
      </c>
      <c r="F1620" s="403">
        <v>47149</v>
      </c>
      <c r="G1620" s="283" t="s">
        <v>182</v>
      </c>
      <c r="H1620" s="282" t="s">
        <v>2393</v>
      </c>
      <c r="I1620" s="285"/>
      <c r="J1620" s="282" t="s">
        <v>2290</v>
      </c>
      <c r="K1620" s="283" t="s">
        <v>2394</v>
      </c>
      <c r="L1620" s="286" t="s">
        <v>321</v>
      </c>
      <c r="M1620" s="287" t="s">
        <v>159</v>
      </c>
      <c r="N1620" s="287">
        <v>10.5</v>
      </c>
      <c r="O1620" s="287" t="s">
        <v>159</v>
      </c>
      <c r="P1620" s="287" t="s">
        <v>159</v>
      </c>
      <c r="Q1620" s="288">
        <v>19</v>
      </c>
      <c r="R1620" s="288">
        <v>21</v>
      </c>
      <c r="S1620" s="288">
        <v>-1.03</v>
      </c>
      <c r="T1620" s="288">
        <v>8.8800000000000004E-2</v>
      </c>
      <c r="U1620" s="288">
        <v>0</v>
      </c>
      <c r="V1620" s="289">
        <v>21.088799999999999</v>
      </c>
      <c r="W1620" s="289">
        <v>0</v>
      </c>
      <c r="X1620" s="288">
        <v>1.8095238095238095</v>
      </c>
      <c r="Y1620" s="288">
        <v>2</v>
      </c>
      <c r="Z1620" s="288">
        <v>-9.8095238095238096E-2</v>
      </c>
      <c r="AA1620" s="288">
        <v>8.4571428571428575E-3</v>
      </c>
      <c r="AB1620" s="288">
        <v>0</v>
      </c>
      <c r="AC1620" s="289">
        <v>2.0084571428571429</v>
      </c>
      <c r="AD1620" s="289">
        <v>0</v>
      </c>
    </row>
    <row r="1621" spans="1:30" ht="15" customHeight="1" x14ac:dyDescent="0.25">
      <c r="A1621" s="282" t="s">
        <v>2384</v>
      </c>
      <c r="B1621" s="282" t="s">
        <v>2390</v>
      </c>
      <c r="C1621" s="282" t="s">
        <v>2391</v>
      </c>
      <c r="D1621" s="283" t="s">
        <v>2395</v>
      </c>
      <c r="E1621" s="403">
        <v>45348</v>
      </c>
      <c r="F1621" s="403">
        <v>47175</v>
      </c>
      <c r="G1621" s="283" t="s">
        <v>2396</v>
      </c>
      <c r="H1621" s="282" t="s">
        <v>2397</v>
      </c>
      <c r="I1621" s="285"/>
      <c r="J1621" s="282" t="s">
        <v>2290</v>
      </c>
      <c r="K1621" s="283" t="s">
        <v>2398</v>
      </c>
      <c r="L1621" s="286" t="s">
        <v>321</v>
      </c>
      <c r="M1621" s="287" t="s">
        <v>159</v>
      </c>
      <c r="N1621" s="287">
        <v>10.5</v>
      </c>
      <c r="O1621" s="287" t="s">
        <v>159</v>
      </c>
      <c r="P1621" s="287" t="s">
        <v>159</v>
      </c>
      <c r="Q1621" s="288">
        <v>19</v>
      </c>
      <c r="R1621" s="288">
        <v>21</v>
      </c>
      <c r="S1621" s="288">
        <v>-1.03</v>
      </c>
      <c r="T1621" s="288">
        <v>8.8800000000000004E-2</v>
      </c>
      <c r="U1621" s="288">
        <v>0</v>
      </c>
      <c r="V1621" s="289">
        <v>21.088799999999999</v>
      </c>
      <c r="W1621" s="289">
        <v>0</v>
      </c>
      <c r="X1621" s="288">
        <v>1.8095238095238095</v>
      </c>
      <c r="Y1621" s="288">
        <v>2</v>
      </c>
      <c r="Z1621" s="288">
        <v>-9.8095238095238096E-2</v>
      </c>
      <c r="AA1621" s="288">
        <v>8.4571428571428575E-3</v>
      </c>
      <c r="AB1621" s="288">
        <v>0</v>
      </c>
      <c r="AC1621" s="289">
        <v>2.0084571428571429</v>
      </c>
      <c r="AD1621" s="289">
        <v>0</v>
      </c>
    </row>
    <row r="1622" spans="1:30" ht="15" customHeight="1" x14ac:dyDescent="0.25">
      <c r="A1622" s="282" t="s">
        <v>2384</v>
      </c>
      <c r="B1622" s="282" t="s">
        <v>2390</v>
      </c>
      <c r="C1622" s="282" t="s">
        <v>2391</v>
      </c>
      <c r="D1622" s="283" t="s">
        <v>2399</v>
      </c>
      <c r="E1622" s="403">
        <v>45345</v>
      </c>
      <c r="F1622" s="403">
        <v>47172</v>
      </c>
      <c r="G1622" s="283" t="s">
        <v>2400</v>
      </c>
      <c r="H1622" s="282" t="s">
        <v>2401</v>
      </c>
      <c r="I1622" s="285"/>
      <c r="J1622" s="282" t="s">
        <v>2290</v>
      </c>
      <c r="K1622" s="283" t="s">
        <v>2402</v>
      </c>
      <c r="L1622" s="286" t="s">
        <v>321</v>
      </c>
      <c r="M1622" s="287" t="s">
        <v>159</v>
      </c>
      <c r="N1622" s="287">
        <v>10.5</v>
      </c>
      <c r="O1622" s="287" t="s">
        <v>159</v>
      </c>
      <c r="P1622" s="287" t="s">
        <v>159</v>
      </c>
      <c r="Q1622" s="288">
        <v>19</v>
      </c>
      <c r="R1622" s="288">
        <v>21</v>
      </c>
      <c r="S1622" s="288">
        <v>-1.03</v>
      </c>
      <c r="T1622" s="288">
        <v>8.8800000000000004E-2</v>
      </c>
      <c r="U1622" s="288">
        <v>0</v>
      </c>
      <c r="V1622" s="289">
        <v>21.088799999999999</v>
      </c>
      <c r="W1622" s="289">
        <v>0</v>
      </c>
      <c r="X1622" s="288">
        <v>1.8095238095238095</v>
      </c>
      <c r="Y1622" s="288">
        <v>2</v>
      </c>
      <c r="Z1622" s="288">
        <v>-9.8095238095238096E-2</v>
      </c>
      <c r="AA1622" s="288">
        <v>8.4571428571428575E-3</v>
      </c>
      <c r="AB1622" s="288">
        <v>0</v>
      </c>
      <c r="AC1622" s="289">
        <v>2.0084571428571429</v>
      </c>
      <c r="AD1622" s="289">
        <v>0</v>
      </c>
    </row>
    <row r="1623" spans="1:30" ht="15" customHeight="1" x14ac:dyDescent="0.25">
      <c r="A1623" s="282" t="s">
        <v>2384</v>
      </c>
      <c r="B1623" s="282" t="s">
        <v>2403</v>
      </c>
      <c r="C1623" s="282" t="s">
        <v>260</v>
      </c>
      <c r="D1623" s="283" t="s">
        <v>2404</v>
      </c>
      <c r="E1623" s="403">
        <v>45379</v>
      </c>
      <c r="F1623" s="403" t="s">
        <v>2405</v>
      </c>
      <c r="G1623" s="283" t="s">
        <v>237</v>
      </c>
      <c r="H1623" s="282" t="s">
        <v>2406</v>
      </c>
      <c r="I1623" s="285"/>
      <c r="J1623" s="282" t="s">
        <v>2290</v>
      </c>
      <c r="K1623" s="283" t="s">
        <v>2407</v>
      </c>
      <c r="L1623" s="286" t="s">
        <v>321</v>
      </c>
      <c r="M1623" s="287" t="s">
        <v>159</v>
      </c>
      <c r="N1623" s="287">
        <v>0.9</v>
      </c>
      <c r="O1623" s="287" t="s">
        <v>159</v>
      </c>
      <c r="P1623" s="287" t="s">
        <v>159</v>
      </c>
      <c r="Q1623" s="288">
        <v>3.26</v>
      </c>
      <c r="R1623" s="288">
        <v>3.48</v>
      </c>
      <c r="S1623" s="288">
        <v>-0.22</v>
      </c>
      <c r="T1623" s="288">
        <v>3.2799999999999999E-3</v>
      </c>
      <c r="U1623" s="288">
        <v>0</v>
      </c>
      <c r="V1623" s="289">
        <v>3.4832800000000002</v>
      </c>
      <c r="W1623" s="289">
        <v>0</v>
      </c>
      <c r="X1623" s="288">
        <v>3.6222222222222218</v>
      </c>
      <c r="Y1623" s="288">
        <v>3.8666666666666667</v>
      </c>
      <c r="Z1623" s="288">
        <v>-0.24444444444444444</v>
      </c>
      <c r="AA1623" s="288">
        <v>3.6444444444444441E-3</v>
      </c>
      <c r="AB1623" s="288">
        <v>0</v>
      </c>
      <c r="AC1623" s="289">
        <v>3.870311111111111</v>
      </c>
      <c r="AD1623" s="289">
        <v>0</v>
      </c>
    </row>
    <row r="1624" spans="1:30" ht="15" customHeight="1" x14ac:dyDescent="0.25">
      <c r="A1624" s="282" t="s">
        <v>2384</v>
      </c>
      <c r="B1624" s="282" t="s">
        <v>2408</v>
      </c>
      <c r="C1624" s="282" t="s">
        <v>2409</v>
      </c>
      <c r="D1624" s="283" t="s">
        <v>2410</v>
      </c>
      <c r="E1624" s="403">
        <v>45150</v>
      </c>
      <c r="F1624" s="403">
        <v>46946</v>
      </c>
      <c r="G1624" s="283" t="s">
        <v>231</v>
      </c>
      <c r="H1624" s="282" t="s">
        <v>2411</v>
      </c>
      <c r="I1624" s="285"/>
      <c r="J1624" s="282" t="s">
        <v>2290</v>
      </c>
      <c r="K1624" s="283" t="s">
        <v>2412</v>
      </c>
      <c r="L1624" s="286" t="s">
        <v>321</v>
      </c>
      <c r="M1624" s="287" t="s">
        <v>159</v>
      </c>
      <c r="N1624" s="287">
        <v>1.9000000000000001</v>
      </c>
      <c r="O1624" s="287" t="s">
        <v>159</v>
      </c>
      <c r="P1624" s="287" t="s">
        <v>159</v>
      </c>
      <c r="Q1624" s="288">
        <v>15.7</v>
      </c>
      <c r="R1624" s="288">
        <v>16.100000000000001</v>
      </c>
      <c r="S1624" s="288">
        <v>-0.53300000000000003</v>
      </c>
      <c r="T1624" s="288">
        <v>0.11899999999999999</v>
      </c>
      <c r="U1624" s="288">
        <v>0</v>
      </c>
      <c r="V1624" s="289">
        <v>16.219000000000001</v>
      </c>
      <c r="W1624" s="289">
        <v>0</v>
      </c>
      <c r="X1624" s="288">
        <v>8.2631578947368407</v>
      </c>
      <c r="Y1624" s="288">
        <v>8.4736842105263168</v>
      </c>
      <c r="Z1624" s="288">
        <v>-0.28052631578947368</v>
      </c>
      <c r="AA1624" s="288">
        <v>6.2631578947368413E-2</v>
      </c>
      <c r="AB1624" s="288">
        <v>0</v>
      </c>
      <c r="AC1624" s="289">
        <v>8.5363157894736847</v>
      </c>
      <c r="AD1624" s="289">
        <v>0</v>
      </c>
    </row>
    <row r="1625" spans="1:30" ht="15" customHeight="1" x14ac:dyDescent="0.25">
      <c r="A1625" s="282" t="s">
        <v>2384</v>
      </c>
      <c r="B1625" s="282" t="s">
        <v>2413</v>
      </c>
      <c r="C1625" s="282" t="s">
        <v>2414</v>
      </c>
      <c r="D1625" s="283" t="s">
        <v>2415</v>
      </c>
      <c r="E1625" s="403">
        <v>42809</v>
      </c>
      <c r="F1625" s="403">
        <v>45349</v>
      </c>
      <c r="G1625" s="283" t="s">
        <v>154</v>
      </c>
      <c r="H1625" s="282" t="s">
        <v>2416</v>
      </c>
      <c r="I1625" s="285"/>
      <c r="J1625" s="282" t="s">
        <v>156</v>
      </c>
      <c r="K1625" s="283" t="s">
        <v>2417</v>
      </c>
      <c r="L1625" s="286" t="s">
        <v>321</v>
      </c>
      <c r="M1625" s="287" t="s">
        <v>159</v>
      </c>
      <c r="N1625" s="287">
        <v>38.700000000000003</v>
      </c>
      <c r="O1625" s="287" t="s">
        <v>159</v>
      </c>
      <c r="P1625" s="287" t="s">
        <v>159</v>
      </c>
      <c r="Q1625" s="288">
        <v>35.299999999999997</v>
      </c>
      <c r="R1625" s="288">
        <v>36.4</v>
      </c>
      <c r="S1625" s="288">
        <v>-1.1299999999999999</v>
      </c>
      <c r="T1625" s="288">
        <v>1.35E-2</v>
      </c>
      <c r="U1625" s="288">
        <v>0</v>
      </c>
      <c r="V1625" s="289">
        <v>36.413499999999999</v>
      </c>
      <c r="W1625" s="289">
        <v>0</v>
      </c>
      <c r="X1625" s="288">
        <v>0.91214470284237714</v>
      </c>
      <c r="Y1625" s="288">
        <v>0.94056847545219624</v>
      </c>
      <c r="Z1625" s="288">
        <v>-2.9198966408268728E-2</v>
      </c>
      <c r="AA1625" s="288">
        <v>3.4883720930232553E-4</v>
      </c>
      <c r="AB1625" s="288">
        <v>0</v>
      </c>
      <c r="AC1625" s="289">
        <v>0.94091731266149858</v>
      </c>
      <c r="AD1625" s="289">
        <v>0</v>
      </c>
    </row>
    <row r="1626" spans="1:30" ht="15" customHeight="1" x14ac:dyDescent="0.25">
      <c r="A1626" s="282" t="s">
        <v>2384</v>
      </c>
      <c r="B1626" s="282" t="s">
        <v>2413</v>
      </c>
      <c r="C1626" s="282" t="s">
        <v>2414</v>
      </c>
      <c r="D1626" s="283" t="s">
        <v>2418</v>
      </c>
      <c r="E1626" s="403">
        <v>42809</v>
      </c>
      <c r="F1626" s="403">
        <v>45349</v>
      </c>
      <c r="G1626" s="283" t="s">
        <v>154</v>
      </c>
      <c r="H1626" s="282" t="s">
        <v>2419</v>
      </c>
      <c r="I1626" s="285"/>
      <c r="J1626" s="282" t="s">
        <v>156</v>
      </c>
      <c r="K1626" s="283" t="s">
        <v>2417</v>
      </c>
      <c r="L1626" s="286" t="s">
        <v>321</v>
      </c>
      <c r="M1626" s="287" t="s">
        <v>159</v>
      </c>
      <c r="N1626" s="287">
        <v>38.200000000000003</v>
      </c>
      <c r="O1626" s="287" t="s">
        <v>159</v>
      </c>
      <c r="P1626" s="287" t="s">
        <v>159</v>
      </c>
      <c r="Q1626" s="288">
        <v>32.1</v>
      </c>
      <c r="R1626" s="288">
        <v>33.1</v>
      </c>
      <c r="S1626" s="288">
        <v>-1.01</v>
      </c>
      <c r="T1626" s="288">
        <v>1.1900000000000001E-2</v>
      </c>
      <c r="U1626" s="288">
        <v>0</v>
      </c>
      <c r="V1626" s="289">
        <v>33.111899999999999</v>
      </c>
      <c r="W1626" s="289">
        <v>0</v>
      </c>
      <c r="X1626" s="288">
        <v>0.84031413612565442</v>
      </c>
      <c r="Y1626" s="288">
        <v>0.86649214659685858</v>
      </c>
      <c r="Z1626" s="288">
        <v>-2.6439790575916229E-2</v>
      </c>
      <c r="AA1626" s="288">
        <v>3.1151832460732983E-4</v>
      </c>
      <c r="AB1626" s="288">
        <v>0</v>
      </c>
      <c r="AC1626" s="289">
        <v>0.86680366492146588</v>
      </c>
      <c r="AD1626" s="289">
        <v>0</v>
      </c>
    </row>
    <row r="1627" spans="1:30" ht="15" customHeight="1" x14ac:dyDescent="0.25">
      <c r="A1627" s="282" t="s">
        <v>2384</v>
      </c>
      <c r="B1627" s="282" t="s">
        <v>2413</v>
      </c>
      <c r="C1627" s="282" t="s">
        <v>2414</v>
      </c>
      <c r="D1627" s="283" t="s">
        <v>2420</v>
      </c>
      <c r="E1627" s="403">
        <v>42809</v>
      </c>
      <c r="F1627" s="403">
        <v>45349</v>
      </c>
      <c r="G1627" s="283" t="s">
        <v>154</v>
      </c>
      <c r="H1627" s="282" t="s">
        <v>2421</v>
      </c>
      <c r="I1627" s="285"/>
      <c r="J1627" s="282" t="s">
        <v>156</v>
      </c>
      <c r="K1627" s="283" t="s">
        <v>2417</v>
      </c>
      <c r="L1627" s="286" t="s">
        <v>321</v>
      </c>
      <c r="M1627" s="287" t="s">
        <v>159</v>
      </c>
      <c r="N1627" s="287">
        <v>37.799999999999997</v>
      </c>
      <c r="O1627" s="287" t="s">
        <v>159</v>
      </c>
      <c r="P1627" s="287" t="s">
        <v>159</v>
      </c>
      <c r="Q1627" s="288">
        <v>31.8</v>
      </c>
      <c r="R1627" s="288">
        <v>32.700000000000003</v>
      </c>
      <c r="S1627" s="288">
        <v>-1</v>
      </c>
      <c r="T1627" s="288">
        <v>1.17E-2</v>
      </c>
      <c r="U1627" s="288">
        <v>0</v>
      </c>
      <c r="V1627" s="289">
        <v>32.711700000000008</v>
      </c>
      <c r="W1627" s="289">
        <v>0</v>
      </c>
      <c r="X1627" s="288">
        <v>0.84126984126984139</v>
      </c>
      <c r="Y1627" s="288">
        <v>0.86507936507936523</v>
      </c>
      <c r="Z1627" s="288">
        <v>-2.6455026455026457E-2</v>
      </c>
      <c r="AA1627" s="288">
        <v>3.0952380952380956E-4</v>
      </c>
      <c r="AB1627" s="288">
        <v>0</v>
      </c>
      <c r="AC1627" s="289">
        <v>0.86538888888888899</v>
      </c>
      <c r="AD1627" s="289">
        <v>0</v>
      </c>
    </row>
    <row r="1628" spans="1:30" ht="15" customHeight="1" x14ac:dyDescent="0.25">
      <c r="A1628" s="282" t="s">
        <v>2384</v>
      </c>
      <c r="B1628" s="282" t="s">
        <v>2422</v>
      </c>
      <c r="C1628" s="282" t="s">
        <v>2423</v>
      </c>
      <c r="D1628" s="286" t="s">
        <v>2424</v>
      </c>
      <c r="E1628" s="403">
        <v>43077</v>
      </c>
      <c r="F1628" s="403">
        <v>44903</v>
      </c>
      <c r="G1628" s="283" t="s">
        <v>154</v>
      </c>
      <c r="H1628" s="282" t="s">
        <v>2425</v>
      </c>
      <c r="I1628" s="282" t="s">
        <v>1600</v>
      </c>
      <c r="J1628" s="282" t="s">
        <v>156</v>
      </c>
      <c r="K1628" s="283" t="s">
        <v>2426</v>
      </c>
      <c r="L1628" s="292" t="s">
        <v>574</v>
      </c>
      <c r="M1628" s="293">
        <v>492</v>
      </c>
      <c r="N1628" s="293"/>
      <c r="O1628" s="287"/>
      <c r="P1628" s="287"/>
      <c r="Q1628" s="288">
        <v>-336.4</v>
      </c>
      <c r="R1628" s="288">
        <v>432</v>
      </c>
      <c r="S1628" s="288">
        <v>-772</v>
      </c>
      <c r="T1628" s="288"/>
      <c r="U1628" s="288">
        <v>829.84000000000015</v>
      </c>
      <c r="V1628" s="289">
        <v>489.84000000000015</v>
      </c>
      <c r="W1628" s="289">
        <v>829.84000000000015</v>
      </c>
      <c r="X1628" s="288">
        <v>-0.68373983739837396</v>
      </c>
      <c r="Y1628" s="288">
        <v>0.87804878048780488</v>
      </c>
      <c r="Z1628" s="288">
        <v>-1.5691056910569106</v>
      </c>
      <c r="AA1628" s="288">
        <v>0</v>
      </c>
      <c r="AB1628" s="288">
        <v>1.686666666666667</v>
      </c>
      <c r="AC1628" s="289">
        <v>0.9956097560975613</v>
      </c>
      <c r="AD1628" s="289">
        <v>1.686666666666667</v>
      </c>
    </row>
    <row r="1629" spans="1:30" ht="15" customHeight="1" x14ac:dyDescent="0.25">
      <c r="A1629" s="282" t="s">
        <v>2384</v>
      </c>
      <c r="B1629" s="282" t="s">
        <v>2390</v>
      </c>
      <c r="C1629" s="282" t="s">
        <v>2391</v>
      </c>
      <c r="D1629" s="283" t="s">
        <v>2427</v>
      </c>
      <c r="E1629" s="403">
        <v>45131</v>
      </c>
      <c r="F1629" s="403">
        <v>46958</v>
      </c>
      <c r="G1629" s="283" t="s">
        <v>237</v>
      </c>
      <c r="H1629" s="282" t="s">
        <v>2428</v>
      </c>
      <c r="I1629" s="285"/>
      <c r="J1629" s="282" t="s">
        <v>2290</v>
      </c>
      <c r="K1629" s="283" t="s">
        <v>2429</v>
      </c>
      <c r="L1629" s="286" t="s">
        <v>321</v>
      </c>
      <c r="M1629" s="287" t="s">
        <v>159</v>
      </c>
      <c r="N1629" s="287">
        <v>14.97</v>
      </c>
      <c r="O1629" s="287" t="s">
        <v>159</v>
      </c>
      <c r="P1629" s="287" t="s">
        <v>159</v>
      </c>
      <c r="Q1629" s="288">
        <v>34.1</v>
      </c>
      <c r="R1629" s="288">
        <v>34.200000000000003</v>
      </c>
      <c r="S1629" s="288">
        <v>-0.29399999999999998</v>
      </c>
      <c r="T1629" s="288">
        <v>0.186</v>
      </c>
      <c r="U1629" s="288">
        <v>0</v>
      </c>
      <c r="V1629" s="289">
        <v>34.386000000000003</v>
      </c>
      <c r="W1629" s="289">
        <v>0</v>
      </c>
      <c r="X1629" s="288">
        <v>2.2778891115564464</v>
      </c>
      <c r="Y1629" s="288">
        <v>2.2845691382765532</v>
      </c>
      <c r="Z1629" s="288">
        <v>-1.9639278557114226E-2</v>
      </c>
      <c r="AA1629" s="288">
        <v>1.2424849699398798E-2</v>
      </c>
      <c r="AB1629" s="288">
        <v>0</v>
      </c>
      <c r="AC1629" s="289">
        <v>2.2969939879759522</v>
      </c>
      <c r="AD1629" s="289">
        <v>0</v>
      </c>
    </row>
    <row r="1630" spans="1:30" ht="15" customHeight="1" x14ac:dyDescent="0.25">
      <c r="A1630" s="282" t="s">
        <v>2384</v>
      </c>
      <c r="B1630" s="282" t="s">
        <v>2403</v>
      </c>
      <c r="C1630" s="282" t="s">
        <v>2430</v>
      </c>
      <c r="D1630" s="283" t="s">
        <v>2431</v>
      </c>
      <c r="E1630" s="403">
        <v>45133</v>
      </c>
      <c r="F1630" s="403" t="s">
        <v>2432</v>
      </c>
      <c r="G1630" s="283" t="s">
        <v>237</v>
      </c>
      <c r="H1630" s="282" t="s">
        <v>2433</v>
      </c>
      <c r="I1630" s="285"/>
      <c r="J1630" s="282" t="s">
        <v>2290</v>
      </c>
      <c r="K1630" s="283" t="s">
        <v>2434</v>
      </c>
      <c r="L1630" s="286" t="s">
        <v>321</v>
      </c>
      <c r="M1630" s="287" t="s">
        <v>159</v>
      </c>
      <c r="N1630" s="287">
        <v>2.37</v>
      </c>
      <c r="O1630" s="287" t="s">
        <v>159</v>
      </c>
      <c r="P1630" s="287" t="s">
        <v>159</v>
      </c>
      <c r="Q1630" s="288">
        <v>25.6</v>
      </c>
      <c r="R1630" s="288">
        <v>19.399999999999999</v>
      </c>
      <c r="S1630" s="288">
        <v>5.15</v>
      </c>
      <c r="T1630" s="288">
        <v>1.1100000000000001</v>
      </c>
      <c r="U1630" s="288">
        <v>0</v>
      </c>
      <c r="V1630" s="289">
        <v>25.659999999999997</v>
      </c>
      <c r="W1630" s="289">
        <v>0</v>
      </c>
      <c r="X1630" s="288">
        <v>10.80168776371308</v>
      </c>
      <c r="Y1630" s="288">
        <v>8.1856540084388172</v>
      </c>
      <c r="Z1630" s="288">
        <v>2.1729957805907172</v>
      </c>
      <c r="AA1630" s="288">
        <v>0.46835443037974683</v>
      </c>
      <c r="AB1630" s="288">
        <v>0</v>
      </c>
      <c r="AC1630" s="289">
        <v>10.827004219409282</v>
      </c>
      <c r="AD1630" s="289">
        <v>0</v>
      </c>
    </row>
    <row r="1631" spans="1:30" ht="15" customHeight="1" x14ac:dyDescent="0.25">
      <c r="A1631" s="282" t="s">
        <v>2384</v>
      </c>
      <c r="B1631" s="282" t="s">
        <v>2390</v>
      </c>
      <c r="C1631" s="282" t="s">
        <v>2391</v>
      </c>
      <c r="D1631" s="283" t="s">
        <v>2435</v>
      </c>
      <c r="E1631" s="403">
        <v>45500</v>
      </c>
      <c r="F1631" s="403" t="s">
        <v>2436</v>
      </c>
      <c r="G1631" s="283" t="s">
        <v>182</v>
      </c>
      <c r="H1631" s="282" t="s">
        <v>2437</v>
      </c>
      <c r="I1631" s="285"/>
      <c r="J1631" s="282" t="s">
        <v>2290</v>
      </c>
      <c r="K1631" s="283" t="s">
        <v>2438</v>
      </c>
      <c r="L1631" s="286" t="s">
        <v>321</v>
      </c>
      <c r="M1631" s="287" t="s">
        <v>159</v>
      </c>
      <c r="N1631" s="287">
        <v>10.5</v>
      </c>
      <c r="O1631" s="287" t="s">
        <v>159</v>
      </c>
      <c r="P1631" s="287" t="s">
        <v>159</v>
      </c>
      <c r="Q1631" s="288">
        <v>9.11</v>
      </c>
      <c r="R1631" s="288">
        <v>8.9600000000000009</v>
      </c>
      <c r="S1631" s="288">
        <v>7.6999999999999999E-2</v>
      </c>
      <c r="T1631" s="288">
        <v>7.6799999999999993E-2</v>
      </c>
      <c r="U1631" s="288">
        <v>0</v>
      </c>
      <c r="V1631" s="289">
        <v>9.1138000000000012</v>
      </c>
      <c r="W1631" s="289">
        <v>0</v>
      </c>
      <c r="X1631" s="288">
        <v>0.86761904761904751</v>
      </c>
      <c r="Y1631" s="288">
        <v>0.85333333333333339</v>
      </c>
      <c r="Z1631" s="288">
        <v>7.3333333333333332E-3</v>
      </c>
      <c r="AA1631" s="288">
        <v>7.3142857142857133E-3</v>
      </c>
      <c r="AB1631" s="288">
        <v>0</v>
      </c>
      <c r="AC1631" s="289">
        <v>0.86798095238095241</v>
      </c>
      <c r="AD1631" s="289">
        <v>0</v>
      </c>
    </row>
    <row r="1632" spans="1:30" ht="15" customHeight="1" x14ac:dyDescent="0.25">
      <c r="A1632" s="282" t="s">
        <v>2384</v>
      </c>
      <c r="B1632" s="282" t="s">
        <v>2390</v>
      </c>
      <c r="C1632" s="282" t="s">
        <v>2391</v>
      </c>
      <c r="D1632" s="283" t="s">
        <v>2435</v>
      </c>
      <c r="E1632" s="403">
        <v>45500</v>
      </c>
      <c r="F1632" s="403" t="s">
        <v>2436</v>
      </c>
      <c r="G1632" s="283" t="s">
        <v>182</v>
      </c>
      <c r="H1632" s="282" t="s">
        <v>2437</v>
      </c>
      <c r="I1632" s="285"/>
      <c r="J1632" s="282" t="s">
        <v>2290</v>
      </c>
      <c r="K1632" s="283" t="s">
        <v>2438</v>
      </c>
      <c r="L1632" s="286" t="s">
        <v>321</v>
      </c>
      <c r="M1632" s="287" t="s">
        <v>159</v>
      </c>
      <c r="N1632" s="287">
        <v>10.5</v>
      </c>
      <c r="O1632" s="287" t="s">
        <v>159</v>
      </c>
      <c r="P1632" s="287" t="s">
        <v>159</v>
      </c>
      <c r="Q1632" s="288">
        <v>9.11</v>
      </c>
      <c r="R1632" s="288">
        <v>8.9600000000000009</v>
      </c>
      <c r="S1632" s="288">
        <v>7.6999999999999999E-2</v>
      </c>
      <c r="T1632" s="288">
        <v>7.6799999999999993E-2</v>
      </c>
      <c r="U1632" s="288">
        <v>0</v>
      </c>
      <c r="V1632" s="289">
        <v>9.1138000000000012</v>
      </c>
      <c r="W1632" s="289">
        <v>0</v>
      </c>
      <c r="X1632" s="288">
        <v>0.86761904761904751</v>
      </c>
      <c r="Y1632" s="288">
        <v>0.85333333333333339</v>
      </c>
      <c r="Z1632" s="288">
        <v>7.3333333333333332E-3</v>
      </c>
      <c r="AA1632" s="288">
        <v>7.3142857142857133E-3</v>
      </c>
      <c r="AB1632" s="288">
        <v>0</v>
      </c>
      <c r="AC1632" s="289">
        <v>0.86798095238095241</v>
      </c>
      <c r="AD1632" s="289">
        <v>0</v>
      </c>
    </row>
    <row r="1633" spans="1:30" ht="15" customHeight="1" x14ac:dyDescent="0.25">
      <c r="A1633" s="282" t="s">
        <v>2384</v>
      </c>
      <c r="B1633" s="282" t="s">
        <v>2403</v>
      </c>
      <c r="C1633" s="282" t="s">
        <v>2430</v>
      </c>
      <c r="D1633" s="283" t="s">
        <v>2439</v>
      </c>
      <c r="E1633" s="403">
        <v>45015</v>
      </c>
      <c r="F1633" s="403">
        <v>46756</v>
      </c>
      <c r="G1633" s="283" t="s">
        <v>2440</v>
      </c>
      <c r="H1633" s="282" t="s">
        <v>2441</v>
      </c>
      <c r="I1633" s="285"/>
      <c r="J1633" s="282" t="s">
        <v>2290</v>
      </c>
      <c r="K1633" s="283" t="s">
        <v>2442</v>
      </c>
      <c r="L1633" s="286" t="s">
        <v>321</v>
      </c>
      <c r="M1633" s="287" t="s">
        <v>159</v>
      </c>
      <c r="N1633" s="287">
        <v>4.18</v>
      </c>
      <c r="O1633" s="287" t="s">
        <v>159</v>
      </c>
      <c r="P1633" s="287" t="s">
        <v>159</v>
      </c>
      <c r="Q1633" s="288">
        <v>9.43</v>
      </c>
      <c r="R1633" s="288">
        <v>9.39</v>
      </c>
      <c r="S1633" s="288">
        <v>7.5199999999999998E-3</v>
      </c>
      <c r="T1633" s="288">
        <v>3.49E-2</v>
      </c>
      <c r="U1633" s="288">
        <v>0</v>
      </c>
      <c r="V1633" s="289">
        <v>9.4324200000000005</v>
      </c>
      <c r="W1633" s="289">
        <v>0</v>
      </c>
      <c r="X1633" s="288">
        <v>2.2559808612440193</v>
      </c>
      <c r="Y1633" s="288">
        <v>2.2464114832535889</v>
      </c>
      <c r="Z1633" s="288">
        <v>1.799043062200957E-3</v>
      </c>
      <c r="AA1633" s="288">
        <v>8.3492822966507192E-3</v>
      </c>
      <c r="AB1633" s="288">
        <v>0</v>
      </c>
      <c r="AC1633" s="289">
        <v>2.2565598086124408</v>
      </c>
      <c r="AD1633" s="289">
        <v>0</v>
      </c>
    </row>
    <row r="1634" spans="1:30" ht="15" customHeight="1" x14ac:dyDescent="0.25">
      <c r="A1634" s="282" t="s">
        <v>2384</v>
      </c>
      <c r="B1634" s="282" t="s">
        <v>2403</v>
      </c>
      <c r="C1634" s="282" t="s">
        <v>2430</v>
      </c>
      <c r="D1634" s="283" t="s">
        <v>2443</v>
      </c>
      <c r="E1634" s="403">
        <v>45133</v>
      </c>
      <c r="F1634" s="403" t="s">
        <v>2432</v>
      </c>
      <c r="G1634" s="283" t="s">
        <v>237</v>
      </c>
      <c r="H1634" s="282" t="s">
        <v>2433</v>
      </c>
      <c r="I1634" s="285"/>
      <c r="J1634" s="282" t="s">
        <v>2290</v>
      </c>
      <c r="K1634" s="283" t="s">
        <v>2434</v>
      </c>
      <c r="L1634" s="286" t="s">
        <v>321</v>
      </c>
      <c r="M1634" s="287" t="s">
        <v>159</v>
      </c>
      <c r="N1634" s="287">
        <v>2.17</v>
      </c>
      <c r="O1634" s="287" t="s">
        <v>159</v>
      </c>
      <c r="P1634" s="287" t="s">
        <v>159</v>
      </c>
      <c r="Q1634" s="288">
        <v>22.7</v>
      </c>
      <c r="R1634" s="288">
        <v>17.399999999999999</v>
      </c>
      <c r="S1634" s="288">
        <v>4.3600000000000003</v>
      </c>
      <c r="T1634" s="288">
        <v>0.94399999999999995</v>
      </c>
      <c r="U1634" s="288">
        <v>0</v>
      </c>
      <c r="V1634" s="289">
        <v>22.703999999999997</v>
      </c>
      <c r="W1634" s="289">
        <v>0</v>
      </c>
      <c r="X1634" s="288">
        <v>10.460829493087557</v>
      </c>
      <c r="Y1634" s="288">
        <v>8.0184331797235018</v>
      </c>
      <c r="Z1634" s="288">
        <v>2.0092165898617513</v>
      </c>
      <c r="AA1634" s="288">
        <v>0.43502304147465437</v>
      </c>
      <c r="AB1634" s="288">
        <v>0</v>
      </c>
      <c r="AC1634" s="289">
        <v>10.462672811059907</v>
      </c>
      <c r="AD1634" s="289">
        <v>0</v>
      </c>
    </row>
    <row r="1635" spans="1:30" ht="15" customHeight="1" x14ac:dyDescent="0.25">
      <c r="A1635" s="282" t="s">
        <v>2384</v>
      </c>
      <c r="B1635" s="282" t="s">
        <v>2413</v>
      </c>
      <c r="C1635" s="282" t="s">
        <v>2414</v>
      </c>
      <c r="D1635" s="283" t="s">
        <v>2444</v>
      </c>
      <c r="E1635" s="403">
        <v>43676</v>
      </c>
      <c r="F1635" s="403" t="s">
        <v>2445</v>
      </c>
      <c r="G1635" s="283" t="s">
        <v>154</v>
      </c>
      <c r="H1635" s="282" t="s">
        <v>2446</v>
      </c>
      <c r="I1635" s="285"/>
      <c r="J1635" s="282" t="s">
        <v>156</v>
      </c>
      <c r="K1635" s="283" t="s">
        <v>2447</v>
      </c>
      <c r="L1635" s="286" t="s">
        <v>321</v>
      </c>
      <c r="M1635" s="287" t="s">
        <v>159</v>
      </c>
      <c r="N1635" s="287">
        <v>54.997</v>
      </c>
      <c r="O1635" s="287" t="s">
        <v>159</v>
      </c>
      <c r="P1635" s="287" t="s">
        <v>159</v>
      </c>
      <c r="Q1635" s="288">
        <v>19</v>
      </c>
      <c r="R1635" s="288"/>
      <c r="S1635" s="288"/>
      <c r="T1635" s="288"/>
      <c r="U1635" s="288">
        <v>0</v>
      </c>
      <c r="V1635" s="289">
        <v>19</v>
      </c>
      <c r="W1635" s="289">
        <v>0</v>
      </c>
      <c r="X1635" s="288">
        <v>0.34547338945760681</v>
      </c>
      <c r="Y1635" s="288">
        <v>0</v>
      </c>
      <c r="Z1635" s="288">
        <v>0</v>
      </c>
      <c r="AA1635" s="288">
        <v>0</v>
      </c>
      <c r="AB1635" s="288">
        <v>0</v>
      </c>
      <c r="AC1635" s="289">
        <v>0.34547338945760681</v>
      </c>
      <c r="AD1635" s="289">
        <v>0</v>
      </c>
    </row>
    <row r="1636" spans="1:30" ht="15" customHeight="1" x14ac:dyDescent="0.25">
      <c r="A1636" s="282" t="s">
        <v>2384</v>
      </c>
      <c r="B1636" s="282" t="s">
        <v>2413</v>
      </c>
      <c r="C1636" s="282" t="s">
        <v>2414</v>
      </c>
      <c r="D1636" s="283" t="s">
        <v>2448</v>
      </c>
      <c r="E1636" s="403">
        <v>43676</v>
      </c>
      <c r="F1636" s="403" t="s">
        <v>2445</v>
      </c>
      <c r="G1636" s="283" t="s">
        <v>154</v>
      </c>
      <c r="H1636" s="282" t="s">
        <v>2446</v>
      </c>
      <c r="I1636" s="285"/>
      <c r="J1636" s="282" t="s">
        <v>156</v>
      </c>
      <c r="K1636" s="283" t="s">
        <v>2447</v>
      </c>
      <c r="L1636" s="286" t="s">
        <v>321</v>
      </c>
      <c r="M1636" s="287" t="s">
        <v>159</v>
      </c>
      <c r="N1636" s="287">
        <v>60.817999999999998</v>
      </c>
      <c r="O1636" s="287" t="s">
        <v>159</v>
      </c>
      <c r="P1636" s="287" t="s">
        <v>159</v>
      </c>
      <c r="Q1636" s="288">
        <v>23</v>
      </c>
      <c r="R1636" s="288"/>
      <c r="S1636" s="288"/>
      <c r="T1636" s="288"/>
      <c r="U1636" s="288">
        <v>0</v>
      </c>
      <c r="V1636" s="289">
        <v>23</v>
      </c>
      <c r="W1636" s="289">
        <v>0</v>
      </c>
      <c r="X1636" s="288">
        <v>0.37817751323621296</v>
      </c>
      <c r="Y1636" s="288">
        <v>0</v>
      </c>
      <c r="Z1636" s="288">
        <v>0</v>
      </c>
      <c r="AA1636" s="288">
        <v>0</v>
      </c>
      <c r="AB1636" s="288">
        <v>0</v>
      </c>
      <c r="AC1636" s="289">
        <v>0.37817751323621296</v>
      </c>
      <c r="AD1636" s="289">
        <v>0</v>
      </c>
    </row>
    <row r="1637" spans="1:30" ht="15" customHeight="1" x14ac:dyDescent="0.25">
      <c r="A1637" s="282" t="s">
        <v>2384</v>
      </c>
      <c r="B1637" s="282" t="s">
        <v>2413</v>
      </c>
      <c r="C1637" s="282" t="s">
        <v>2414</v>
      </c>
      <c r="D1637" s="283" t="s">
        <v>2449</v>
      </c>
      <c r="E1637" s="403">
        <v>43676</v>
      </c>
      <c r="F1637" s="403">
        <v>45503</v>
      </c>
      <c r="G1637" s="283" t="s">
        <v>154</v>
      </c>
      <c r="H1637" s="282" t="s">
        <v>2446</v>
      </c>
      <c r="I1637" s="285"/>
      <c r="J1637" s="282" t="s">
        <v>156</v>
      </c>
      <c r="K1637" s="283" t="s">
        <v>2447</v>
      </c>
      <c r="L1637" s="286" t="s">
        <v>321</v>
      </c>
      <c r="M1637" s="287" t="s">
        <v>159</v>
      </c>
      <c r="N1637" s="287">
        <v>65.481999999999985</v>
      </c>
      <c r="O1637" s="287" t="s">
        <v>159</v>
      </c>
      <c r="P1637" s="287" t="s">
        <v>159</v>
      </c>
      <c r="Q1637" s="288">
        <v>25</v>
      </c>
      <c r="R1637" s="288"/>
      <c r="S1637" s="288"/>
      <c r="T1637" s="288"/>
      <c r="U1637" s="288">
        <v>0</v>
      </c>
      <c r="V1637" s="289">
        <v>25</v>
      </c>
      <c r="W1637" s="289">
        <v>0</v>
      </c>
      <c r="X1637" s="288">
        <v>0.38178430713783951</v>
      </c>
      <c r="Y1637" s="288">
        <v>0</v>
      </c>
      <c r="Z1637" s="288">
        <v>0</v>
      </c>
      <c r="AA1637" s="288">
        <v>0</v>
      </c>
      <c r="AB1637" s="288">
        <v>0</v>
      </c>
      <c r="AC1637" s="289">
        <v>0.38178430713783951</v>
      </c>
      <c r="AD1637" s="289">
        <v>0</v>
      </c>
    </row>
    <row r="1638" spans="1:30" ht="15" customHeight="1" x14ac:dyDescent="0.25">
      <c r="A1638" s="282" t="s">
        <v>2384</v>
      </c>
      <c r="B1638" s="282" t="s">
        <v>2413</v>
      </c>
      <c r="C1638" s="282" t="s">
        <v>2414</v>
      </c>
      <c r="D1638" s="283" t="s">
        <v>2450</v>
      </c>
      <c r="E1638" s="403">
        <v>43676</v>
      </c>
      <c r="F1638" s="403">
        <v>45503</v>
      </c>
      <c r="G1638" s="283" t="s">
        <v>154</v>
      </c>
      <c r="H1638" s="282" t="s">
        <v>2446</v>
      </c>
      <c r="I1638" s="285"/>
      <c r="J1638" s="282" t="s">
        <v>156</v>
      </c>
      <c r="K1638" s="283" t="s">
        <v>2447</v>
      </c>
      <c r="L1638" s="286" t="s">
        <v>321</v>
      </c>
      <c r="M1638" s="287" t="s">
        <v>159</v>
      </c>
      <c r="N1638" s="287">
        <v>55.326999999999998</v>
      </c>
      <c r="O1638" s="287" t="s">
        <v>159</v>
      </c>
      <c r="P1638" s="287" t="s">
        <v>159</v>
      </c>
      <c r="Q1638" s="288">
        <v>20</v>
      </c>
      <c r="R1638" s="288"/>
      <c r="S1638" s="288"/>
      <c r="T1638" s="288"/>
      <c r="U1638" s="288">
        <v>0</v>
      </c>
      <c r="V1638" s="289">
        <v>20</v>
      </c>
      <c r="W1638" s="289">
        <v>0</v>
      </c>
      <c r="X1638" s="288">
        <v>0.36148715816870608</v>
      </c>
      <c r="Y1638" s="288">
        <v>0</v>
      </c>
      <c r="Z1638" s="288">
        <v>0</v>
      </c>
      <c r="AA1638" s="288">
        <v>0</v>
      </c>
      <c r="AB1638" s="288">
        <v>0</v>
      </c>
      <c r="AC1638" s="289">
        <v>0.36148715816870608</v>
      </c>
      <c r="AD1638" s="289">
        <v>0</v>
      </c>
    </row>
    <row r="1639" spans="1:30" ht="15" customHeight="1" x14ac:dyDescent="0.25">
      <c r="A1639" s="282" t="s">
        <v>2384</v>
      </c>
      <c r="B1639" s="282" t="s">
        <v>2413</v>
      </c>
      <c r="C1639" s="282" t="s">
        <v>2414</v>
      </c>
      <c r="D1639" s="283" t="s">
        <v>2451</v>
      </c>
      <c r="E1639" s="403">
        <v>43676</v>
      </c>
      <c r="F1639" s="403">
        <v>45503</v>
      </c>
      <c r="G1639" s="283" t="s">
        <v>154</v>
      </c>
      <c r="H1639" s="282" t="s">
        <v>2446</v>
      </c>
      <c r="I1639" s="285"/>
      <c r="J1639" s="282" t="s">
        <v>156</v>
      </c>
      <c r="K1639" s="283" t="s">
        <v>2447</v>
      </c>
      <c r="L1639" s="286" t="s">
        <v>321</v>
      </c>
      <c r="M1639" s="287" t="s">
        <v>159</v>
      </c>
      <c r="N1639" s="287">
        <v>61.147999999999996</v>
      </c>
      <c r="O1639" s="287" t="s">
        <v>159</v>
      </c>
      <c r="P1639" s="287" t="s">
        <v>159</v>
      </c>
      <c r="Q1639" s="288">
        <v>23</v>
      </c>
      <c r="R1639" s="288"/>
      <c r="S1639" s="288"/>
      <c r="T1639" s="288"/>
      <c r="U1639" s="288">
        <v>0</v>
      </c>
      <c r="V1639" s="289">
        <v>23</v>
      </c>
      <c r="W1639" s="289">
        <v>0</v>
      </c>
      <c r="X1639" s="288">
        <v>0.37613658664224509</v>
      </c>
      <c r="Y1639" s="288">
        <v>0</v>
      </c>
      <c r="Z1639" s="288">
        <v>0</v>
      </c>
      <c r="AA1639" s="288">
        <v>0</v>
      </c>
      <c r="AB1639" s="288">
        <v>0</v>
      </c>
      <c r="AC1639" s="289">
        <v>0.37613658664224509</v>
      </c>
      <c r="AD1639" s="289">
        <v>0</v>
      </c>
    </row>
    <row r="1640" spans="1:30" ht="15" customHeight="1" x14ac:dyDescent="0.25">
      <c r="A1640" s="282" t="s">
        <v>2384</v>
      </c>
      <c r="B1640" s="282" t="s">
        <v>2413</v>
      </c>
      <c r="C1640" s="282" t="s">
        <v>2414</v>
      </c>
      <c r="D1640" s="283" t="s">
        <v>2452</v>
      </c>
      <c r="E1640" s="403">
        <v>43676</v>
      </c>
      <c r="F1640" s="403">
        <v>45503</v>
      </c>
      <c r="G1640" s="283" t="s">
        <v>154</v>
      </c>
      <c r="H1640" s="282" t="s">
        <v>2446</v>
      </c>
      <c r="I1640" s="285"/>
      <c r="J1640" s="282" t="s">
        <v>156</v>
      </c>
      <c r="K1640" s="283" t="s">
        <v>2447</v>
      </c>
      <c r="L1640" s="286" t="s">
        <v>321</v>
      </c>
      <c r="M1640" s="287" t="s">
        <v>159</v>
      </c>
      <c r="N1640" s="287">
        <v>65.811999999999998</v>
      </c>
      <c r="O1640" s="287" t="s">
        <v>159</v>
      </c>
      <c r="P1640" s="287" t="s">
        <v>159</v>
      </c>
      <c r="Q1640" s="288">
        <v>26</v>
      </c>
      <c r="R1640" s="288"/>
      <c r="S1640" s="288"/>
      <c r="T1640" s="288"/>
      <c r="U1640" s="288">
        <v>0</v>
      </c>
      <c r="V1640" s="289">
        <v>26</v>
      </c>
      <c r="W1640" s="289">
        <v>0</v>
      </c>
      <c r="X1640" s="288">
        <v>0.39506472983650398</v>
      </c>
      <c r="Y1640" s="288">
        <v>0</v>
      </c>
      <c r="Z1640" s="288">
        <v>0</v>
      </c>
      <c r="AA1640" s="288">
        <v>0</v>
      </c>
      <c r="AB1640" s="288">
        <v>0</v>
      </c>
      <c r="AC1640" s="289">
        <v>0.39506472983650398</v>
      </c>
      <c r="AD1640" s="289">
        <v>0</v>
      </c>
    </row>
    <row r="1641" spans="1:30" ht="15" customHeight="1" x14ac:dyDescent="0.25">
      <c r="A1641" s="282" t="s">
        <v>2384</v>
      </c>
      <c r="B1641" s="282" t="s">
        <v>2413</v>
      </c>
      <c r="C1641" s="282" t="s">
        <v>2414</v>
      </c>
      <c r="D1641" s="283" t="s">
        <v>2453</v>
      </c>
      <c r="E1641" s="403">
        <v>43676</v>
      </c>
      <c r="F1641" s="403">
        <v>45503</v>
      </c>
      <c r="G1641" s="283" t="s">
        <v>154</v>
      </c>
      <c r="H1641" s="282" t="s">
        <v>2446</v>
      </c>
      <c r="I1641" s="285"/>
      <c r="J1641" s="282" t="s">
        <v>156</v>
      </c>
      <c r="K1641" s="283" t="s">
        <v>2447</v>
      </c>
      <c r="L1641" s="286" t="s">
        <v>321</v>
      </c>
      <c r="M1641" s="287" t="s">
        <v>159</v>
      </c>
      <c r="N1641" s="287">
        <v>55.987000000000002</v>
      </c>
      <c r="O1641" s="287" t="s">
        <v>159</v>
      </c>
      <c r="P1641" s="287" t="s">
        <v>159</v>
      </c>
      <c r="Q1641" s="288">
        <v>20.3</v>
      </c>
      <c r="R1641" s="288"/>
      <c r="S1641" s="288"/>
      <c r="T1641" s="288"/>
      <c r="U1641" s="288">
        <v>0</v>
      </c>
      <c r="V1641" s="289">
        <v>20.3</v>
      </c>
      <c r="W1641" s="289">
        <v>0</v>
      </c>
      <c r="X1641" s="288">
        <v>0.36258417132548626</v>
      </c>
      <c r="Y1641" s="288">
        <v>0</v>
      </c>
      <c r="Z1641" s="288">
        <v>0</v>
      </c>
      <c r="AA1641" s="288">
        <v>0</v>
      </c>
      <c r="AB1641" s="288">
        <v>0</v>
      </c>
      <c r="AC1641" s="289">
        <v>0.36258417132548626</v>
      </c>
      <c r="AD1641" s="289">
        <v>0</v>
      </c>
    </row>
    <row r="1642" spans="1:30" ht="15" customHeight="1" x14ac:dyDescent="0.25">
      <c r="A1642" s="282" t="s">
        <v>2384</v>
      </c>
      <c r="B1642" s="282" t="s">
        <v>2413</v>
      </c>
      <c r="C1642" s="282" t="s">
        <v>2414</v>
      </c>
      <c r="D1642" s="283" t="s">
        <v>2454</v>
      </c>
      <c r="E1642" s="403">
        <v>43676</v>
      </c>
      <c r="F1642" s="403">
        <v>45503</v>
      </c>
      <c r="G1642" s="283" t="s">
        <v>154</v>
      </c>
      <c r="H1642" s="282" t="s">
        <v>2446</v>
      </c>
      <c r="I1642" s="285"/>
      <c r="J1642" s="282" t="s">
        <v>156</v>
      </c>
      <c r="K1642" s="283" t="s">
        <v>2447</v>
      </c>
      <c r="L1642" s="286" t="s">
        <v>321</v>
      </c>
      <c r="M1642" s="287" t="s">
        <v>159</v>
      </c>
      <c r="N1642" s="287">
        <v>61.808</v>
      </c>
      <c r="O1642" s="287" t="s">
        <v>159</v>
      </c>
      <c r="P1642" s="287" t="s">
        <v>159</v>
      </c>
      <c r="Q1642" s="288">
        <v>24</v>
      </c>
      <c r="R1642" s="288"/>
      <c r="S1642" s="288"/>
      <c r="T1642" s="288"/>
      <c r="U1642" s="288">
        <v>0</v>
      </c>
      <c r="V1642" s="289">
        <v>24</v>
      </c>
      <c r="W1642" s="289">
        <v>0</v>
      </c>
      <c r="X1642" s="288">
        <v>0.38829924928811804</v>
      </c>
      <c r="Y1642" s="288">
        <v>0</v>
      </c>
      <c r="Z1642" s="288">
        <v>0</v>
      </c>
      <c r="AA1642" s="288">
        <v>0</v>
      </c>
      <c r="AB1642" s="288">
        <v>0</v>
      </c>
      <c r="AC1642" s="289">
        <v>0.38829924928811804</v>
      </c>
      <c r="AD1642" s="289">
        <v>0</v>
      </c>
    </row>
    <row r="1643" spans="1:30" ht="15" customHeight="1" x14ac:dyDescent="0.25">
      <c r="A1643" s="282" t="s">
        <v>2384</v>
      </c>
      <c r="B1643" s="282" t="s">
        <v>2413</v>
      </c>
      <c r="C1643" s="282" t="s">
        <v>2414</v>
      </c>
      <c r="D1643" s="283" t="s">
        <v>2455</v>
      </c>
      <c r="E1643" s="403">
        <v>43676</v>
      </c>
      <c r="F1643" s="403">
        <v>45503</v>
      </c>
      <c r="G1643" s="283" t="s">
        <v>154</v>
      </c>
      <c r="H1643" s="282" t="s">
        <v>2446</v>
      </c>
      <c r="I1643" s="285"/>
      <c r="J1643" s="282" t="s">
        <v>156</v>
      </c>
      <c r="K1643" s="283" t="s">
        <v>2447</v>
      </c>
      <c r="L1643" s="286" t="s">
        <v>321</v>
      </c>
      <c r="M1643" s="287" t="s">
        <v>159</v>
      </c>
      <c r="N1643" s="287">
        <v>66.471999999999994</v>
      </c>
      <c r="O1643" s="287" t="s">
        <v>159</v>
      </c>
      <c r="P1643" s="287" t="s">
        <v>159</v>
      </c>
      <c r="Q1643" s="288">
        <v>26.5</v>
      </c>
      <c r="R1643" s="288"/>
      <c r="S1643" s="288"/>
      <c r="T1643" s="288"/>
      <c r="U1643" s="288">
        <v>0</v>
      </c>
      <c r="V1643" s="289">
        <v>26.5</v>
      </c>
      <c r="W1643" s="289">
        <v>0</v>
      </c>
      <c r="X1643" s="288">
        <v>0.39866409916957518</v>
      </c>
      <c r="Y1643" s="288">
        <v>0</v>
      </c>
      <c r="Z1643" s="288">
        <v>0</v>
      </c>
      <c r="AA1643" s="288">
        <v>0</v>
      </c>
      <c r="AB1643" s="288">
        <v>0</v>
      </c>
      <c r="AC1643" s="289">
        <v>0.39866409916957518</v>
      </c>
      <c r="AD1643" s="289">
        <v>0</v>
      </c>
    </row>
    <row r="1644" spans="1:30" ht="15" customHeight="1" x14ac:dyDescent="0.25">
      <c r="A1644" s="282" t="s">
        <v>2384</v>
      </c>
      <c r="B1644" s="282" t="s">
        <v>2413</v>
      </c>
      <c r="C1644" s="282" t="s">
        <v>2414</v>
      </c>
      <c r="D1644" s="283" t="s">
        <v>2456</v>
      </c>
      <c r="E1644" s="403">
        <v>43676</v>
      </c>
      <c r="F1644" s="403">
        <v>45503</v>
      </c>
      <c r="G1644" s="283" t="s">
        <v>154</v>
      </c>
      <c r="H1644" s="282" t="s">
        <v>2446</v>
      </c>
      <c r="I1644" s="285"/>
      <c r="J1644" s="282" t="s">
        <v>156</v>
      </c>
      <c r="K1644" s="283" t="s">
        <v>2447</v>
      </c>
      <c r="L1644" s="286" t="s">
        <v>321</v>
      </c>
      <c r="M1644" s="287" t="s">
        <v>159</v>
      </c>
      <c r="N1644" s="287">
        <v>65.393999999999991</v>
      </c>
      <c r="O1644" s="287" t="s">
        <v>159</v>
      </c>
      <c r="P1644" s="287" t="s">
        <v>159</v>
      </c>
      <c r="Q1644" s="288">
        <v>20</v>
      </c>
      <c r="R1644" s="288"/>
      <c r="S1644" s="288"/>
      <c r="T1644" s="288"/>
      <c r="U1644" s="288">
        <v>0</v>
      </c>
      <c r="V1644" s="289">
        <v>20</v>
      </c>
      <c r="W1644" s="289">
        <v>0</v>
      </c>
      <c r="X1644" s="288">
        <v>0.30583845612747351</v>
      </c>
      <c r="Y1644" s="288">
        <v>0</v>
      </c>
      <c r="Z1644" s="288">
        <v>0</v>
      </c>
      <c r="AA1644" s="288">
        <v>0</v>
      </c>
      <c r="AB1644" s="288">
        <v>0</v>
      </c>
      <c r="AC1644" s="289">
        <v>0.30583845612747351</v>
      </c>
      <c r="AD1644" s="289">
        <v>0</v>
      </c>
    </row>
    <row r="1645" spans="1:30" ht="15" customHeight="1" x14ac:dyDescent="0.25">
      <c r="A1645" s="282" t="s">
        <v>2384</v>
      </c>
      <c r="B1645" s="282" t="s">
        <v>2413</v>
      </c>
      <c r="C1645" s="282" t="s">
        <v>2414</v>
      </c>
      <c r="D1645" s="283" t="s">
        <v>2457</v>
      </c>
      <c r="E1645" s="403">
        <v>43676</v>
      </c>
      <c r="F1645" s="403">
        <v>45503</v>
      </c>
      <c r="G1645" s="283" t="s">
        <v>154</v>
      </c>
      <c r="H1645" s="282" t="s">
        <v>2446</v>
      </c>
      <c r="I1645" s="285"/>
      <c r="J1645" s="282" t="s">
        <v>156</v>
      </c>
      <c r="K1645" s="283" t="s">
        <v>2447</v>
      </c>
      <c r="L1645" s="286" t="s">
        <v>321</v>
      </c>
      <c r="M1645" s="287" t="s">
        <v>159</v>
      </c>
      <c r="N1645" s="287">
        <v>65.72399999999999</v>
      </c>
      <c r="O1645" s="287" t="s">
        <v>159</v>
      </c>
      <c r="P1645" s="287" t="s">
        <v>159</v>
      </c>
      <c r="Q1645" s="288">
        <v>21</v>
      </c>
      <c r="R1645" s="288"/>
      <c r="S1645" s="288"/>
      <c r="T1645" s="288"/>
      <c r="U1645" s="288">
        <v>0</v>
      </c>
      <c r="V1645" s="289">
        <v>21</v>
      </c>
      <c r="W1645" s="289">
        <v>0</v>
      </c>
      <c r="X1645" s="288">
        <v>0.3195179842979734</v>
      </c>
      <c r="Y1645" s="288">
        <v>0</v>
      </c>
      <c r="Z1645" s="288">
        <v>0</v>
      </c>
      <c r="AA1645" s="288">
        <v>0</v>
      </c>
      <c r="AB1645" s="288">
        <v>0</v>
      </c>
      <c r="AC1645" s="289">
        <v>0.3195179842979734</v>
      </c>
      <c r="AD1645" s="289">
        <v>0</v>
      </c>
    </row>
    <row r="1646" spans="1:30" ht="15" customHeight="1" x14ac:dyDescent="0.25">
      <c r="A1646" s="282" t="s">
        <v>2384</v>
      </c>
      <c r="B1646" s="282" t="s">
        <v>2413</v>
      </c>
      <c r="C1646" s="282" t="s">
        <v>2414</v>
      </c>
      <c r="D1646" s="283" t="s">
        <v>2458</v>
      </c>
      <c r="E1646" s="403">
        <v>43676</v>
      </c>
      <c r="F1646" s="403">
        <v>45503</v>
      </c>
      <c r="G1646" s="283" t="s">
        <v>154</v>
      </c>
      <c r="H1646" s="282" t="s">
        <v>2446</v>
      </c>
      <c r="I1646" s="285"/>
      <c r="J1646" s="282" t="s">
        <v>156</v>
      </c>
      <c r="K1646" s="283" t="s">
        <v>2447</v>
      </c>
      <c r="L1646" s="286" t="s">
        <v>321</v>
      </c>
      <c r="M1646" s="287" t="s">
        <v>159</v>
      </c>
      <c r="N1646" s="287">
        <v>66.383999999999986</v>
      </c>
      <c r="O1646" s="287" t="s">
        <v>159</v>
      </c>
      <c r="P1646" s="287" t="s">
        <v>159</v>
      </c>
      <c r="Q1646" s="288">
        <v>21</v>
      </c>
      <c r="R1646" s="288"/>
      <c r="S1646" s="288"/>
      <c r="T1646" s="288"/>
      <c r="U1646" s="288">
        <v>0</v>
      </c>
      <c r="V1646" s="289">
        <v>21</v>
      </c>
      <c r="W1646" s="289">
        <v>0</v>
      </c>
      <c r="X1646" s="288">
        <v>0.31634128705712228</v>
      </c>
      <c r="Y1646" s="288">
        <v>0</v>
      </c>
      <c r="Z1646" s="288">
        <v>0</v>
      </c>
      <c r="AA1646" s="288">
        <v>0</v>
      </c>
      <c r="AB1646" s="288">
        <v>0</v>
      </c>
      <c r="AC1646" s="289">
        <v>0.31634128705712228</v>
      </c>
      <c r="AD1646" s="289">
        <v>0</v>
      </c>
    </row>
    <row r="1647" spans="1:30" ht="15" customHeight="1" x14ac:dyDescent="0.25">
      <c r="A1647" s="282" t="s">
        <v>2384</v>
      </c>
      <c r="B1647" s="282" t="s">
        <v>2413</v>
      </c>
      <c r="C1647" s="282" t="s">
        <v>2414</v>
      </c>
      <c r="D1647" s="283" t="s">
        <v>2459</v>
      </c>
      <c r="E1647" s="403">
        <v>44113</v>
      </c>
      <c r="F1647" s="403">
        <v>45939</v>
      </c>
      <c r="G1647" s="283" t="s">
        <v>154</v>
      </c>
      <c r="H1647" s="282" t="s">
        <v>2460</v>
      </c>
      <c r="I1647" s="285"/>
      <c r="J1647" s="282" t="s">
        <v>156</v>
      </c>
      <c r="K1647" s="283" t="s">
        <v>2461</v>
      </c>
      <c r="L1647" s="286" t="s">
        <v>321</v>
      </c>
      <c r="M1647" s="287" t="s">
        <v>159</v>
      </c>
      <c r="N1647" s="287">
        <v>29.7</v>
      </c>
      <c r="O1647" s="287" t="s">
        <v>159</v>
      </c>
      <c r="P1647" s="287" t="s">
        <v>159</v>
      </c>
      <c r="Q1647" s="288">
        <v>34</v>
      </c>
      <c r="R1647" s="288"/>
      <c r="S1647" s="288"/>
      <c r="T1647" s="288"/>
      <c r="U1647" s="288">
        <v>0</v>
      </c>
      <c r="V1647" s="289">
        <v>34</v>
      </c>
      <c r="W1647" s="289">
        <v>0</v>
      </c>
      <c r="X1647" s="288">
        <v>1.1447811447811449</v>
      </c>
      <c r="Y1647" s="288">
        <v>0</v>
      </c>
      <c r="Z1647" s="288">
        <v>0</v>
      </c>
      <c r="AA1647" s="288">
        <v>0</v>
      </c>
      <c r="AB1647" s="288">
        <v>0</v>
      </c>
      <c r="AC1647" s="289">
        <v>1.1447811447811449</v>
      </c>
      <c r="AD1647" s="289">
        <v>0</v>
      </c>
    </row>
    <row r="1648" spans="1:30" ht="15" customHeight="1" x14ac:dyDescent="0.25">
      <c r="A1648" s="282" t="s">
        <v>2384</v>
      </c>
      <c r="B1648" s="282" t="s">
        <v>2413</v>
      </c>
      <c r="C1648" s="282" t="s">
        <v>2414</v>
      </c>
      <c r="D1648" s="283" t="s">
        <v>2462</v>
      </c>
      <c r="E1648" s="403">
        <v>44113</v>
      </c>
      <c r="F1648" s="403">
        <v>45939</v>
      </c>
      <c r="G1648" s="283" t="s">
        <v>154</v>
      </c>
      <c r="H1648" s="282" t="s">
        <v>2460</v>
      </c>
      <c r="I1648" s="285"/>
      <c r="J1648" s="282" t="s">
        <v>156</v>
      </c>
      <c r="K1648" s="283" t="s">
        <v>2461</v>
      </c>
      <c r="L1648" s="286" t="s">
        <v>321</v>
      </c>
      <c r="M1648" s="287" t="s">
        <v>159</v>
      </c>
      <c r="N1648" s="287">
        <v>31.7</v>
      </c>
      <c r="O1648" s="287" t="s">
        <v>159</v>
      </c>
      <c r="P1648" s="287" t="s">
        <v>159</v>
      </c>
      <c r="Q1648" s="288">
        <v>37</v>
      </c>
      <c r="R1648" s="288"/>
      <c r="S1648" s="288"/>
      <c r="T1648" s="288"/>
      <c r="U1648" s="288">
        <v>0</v>
      </c>
      <c r="V1648" s="289">
        <v>37</v>
      </c>
      <c r="W1648" s="289">
        <v>0</v>
      </c>
      <c r="X1648" s="288">
        <v>1.1671924290220821</v>
      </c>
      <c r="Y1648" s="288">
        <v>0</v>
      </c>
      <c r="Z1648" s="288">
        <v>0</v>
      </c>
      <c r="AA1648" s="288">
        <v>0</v>
      </c>
      <c r="AB1648" s="288">
        <v>0</v>
      </c>
      <c r="AC1648" s="289">
        <v>1.1671924290220821</v>
      </c>
      <c r="AD1648" s="289">
        <v>0</v>
      </c>
    </row>
    <row r="1649" spans="1:30" ht="15" customHeight="1" x14ac:dyDescent="0.25">
      <c r="A1649" s="282" t="s">
        <v>2384</v>
      </c>
      <c r="B1649" s="282" t="s">
        <v>2413</v>
      </c>
      <c r="C1649" s="282" t="s">
        <v>2414</v>
      </c>
      <c r="D1649" s="283" t="s">
        <v>2463</v>
      </c>
      <c r="E1649" s="403">
        <v>44113</v>
      </c>
      <c r="F1649" s="403">
        <v>45939</v>
      </c>
      <c r="G1649" s="283" t="s">
        <v>154</v>
      </c>
      <c r="H1649" s="282" t="s">
        <v>2460</v>
      </c>
      <c r="I1649" s="285"/>
      <c r="J1649" s="282" t="s">
        <v>156</v>
      </c>
      <c r="K1649" s="283" t="s">
        <v>2461</v>
      </c>
      <c r="L1649" s="286" t="s">
        <v>321</v>
      </c>
      <c r="M1649" s="287" t="s">
        <v>159</v>
      </c>
      <c r="N1649" s="287">
        <v>33.6</v>
      </c>
      <c r="O1649" s="287" t="s">
        <v>159</v>
      </c>
      <c r="P1649" s="287" t="s">
        <v>159</v>
      </c>
      <c r="Q1649" s="288">
        <v>39</v>
      </c>
      <c r="R1649" s="288"/>
      <c r="S1649" s="288"/>
      <c r="T1649" s="288"/>
      <c r="U1649" s="288">
        <v>0</v>
      </c>
      <c r="V1649" s="289">
        <v>39</v>
      </c>
      <c r="W1649" s="289">
        <v>0</v>
      </c>
      <c r="X1649" s="288">
        <v>1.1607142857142856</v>
      </c>
      <c r="Y1649" s="288">
        <v>0</v>
      </c>
      <c r="Z1649" s="288">
        <v>0</v>
      </c>
      <c r="AA1649" s="288">
        <v>0</v>
      </c>
      <c r="AB1649" s="288">
        <v>0</v>
      </c>
      <c r="AC1649" s="289">
        <v>1.1607142857142856</v>
      </c>
      <c r="AD1649" s="289">
        <v>0</v>
      </c>
    </row>
    <row r="1650" spans="1:30" ht="15" customHeight="1" x14ac:dyDescent="0.25">
      <c r="A1650" s="282" t="s">
        <v>2384</v>
      </c>
      <c r="B1650" s="282" t="s">
        <v>2413</v>
      </c>
      <c r="C1650" s="282" t="s">
        <v>2414</v>
      </c>
      <c r="D1650" s="283" t="s">
        <v>2464</v>
      </c>
      <c r="E1650" s="403">
        <v>44113</v>
      </c>
      <c r="F1650" s="403">
        <v>45939</v>
      </c>
      <c r="G1650" s="283" t="s">
        <v>154</v>
      </c>
      <c r="H1650" s="282" t="s">
        <v>2460</v>
      </c>
      <c r="I1650" s="285"/>
      <c r="J1650" s="282" t="s">
        <v>156</v>
      </c>
      <c r="K1650" s="283" t="s">
        <v>2461</v>
      </c>
      <c r="L1650" s="286" t="s">
        <v>321</v>
      </c>
      <c r="M1650" s="287" t="s">
        <v>159</v>
      </c>
      <c r="N1650" s="287">
        <v>41.3</v>
      </c>
      <c r="O1650" s="287" t="s">
        <v>159</v>
      </c>
      <c r="P1650" s="287" t="s">
        <v>159</v>
      </c>
      <c r="Q1650" s="288">
        <v>50</v>
      </c>
      <c r="R1650" s="288"/>
      <c r="S1650" s="288"/>
      <c r="T1650" s="288"/>
      <c r="U1650" s="288">
        <v>0</v>
      </c>
      <c r="V1650" s="289">
        <v>50</v>
      </c>
      <c r="W1650" s="289">
        <v>0</v>
      </c>
      <c r="X1650" s="288">
        <v>1.2106537530266344</v>
      </c>
      <c r="Y1650" s="288">
        <v>0</v>
      </c>
      <c r="Z1650" s="288">
        <v>0</v>
      </c>
      <c r="AA1650" s="288">
        <v>0</v>
      </c>
      <c r="AB1650" s="288">
        <v>0</v>
      </c>
      <c r="AC1650" s="289">
        <v>1.2106537530266344</v>
      </c>
      <c r="AD1650" s="289">
        <v>0</v>
      </c>
    </row>
    <row r="1651" spans="1:30" ht="15" customHeight="1" x14ac:dyDescent="0.25">
      <c r="A1651" s="282" t="s">
        <v>2384</v>
      </c>
      <c r="B1651" s="282" t="s">
        <v>2413</v>
      </c>
      <c r="C1651" s="282" t="s">
        <v>2414</v>
      </c>
      <c r="D1651" s="283" t="s">
        <v>2465</v>
      </c>
      <c r="E1651" s="403">
        <v>44113</v>
      </c>
      <c r="F1651" s="403">
        <v>45939</v>
      </c>
      <c r="G1651" s="283" t="s">
        <v>154</v>
      </c>
      <c r="H1651" s="282" t="s">
        <v>2460</v>
      </c>
      <c r="I1651" s="285"/>
      <c r="J1651" s="282" t="s">
        <v>156</v>
      </c>
      <c r="K1651" s="283" t="s">
        <v>2461</v>
      </c>
      <c r="L1651" s="286" t="s">
        <v>321</v>
      </c>
      <c r="M1651" s="287" t="s">
        <v>159</v>
      </c>
      <c r="N1651" s="287">
        <v>47.9</v>
      </c>
      <c r="O1651" s="287" t="s">
        <v>159</v>
      </c>
      <c r="P1651" s="287" t="s">
        <v>159</v>
      </c>
      <c r="Q1651" s="288">
        <v>59</v>
      </c>
      <c r="R1651" s="288"/>
      <c r="S1651" s="288"/>
      <c r="T1651" s="288"/>
      <c r="U1651" s="288">
        <v>0</v>
      </c>
      <c r="V1651" s="289">
        <v>59</v>
      </c>
      <c r="W1651" s="289">
        <v>0</v>
      </c>
      <c r="X1651" s="288">
        <v>1.2317327766179542</v>
      </c>
      <c r="Y1651" s="288">
        <v>0</v>
      </c>
      <c r="Z1651" s="288">
        <v>0</v>
      </c>
      <c r="AA1651" s="288">
        <v>0</v>
      </c>
      <c r="AB1651" s="288">
        <v>0</v>
      </c>
      <c r="AC1651" s="289">
        <v>1.2317327766179542</v>
      </c>
      <c r="AD1651" s="289">
        <v>0</v>
      </c>
    </row>
    <row r="1652" spans="1:30" ht="15" customHeight="1" x14ac:dyDescent="0.25">
      <c r="A1652" s="282" t="s">
        <v>2384</v>
      </c>
      <c r="B1652" s="282" t="s">
        <v>2413</v>
      </c>
      <c r="C1652" s="282" t="s">
        <v>2414</v>
      </c>
      <c r="D1652" s="283" t="s">
        <v>2466</v>
      </c>
      <c r="E1652" s="403">
        <v>44113</v>
      </c>
      <c r="F1652" s="403">
        <v>45939</v>
      </c>
      <c r="G1652" s="283" t="s">
        <v>154</v>
      </c>
      <c r="H1652" s="282" t="s">
        <v>2460</v>
      </c>
      <c r="I1652" s="285"/>
      <c r="J1652" s="282" t="s">
        <v>156</v>
      </c>
      <c r="K1652" s="283" t="s">
        <v>2461</v>
      </c>
      <c r="L1652" s="286" t="s">
        <v>321</v>
      </c>
      <c r="M1652" s="287" t="s">
        <v>159</v>
      </c>
      <c r="N1652" s="287">
        <v>52</v>
      </c>
      <c r="O1652" s="287" t="s">
        <v>159</v>
      </c>
      <c r="P1652" s="287" t="s">
        <v>159</v>
      </c>
      <c r="Q1652" s="288">
        <v>64</v>
      </c>
      <c r="R1652" s="288"/>
      <c r="S1652" s="288"/>
      <c r="T1652" s="288"/>
      <c r="U1652" s="288">
        <v>0</v>
      </c>
      <c r="V1652" s="289">
        <v>64</v>
      </c>
      <c r="W1652" s="289">
        <v>0</v>
      </c>
      <c r="X1652" s="288">
        <v>1.2307692307692308</v>
      </c>
      <c r="Y1652" s="288">
        <v>0</v>
      </c>
      <c r="Z1652" s="288">
        <v>0</v>
      </c>
      <c r="AA1652" s="288">
        <v>0</v>
      </c>
      <c r="AB1652" s="288">
        <v>0</v>
      </c>
      <c r="AC1652" s="289">
        <v>1.2307692307692308</v>
      </c>
      <c r="AD1652" s="289">
        <v>0</v>
      </c>
    </row>
    <row r="1653" spans="1:30" ht="15" customHeight="1" x14ac:dyDescent="0.25">
      <c r="A1653" s="282" t="s">
        <v>2384</v>
      </c>
      <c r="B1653" s="282" t="s">
        <v>2413</v>
      </c>
      <c r="C1653" s="282" t="s">
        <v>2414</v>
      </c>
      <c r="D1653" s="283" t="s">
        <v>2467</v>
      </c>
      <c r="E1653" s="403">
        <v>44113</v>
      </c>
      <c r="F1653" s="403">
        <v>45939</v>
      </c>
      <c r="G1653" s="283" t="s">
        <v>154</v>
      </c>
      <c r="H1653" s="282" t="s">
        <v>2460</v>
      </c>
      <c r="I1653" s="285"/>
      <c r="J1653" s="282" t="s">
        <v>156</v>
      </c>
      <c r="K1653" s="283" t="s">
        <v>2461</v>
      </c>
      <c r="L1653" s="286" t="s">
        <v>321</v>
      </c>
      <c r="M1653" s="287" t="s">
        <v>159</v>
      </c>
      <c r="N1653" s="287">
        <v>57.1</v>
      </c>
      <c r="O1653" s="287" t="s">
        <v>159</v>
      </c>
      <c r="P1653" s="287" t="s">
        <v>159</v>
      </c>
      <c r="Q1653" s="288">
        <v>71</v>
      </c>
      <c r="R1653" s="288"/>
      <c r="S1653" s="288"/>
      <c r="T1653" s="288"/>
      <c r="U1653" s="288">
        <v>0</v>
      </c>
      <c r="V1653" s="289">
        <v>71</v>
      </c>
      <c r="W1653" s="289">
        <v>0</v>
      </c>
      <c r="X1653" s="288">
        <v>1.243432574430823</v>
      </c>
      <c r="Y1653" s="288">
        <v>0</v>
      </c>
      <c r="Z1653" s="288">
        <v>0</v>
      </c>
      <c r="AA1653" s="288">
        <v>0</v>
      </c>
      <c r="AB1653" s="288">
        <v>0</v>
      </c>
      <c r="AC1653" s="289">
        <v>1.243432574430823</v>
      </c>
      <c r="AD1653" s="289">
        <v>0</v>
      </c>
    </row>
    <row r="1654" spans="1:30" ht="15" customHeight="1" x14ac:dyDescent="0.25">
      <c r="A1654" s="282" t="s">
        <v>2384</v>
      </c>
      <c r="B1654" s="282" t="s">
        <v>2413</v>
      </c>
      <c r="C1654" s="282" t="s">
        <v>2414</v>
      </c>
      <c r="D1654" s="283" t="s">
        <v>2468</v>
      </c>
      <c r="E1654" s="403">
        <v>44113</v>
      </c>
      <c r="F1654" s="403">
        <v>45939</v>
      </c>
      <c r="G1654" s="283" t="s">
        <v>154</v>
      </c>
      <c r="H1654" s="282" t="s">
        <v>2460</v>
      </c>
      <c r="I1654" s="285"/>
      <c r="J1654" s="282" t="s">
        <v>156</v>
      </c>
      <c r="K1654" s="283" t="s">
        <v>2461</v>
      </c>
      <c r="L1654" s="286" t="s">
        <v>321</v>
      </c>
      <c r="M1654" s="287" t="s">
        <v>159</v>
      </c>
      <c r="N1654" s="287">
        <v>33.6</v>
      </c>
      <c r="O1654" s="287" t="s">
        <v>159</v>
      </c>
      <c r="P1654" s="287" t="s">
        <v>159</v>
      </c>
      <c r="Q1654" s="288">
        <v>41</v>
      </c>
      <c r="R1654" s="288"/>
      <c r="S1654" s="288"/>
      <c r="T1654" s="288"/>
      <c r="U1654" s="288">
        <v>0</v>
      </c>
      <c r="V1654" s="289">
        <v>41</v>
      </c>
      <c r="W1654" s="289">
        <v>0</v>
      </c>
      <c r="X1654" s="288">
        <v>1.2202380952380951</v>
      </c>
      <c r="Y1654" s="288">
        <v>0</v>
      </c>
      <c r="Z1654" s="288">
        <v>0</v>
      </c>
      <c r="AA1654" s="288">
        <v>0</v>
      </c>
      <c r="AB1654" s="288">
        <v>0</v>
      </c>
      <c r="AC1654" s="289">
        <v>1.2202380952380951</v>
      </c>
      <c r="AD1654" s="289">
        <v>0</v>
      </c>
    </row>
    <row r="1655" spans="1:30" ht="15" customHeight="1" x14ac:dyDescent="0.25">
      <c r="A1655" s="282" t="s">
        <v>2384</v>
      </c>
      <c r="B1655" s="282" t="s">
        <v>2413</v>
      </c>
      <c r="C1655" s="282" t="s">
        <v>2414</v>
      </c>
      <c r="D1655" s="283" t="s">
        <v>2469</v>
      </c>
      <c r="E1655" s="403">
        <v>44113</v>
      </c>
      <c r="F1655" s="403">
        <v>45939</v>
      </c>
      <c r="G1655" s="283" t="s">
        <v>154</v>
      </c>
      <c r="H1655" s="282" t="s">
        <v>2460</v>
      </c>
      <c r="I1655" s="285"/>
      <c r="J1655" s="282" t="s">
        <v>156</v>
      </c>
      <c r="K1655" s="283" t="s">
        <v>2461</v>
      </c>
      <c r="L1655" s="286" t="s">
        <v>321</v>
      </c>
      <c r="M1655" s="287" t="s">
        <v>159</v>
      </c>
      <c r="N1655" s="287">
        <v>35.5</v>
      </c>
      <c r="O1655" s="287" t="s">
        <v>159</v>
      </c>
      <c r="P1655" s="287" t="s">
        <v>159</v>
      </c>
      <c r="Q1655" s="288">
        <v>45</v>
      </c>
      <c r="R1655" s="288"/>
      <c r="S1655" s="288"/>
      <c r="T1655" s="288"/>
      <c r="U1655" s="288">
        <v>0</v>
      </c>
      <c r="V1655" s="289">
        <v>45</v>
      </c>
      <c r="W1655" s="289">
        <v>0</v>
      </c>
      <c r="X1655" s="288">
        <v>1.267605633802817</v>
      </c>
      <c r="Y1655" s="288">
        <v>0</v>
      </c>
      <c r="Z1655" s="288">
        <v>0</v>
      </c>
      <c r="AA1655" s="288">
        <v>0</v>
      </c>
      <c r="AB1655" s="288">
        <v>0</v>
      </c>
      <c r="AC1655" s="289">
        <v>1.267605633802817</v>
      </c>
      <c r="AD1655" s="289">
        <v>0</v>
      </c>
    </row>
    <row r="1656" spans="1:30" ht="15" customHeight="1" x14ac:dyDescent="0.25">
      <c r="A1656" s="282" t="s">
        <v>2384</v>
      </c>
      <c r="B1656" s="282" t="s">
        <v>2413</v>
      </c>
      <c r="C1656" s="282" t="s">
        <v>2414</v>
      </c>
      <c r="D1656" s="283" t="s">
        <v>2470</v>
      </c>
      <c r="E1656" s="403">
        <v>44113</v>
      </c>
      <c r="F1656" s="403">
        <v>45939</v>
      </c>
      <c r="G1656" s="283" t="s">
        <v>154</v>
      </c>
      <c r="H1656" s="282" t="s">
        <v>2460</v>
      </c>
      <c r="I1656" s="285"/>
      <c r="J1656" s="282" t="s">
        <v>156</v>
      </c>
      <c r="K1656" s="283" t="s">
        <v>2461</v>
      </c>
      <c r="L1656" s="286" t="s">
        <v>321</v>
      </c>
      <c r="M1656" s="287" t="s">
        <v>159</v>
      </c>
      <c r="N1656" s="287">
        <v>43.1</v>
      </c>
      <c r="O1656" s="287" t="s">
        <v>159</v>
      </c>
      <c r="P1656" s="287" t="s">
        <v>159</v>
      </c>
      <c r="Q1656" s="288">
        <v>55</v>
      </c>
      <c r="R1656" s="288"/>
      <c r="S1656" s="288"/>
      <c r="T1656" s="288"/>
      <c r="U1656" s="288">
        <v>0</v>
      </c>
      <c r="V1656" s="289">
        <v>55</v>
      </c>
      <c r="W1656" s="289">
        <v>0</v>
      </c>
      <c r="X1656" s="288">
        <v>1.2761020881670533</v>
      </c>
      <c r="Y1656" s="288">
        <v>0</v>
      </c>
      <c r="Z1656" s="288">
        <v>0</v>
      </c>
      <c r="AA1656" s="288">
        <v>0</v>
      </c>
      <c r="AB1656" s="288">
        <v>0</v>
      </c>
      <c r="AC1656" s="289">
        <v>1.2761020881670533</v>
      </c>
      <c r="AD1656" s="289">
        <v>0</v>
      </c>
    </row>
    <row r="1657" spans="1:30" ht="15" customHeight="1" x14ac:dyDescent="0.25">
      <c r="A1657" s="282" t="s">
        <v>2384</v>
      </c>
      <c r="B1657" s="282" t="s">
        <v>2413</v>
      </c>
      <c r="C1657" s="282" t="s">
        <v>2414</v>
      </c>
      <c r="D1657" s="283" t="s">
        <v>2471</v>
      </c>
      <c r="E1657" s="403">
        <v>44113</v>
      </c>
      <c r="F1657" s="403">
        <v>45939</v>
      </c>
      <c r="G1657" s="283" t="s">
        <v>154</v>
      </c>
      <c r="H1657" s="282" t="s">
        <v>2460</v>
      </c>
      <c r="I1657" s="285"/>
      <c r="J1657" s="282" t="s">
        <v>156</v>
      </c>
      <c r="K1657" s="283" t="s">
        <v>2461</v>
      </c>
      <c r="L1657" s="286" t="s">
        <v>321</v>
      </c>
      <c r="M1657" s="287" t="s">
        <v>159</v>
      </c>
      <c r="N1657" s="287">
        <v>49.7</v>
      </c>
      <c r="O1657" s="287" t="s">
        <v>159</v>
      </c>
      <c r="P1657" s="287" t="s">
        <v>159</v>
      </c>
      <c r="Q1657" s="288">
        <v>64</v>
      </c>
      <c r="R1657" s="288"/>
      <c r="S1657" s="288"/>
      <c r="T1657" s="288"/>
      <c r="U1657" s="288">
        <v>0</v>
      </c>
      <c r="V1657" s="289">
        <v>64</v>
      </c>
      <c r="W1657" s="289">
        <v>0</v>
      </c>
      <c r="X1657" s="288">
        <v>1.2877263581488934</v>
      </c>
      <c r="Y1657" s="288">
        <v>0</v>
      </c>
      <c r="Z1657" s="288">
        <v>0</v>
      </c>
      <c r="AA1657" s="288">
        <v>0</v>
      </c>
      <c r="AB1657" s="288">
        <v>0</v>
      </c>
      <c r="AC1657" s="289">
        <v>1.2877263581488934</v>
      </c>
      <c r="AD1657" s="289">
        <v>0</v>
      </c>
    </row>
    <row r="1658" spans="1:30" ht="15" customHeight="1" x14ac:dyDescent="0.25">
      <c r="A1658" s="282" t="s">
        <v>2384</v>
      </c>
      <c r="B1658" s="282" t="s">
        <v>2413</v>
      </c>
      <c r="C1658" s="282" t="s">
        <v>2414</v>
      </c>
      <c r="D1658" s="283" t="s">
        <v>2472</v>
      </c>
      <c r="E1658" s="403">
        <v>44113</v>
      </c>
      <c r="F1658" s="403">
        <v>45939</v>
      </c>
      <c r="G1658" s="283" t="s">
        <v>154</v>
      </c>
      <c r="H1658" s="282" t="s">
        <v>2460</v>
      </c>
      <c r="I1658" s="285"/>
      <c r="J1658" s="282" t="s">
        <v>156</v>
      </c>
      <c r="K1658" s="283" t="s">
        <v>2461</v>
      </c>
      <c r="L1658" s="286" t="s">
        <v>321</v>
      </c>
      <c r="M1658" s="287" t="s">
        <v>159</v>
      </c>
      <c r="N1658" s="287">
        <v>53.7</v>
      </c>
      <c r="O1658" s="287" t="s">
        <v>159</v>
      </c>
      <c r="P1658" s="287" t="s">
        <v>159</v>
      </c>
      <c r="Q1658" s="288">
        <v>69</v>
      </c>
      <c r="R1658" s="288"/>
      <c r="S1658" s="288"/>
      <c r="T1658" s="288"/>
      <c r="U1658" s="288">
        <v>0</v>
      </c>
      <c r="V1658" s="289">
        <v>69</v>
      </c>
      <c r="W1658" s="289">
        <v>0</v>
      </c>
      <c r="X1658" s="288">
        <v>1.2849162011173183</v>
      </c>
      <c r="Y1658" s="288">
        <v>0</v>
      </c>
      <c r="Z1658" s="288">
        <v>0</v>
      </c>
      <c r="AA1658" s="288">
        <v>0</v>
      </c>
      <c r="AB1658" s="288">
        <v>0</v>
      </c>
      <c r="AC1658" s="289">
        <v>1.2849162011173183</v>
      </c>
      <c r="AD1658" s="289">
        <v>0</v>
      </c>
    </row>
    <row r="1659" spans="1:30" ht="15" customHeight="1" x14ac:dyDescent="0.25">
      <c r="A1659" s="282" t="s">
        <v>2384</v>
      </c>
      <c r="B1659" s="282" t="s">
        <v>2413</v>
      </c>
      <c r="C1659" s="282" t="s">
        <v>2414</v>
      </c>
      <c r="D1659" s="283" t="s">
        <v>2473</v>
      </c>
      <c r="E1659" s="403">
        <v>44113</v>
      </c>
      <c r="F1659" s="403">
        <v>45939</v>
      </c>
      <c r="G1659" s="283" t="s">
        <v>154</v>
      </c>
      <c r="H1659" s="282" t="s">
        <v>2460</v>
      </c>
      <c r="I1659" s="285"/>
      <c r="J1659" s="282" t="s">
        <v>156</v>
      </c>
      <c r="K1659" s="283" t="s">
        <v>2461</v>
      </c>
      <c r="L1659" s="286" t="s">
        <v>321</v>
      </c>
      <c r="M1659" s="287" t="s">
        <v>159</v>
      </c>
      <c r="N1659" s="287">
        <v>58.8</v>
      </c>
      <c r="O1659" s="287" t="s">
        <v>159</v>
      </c>
      <c r="P1659" s="287" t="s">
        <v>159</v>
      </c>
      <c r="Q1659" s="288">
        <v>76</v>
      </c>
      <c r="R1659" s="288"/>
      <c r="S1659" s="288"/>
      <c r="T1659" s="288"/>
      <c r="U1659" s="288">
        <v>0</v>
      </c>
      <c r="V1659" s="289">
        <v>76</v>
      </c>
      <c r="W1659" s="289">
        <v>0</v>
      </c>
      <c r="X1659" s="288">
        <v>1.2925170068027212</v>
      </c>
      <c r="Y1659" s="288">
        <v>0</v>
      </c>
      <c r="Z1659" s="288">
        <v>0</v>
      </c>
      <c r="AA1659" s="288">
        <v>0</v>
      </c>
      <c r="AB1659" s="288">
        <v>0</v>
      </c>
      <c r="AC1659" s="289">
        <v>1.2925170068027212</v>
      </c>
      <c r="AD1659" s="289">
        <v>0</v>
      </c>
    </row>
    <row r="1660" spans="1:30" ht="15" customHeight="1" x14ac:dyDescent="0.25">
      <c r="A1660" s="282" t="s">
        <v>2384</v>
      </c>
      <c r="B1660" s="282" t="s">
        <v>2403</v>
      </c>
      <c r="C1660" s="282" t="s">
        <v>2430</v>
      </c>
      <c r="D1660" s="283" t="s">
        <v>2474</v>
      </c>
      <c r="E1660" s="403">
        <v>45371</v>
      </c>
      <c r="F1660" s="403">
        <v>47197</v>
      </c>
      <c r="G1660" s="283" t="s">
        <v>237</v>
      </c>
      <c r="H1660" s="282" t="s">
        <v>2475</v>
      </c>
      <c r="I1660" s="285"/>
      <c r="J1660" s="282" t="s">
        <v>2290</v>
      </c>
      <c r="K1660" s="283" t="s">
        <v>2476</v>
      </c>
      <c r="L1660" s="286" t="s">
        <v>321</v>
      </c>
      <c r="M1660" s="287" t="s">
        <v>159</v>
      </c>
      <c r="N1660" s="287">
        <v>4.22</v>
      </c>
      <c r="O1660" s="287" t="s">
        <v>159</v>
      </c>
      <c r="P1660" s="287" t="s">
        <v>159</v>
      </c>
      <c r="Q1660" s="288">
        <v>17.600000000000001</v>
      </c>
      <c r="R1660" s="288"/>
      <c r="S1660" s="288"/>
      <c r="T1660" s="288"/>
      <c r="U1660" s="288">
        <v>0</v>
      </c>
      <c r="V1660" s="289">
        <v>17.600000000000001</v>
      </c>
      <c r="W1660" s="289">
        <v>0</v>
      </c>
      <c r="X1660" s="288">
        <v>4.1706161137440763</v>
      </c>
      <c r="Y1660" s="288">
        <v>0</v>
      </c>
      <c r="Z1660" s="288">
        <v>0</v>
      </c>
      <c r="AA1660" s="288">
        <v>0</v>
      </c>
      <c r="AB1660" s="288">
        <v>0</v>
      </c>
      <c r="AC1660" s="289">
        <v>4.1706161137440763</v>
      </c>
      <c r="AD1660" s="289">
        <v>0</v>
      </c>
    </row>
    <row r="1661" spans="1:30" ht="15" customHeight="1" x14ac:dyDescent="0.25">
      <c r="A1661" s="282" t="s">
        <v>2384</v>
      </c>
      <c r="B1661" s="282" t="s">
        <v>2403</v>
      </c>
      <c r="C1661" s="282" t="s">
        <v>2430</v>
      </c>
      <c r="D1661" s="283" t="s">
        <v>2477</v>
      </c>
      <c r="E1661" s="403">
        <v>45371</v>
      </c>
      <c r="F1661" s="403">
        <v>47197</v>
      </c>
      <c r="G1661" s="283" t="s">
        <v>237</v>
      </c>
      <c r="H1661" s="282" t="s">
        <v>2475</v>
      </c>
      <c r="I1661" s="285"/>
      <c r="J1661" s="282" t="s">
        <v>2290</v>
      </c>
      <c r="K1661" s="283" t="s">
        <v>2476</v>
      </c>
      <c r="L1661" s="286" t="s">
        <v>321</v>
      </c>
      <c r="M1661" s="287" t="s">
        <v>159</v>
      </c>
      <c r="N1661" s="287">
        <v>4.22</v>
      </c>
      <c r="O1661" s="287" t="s">
        <v>159</v>
      </c>
      <c r="P1661" s="287" t="s">
        <v>159</v>
      </c>
      <c r="Q1661" s="288">
        <v>14.4</v>
      </c>
      <c r="R1661" s="288"/>
      <c r="S1661" s="288"/>
      <c r="T1661" s="288"/>
      <c r="U1661" s="288">
        <v>0</v>
      </c>
      <c r="V1661" s="289">
        <v>14.4</v>
      </c>
      <c r="W1661" s="289">
        <v>0</v>
      </c>
      <c r="X1661" s="288">
        <v>3.4123222748815167</v>
      </c>
      <c r="Y1661" s="288">
        <v>0</v>
      </c>
      <c r="Z1661" s="288">
        <v>0</v>
      </c>
      <c r="AA1661" s="288">
        <v>0</v>
      </c>
      <c r="AB1661" s="288">
        <v>0</v>
      </c>
      <c r="AC1661" s="289">
        <v>3.4123222748815167</v>
      </c>
      <c r="AD1661" s="289">
        <v>0</v>
      </c>
    </row>
    <row r="1662" spans="1:30" ht="15" customHeight="1" x14ac:dyDescent="0.25">
      <c r="A1662" s="282" t="s">
        <v>2384</v>
      </c>
      <c r="B1662" s="282" t="s">
        <v>2403</v>
      </c>
      <c r="C1662" s="282" t="s">
        <v>2430</v>
      </c>
      <c r="D1662" s="283" t="s">
        <v>2478</v>
      </c>
      <c r="E1662" s="403">
        <v>45371</v>
      </c>
      <c r="F1662" s="403">
        <v>47197</v>
      </c>
      <c r="G1662" s="283" t="s">
        <v>237</v>
      </c>
      <c r="H1662" s="282" t="s">
        <v>2475</v>
      </c>
      <c r="I1662" s="285"/>
      <c r="J1662" s="282" t="s">
        <v>2290</v>
      </c>
      <c r="K1662" s="283" t="s">
        <v>2476</v>
      </c>
      <c r="L1662" s="286" t="s">
        <v>321</v>
      </c>
      <c r="M1662" s="287" t="s">
        <v>159</v>
      </c>
      <c r="N1662" s="287">
        <v>4.22</v>
      </c>
      <c r="O1662" s="287" t="s">
        <v>159</v>
      </c>
      <c r="P1662" s="287" t="s">
        <v>159</v>
      </c>
      <c r="Q1662" s="288">
        <v>17.5</v>
      </c>
      <c r="R1662" s="288"/>
      <c r="S1662" s="288"/>
      <c r="T1662" s="288"/>
      <c r="U1662" s="288">
        <v>0</v>
      </c>
      <c r="V1662" s="289">
        <v>17.5</v>
      </c>
      <c r="W1662" s="289">
        <v>0</v>
      </c>
      <c r="X1662" s="288">
        <v>4.1469194312796214</v>
      </c>
      <c r="Y1662" s="288">
        <v>0</v>
      </c>
      <c r="Z1662" s="288">
        <v>0</v>
      </c>
      <c r="AA1662" s="288">
        <v>0</v>
      </c>
      <c r="AB1662" s="288">
        <v>0</v>
      </c>
      <c r="AC1662" s="289">
        <v>4.1469194312796214</v>
      </c>
      <c r="AD1662" s="289">
        <v>0</v>
      </c>
    </row>
    <row r="1663" spans="1:30" ht="15" customHeight="1" x14ac:dyDescent="0.25">
      <c r="A1663" s="282" t="s">
        <v>2384</v>
      </c>
      <c r="B1663" s="282" t="s">
        <v>2403</v>
      </c>
      <c r="C1663" s="282" t="s">
        <v>2430</v>
      </c>
      <c r="D1663" s="283" t="s">
        <v>2479</v>
      </c>
      <c r="E1663" s="403">
        <v>45371</v>
      </c>
      <c r="F1663" s="403">
        <v>47197</v>
      </c>
      <c r="G1663" s="283" t="s">
        <v>2480</v>
      </c>
      <c r="H1663" s="282" t="s">
        <v>2481</v>
      </c>
      <c r="I1663" s="285"/>
      <c r="J1663" s="282" t="s">
        <v>2290</v>
      </c>
      <c r="K1663" s="283" t="s">
        <v>2482</v>
      </c>
      <c r="L1663" s="286" t="s">
        <v>321</v>
      </c>
      <c r="M1663" s="287" t="s">
        <v>159</v>
      </c>
      <c r="N1663" s="287">
        <v>3.29</v>
      </c>
      <c r="O1663" s="287" t="s">
        <v>159</v>
      </c>
      <c r="P1663" s="287" t="s">
        <v>159</v>
      </c>
      <c r="Q1663" s="288">
        <v>12.3</v>
      </c>
      <c r="R1663" s="288"/>
      <c r="S1663" s="288"/>
      <c r="T1663" s="288"/>
      <c r="U1663" s="288">
        <v>0</v>
      </c>
      <c r="V1663" s="289">
        <v>12.3</v>
      </c>
      <c r="W1663" s="289">
        <v>0</v>
      </c>
      <c r="X1663" s="288">
        <v>3.738601823708207</v>
      </c>
      <c r="Y1663" s="288">
        <v>0</v>
      </c>
      <c r="Z1663" s="288">
        <v>0</v>
      </c>
      <c r="AA1663" s="288">
        <v>0</v>
      </c>
      <c r="AB1663" s="288">
        <v>0</v>
      </c>
      <c r="AC1663" s="289">
        <v>3.738601823708207</v>
      </c>
      <c r="AD1663" s="289">
        <v>0</v>
      </c>
    </row>
    <row r="1664" spans="1:30" ht="15" customHeight="1" x14ac:dyDescent="0.25">
      <c r="A1664" s="282" t="s">
        <v>2384</v>
      </c>
      <c r="B1664" s="282" t="s">
        <v>2403</v>
      </c>
      <c r="C1664" s="282" t="s">
        <v>2430</v>
      </c>
      <c r="D1664" s="283" t="s">
        <v>2483</v>
      </c>
      <c r="E1664" s="403">
        <v>45371</v>
      </c>
      <c r="F1664" s="403">
        <v>47197</v>
      </c>
      <c r="G1664" s="283" t="s">
        <v>2480</v>
      </c>
      <c r="H1664" s="282" t="s">
        <v>2481</v>
      </c>
      <c r="I1664" s="285"/>
      <c r="J1664" s="282" t="s">
        <v>2290</v>
      </c>
      <c r="K1664" s="283" t="s">
        <v>2482</v>
      </c>
      <c r="L1664" s="286" t="s">
        <v>321</v>
      </c>
      <c r="M1664" s="287" t="s">
        <v>159</v>
      </c>
      <c r="N1664" s="287">
        <v>3.29</v>
      </c>
      <c r="O1664" s="287" t="s">
        <v>159</v>
      </c>
      <c r="P1664" s="287" t="s">
        <v>159</v>
      </c>
      <c r="Q1664" s="288">
        <v>8.5299999999999994</v>
      </c>
      <c r="R1664" s="288"/>
      <c r="S1664" s="288"/>
      <c r="T1664" s="288"/>
      <c r="U1664" s="288">
        <v>0</v>
      </c>
      <c r="V1664" s="289">
        <v>8.5299999999999994</v>
      </c>
      <c r="W1664" s="289">
        <v>0</v>
      </c>
      <c r="X1664" s="288">
        <v>2.5927051671732522</v>
      </c>
      <c r="Y1664" s="288">
        <v>0</v>
      </c>
      <c r="Z1664" s="288">
        <v>0</v>
      </c>
      <c r="AA1664" s="288">
        <v>0</v>
      </c>
      <c r="AB1664" s="288">
        <v>0</v>
      </c>
      <c r="AC1664" s="289">
        <v>2.5927051671732522</v>
      </c>
      <c r="AD1664" s="289">
        <v>0</v>
      </c>
    </row>
    <row r="1665" spans="1:30" ht="15" customHeight="1" x14ac:dyDescent="0.25">
      <c r="A1665" s="282" t="s">
        <v>2384</v>
      </c>
      <c r="B1665" s="282" t="s">
        <v>2403</v>
      </c>
      <c r="C1665" s="282" t="s">
        <v>2430</v>
      </c>
      <c r="D1665" s="283" t="s">
        <v>2484</v>
      </c>
      <c r="E1665" s="403">
        <v>45371</v>
      </c>
      <c r="F1665" s="403">
        <v>47197</v>
      </c>
      <c r="G1665" s="283" t="s">
        <v>2480</v>
      </c>
      <c r="H1665" s="282" t="s">
        <v>2481</v>
      </c>
      <c r="I1665" s="285"/>
      <c r="J1665" s="282" t="s">
        <v>2290</v>
      </c>
      <c r="K1665" s="283" t="s">
        <v>2482</v>
      </c>
      <c r="L1665" s="286" t="s">
        <v>321</v>
      </c>
      <c r="M1665" s="287" t="s">
        <v>159</v>
      </c>
      <c r="N1665" s="287">
        <v>3.29</v>
      </c>
      <c r="O1665" s="287" t="s">
        <v>159</v>
      </c>
      <c r="P1665" s="287" t="s">
        <v>159</v>
      </c>
      <c r="Q1665" s="288">
        <v>12.5</v>
      </c>
      <c r="R1665" s="288"/>
      <c r="S1665" s="288"/>
      <c r="T1665" s="288"/>
      <c r="U1665" s="288">
        <v>0</v>
      </c>
      <c r="V1665" s="289">
        <v>12.5</v>
      </c>
      <c r="W1665" s="289">
        <v>0</v>
      </c>
      <c r="X1665" s="288">
        <v>3.7993920972644375</v>
      </c>
      <c r="Y1665" s="288">
        <v>0</v>
      </c>
      <c r="Z1665" s="288">
        <v>0</v>
      </c>
      <c r="AA1665" s="288">
        <v>0</v>
      </c>
      <c r="AB1665" s="288">
        <v>0</v>
      </c>
      <c r="AC1665" s="289">
        <v>3.7993920972644375</v>
      </c>
      <c r="AD1665" s="289">
        <v>0</v>
      </c>
    </row>
    <row r="1666" spans="1:30" ht="15" customHeight="1" x14ac:dyDescent="0.25">
      <c r="A1666" s="282" t="s">
        <v>2384</v>
      </c>
      <c r="B1666" s="282" t="s">
        <v>2403</v>
      </c>
      <c r="C1666" s="282" t="s">
        <v>2430</v>
      </c>
      <c r="D1666" s="283" t="s">
        <v>2485</v>
      </c>
      <c r="E1666" s="403">
        <v>45371</v>
      </c>
      <c r="F1666" s="403">
        <v>47197</v>
      </c>
      <c r="G1666" s="283" t="s">
        <v>2480</v>
      </c>
      <c r="H1666" s="282" t="s">
        <v>2486</v>
      </c>
      <c r="I1666" s="285"/>
      <c r="J1666" s="282" t="s">
        <v>2290</v>
      </c>
      <c r="K1666" s="283" t="s">
        <v>2487</v>
      </c>
      <c r="L1666" s="286" t="s">
        <v>321</v>
      </c>
      <c r="M1666" s="287" t="s">
        <v>159</v>
      </c>
      <c r="N1666" s="287">
        <v>4.22</v>
      </c>
      <c r="O1666" s="287" t="s">
        <v>159</v>
      </c>
      <c r="P1666" s="287" t="s">
        <v>159</v>
      </c>
      <c r="Q1666" s="288">
        <v>17.600000000000001</v>
      </c>
      <c r="R1666" s="288"/>
      <c r="S1666" s="288"/>
      <c r="T1666" s="288"/>
      <c r="U1666" s="288">
        <v>0</v>
      </c>
      <c r="V1666" s="289">
        <v>17.600000000000001</v>
      </c>
      <c r="W1666" s="289">
        <v>0</v>
      </c>
      <c r="X1666" s="288">
        <v>4.1706161137440763</v>
      </c>
      <c r="Y1666" s="288">
        <v>0</v>
      </c>
      <c r="Z1666" s="288">
        <v>0</v>
      </c>
      <c r="AA1666" s="288">
        <v>0</v>
      </c>
      <c r="AB1666" s="288">
        <v>0</v>
      </c>
      <c r="AC1666" s="289">
        <v>4.1706161137440763</v>
      </c>
      <c r="AD1666" s="289">
        <v>0</v>
      </c>
    </row>
    <row r="1667" spans="1:30" ht="15" customHeight="1" x14ac:dyDescent="0.25">
      <c r="A1667" s="282" t="s">
        <v>2384</v>
      </c>
      <c r="B1667" s="282" t="s">
        <v>2403</v>
      </c>
      <c r="C1667" s="282" t="s">
        <v>2430</v>
      </c>
      <c r="D1667" s="283" t="s">
        <v>2488</v>
      </c>
      <c r="E1667" s="403">
        <v>45371</v>
      </c>
      <c r="F1667" s="403">
        <v>47197</v>
      </c>
      <c r="G1667" s="283" t="s">
        <v>2480</v>
      </c>
      <c r="H1667" s="282" t="s">
        <v>2475</v>
      </c>
      <c r="I1667" s="285"/>
      <c r="J1667" s="282" t="s">
        <v>2290</v>
      </c>
      <c r="K1667" s="283" t="s">
        <v>2487</v>
      </c>
      <c r="L1667" s="286" t="s">
        <v>321</v>
      </c>
      <c r="M1667" s="287" t="s">
        <v>159</v>
      </c>
      <c r="N1667" s="287">
        <v>4.22</v>
      </c>
      <c r="O1667" s="287" t="s">
        <v>159</v>
      </c>
      <c r="P1667" s="287" t="s">
        <v>159</v>
      </c>
      <c r="Q1667" s="288">
        <v>14.4</v>
      </c>
      <c r="R1667" s="288"/>
      <c r="S1667" s="288"/>
      <c r="T1667" s="288"/>
      <c r="U1667" s="288">
        <v>0</v>
      </c>
      <c r="V1667" s="289">
        <v>14.4</v>
      </c>
      <c r="W1667" s="289">
        <v>0</v>
      </c>
      <c r="X1667" s="288">
        <v>3.4123222748815167</v>
      </c>
      <c r="Y1667" s="288">
        <v>0</v>
      </c>
      <c r="Z1667" s="288">
        <v>0</v>
      </c>
      <c r="AA1667" s="288">
        <v>0</v>
      </c>
      <c r="AB1667" s="288">
        <v>0</v>
      </c>
      <c r="AC1667" s="289">
        <v>3.4123222748815167</v>
      </c>
      <c r="AD1667" s="289">
        <v>0</v>
      </c>
    </row>
    <row r="1668" spans="1:30" ht="15" customHeight="1" x14ac:dyDescent="0.25">
      <c r="A1668" s="282" t="s">
        <v>2384</v>
      </c>
      <c r="B1668" s="282" t="s">
        <v>2403</v>
      </c>
      <c r="C1668" s="282" t="s">
        <v>2430</v>
      </c>
      <c r="D1668" s="283" t="s">
        <v>2489</v>
      </c>
      <c r="E1668" s="403">
        <v>45371</v>
      </c>
      <c r="F1668" s="403">
        <v>47197</v>
      </c>
      <c r="G1668" s="283" t="s">
        <v>2480</v>
      </c>
      <c r="H1668" s="282" t="s">
        <v>2475</v>
      </c>
      <c r="I1668" s="285"/>
      <c r="J1668" s="282" t="s">
        <v>2290</v>
      </c>
      <c r="K1668" s="283" t="s">
        <v>2487</v>
      </c>
      <c r="L1668" s="286" t="s">
        <v>321</v>
      </c>
      <c r="M1668" s="287" t="s">
        <v>159</v>
      </c>
      <c r="N1668" s="287">
        <v>4.22</v>
      </c>
      <c r="O1668" s="287" t="s">
        <v>159</v>
      </c>
      <c r="P1668" s="287" t="s">
        <v>159</v>
      </c>
      <c r="Q1668" s="288">
        <v>17.5</v>
      </c>
      <c r="R1668" s="288"/>
      <c r="S1668" s="288"/>
      <c r="T1668" s="288"/>
      <c r="U1668" s="288">
        <v>0</v>
      </c>
      <c r="V1668" s="289">
        <v>17.5</v>
      </c>
      <c r="W1668" s="289">
        <v>0</v>
      </c>
      <c r="X1668" s="288">
        <v>4.1469194312796214</v>
      </c>
      <c r="Y1668" s="288">
        <v>0</v>
      </c>
      <c r="Z1668" s="288">
        <v>0</v>
      </c>
      <c r="AA1668" s="288">
        <v>0</v>
      </c>
      <c r="AB1668" s="288">
        <v>0</v>
      </c>
      <c r="AC1668" s="289">
        <v>4.1469194312796214</v>
      </c>
      <c r="AD1668" s="289">
        <v>0</v>
      </c>
    </row>
    <row r="1669" spans="1:30" ht="15" customHeight="1" x14ac:dyDescent="0.25">
      <c r="A1669" s="282" t="s">
        <v>2384</v>
      </c>
      <c r="B1669" s="282" t="s">
        <v>2403</v>
      </c>
      <c r="C1669" s="282" t="s">
        <v>2430</v>
      </c>
      <c r="D1669" s="283" t="s">
        <v>2490</v>
      </c>
      <c r="E1669" s="403">
        <v>45371</v>
      </c>
      <c r="F1669" s="403">
        <v>47197</v>
      </c>
      <c r="G1669" s="283" t="s">
        <v>2480</v>
      </c>
      <c r="H1669" s="282" t="s">
        <v>2491</v>
      </c>
      <c r="I1669" s="285"/>
      <c r="J1669" s="282" t="s">
        <v>2290</v>
      </c>
      <c r="K1669" s="283" t="s">
        <v>2492</v>
      </c>
      <c r="L1669" s="286" t="s">
        <v>321</v>
      </c>
      <c r="M1669" s="287" t="s">
        <v>159</v>
      </c>
      <c r="N1669" s="287">
        <v>3.29</v>
      </c>
      <c r="O1669" s="287" t="s">
        <v>159</v>
      </c>
      <c r="P1669" s="287" t="s">
        <v>159</v>
      </c>
      <c r="Q1669" s="288">
        <v>12.3</v>
      </c>
      <c r="R1669" s="288"/>
      <c r="S1669" s="288"/>
      <c r="T1669" s="288"/>
      <c r="U1669" s="288">
        <v>0</v>
      </c>
      <c r="V1669" s="289">
        <v>12.3</v>
      </c>
      <c r="W1669" s="289">
        <v>0</v>
      </c>
      <c r="X1669" s="288">
        <v>3.738601823708207</v>
      </c>
      <c r="Y1669" s="288">
        <v>0</v>
      </c>
      <c r="Z1669" s="288">
        <v>0</v>
      </c>
      <c r="AA1669" s="288">
        <v>0</v>
      </c>
      <c r="AB1669" s="288">
        <v>0</v>
      </c>
      <c r="AC1669" s="289">
        <v>3.738601823708207</v>
      </c>
      <c r="AD1669" s="289">
        <v>0</v>
      </c>
    </row>
    <row r="1670" spans="1:30" ht="15" customHeight="1" x14ac:dyDescent="0.25">
      <c r="A1670" s="282" t="s">
        <v>2384</v>
      </c>
      <c r="B1670" s="282" t="s">
        <v>2403</v>
      </c>
      <c r="C1670" s="282" t="s">
        <v>2430</v>
      </c>
      <c r="D1670" s="283" t="s">
        <v>2493</v>
      </c>
      <c r="E1670" s="403">
        <v>45371</v>
      </c>
      <c r="F1670" s="403">
        <v>47197</v>
      </c>
      <c r="G1670" s="283" t="s">
        <v>2480</v>
      </c>
      <c r="H1670" s="282" t="s">
        <v>2491</v>
      </c>
      <c r="I1670" s="285"/>
      <c r="J1670" s="282" t="s">
        <v>2290</v>
      </c>
      <c r="K1670" s="283" t="s">
        <v>2492</v>
      </c>
      <c r="L1670" s="286" t="s">
        <v>321</v>
      </c>
      <c r="M1670" s="287" t="s">
        <v>159</v>
      </c>
      <c r="N1670" s="287">
        <v>3.29</v>
      </c>
      <c r="O1670" s="287" t="s">
        <v>159</v>
      </c>
      <c r="P1670" s="287" t="s">
        <v>159</v>
      </c>
      <c r="Q1670" s="288">
        <v>8.5299999999999994</v>
      </c>
      <c r="R1670" s="288"/>
      <c r="S1670" s="288"/>
      <c r="T1670" s="288"/>
      <c r="U1670" s="288">
        <v>0</v>
      </c>
      <c r="V1670" s="289">
        <v>8.5299999999999994</v>
      </c>
      <c r="W1670" s="289">
        <v>0</v>
      </c>
      <c r="X1670" s="288">
        <v>2.5927051671732522</v>
      </c>
      <c r="Y1670" s="288">
        <v>0</v>
      </c>
      <c r="Z1670" s="288">
        <v>0</v>
      </c>
      <c r="AA1670" s="288">
        <v>0</v>
      </c>
      <c r="AB1670" s="288">
        <v>0</v>
      </c>
      <c r="AC1670" s="289">
        <v>2.5927051671732522</v>
      </c>
      <c r="AD1670" s="289">
        <v>0</v>
      </c>
    </row>
    <row r="1671" spans="1:30" ht="15" customHeight="1" x14ac:dyDescent="0.25">
      <c r="A1671" s="282" t="s">
        <v>2384</v>
      </c>
      <c r="B1671" s="282" t="s">
        <v>2403</v>
      </c>
      <c r="C1671" s="282" t="s">
        <v>2430</v>
      </c>
      <c r="D1671" s="283" t="s">
        <v>2494</v>
      </c>
      <c r="E1671" s="403">
        <v>45371</v>
      </c>
      <c r="F1671" s="403">
        <v>47197</v>
      </c>
      <c r="G1671" s="283" t="s">
        <v>2480</v>
      </c>
      <c r="H1671" s="282" t="s">
        <v>2491</v>
      </c>
      <c r="I1671" s="285"/>
      <c r="J1671" s="282" t="s">
        <v>2290</v>
      </c>
      <c r="K1671" s="283" t="s">
        <v>2492</v>
      </c>
      <c r="L1671" s="286" t="s">
        <v>321</v>
      </c>
      <c r="M1671" s="287" t="s">
        <v>159</v>
      </c>
      <c r="N1671" s="287">
        <v>3.29</v>
      </c>
      <c r="O1671" s="287" t="s">
        <v>159</v>
      </c>
      <c r="P1671" s="287" t="s">
        <v>159</v>
      </c>
      <c r="Q1671" s="288">
        <v>12.5</v>
      </c>
      <c r="R1671" s="288"/>
      <c r="S1671" s="288"/>
      <c r="T1671" s="288"/>
      <c r="U1671" s="288">
        <v>0</v>
      </c>
      <c r="V1671" s="289">
        <v>12.5</v>
      </c>
      <c r="W1671" s="289">
        <v>0</v>
      </c>
      <c r="X1671" s="288">
        <v>3.7993920972644375</v>
      </c>
      <c r="Y1671" s="288">
        <v>0</v>
      </c>
      <c r="Z1671" s="288">
        <v>0</v>
      </c>
      <c r="AA1671" s="288">
        <v>0</v>
      </c>
      <c r="AB1671" s="288">
        <v>0</v>
      </c>
      <c r="AC1671" s="289">
        <v>3.7993920972644375</v>
      </c>
      <c r="AD1671" s="289">
        <v>0</v>
      </c>
    </row>
    <row r="1672" spans="1:30" ht="15" customHeight="1" x14ac:dyDescent="0.25">
      <c r="A1672" s="282" t="s">
        <v>2384</v>
      </c>
      <c r="B1672" s="282" t="s">
        <v>2422</v>
      </c>
      <c r="C1672" s="282" t="s">
        <v>2423</v>
      </c>
      <c r="D1672" s="286" t="s">
        <v>2495</v>
      </c>
      <c r="E1672" s="403">
        <v>43077</v>
      </c>
      <c r="F1672" s="403">
        <v>44903</v>
      </c>
      <c r="G1672" s="283" t="s">
        <v>154</v>
      </c>
      <c r="H1672" s="282" t="s">
        <v>2425</v>
      </c>
      <c r="I1672" s="282" t="s">
        <v>1600</v>
      </c>
      <c r="J1672" s="282" t="s">
        <v>156</v>
      </c>
      <c r="K1672" s="283" t="s">
        <v>2426</v>
      </c>
      <c r="L1672" s="292" t="s">
        <v>574</v>
      </c>
      <c r="M1672" s="293">
        <v>493.33333333333337</v>
      </c>
      <c r="N1672" s="293"/>
      <c r="O1672" s="287"/>
      <c r="P1672" s="287"/>
      <c r="Q1672" s="288">
        <v>-363.33333333333337</v>
      </c>
      <c r="R1672" s="288">
        <v>410.66666666666669</v>
      </c>
      <c r="S1672" s="288">
        <v>-773.33333333333337</v>
      </c>
      <c r="T1672" s="288"/>
      <c r="U1672" s="288">
        <v>832.08888888888896</v>
      </c>
      <c r="V1672" s="289">
        <v>469.42222222222227</v>
      </c>
      <c r="W1672" s="289">
        <v>832.08888888888896</v>
      </c>
      <c r="X1672" s="288">
        <v>-0.73648648648648651</v>
      </c>
      <c r="Y1672" s="288">
        <v>0.83243243243243237</v>
      </c>
      <c r="Z1672" s="288">
        <v>-1.5675675675675675</v>
      </c>
      <c r="AA1672" s="288">
        <v>0</v>
      </c>
      <c r="AB1672" s="288">
        <v>1.6866666666666668</v>
      </c>
      <c r="AC1672" s="289">
        <v>0.95153153153153158</v>
      </c>
      <c r="AD1672" s="289">
        <v>1.6866666666666668</v>
      </c>
    </row>
    <row r="1673" spans="1:30" ht="15" customHeight="1" x14ac:dyDescent="0.25">
      <c r="A1673" s="282" t="s">
        <v>2384</v>
      </c>
      <c r="B1673" s="282" t="s">
        <v>2403</v>
      </c>
      <c r="C1673" s="282" t="s">
        <v>2430</v>
      </c>
      <c r="D1673" s="283" t="s">
        <v>2496</v>
      </c>
      <c r="E1673" s="403">
        <v>45133</v>
      </c>
      <c r="F1673" s="403" t="s">
        <v>2432</v>
      </c>
      <c r="G1673" s="283" t="s">
        <v>237</v>
      </c>
      <c r="H1673" s="282" t="s">
        <v>2433</v>
      </c>
      <c r="I1673" s="285"/>
      <c r="J1673" s="282" t="s">
        <v>2290</v>
      </c>
      <c r="K1673" s="283" t="s">
        <v>2434</v>
      </c>
      <c r="L1673" s="286" t="s">
        <v>321</v>
      </c>
      <c r="M1673" s="287" t="s">
        <v>159</v>
      </c>
      <c r="N1673" s="287">
        <v>2.57</v>
      </c>
      <c r="O1673" s="287" t="s">
        <v>159</v>
      </c>
      <c r="P1673" s="287" t="s">
        <v>159</v>
      </c>
      <c r="Q1673" s="288">
        <v>28.6</v>
      </c>
      <c r="R1673" s="288">
        <v>21.3</v>
      </c>
      <c r="S1673" s="288">
        <v>5.93</v>
      </c>
      <c r="T1673" s="288">
        <v>1.29</v>
      </c>
      <c r="U1673" s="288">
        <v>0</v>
      </c>
      <c r="V1673" s="289">
        <v>28.52</v>
      </c>
      <c r="W1673" s="289">
        <v>0</v>
      </c>
      <c r="X1673" s="288">
        <v>11.128404669260702</v>
      </c>
      <c r="Y1673" s="288">
        <v>8.2879377431906622</v>
      </c>
      <c r="Z1673" s="288">
        <v>2.3073929961089497</v>
      </c>
      <c r="AA1673" s="288">
        <v>0.50194552529182879</v>
      </c>
      <c r="AB1673" s="288">
        <v>0</v>
      </c>
      <c r="AC1673" s="289">
        <v>11.097276264591441</v>
      </c>
      <c r="AD1673" s="289">
        <v>0</v>
      </c>
    </row>
    <row r="1674" spans="1:30" ht="15" customHeight="1" x14ac:dyDescent="0.25">
      <c r="A1674" s="282" t="s">
        <v>2384</v>
      </c>
      <c r="B1674" s="282" t="s">
        <v>2497</v>
      </c>
      <c r="C1674" s="282" t="s">
        <v>2498</v>
      </c>
      <c r="D1674" s="283" t="s">
        <v>2499</v>
      </c>
      <c r="E1674" s="403">
        <v>45092</v>
      </c>
      <c r="F1674" s="403">
        <v>46918</v>
      </c>
      <c r="G1674" s="283" t="s">
        <v>231</v>
      </c>
      <c r="H1674" s="282" t="s">
        <v>2500</v>
      </c>
      <c r="I1674" s="285"/>
      <c r="J1674" s="282" t="s">
        <v>2290</v>
      </c>
      <c r="K1674" s="283" t="s">
        <v>2501</v>
      </c>
      <c r="L1674" s="286" t="s">
        <v>321</v>
      </c>
      <c r="M1674" s="287" t="s">
        <v>159</v>
      </c>
      <c r="N1674" s="287">
        <v>6.96</v>
      </c>
      <c r="O1674" s="287" t="s">
        <v>159</v>
      </c>
      <c r="P1674" s="287" t="s">
        <v>159</v>
      </c>
      <c r="Q1674" s="288">
        <v>-8.31</v>
      </c>
      <c r="R1674" s="288">
        <v>2.66</v>
      </c>
      <c r="S1674" s="288">
        <v>-11</v>
      </c>
      <c r="T1674" s="288">
        <v>9.3399999999999993E-3</v>
      </c>
      <c r="U1674" s="288">
        <v>0</v>
      </c>
      <c r="V1674" s="289">
        <v>2.66934</v>
      </c>
      <c r="W1674" s="289">
        <v>0</v>
      </c>
      <c r="X1674" s="288">
        <v>-1.1939655172413794</v>
      </c>
      <c r="Y1674" s="288">
        <v>0.38218390804597702</v>
      </c>
      <c r="Z1674" s="288">
        <v>-1.5804597701149425</v>
      </c>
      <c r="AA1674" s="288">
        <v>1.3419540229885057E-3</v>
      </c>
      <c r="AB1674" s="288">
        <v>0</v>
      </c>
      <c r="AC1674" s="289">
        <v>0.38352586206896544</v>
      </c>
      <c r="AD1674" s="289">
        <v>0</v>
      </c>
    </row>
    <row r="1675" spans="1:30" ht="15" customHeight="1" x14ac:dyDescent="0.25">
      <c r="A1675" s="282" t="s">
        <v>2384</v>
      </c>
      <c r="B1675" s="282" t="s">
        <v>2497</v>
      </c>
      <c r="C1675" s="282" t="s">
        <v>2498</v>
      </c>
      <c r="D1675" s="283" t="s">
        <v>2502</v>
      </c>
      <c r="E1675" s="403">
        <v>44583</v>
      </c>
      <c r="F1675" s="403">
        <v>46681</v>
      </c>
      <c r="G1675" s="283" t="s">
        <v>237</v>
      </c>
      <c r="H1675" s="282" t="s">
        <v>2503</v>
      </c>
      <c r="I1675" s="285"/>
      <c r="J1675" s="282" t="s">
        <v>2290</v>
      </c>
      <c r="K1675" s="283" t="s">
        <v>2504</v>
      </c>
      <c r="L1675" s="286" t="s">
        <v>321</v>
      </c>
      <c r="M1675" s="287" t="s">
        <v>159</v>
      </c>
      <c r="N1675" s="287">
        <v>6.99</v>
      </c>
      <c r="O1675" s="287" t="s">
        <v>159</v>
      </c>
      <c r="P1675" s="287" t="s">
        <v>159</v>
      </c>
      <c r="Q1675" s="288">
        <v>-6.18</v>
      </c>
      <c r="R1675" s="288">
        <v>4.7300000000000004</v>
      </c>
      <c r="S1675" s="288">
        <v>-10.9</v>
      </c>
      <c r="T1675" s="288">
        <v>1.3299999999999999E-2</v>
      </c>
      <c r="U1675" s="288">
        <v>0</v>
      </c>
      <c r="V1675" s="289">
        <v>4.7433000000000005</v>
      </c>
      <c r="W1675" s="289">
        <v>0</v>
      </c>
      <c r="X1675" s="288">
        <v>-0.88412017167381962</v>
      </c>
      <c r="Y1675" s="288">
        <v>0.67668097281831197</v>
      </c>
      <c r="Z1675" s="288">
        <v>-1.5593705293276108</v>
      </c>
      <c r="AA1675" s="288">
        <v>1.9027181688125892E-3</v>
      </c>
      <c r="AB1675" s="288">
        <v>0</v>
      </c>
      <c r="AC1675" s="289">
        <v>0.67858369098712457</v>
      </c>
      <c r="AD1675" s="289">
        <v>0</v>
      </c>
    </row>
    <row r="1676" spans="1:30" ht="15" customHeight="1" x14ac:dyDescent="0.25">
      <c r="A1676" s="282" t="s">
        <v>2505</v>
      </c>
      <c r="B1676" s="282" t="s">
        <v>2506</v>
      </c>
      <c r="C1676" s="282" t="s">
        <v>260</v>
      </c>
      <c r="D1676" s="286" t="s">
        <v>2507</v>
      </c>
      <c r="E1676" s="403">
        <v>43734</v>
      </c>
      <c r="F1676" s="403">
        <v>45561</v>
      </c>
      <c r="G1676" s="283" t="s">
        <v>154</v>
      </c>
      <c r="H1676" s="282" t="s">
        <v>2508</v>
      </c>
      <c r="I1676" s="282" t="s">
        <v>590</v>
      </c>
      <c r="J1676" s="282" t="s">
        <v>156</v>
      </c>
      <c r="K1676" s="283" t="s">
        <v>2509</v>
      </c>
      <c r="L1676" s="283" t="s">
        <v>321</v>
      </c>
      <c r="M1676" s="293"/>
      <c r="N1676" s="293"/>
      <c r="O1676" s="287"/>
      <c r="P1676" s="287"/>
      <c r="Q1676" s="288">
        <v>0.156</v>
      </c>
      <c r="R1676" s="288">
        <v>0.156</v>
      </c>
      <c r="S1676" s="288"/>
      <c r="T1676" s="288"/>
      <c r="U1676" s="288">
        <v>0</v>
      </c>
      <c r="V1676" s="289">
        <v>0.156</v>
      </c>
      <c r="W1676" s="289">
        <v>0</v>
      </c>
      <c r="X1676" s="288" t="s">
        <v>159</v>
      </c>
      <c r="Y1676" s="288" t="s">
        <v>159</v>
      </c>
      <c r="Z1676" s="288" t="s">
        <v>159</v>
      </c>
      <c r="AA1676" s="288" t="s">
        <v>159</v>
      </c>
      <c r="AB1676" s="288" t="s">
        <v>159</v>
      </c>
      <c r="AC1676" s="289">
        <v>0</v>
      </c>
      <c r="AD1676" s="289">
        <v>0</v>
      </c>
    </row>
    <row r="1677" spans="1:30" ht="15" customHeight="1" x14ac:dyDescent="0.25">
      <c r="A1677" s="282" t="s">
        <v>2510</v>
      </c>
      <c r="B1677" s="282" t="s">
        <v>2511</v>
      </c>
      <c r="C1677" s="282" t="s">
        <v>2512</v>
      </c>
      <c r="D1677" s="283" t="s">
        <v>2513</v>
      </c>
      <c r="E1677" s="403">
        <v>45352</v>
      </c>
      <c r="F1677" s="403">
        <v>47178</v>
      </c>
      <c r="G1677" s="283" t="s">
        <v>237</v>
      </c>
      <c r="H1677" s="282" t="s">
        <v>2514</v>
      </c>
      <c r="I1677" s="285"/>
      <c r="J1677" s="282" t="s">
        <v>2515</v>
      </c>
      <c r="K1677" s="283" t="s">
        <v>2516</v>
      </c>
      <c r="L1677" s="286" t="s">
        <v>219</v>
      </c>
      <c r="M1677" s="287">
        <v>2700</v>
      </c>
      <c r="N1677" s="287">
        <v>10</v>
      </c>
      <c r="O1677" s="287" t="s">
        <v>159</v>
      </c>
      <c r="P1677" s="287" t="s">
        <v>159</v>
      </c>
      <c r="Q1677" s="288">
        <v>1.1000000000000001</v>
      </c>
      <c r="R1677" s="288"/>
      <c r="S1677" s="288"/>
      <c r="T1677" s="288"/>
      <c r="U1677" s="288">
        <v>0</v>
      </c>
      <c r="V1677" s="289">
        <v>1.1000000000000001</v>
      </c>
      <c r="W1677" s="289">
        <v>0</v>
      </c>
      <c r="X1677" s="288">
        <v>1.1000000000000001</v>
      </c>
      <c r="Y1677" s="288">
        <v>0</v>
      </c>
      <c r="Z1677" s="288">
        <v>0</v>
      </c>
      <c r="AA1677" s="288">
        <v>0</v>
      </c>
      <c r="AB1677" s="288">
        <v>0</v>
      </c>
      <c r="AC1677" s="289">
        <v>1.1000000000000001</v>
      </c>
      <c r="AD1677" s="289">
        <v>0</v>
      </c>
    </row>
    <row r="1678" spans="1:30" ht="15" customHeight="1" x14ac:dyDescent="0.25">
      <c r="A1678" s="282" t="s">
        <v>2510</v>
      </c>
      <c r="B1678" s="282" t="s">
        <v>2511</v>
      </c>
      <c r="C1678" s="282" t="s">
        <v>2512</v>
      </c>
      <c r="D1678" s="283" t="s">
        <v>2517</v>
      </c>
      <c r="E1678" s="403">
        <v>43348</v>
      </c>
      <c r="F1678" s="403">
        <v>45174</v>
      </c>
      <c r="G1678" s="283" t="s">
        <v>237</v>
      </c>
      <c r="H1678" s="282" t="s">
        <v>2518</v>
      </c>
      <c r="I1678" s="285"/>
      <c r="J1678" s="282" t="s">
        <v>2515</v>
      </c>
      <c r="K1678" s="283" t="s">
        <v>2519</v>
      </c>
      <c r="L1678" s="286" t="s">
        <v>219</v>
      </c>
      <c r="M1678" s="287" t="s">
        <v>159</v>
      </c>
      <c r="N1678" s="287">
        <v>10</v>
      </c>
      <c r="O1678" s="287" t="s">
        <v>159</v>
      </c>
      <c r="P1678" s="287" t="s">
        <v>159</v>
      </c>
      <c r="Q1678" s="288">
        <v>1.6600000000000001</v>
      </c>
      <c r="R1678" s="288"/>
      <c r="S1678" s="288"/>
      <c r="T1678" s="288"/>
      <c r="U1678" s="288">
        <v>0</v>
      </c>
      <c r="V1678" s="289">
        <v>1.6600000000000001</v>
      </c>
      <c r="W1678" s="289">
        <v>0</v>
      </c>
      <c r="X1678" s="288">
        <v>1.6600000000000001</v>
      </c>
      <c r="Y1678" s="288">
        <v>0</v>
      </c>
      <c r="Z1678" s="288">
        <v>0</v>
      </c>
      <c r="AA1678" s="288">
        <v>0</v>
      </c>
      <c r="AB1678" s="288">
        <v>0</v>
      </c>
      <c r="AC1678" s="289">
        <v>1.6600000000000001</v>
      </c>
      <c r="AD1678" s="289">
        <v>0</v>
      </c>
    </row>
    <row r="1679" spans="1:30" ht="15" customHeight="1" x14ac:dyDescent="0.25">
      <c r="A1679" s="282" t="s">
        <v>2510</v>
      </c>
      <c r="B1679" s="282" t="s">
        <v>2520</v>
      </c>
      <c r="C1679" s="282" t="s">
        <v>2512</v>
      </c>
      <c r="D1679" s="283" t="s">
        <v>2521</v>
      </c>
      <c r="E1679" s="403">
        <v>45230</v>
      </c>
      <c r="F1679" s="403">
        <v>47057</v>
      </c>
      <c r="G1679" s="283" t="s">
        <v>193</v>
      </c>
      <c r="H1679" s="282" t="s">
        <v>2522</v>
      </c>
      <c r="I1679" s="285"/>
      <c r="J1679" s="282" t="s">
        <v>184</v>
      </c>
      <c r="K1679" s="283" t="s">
        <v>2523</v>
      </c>
      <c r="L1679" s="286" t="s">
        <v>219</v>
      </c>
      <c r="M1679" s="287" t="s">
        <v>159</v>
      </c>
      <c r="N1679" s="287">
        <v>26</v>
      </c>
      <c r="O1679" s="287" t="s">
        <v>159</v>
      </c>
      <c r="P1679" s="287" t="s">
        <v>159</v>
      </c>
      <c r="Q1679" s="288">
        <v>1.9653846153846155</v>
      </c>
      <c r="R1679" s="288">
        <v>1.9653846153846155</v>
      </c>
      <c r="S1679" s="288">
        <v>-7.2307692307692307E-3</v>
      </c>
      <c r="T1679" s="288"/>
      <c r="U1679" s="288">
        <v>0</v>
      </c>
      <c r="V1679" s="289">
        <v>1.9653846153846155</v>
      </c>
      <c r="W1679" s="289">
        <v>0</v>
      </c>
      <c r="X1679" s="288">
        <v>1.9653846153846155</v>
      </c>
      <c r="Y1679" s="288">
        <v>1.9653846153846155</v>
      </c>
      <c r="Z1679" s="288">
        <v>-7.2307692307692307E-3</v>
      </c>
      <c r="AA1679" s="288">
        <v>0</v>
      </c>
      <c r="AB1679" s="288">
        <v>0</v>
      </c>
      <c r="AC1679" s="289">
        <v>1.9653846153846155</v>
      </c>
      <c r="AD1679" s="289">
        <v>0</v>
      </c>
    </row>
    <row r="1680" spans="1:30" ht="15" customHeight="1" x14ac:dyDescent="0.25">
      <c r="A1680" s="282" t="s">
        <v>2510</v>
      </c>
      <c r="B1680" s="282" t="s">
        <v>2520</v>
      </c>
      <c r="C1680" s="282" t="s">
        <v>2512</v>
      </c>
      <c r="D1680" s="283" t="s">
        <v>2524</v>
      </c>
      <c r="E1680" s="403">
        <v>45230</v>
      </c>
      <c r="F1680" s="403">
        <v>47057</v>
      </c>
      <c r="G1680" s="283" t="s">
        <v>193</v>
      </c>
      <c r="H1680" s="282" t="s">
        <v>2522</v>
      </c>
      <c r="I1680" s="285"/>
      <c r="J1680" s="282" t="s">
        <v>184</v>
      </c>
      <c r="K1680" s="283" t="s">
        <v>2523</v>
      </c>
      <c r="L1680" s="286" t="s">
        <v>219</v>
      </c>
      <c r="M1680" s="287" t="s">
        <v>159</v>
      </c>
      <c r="N1680" s="287">
        <v>26</v>
      </c>
      <c r="O1680" s="287" t="s">
        <v>159</v>
      </c>
      <c r="P1680" s="287" t="s">
        <v>159</v>
      </c>
      <c r="Q1680" s="288">
        <v>1.9653846153846155</v>
      </c>
      <c r="R1680" s="288">
        <v>1.9653846153846155</v>
      </c>
      <c r="S1680" s="288">
        <v>-7.2307692307692307E-3</v>
      </c>
      <c r="T1680" s="288"/>
      <c r="U1680" s="288">
        <v>0</v>
      </c>
      <c r="V1680" s="289">
        <v>1.9653846153846155</v>
      </c>
      <c r="W1680" s="289">
        <v>0</v>
      </c>
      <c r="X1680" s="288">
        <v>1.9653846153846155</v>
      </c>
      <c r="Y1680" s="288">
        <v>1.9653846153846155</v>
      </c>
      <c r="Z1680" s="288">
        <v>-7.2307692307692307E-3</v>
      </c>
      <c r="AA1680" s="288">
        <v>0</v>
      </c>
      <c r="AB1680" s="288">
        <v>0</v>
      </c>
      <c r="AC1680" s="289">
        <v>1.9653846153846155</v>
      </c>
      <c r="AD1680" s="289">
        <v>0</v>
      </c>
    </row>
    <row r="1681" spans="1:30" ht="15" customHeight="1" x14ac:dyDescent="0.25">
      <c r="A1681" s="282" t="s">
        <v>2510</v>
      </c>
      <c r="B1681" s="282" t="s">
        <v>2520</v>
      </c>
      <c r="C1681" s="282" t="s">
        <v>2512</v>
      </c>
      <c r="D1681" s="283" t="s">
        <v>2525</v>
      </c>
      <c r="E1681" s="403">
        <v>45230</v>
      </c>
      <c r="F1681" s="403">
        <v>47057</v>
      </c>
      <c r="G1681" s="283" t="s">
        <v>193</v>
      </c>
      <c r="H1681" s="282" t="s">
        <v>2522</v>
      </c>
      <c r="I1681" s="285"/>
      <c r="J1681" s="282" t="s">
        <v>184</v>
      </c>
      <c r="K1681" s="283" t="s">
        <v>2523</v>
      </c>
      <c r="L1681" s="286" t="s">
        <v>219</v>
      </c>
      <c r="M1681" s="287" t="s">
        <v>159</v>
      </c>
      <c r="N1681" s="287">
        <v>26</v>
      </c>
      <c r="O1681" s="287" t="s">
        <v>159</v>
      </c>
      <c r="P1681" s="287" t="s">
        <v>159</v>
      </c>
      <c r="Q1681" s="288">
        <v>1.9653846153846155</v>
      </c>
      <c r="R1681" s="288">
        <v>1.9653846153846155</v>
      </c>
      <c r="S1681" s="288">
        <v>-7.2307692307692307E-3</v>
      </c>
      <c r="T1681" s="288"/>
      <c r="U1681" s="288">
        <v>0</v>
      </c>
      <c r="V1681" s="289">
        <v>1.9653846153846155</v>
      </c>
      <c r="W1681" s="289">
        <v>0</v>
      </c>
      <c r="X1681" s="288">
        <v>1.9653846153846155</v>
      </c>
      <c r="Y1681" s="288">
        <v>1.9653846153846155</v>
      </c>
      <c r="Z1681" s="288">
        <v>-7.2307692307692307E-3</v>
      </c>
      <c r="AA1681" s="288">
        <v>0</v>
      </c>
      <c r="AB1681" s="288">
        <v>0</v>
      </c>
      <c r="AC1681" s="289">
        <v>1.9653846153846155</v>
      </c>
      <c r="AD1681" s="289">
        <v>0</v>
      </c>
    </row>
    <row r="1682" spans="1:30" ht="15" customHeight="1" x14ac:dyDescent="0.25">
      <c r="A1682" s="282" t="s">
        <v>2510</v>
      </c>
      <c r="B1682" s="282" t="s">
        <v>2520</v>
      </c>
      <c r="C1682" s="282" t="s">
        <v>2512</v>
      </c>
      <c r="D1682" s="283" t="s">
        <v>2526</v>
      </c>
      <c r="E1682" s="403">
        <v>45230</v>
      </c>
      <c r="F1682" s="403">
        <v>47057</v>
      </c>
      <c r="G1682" s="283" t="s">
        <v>193</v>
      </c>
      <c r="H1682" s="282" t="s">
        <v>2522</v>
      </c>
      <c r="I1682" s="285"/>
      <c r="J1682" s="282" t="s">
        <v>184</v>
      </c>
      <c r="K1682" s="283" t="s">
        <v>2523</v>
      </c>
      <c r="L1682" s="286" t="s">
        <v>219</v>
      </c>
      <c r="M1682" s="287" t="s">
        <v>159</v>
      </c>
      <c r="N1682" s="287">
        <v>26</v>
      </c>
      <c r="O1682" s="287" t="s">
        <v>159</v>
      </c>
      <c r="P1682" s="287" t="s">
        <v>159</v>
      </c>
      <c r="Q1682" s="288">
        <v>1.9653846153846155</v>
      </c>
      <c r="R1682" s="288">
        <v>1.9653846153846155</v>
      </c>
      <c r="S1682" s="288">
        <v>-7.2307692307692307E-3</v>
      </c>
      <c r="T1682" s="288"/>
      <c r="U1682" s="288">
        <v>0</v>
      </c>
      <c r="V1682" s="289">
        <v>1.9653846153846155</v>
      </c>
      <c r="W1682" s="289">
        <v>0</v>
      </c>
      <c r="X1682" s="288">
        <v>1.9653846153846155</v>
      </c>
      <c r="Y1682" s="288">
        <v>1.9653846153846155</v>
      </c>
      <c r="Z1682" s="288">
        <v>-7.2307692307692307E-3</v>
      </c>
      <c r="AA1682" s="288">
        <v>0</v>
      </c>
      <c r="AB1682" s="288">
        <v>0</v>
      </c>
      <c r="AC1682" s="289">
        <v>1.9653846153846155</v>
      </c>
      <c r="AD1682" s="289">
        <v>0</v>
      </c>
    </row>
    <row r="1683" spans="1:30" ht="15" customHeight="1" x14ac:dyDescent="0.25">
      <c r="A1683" s="282" t="s">
        <v>2510</v>
      </c>
      <c r="B1683" s="282" t="s">
        <v>2520</v>
      </c>
      <c r="C1683" s="282" t="s">
        <v>2512</v>
      </c>
      <c r="D1683" s="283" t="s">
        <v>2527</v>
      </c>
      <c r="E1683" s="403">
        <v>45230</v>
      </c>
      <c r="F1683" s="403">
        <v>47057</v>
      </c>
      <c r="G1683" s="283" t="s">
        <v>193</v>
      </c>
      <c r="H1683" s="282" t="s">
        <v>2522</v>
      </c>
      <c r="I1683" s="285"/>
      <c r="J1683" s="282" t="s">
        <v>184</v>
      </c>
      <c r="K1683" s="283" t="s">
        <v>2523</v>
      </c>
      <c r="L1683" s="286" t="s">
        <v>219</v>
      </c>
      <c r="M1683" s="287" t="s">
        <v>159</v>
      </c>
      <c r="N1683" s="287">
        <v>26</v>
      </c>
      <c r="O1683" s="287" t="s">
        <v>159</v>
      </c>
      <c r="P1683" s="287" t="s">
        <v>159</v>
      </c>
      <c r="Q1683" s="288">
        <v>1.9653846153846155</v>
      </c>
      <c r="R1683" s="288">
        <v>1.9653846153846155</v>
      </c>
      <c r="S1683" s="288">
        <v>-7.2307692307692307E-3</v>
      </c>
      <c r="T1683" s="288"/>
      <c r="U1683" s="288">
        <v>0</v>
      </c>
      <c r="V1683" s="289">
        <v>1.9653846153846155</v>
      </c>
      <c r="W1683" s="289">
        <v>0</v>
      </c>
      <c r="X1683" s="288">
        <v>1.9653846153846155</v>
      </c>
      <c r="Y1683" s="288">
        <v>1.9653846153846155</v>
      </c>
      <c r="Z1683" s="288">
        <v>-7.2307692307692307E-3</v>
      </c>
      <c r="AA1683" s="288">
        <v>0</v>
      </c>
      <c r="AB1683" s="288">
        <v>0</v>
      </c>
      <c r="AC1683" s="289">
        <v>1.9653846153846155</v>
      </c>
      <c r="AD1683" s="289">
        <v>0</v>
      </c>
    </row>
    <row r="1684" spans="1:30" ht="15" customHeight="1" x14ac:dyDescent="0.25">
      <c r="A1684" s="282" t="s">
        <v>2510</v>
      </c>
      <c r="B1684" s="282" t="s">
        <v>2520</v>
      </c>
      <c r="C1684" s="282" t="s">
        <v>2512</v>
      </c>
      <c r="D1684" s="283" t="s">
        <v>2528</v>
      </c>
      <c r="E1684" s="403">
        <v>45230</v>
      </c>
      <c r="F1684" s="403">
        <v>47057</v>
      </c>
      <c r="G1684" s="283" t="s">
        <v>193</v>
      </c>
      <c r="H1684" s="282" t="s">
        <v>2522</v>
      </c>
      <c r="I1684" s="285"/>
      <c r="J1684" s="282" t="s">
        <v>184</v>
      </c>
      <c r="K1684" s="283" t="s">
        <v>2523</v>
      </c>
      <c r="L1684" s="286" t="s">
        <v>219</v>
      </c>
      <c r="M1684" s="287" t="s">
        <v>159</v>
      </c>
      <c r="N1684" s="287">
        <v>26</v>
      </c>
      <c r="O1684" s="287" t="s">
        <v>159</v>
      </c>
      <c r="P1684" s="287" t="s">
        <v>159</v>
      </c>
      <c r="Q1684" s="288">
        <v>1.9653846153846155</v>
      </c>
      <c r="R1684" s="288">
        <v>1.9653846153846155</v>
      </c>
      <c r="S1684" s="288">
        <v>-7.2307692307692307E-3</v>
      </c>
      <c r="T1684" s="288"/>
      <c r="U1684" s="288">
        <v>0</v>
      </c>
      <c r="V1684" s="289">
        <v>1.9653846153846155</v>
      </c>
      <c r="W1684" s="289">
        <v>0</v>
      </c>
      <c r="X1684" s="288">
        <v>1.9653846153846155</v>
      </c>
      <c r="Y1684" s="288">
        <v>1.9653846153846155</v>
      </c>
      <c r="Z1684" s="288">
        <v>-7.2307692307692307E-3</v>
      </c>
      <c r="AA1684" s="288">
        <v>0</v>
      </c>
      <c r="AB1684" s="288">
        <v>0</v>
      </c>
      <c r="AC1684" s="289">
        <v>1.9653846153846155</v>
      </c>
      <c r="AD1684" s="289">
        <v>0</v>
      </c>
    </row>
    <row r="1685" spans="1:30" ht="15" customHeight="1" x14ac:dyDescent="0.25">
      <c r="A1685" s="282" t="s">
        <v>2510</v>
      </c>
      <c r="B1685" s="282" t="s">
        <v>2529</v>
      </c>
      <c r="C1685" s="282" t="s">
        <v>2512</v>
      </c>
      <c r="D1685" s="283" t="s">
        <v>2530</v>
      </c>
      <c r="E1685" s="403">
        <v>45230</v>
      </c>
      <c r="F1685" s="403">
        <v>47057</v>
      </c>
      <c r="G1685" s="283" t="s">
        <v>193</v>
      </c>
      <c r="H1685" s="282" t="s">
        <v>2531</v>
      </c>
      <c r="I1685" s="285"/>
      <c r="J1685" s="282" t="s">
        <v>184</v>
      </c>
      <c r="K1685" s="283" t="s">
        <v>2532</v>
      </c>
      <c r="L1685" s="286" t="s">
        <v>219</v>
      </c>
      <c r="M1685" s="287" t="s">
        <v>159</v>
      </c>
      <c r="N1685" s="287">
        <v>52</v>
      </c>
      <c r="O1685" s="287" t="s">
        <v>159</v>
      </c>
      <c r="P1685" s="287" t="s">
        <v>159</v>
      </c>
      <c r="Q1685" s="288">
        <v>1.9807692307692308</v>
      </c>
      <c r="R1685" s="288">
        <v>1.9807692307692308</v>
      </c>
      <c r="S1685" s="288">
        <v>-1.4653846153846154E-3</v>
      </c>
      <c r="T1685" s="288"/>
      <c r="U1685" s="288">
        <v>0</v>
      </c>
      <c r="V1685" s="289">
        <v>1.9807692307692308</v>
      </c>
      <c r="W1685" s="289">
        <v>0</v>
      </c>
      <c r="X1685" s="288">
        <v>1.9807692307692308</v>
      </c>
      <c r="Y1685" s="288">
        <v>1.9807692307692308</v>
      </c>
      <c r="Z1685" s="288">
        <v>-1.4653846153846154E-3</v>
      </c>
      <c r="AA1685" s="288">
        <v>0</v>
      </c>
      <c r="AB1685" s="288">
        <v>0</v>
      </c>
      <c r="AC1685" s="289">
        <v>1.9807692307692308</v>
      </c>
      <c r="AD1685" s="289">
        <v>0</v>
      </c>
    </row>
    <row r="1686" spans="1:30" ht="15" customHeight="1" x14ac:dyDescent="0.25">
      <c r="A1686" s="282" t="s">
        <v>2510</v>
      </c>
      <c r="B1686" s="282" t="s">
        <v>2529</v>
      </c>
      <c r="C1686" s="282" t="s">
        <v>2512</v>
      </c>
      <c r="D1686" s="283" t="s">
        <v>2533</v>
      </c>
      <c r="E1686" s="403">
        <v>45230</v>
      </c>
      <c r="F1686" s="403">
        <v>47057</v>
      </c>
      <c r="G1686" s="283" t="s">
        <v>193</v>
      </c>
      <c r="H1686" s="282" t="s">
        <v>2531</v>
      </c>
      <c r="I1686" s="285"/>
      <c r="J1686" s="282" t="s">
        <v>184</v>
      </c>
      <c r="K1686" s="283" t="s">
        <v>2532</v>
      </c>
      <c r="L1686" s="286" t="s">
        <v>219</v>
      </c>
      <c r="M1686" s="287" t="s">
        <v>159</v>
      </c>
      <c r="N1686" s="287">
        <v>52</v>
      </c>
      <c r="O1686" s="287" t="s">
        <v>159</v>
      </c>
      <c r="P1686" s="287" t="s">
        <v>159</v>
      </c>
      <c r="Q1686" s="288">
        <v>1.9807692307692308</v>
      </c>
      <c r="R1686" s="288">
        <v>1.9807692307692308</v>
      </c>
      <c r="S1686" s="288">
        <v>-1.4653846153846154E-3</v>
      </c>
      <c r="T1686" s="288"/>
      <c r="U1686" s="288">
        <v>0</v>
      </c>
      <c r="V1686" s="289">
        <v>1.9807692307692308</v>
      </c>
      <c r="W1686" s="289">
        <v>0</v>
      </c>
      <c r="X1686" s="288">
        <v>1.9807692307692308</v>
      </c>
      <c r="Y1686" s="288">
        <v>1.9807692307692308</v>
      </c>
      <c r="Z1686" s="288">
        <v>-1.4653846153846154E-3</v>
      </c>
      <c r="AA1686" s="288">
        <v>0</v>
      </c>
      <c r="AB1686" s="288">
        <v>0</v>
      </c>
      <c r="AC1686" s="289">
        <v>1.9807692307692308</v>
      </c>
      <c r="AD1686" s="289">
        <v>0</v>
      </c>
    </row>
    <row r="1687" spans="1:30" ht="15" customHeight="1" x14ac:dyDescent="0.25">
      <c r="A1687" s="282" t="s">
        <v>2510</v>
      </c>
      <c r="B1687" s="282" t="s">
        <v>2529</v>
      </c>
      <c r="C1687" s="282" t="s">
        <v>2512</v>
      </c>
      <c r="D1687" s="283" t="s">
        <v>2534</v>
      </c>
      <c r="E1687" s="403">
        <v>45230</v>
      </c>
      <c r="F1687" s="403">
        <v>47057</v>
      </c>
      <c r="G1687" s="283" t="s">
        <v>193</v>
      </c>
      <c r="H1687" s="282" t="s">
        <v>2531</v>
      </c>
      <c r="I1687" s="285"/>
      <c r="J1687" s="282" t="s">
        <v>184</v>
      </c>
      <c r="K1687" s="283" t="s">
        <v>2532</v>
      </c>
      <c r="L1687" s="286" t="s">
        <v>219</v>
      </c>
      <c r="M1687" s="287" t="s">
        <v>159</v>
      </c>
      <c r="N1687" s="287">
        <v>52</v>
      </c>
      <c r="O1687" s="287" t="s">
        <v>159</v>
      </c>
      <c r="P1687" s="287" t="s">
        <v>159</v>
      </c>
      <c r="Q1687" s="288">
        <v>1.9807692307692308</v>
      </c>
      <c r="R1687" s="288">
        <v>1.9807692307692308</v>
      </c>
      <c r="S1687" s="288">
        <v>-1.4653846153846154E-3</v>
      </c>
      <c r="T1687" s="288"/>
      <c r="U1687" s="288">
        <v>0</v>
      </c>
      <c r="V1687" s="289">
        <v>1.9807692307692308</v>
      </c>
      <c r="W1687" s="289">
        <v>0</v>
      </c>
      <c r="X1687" s="288">
        <v>1.9807692307692308</v>
      </c>
      <c r="Y1687" s="288">
        <v>1.9807692307692308</v>
      </c>
      <c r="Z1687" s="288">
        <v>-1.4653846153846154E-3</v>
      </c>
      <c r="AA1687" s="288">
        <v>0</v>
      </c>
      <c r="AB1687" s="288">
        <v>0</v>
      </c>
      <c r="AC1687" s="289">
        <v>1.9807692307692308</v>
      </c>
      <c r="AD1687" s="289">
        <v>0</v>
      </c>
    </row>
    <row r="1688" spans="1:30" ht="15" customHeight="1" x14ac:dyDescent="0.25">
      <c r="A1688" s="282" t="s">
        <v>2510</v>
      </c>
      <c r="B1688" s="282" t="s">
        <v>2529</v>
      </c>
      <c r="C1688" s="282" t="s">
        <v>2512</v>
      </c>
      <c r="D1688" s="283" t="s">
        <v>2535</v>
      </c>
      <c r="E1688" s="403">
        <v>45230</v>
      </c>
      <c r="F1688" s="403">
        <v>47057</v>
      </c>
      <c r="G1688" s="283" t="s">
        <v>193</v>
      </c>
      <c r="H1688" s="282" t="s">
        <v>2531</v>
      </c>
      <c r="I1688" s="285"/>
      <c r="J1688" s="282" t="s">
        <v>184</v>
      </c>
      <c r="K1688" s="283" t="s">
        <v>2532</v>
      </c>
      <c r="L1688" s="286" t="s">
        <v>219</v>
      </c>
      <c r="M1688" s="287" t="s">
        <v>159</v>
      </c>
      <c r="N1688" s="287">
        <v>52</v>
      </c>
      <c r="O1688" s="287" t="s">
        <v>159</v>
      </c>
      <c r="P1688" s="287" t="s">
        <v>159</v>
      </c>
      <c r="Q1688" s="288">
        <v>1.9807692307692308</v>
      </c>
      <c r="R1688" s="288">
        <v>1.9807692307692308</v>
      </c>
      <c r="S1688" s="288">
        <v>-1.4653846153846154E-3</v>
      </c>
      <c r="T1688" s="288"/>
      <c r="U1688" s="288">
        <v>0</v>
      </c>
      <c r="V1688" s="289">
        <v>1.9807692307692308</v>
      </c>
      <c r="W1688" s="289">
        <v>0</v>
      </c>
      <c r="X1688" s="288">
        <v>1.9807692307692308</v>
      </c>
      <c r="Y1688" s="288">
        <v>1.9807692307692308</v>
      </c>
      <c r="Z1688" s="288">
        <v>-1.4653846153846154E-3</v>
      </c>
      <c r="AA1688" s="288">
        <v>0</v>
      </c>
      <c r="AB1688" s="288">
        <v>0</v>
      </c>
      <c r="AC1688" s="289">
        <v>1.9807692307692308</v>
      </c>
      <c r="AD1688" s="289">
        <v>0</v>
      </c>
    </row>
    <row r="1689" spans="1:30" ht="15" customHeight="1" x14ac:dyDescent="0.25">
      <c r="A1689" s="282" t="s">
        <v>2510</v>
      </c>
      <c r="B1689" s="282" t="s">
        <v>2529</v>
      </c>
      <c r="C1689" s="282" t="s">
        <v>2512</v>
      </c>
      <c r="D1689" s="283" t="s">
        <v>2536</v>
      </c>
      <c r="E1689" s="403">
        <v>45230</v>
      </c>
      <c r="F1689" s="403">
        <v>47057</v>
      </c>
      <c r="G1689" s="283" t="s">
        <v>193</v>
      </c>
      <c r="H1689" s="282" t="s">
        <v>2531</v>
      </c>
      <c r="I1689" s="285"/>
      <c r="J1689" s="282" t="s">
        <v>184</v>
      </c>
      <c r="K1689" s="283" t="s">
        <v>2532</v>
      </c>
      <c r="L1689" s="286" t="s">
        <v>219</v>
      </c>
      <c r="M1689" s="287" t="s">
        <v>159</v>
      </c>
      <c r="N1689" s="287">
        <v>52</v>
      </c>
      <c r="O1689" s="287" t="s">
        <v>159</v>
      </c>
      <c r="P1689" s="287" t="s">
        <v>159</v>
      </c>
      <c r="Q1689" s="288">
        <v>1.9807692307692308</v>
      </c>
      <c r="R1689" s="288">
        <v>1.9807692307692308</v>
      </c>
      <c r="S1689" s="288">
        <v>-1.4653846153846154E-3</v>
      </c>
      <c r="T1689" s="288"/>
      <c r="U1689" s="288">
        <v>0</v>
      </c>
      <c r="V1689" s="289">
        <v>1.9807692307692308</v>
      </c>
      <c r="W1689" s="289">
        <v>0</v>
      </c>
      <c r="X1689" s="288">
        <v>1.9807692307692308</v>
      </c>
      <c r="Y1689" s="288">
        <v>1.9807692307692308</v>
      </c>
      <c r="Z1689" s="288">
        <v>-1.4653846153846154E-3</v>
      </c>
      <c r="AA1689" s="288">
        <v>0</v>
      </c>
      <c r="AB1689" s="288">
        <v>0</v>
      </c>
      <c r="AC1689" s="289">
        <v>1.9807692307692308</v>
      </c>
      <c r="AD1689" s="289">
        <v>0</v>
      </c>
    </row>
    <row r="1690" spans="1:30" ht="15" customHeight="1" x14ac:dyDescent="0.25">
      <c r="A1690" s="282" t="s">
        <v>2510</v>
      </c>
      <c r="B1690" s="282" t="s">
        <v>2529</v>
      </c>
      <c r="C1690" s="282" t="s">
        <v>2512</v>
      </c>
      <c r="D1690" s="283" t="s">
        <v>2537</v>
      </c>
      <c r="E1690" s="403">
        <v>45230</v>
      </c>
      <c r="F1690" s="403">
        <v>47057</v>
      </c>
      <c r="G1690" s="283" t="s">
        <v>193</v>
      </c>
      <c r="H1690" s="282" t="s">
        <v>2531</v>
      </c>
      <c r="I1690" s="285"/>
      <c r="J1690" s="282" t="s">
        <v>184</v>
      </c>
      <c r="K1690" s="283" t="s">
        <v>2532</v>
      </c>
      <c r="L1690" s="286" t="s">
        <v>219</v>
      </c>
      <c r="M1690" s="287" t="s">
        <v>159</v>
      </c>
      <c r="N1690" s="287">
        <v>52</v>
      </c>
      <c r="O1690" s="287" t="s">
        <v>159</v>
      </c>
      <c r="P1690" s="287" t="s">
        <v>159</v>
      </c>
      <c r="Q1690" s="288">
        <v>1.9807692307692308</v>
      </c>
      <c r="R1690" s="288">
        <v>1.9807692307692308</v>
      </c>
      <c r="S1690" s="288">
        <v>-1.4653846153846154E-3</v>
      </c>
      <c r="T1690" s="288"/>
      <c r="U1690" s="288">
        <v>0</v>
      </c>
      <c r="V1690" s="289">
        <v>1.9807692307692308</v>
      </c>
      <c r="W1690" s="289">
        <v>0</v>
      </c>
      <c r="X1690" s="288">
        <v>1.9807692307692308</v>
      </c>
      <c r="Y1690" s="288">
        <v>1.9807692307692308</v>
      </c>
      <c r="Z1690" s="288">
        <v>-1.4653846153846154E-3</v>
      </c>
      <c r="AA1690" s="288">
        <v>0</v>
      </c>
      <c r="AB1690" s="288">
        <v>0</v>
      </c>
      <c r="AC1690" s="289">
        <v>1.9807692307692308</v>
      </c>
      <c r="AD1690" s="289">
        <v>0</v>
      </c>
    </row>
    <row r="1691" spans="1:30" ht="15" customHeight="1" x14ac:dyDescent="0.25">
      <c r="A1691" s="282" t="s">
        <v>2510</v>
      </c>
      <c r="B1691" s="282" t="s">
        <v>2529</v>
      </c>
      <c r="C1691" s="282" t="s">
        <v>2512</v>
      </c>
      <c r="D1691" s="283" t="s">
        <v>2538</v>
      </c>
      <c r="E1691" s="403">
        <v>45230</v>
      </c>
      <c r="F1691" s="403">
        <v>47057</v>
      </c>
      <c r="G1691" s="283" t="s">
        <v>193</v>
      </c>
      <c r="H1691" s="282" t="s">
        <v>2531</v>
      </c>
      <c r="I1691" s="285"/>
      <c r="J1691" s="282" t="s">
        <v>184</v>
      </c>
      <c r="K1691" s="283" t="s">
        <v>2532</v>
      </c>
      <c r="L1691" s="286" t="s">
        <v>219</v>
      </c>
      <c r="M1691" s="287" t="s">
        <v>159</v>
      </c>
      <c r="N1691" s="287">
        <v>52</v>
      </c>
      <c r="O1691" s="287" t="s">
        <v>159</v>
      </c>
      <c r="P1691" s="287" t="s">
        <v>159</v>
      </c>
      <c r="Q1691" s="288">
        <v>1.9807692307692308</v>
      </c>
      <c r="R1691" s="288">
        <v>1.9807692307692308</v>
      </c>
      <c r="S1691" s="288">
        <v>-1.4653846153846154E-3</v>
      </c>
      <c r="T1691" s="288"/>
      <c r="U1691" s="288">
        <v>0</v>
      </c>
      <c r="V1691" s="289">
        <v>1.9807692307692308</v>
      </c>
      <c r="W1691" s="289">
        <v>0</v>
      </c>
      <c r="X1691" s="288">
        <v>1.9807692307692308</v>
      </c>
      <c r="Y1691" s="288">
        <v>1.9807692307692308</v>
      </c>
      <c r="Z1691" s="288">
        <v>-1.4653846153846154E-3</v>
      </c>
      <c r="AA1691" s="288">
        <v>0</v>
      </c>
      <c r="AB1691" s="288">
        <v>0</v>
      </c>
      <c r="AC1691" s="289">
        <v>1.9807692307692308</v>
      </c>
      <c r="AD1691" s="289">
        <v>0</v>
      </c>
    </row>
    <row r="1692" spans="1:30" ht="15" customHeight="1" x14ac:dyDescent="0.25">
      <c r="A1692" s="282" t="s">
        <v>2510</v>
      </c>
      <c r="B1692" s="282" t="s">
        <v>2529</v>
      </c>
      <c r="C1692" s="282" t="s">
        <v>2512</v>
      </c>
      <c r="D1692" s="283" t="s">
        <v>2539</v>
      </c>
      <c r="E1692" s="403">
        <v>45230</v>
      </c>
      <c r="F1692" s="403">
        <v>47057</v>
      </c>
      <c r="G1692" s="283" t="s">
        <v>193</v>
      </c>
      <c r="H1692" s="282" t="s">
        <v>2531</v>
      </c>
      <c r="I1692" s="285"/>
      <c r="J1692" s="282" t="s">
        <v>184</v>
      </c>
      <c r="K1692" s="283" t="s">
        <v>2532</v>
      </c>
      <c r="L1692" s="286" t="s">
        <v>219</v>
      </c>
      <c r="M1692" s="287" t="s">
        <v>159</v>
      </c>
      <c r="N1692" s="287">
        <v>52</v>
      </c>
      <c r="O1692" s="287" t="s">
        <v>159</v>
      </c>
      <c r="P1692" s="287" t="s">
        <v>159</v>
      </c>
      <c r="Q1692" s="288">
        <v>1.9807692307692308</v>
      </c>
      <c r="R1692" s="288">
        <v>1.9807692307692308</v>
      </c>
      <c r="S1692" s="288">
        <v>-1.4653846153846154E-3</v>
      </c>
      <c r="T1692" s="288"/>
      <c r="U1692" s="288">
        <v>0</v>
      </c>
      <c r="V1692" s="289">
        <v>1.9807692307692308</v>
      </c>
      <c r="W1692" s="289">
        <v>0</v>
      </c>
      <c r="X1692" s="288">
        <v>1.9807692307692308</v>
      </c>
      <c r="Y1692" s="288">
        <v>1.9807692307692308</v>
      </c>
      <c r="Z1692" s="288">
        <v>-1.4653846153846154E-3</v>
      </c>
      <c r="AA1692" s="288">
        <v>0</v>
      </c>
      <c r="AB1692" s="288">
        <v>0</v>
      </c>
      <c r="AC1692" s="289">
        <v>1.9807692307692308</v>
      </c>
      <c r="AD1692" s="289">
        <v>0</v>
      </c>
    </row>
    <row r="1693" spans="1:30" ht="15" customHeight="1" x14ac:dyDescent="0.25">
      <c r="A1693" s="282" t="s">
        <v>2510</v>
      </c>
      <c r="B1693" s="282" t="s">
        <v>2529</v>
      </c>
      <c r="C1693" s="282" t="s">
        <v>2512</v>
      </c>
      <c r="D1693" s="283" t="s">
        <v>2540</v>
      </c>
      <c r="E1693" s="403">
        <v>45230</v>
      </c>
      <c r="F1693" s="403">
        <v>47057</v>
      </c>
      <c r="G1693" s="283" t="s">
        <v>193</v>
      </c>
      <c r="H1693" s="282" t="s">
        <v>2531</v>
      </c>
      <c r="I1693" s="285"/>
      <c r="J1693" s="282" t="s">
        <v>184</v>
      </c>
      <c r="K1693" s="283" t="s">
        <v>2532</v>
      </c>
      <c r="L1693" s="286" t="s">
        <v>219</v>
      </c>
      <c r="M1693" s="287" t="s">
        <v>159</v>
      </c>
      <c r="N1693" s="287">
        <v>52</v>
      </c>
      <c r="O1693" s="287" t="s">
        <v>159</v>
      </c>
      <c r="P1693" s="287" t="s">
        <v>159</v>
      </c>
      <c r="Q1693" s="288">
        <v>1.9807692307692308</v>
      </c>
      <c r="R1693" s="288">
        <v>1.9807692307692308</v>
      </c>
      <c r="S1693" s="288">
        <v>-1.4653846153846154E-3</v>
      </c>
      <c r="T1693" s="288"/>
      <c r="U1693" s="288">
        <v>0</v>
      </c>
      <c r="V1693" s="289">
        <v>1.9807692307692308</v>
      </c>
      <c r="W1693" s="289">
        <v>0</v>
      </c>
      <c r="X1693" s="288">
        <v>1.9807692307692308</v>
      </c>
      <c r="Y1693" s="288">
        <v>1.9807692307692308</v>
      </c>
      <c r="Z1693" s="288">
        <v>-1.4653846153846154E-3</v>
      </c>
      <c r="AA1693" s="288">
        <v>0</v>
      </c>
      <c r="AB1693" s="288">
        <v>0</v>
      </c>
      <c r="AC1693" s="289">
        <v>1.9807692307692308</v>
      </c>
      <c r="AD1693" s="289">
        <v>0</v>
      </c>
    </row>
    <row r="1694" spans="1:30" ht="15" customHeight="1" x14ac:dyDescent="0.25">
      <c r="A1694" s="282" t="s">
        <v>2510</v>
      </c>
      <c r="B1694" s="282" t="s">
        <v>2529</v>
      </c>
      <c r="C1694" s="282" t="s">
        <v>2512</v>
      </c>
      <c r="D1694" s="283" t="s">
        <v>2541</v>
      </c>
      <c r="E1694" s="403">
        <v>45230</v>
      </c>
      <c r="F1694" s="403">
        <v>47057</v>
      </c>
      <c r="G1694" s="283" t="s">
        <v>193</v>
      </c>
      <c r="H1694" s="282" t="s">
        <v>2531</v>
      </c>
      <c r="I1694" s="285"/>
      <c r="J1694" s="282" t="s">
        <v>184</v>
      </c>
      <c r="K1694" s="283" t="s">
        <v>2532</v>
      </c>
      <c r="L1694" s="286" t="s">
        <v>219</v>
      </c>
      <c r="M1694" s="287" t="s">
        <v>159</v>
      </c>
      <c r="N1694" s="287">
        <v>52</v>
      </c>
      <c r="O1694" s="287" t="s">
        <v>159</v>
      </c>
      <c r="P1694" s="287" t="s">
        <v>159</v>
      </c>
      <c r="Q1694" s="288">
        <v>1.9807692307692308</v>
      </c>
      <c r="R1694" s="288">
        <v>1.9807692307692308</v>
      </c>
      <c r="S1694" s="288">
        <v>-1.4653846153846154E-3</v>
      </c>
      <c r="T1694" s="288"/>
      <c r="U1694" s="288">
        <v>0</v>
      </c>
      <c r="V1694" s="289">
        <v>1.9807692307692308</v>
      </c>
      <c r="W1694" s="289">
        <v>0</v>
      </c>
      <c r="X1694" s="288">
        <v>1.9807692307692308</v>
      </c>
      <c r="Y1694" s="288">
        <v>1.9807692307692308</v>
      </c>
      <c r="Z1694" s="288">
        <v>-1.4653846153846154E-3</v>
      </c>
      <c r="AA1694" s="288">
        <v>0</v>
      </c>
      <c r="AB1694" s="288">
        <v>0</v>
      </c>
      <c r="AC1694" s="289">
        <v>1.9807692307692308</v>
      </c>
      <c r="AD1694" s="289">
        <v>0</v>
      </c>
    </row>
    <row r="1695" spans="1:30" ht="15" customHeight="1" x14ac:dyDescent="0.25">
      <c r="A1695" s="282" t="s">
        <v>2510</v>
      </c>
      <c r="B1695" s="282" t="s">
        <v>2529</v>
      </c>
      <c r="C1695" s="282" t="s">
        <v>2512</v>
      </c>
      <c r="D1695" s="283" t="s">
        <v>2542</v>
      </c>
      <c r="E1695" s="403">
        <v>45230</v>
      </c>
      <c r="F1695" s="403">
        <v>47057</v>
      </c>
      <c r="G1695" s="283" t="s">
        <v>193</v>
      </c>
      <c r="H1695" s="282" t="s">
        <v>2531</v>
      </c>
      <c r="I1695" s="285"/>
      <c r="J1695" s="282" t="s">
        <v>184</v>
      </c>
      <c r="K1695" s="283" t="s">
        <v>2532</v>
      </c>
      <c r="L1695" s="286" t="s">
        <v>219</v>
      </c>
      <c r="M1695" s="287" t="s">
        <v>159</v>
      </c>
      <c r="N1695" s="287">
        <v>52</v>
      </c>
      <c r="O1695" s="287" t="s">
        <v>159</v>
      </c>
      <c r="P1695" s="287" t="s">
        <v>159</v>
      </c>
      <c r="Q1695" s="288">
        <v>1.9807692307692308</v>
      </c>
      <c r="R1695" s="288">
        <v>1.9807692307692308</v>
      </c>
      <c r="S1695" s="288">
        <v>-1.4653846153846154E-3</v>
      </c>
      <c r="T1695" s="288"/>
      <c r="U1695" s="288">
        <v>0</v>
      </c>
      <c r="V1695" s="289">
        <v>1.9807692307692308</v>
      </c>
      <c r="W1695" s="289">
        <v>0</v>
      </c>
      <c r="X1695" s="288">
        <v>1.9807692307692308</v>
      </c>
      <c r="Y1695" s="288">
        <v>1.9807692307692308</v>
      </c>
      <c r="Z1695" s="288">
        <v>-1.4653846153846154E-3</v>
      </c>
      <c r="AA1695" s="288">
        <v>0</v>
      </c>
      <c r="AB1695" s="288">
        <v>0</v>
      </c>
      <c r="AC1695" s="289">
        <v>1.9807692307692308</v>
      </c>
      <c r="AD1695" s="289">
        <v>0</v>
      </c>
    </row>
    <row r="1696" spans="1:30" ht="15" customHeight="1" x14ac:dyDescent="0.25">
      <c r="A1696" s="282" t="s">
        <v>2510</v>
      </c>
      <c r="B1696" s="282" t="s">
        <v>2511</v>
      </c>
      <c r="C1696" s="282" t="s">
        <v>2512</v>
      </c>
      <c r="D1696" s="283" t="s">
        <v>2543</v>
      </c>
      <c r="E1696" s="403">
        <v>43405</v>
      </c>
      <c r="F1696" s="403">
        <v>45230</v>
      </c>
      <c r="G1696" s="283" t="s">
        <v>237</v>
      </c>
      <c r="H1696" s="282" t="s">
        <v>2544</v>
      </c>
      <c r="I1696" s="285"/>
      <c r="J1696" s="282" t="s">
        <v>184</v>
      </c>
      <c r="K1696" s="283" t="s">
        <v>2545</v>
      </c>
      <c r="L1696" s="286" t="s">
        <v>219</v>
      </c>
      <c r="M1696" s="287">
        <v>2500</v>
      </c>
      <c r="N1696" s="287">
        <v>7.5</v>
      </c>
      <c r="O1696" s="287" t="s">
        <v>159</v>
      </c>
      <c r="P1696" s="287" t="s">
        <v>159</v>
      </c>
      <c r="Q1696" s="288">
        <v>1.2893333333333332</v>
      </c>
      <c r="R1696" s="288"/>
      <c r="S1696" s="288"/>
      <c r="T1696" s="288"/>
      <c r="U1696" s="288">
        <v>0</v>
      </c>
      <c r="V1696" s="289">
        <v>1.2893333333333332</v>
      </c>
      <c r="W1696" s="289">
        <v>0</v>
      </c>
      <c r="X1696" s="288">
        <v>1.2893333333333332</v>
      </c>
      <c r="Y1696" s="288">
        <v>0</v>
      </c>
      <c r="Z1696" s="288">
        <v>0</v>
      </c>
      <c r="AA1696" s="288">
        <v>0</v>
      </c>
      <c r="AB1696" s="288">
        <v>0</v>
      </c>
      <c r="AC1696" s="289">
        <v>1.2893333333333332</v>
      </c>
      <c r="AD1696" s="289">
        <v>0</v>
      </c>
    </row>
    <row r="1697" spans="1:30" ht="15" customHeight="1" x14ac:dyDescent="0.25">
      <c r="A1697" s="282" t="s">
        <v>2510</v>
      </c>
      <c r="B1697" s="282" t="s">
        <v>2511</v>
      </c>
      <c r="C1697" s="282" t="s">
        <v>2512</v>
      </c>
      <c r="D1697" s="283" t="s">
        <v>2546</v>
      </c>
      <c r="E1697" s="403">
        <v>43405</v>
      </c>
      <c r="F1697" s="403">
        <v>45230</v>
      </c>
      <c r="G1697" s="283" t="s">
        <v>237</v>
      </c>
      <c r="H1697" s="282" t="s">
        <v>2544</v>
      </c>
      <c r="I1697" s="285"/>
      <c r="J1697" s="282" t="s">
        <v>184</v>
      </c>
      <c r="K1697" s="283" t="s">
        <v>2545</v>
      </c>
      <c r="L1697" s="286" t="s">
        <v>219</v>
      </c>
      <c r="M1697" s="287">
        <v>2500</v>
      </c>
      <c r="N1697" s="287">
        <v>10</v>
      </c>
      <c r="O1697" s="287" t="s">
        <v>159</v>
      </c>
      <c r="P1697" s="287" t="s">
        <v>159</v>
      </c>
      <c r="Q1697" s="288">
        <v>1.29</v>
      </c>
      <c r="R1697" s="288"/>
      <c r="S1697" s="288"/>
      <c r="T1697" s="288"/>
      <c r="U1697" s="288">
        <v>0</v>
      </c>
      <c r="V1697" s="289">
        <v>1.29</v>
      </c>
      <c r="W1697" s="289">
        <v>0</v>
      </c>
      <c r="X1697" s="288">
        <v>1.29</v>
      </c>
      <c r="Y1697" s="288">
        <v>0</v>
      </c>
      <c r="Z1697" s="288">
        <v>0</v>
      </c>
      <c r="AA1697" s="288">
        <v>0</v>
      </c>
      <c r="AB1697" s="288">
        <v>0</v>
      </c>
      <c r="AC1697" s="289">
        <v>1.29</v>
      </c>
      <c r="AD1697" s="289">
        <v>0</v>
      </c>
    </row>
    <row r="1698" spans="1:30" ht="15" customHeight="1" x14ac:dyDescent="0.25">
      <c r="A1698" s="282" t="s">
        <v>2510</v>
      </c>
      <c r="B1698" s="282" t="s">
        <v>2511</v>
      </c>
      <c r="C1698" s="282" t="s">
        <v>2512</v>
      </c>
      <c r="D1698" s="283" t="s">
        <v>2547</v>
      </c>
      <c r="E1698" s="403">
        <v>43405</v>
      </c>
      <c r="F1698" s="403">
        <v>45230</v>
      </c>
      <c r="G1698" s="283" t="s">
        <v>237</v>
      </c>
      <c r="H1698" s="282" t="s">
        <v>2544</v>
      </c>
      <c r="I1698" s="285"/>
      <c r="J1698" s="282" t="s">
        <v>184</v>
      </c>
      <c r="K1698" s="283" t="s">
        <v>2545</v>
      </c>
      <c r="L1698" s="286" t="s">
        <v>219</v>
      </c>
      <c r="M1698" s="287">
        <v>2500</v>
      </c>
      <c r="N1698" s="287">
        <v>8.75</v>
      </c>
      <c r="O1698" s="287" t="s">
        <v>159</v>
      </c>
      <c r="P1698" s="287" t="s">
        <v>159</v>
      </c>
      <c r="Q1698" s="288">
        <v>1.2914285714285716</v>
      </c>
      <c r="R1698" s="288"/>
      <c r="S1698" s="288"/>
      <c r="T1698" s="288"/>
      <c r="U1698" s="288">
        <v>0</v>
      </c>
      <c r="V1698" s="289">
        <v>1.2914285714285716</v>
      </c>
      <c r="W1698" s="289">
        <v>0</v>
      </c>
      <c r="X1698" s="288">
        <v>1.2914285714285716</v>
      </c>
      <c r="Y1698" s="288">
        <v>0</v>
      </c>
      <c r="Z1698" s="288">
        <v>0</v>
      </c>
      <c r="AA1698" s="288">
        <v>0</v>
      </c>
      <c r="AB1698" s="288">
        <v>0</v>
      </c>
      <c r="AC1698" s="289">
        <v>1.2914285714285716</v>
      </c>
      <c r="AD1698" s="289">
        <v>0</v>
      </c>
    </row>
    <row r="1699" spans="1:30" ht="15" customHeight="1" x14ac:dyDescent="0.25">
      <c r="A1699" s="282" t="s">
        <v>2510</v>
      </c>
      <c r="B1699" s="282" t="s">
        <v>2511</v>
      </c>
      <c r="C1699" s="282" t="s">
        <v>2512</v>
      </c>
      <c r="D1699" s="283" t="s">
        <v>2548</v>
      </c>
      <c r="E1699" s="403">
        <v>43405</v>
      </c>
      <c r="F1699" s="403">
        <v>45230</v>
      </c>
      <c r="G1699" s="283" t="s">
        <v>237</v>
      </c>
      <c r="H1699" s="282" t="s">
        <v>2544</v>
      </c>
      <c r="I1699" s="285"/>
      <c r="J1699" s="282" t="s">
        <v>184</v>
      </c>
      <c r="K1699" s="283" t="s">
        <v>2545</v>
      </c>
      <c r="L1699" s="286" t="s">
        <v>219</v>
      </c>
      <c r="M1699" s="287">
        <v>2500</v>
      </c>
      <c r="N1699" s="287">
        <v>12.5</v>
      </c>
      <c r="O1699" s="287" t="s">
        <v>159</v>
      </c>
      <c r="P1699" s="287" t="s">
        <v>159</v>
      </c>
      <c r="Q1699" s="288">
        <v>1.288</v>
      </c>
      <c r="R1699" s="288"/>
      <c r="S1699" s="288"/>
      <c r="T1699" s="288"/>
      <c r="U1699" s="288">
        <v>0</v>
      </c>
      <c r="V1699" s="289">
        <v>1.288</v>
      </c>
      <c r="W1699" s="289">
        <v>0</v>
      </c>
      <c r="X1699" s="288">
        <v>1.288</v>
      </c>
      <c r="Y1699" s="288">
        <v>0</v>
      </c>
      <c r="Z1699" s="288">
        <v>0</v>
      </c>
      <c r="AA1699" s="288">
        <v>0</v>
      </c>
      <c r="AB1699" s="288">
        <v>0</v>
      </c>
      <c r="AC1699" s="289">
        <v>1.288</v>
      </c>
      <c r="AD1699" s="289">
        <v>0</v>
      </c>
    </row>
    <row r="1700" spans="1:30" ht="15" customHeight="1" x14ac:dyDescent="0.25">
      <c r="A1700" s="282" t="s">
        <v>2510</v>
      </c>
      <c r="B1700" s="282" t="s">
        <v>2511</v>
      </c>
      <c r="C1700" s="282" t="s">
        <v>2512</v>
      </c>
      <c r="D1700" s="283" t="s">
        <v>2549</v>
      </c>
      <c r="E1700" s="403">
        <v>43405</v>
      </c>
      <c r="F1700" s="403">
        <v>45230</v>
      </c>
      <c r="G1700" s="283" t="s">
        <v>237</v>
      </c>
      <c r="H1700" s="282" t="s">
        <v>2544</v>
      </c>
      <c r="I1700" s="285"/>
      <c r="J1700" s="282" t="s">
        <v>184</v>
      </c>
      <c r="K1700" s="283" t="s">
        <v>2545</v>
      </c>
      <c r="L1700" s="286" t="s">
        <v>219</v>
      </c>
      <c r="M1700" s="287">
        <v>2500</v>
      </c>
      <c r="N1700" s="287">
        <v>15</v>
      </c>
      <c r="O1700" s="287" t="s">
        <v>159</v>
      </c>
      <c r="P1700" s="287" t="s">
        <v>159</v>
      </c>
      <c r="Q1700" s="288">
        <v>1.2866666666666666</v>
      </c>
      <c r="R1700" s="288"/>
      <c r="S1700" s="288"/>
      <c r="T1700" s="288"/>
      <c r="U1700" s="288">
        <v>0</v>
      </c>
      <c r="V1700" s="289">
        <v>1.2866666666666666</v>
      </c>
      <c r="W1700" s="289">
        <v>0</v>
      </c>
      <c r="X1700" s="288">
        <v>1.2866666666666666</v>
      </c>
      <c r="Y1700" s="288">
        <v>0</v>
      </c>
      <c r="Z1700" s="288">
        <v>0</v>
      </c>
      <c r="AA1700" s="288">
        <v>0</v>
      </c>
      <c r="AB1700" s="288">
        <v>0</v>
      </c>
      <c r="AC1700" s="289">
        <v>1.2866666666666666</v>
      </c>
      <c r="AD1700" s="289">
        <v>0</v>
      </c>
    </row>
    <row r="1701" spans="1:30" ht="15" customHeight="1" x14ac:dyDescent="0.25">
      <c r="A1701" s="282" t="s">
        <v>2510</v>
      </c>
      <c r="B1701" s="282" t="s">
        <v>2511</v>
      </c>
      <c r="C1701" s="282" t="s">
        <v>2512</v>
      </c>
      <c r="D1701" s="283" t="s">
        <v>2550</v>
      </c>
      <c r="E1701" s="403">
        <v>43405</v>
      </c>
      <c r="F1701" s="403">
        <v>45230</v>
      </c>
      <c r="G1701" s="283" t="s">
        <v>237</v>
      </c>
      <c r="H1701" s="282" t="s">
        <v>2544</v>
      </c>
      <c r="I1701" s="285"/>
      <c r="J1701" s="282" t="s">
        <v>184</v>
      </c>
      <c r="K1701" s="283" t="s">
        <v>2545</v>
      </c>
      <c r="L1701" s="286" t="s">
        <v>219</v>
      </c>
      <c r="M1701" s="287">
        <v>2500</v>
      </c>
      <c r="N1701" s="287">
        <v>20</v>
      </c>
      <c r="O1701" s="287" t="s">
        <v>159</v>
      </c>
      <c r="P1701" s="287" t="s">
        <v>159</v>
      </c>
      <c r="Q1701" s="288">
        <v>1.29</v>
      </c>
      <c r="R1701" s="288"/>
      <c r="S1701" s="288"/>
      <c r="T1701" s="288"/>
      <c r="U1701" s="288">
        <v>0</v>
      </c>
      <c r="V1701" s="289">
        <v>1.29</v>
      </c>
      <c r="W1701" s="289">
        <v>0</v>
      </c>
      <c r="X1701" s="288">
        <v>1.29</v>
      </c>
      <c r="Y1701" s="288">
        <v>0</v>
      </c>
      <c r="Z1701" s="288">
        <v>0</v>
      </c>
      <c r="AA1701" s="288">
        <v>0</v>
      </c>
      <c r="AB1701" s="288">
        <v>0</v>
      </c>
      <c r="AC1701" s="289">
        <v>1.29</v>
      </c>
      <c r="AD1701" s="289">
        <v>0</v>
      </c>
    </row>
    <row r="1702" spans="1:30" ht="15" customHeight="1" x14ac:dyDescent="0.25">
      <c r="A1702" s="282" t="s">
        <v>2510</v>
      </c>
      <c r="B1702" s="282" t="s">
        <v>2511</v>
      </c>
      <c r="C1702" s="282" t="s">
        <v>2512</v>
      </c>
      <c r="D1702" s="283" t="s">
        <v>2551</v>
      </c>
      <c r="E1702" s="403">
        <v>43405</v>
      </c>
      <c r="F1702" s="403">
        <v>45230</v>
      </c>
      <c r="G1702" s="283" t="s">
        <v>237</v>
      </c>
      <c r="H1702" s="282" t="s">
        <v>2544</v>
      </c>
      <c r="I1702" s="285"/>
      <c r="J1702" s="282" t="s">
        <v>184</v>
      </c>
      <c r="K1702" s="283" t="s">
        <v>2545</v>
      </c>
      <c r="L1702" s="286" t="s">
        <v>219</v>
      </c>
      <c r="M1702" s="287">
        <v>2500</v>
      </c>
      <c r="N1702" s="287">
        <v>25</v>
      </c>
      <c r="O1702" s="287" t="s">
        <v>159</v>
      </c>
      <c r="P1702" s="287" t="s">
        <v>159</v>
      </c>
      <c r="Q1702" s="288">
        <v>1.288</v>
      </c>
      <c r="R1702" s="288"/>
      <c r="S1702" s="288"/>
      <c r="T1702" s="288"/>
      <c r="U1702" s="288">
        <v>0</v>
      </c>
      <c r="V1702" s="289">
        <v>1.288</v>
      </c>
      <c r="W1702" s="289">
        <v>0</v>
      </c>
      <c r="X1702" s="288">
        <v>1.288</v>
      </c>
      <c r="Y1702" s="288">
        <v>0</v>
      </c>
      <c r="Z1702" s="288">
        <v>0</v>
      </c>
      <c r="AA1702" s="288">
        <v>0</v>
      </c>
      <c r="AB1702" s="288">
        <v>0</v>
      </c>
      <c r="AC1702" s="289">
        <v>1.288</v>
      </c>
      <c r="AD1702" s="289">
        <v>0</v>
      </c>
    </row>
    <row r="1703" spans="1:30" ht="15" customHeight="1" x14ac:dyDescent="0.25">
      <c r="A1703" s="282" t="s">
        <v>2510</v>
      </c>
      <c r="B1703" s="282" t="s">
        <v>2511</v>
      </c>
      <c r="C1703" s="282" t="s">
        <v>2512</v>
      </c>
      <c r="D1703" s="283" t="s">
        <v>2552</v>
      </c>
      <c r="E1703" s="403">
        <v>43405</v>
      </c>
      <c r="F1703" s="403">
        <v>45230</v>
      </c>
      <c r="G1703" s="283" t="s">
        <v>237</v>
      </c>
      <c r="H1703" s="282" t="s">
        <v>2544</v>
      </c>
      <c r="I1703" s="285"/>
      <c r="J1703" s="282" t="s">
        <v>184</v>
      </c>
      <c r="K1703" s="283" t="s">
        <v>2545</v>
      </c>
      <c r="L1703" s="286" t="s">
        <v>219</v>
      </c>
      <c r="M1703" s="287">
        <v>2500</v>
      </c>
      <c r="N1703" s="287">
        <v>30</v>
      </c>
      <c r="O1703" s="287" t="s">
        <v>159</v>
      </c>
      <c r="P1703" s="287" t="s">
        <v>159</v>
      </c>
      <c r="Q1703" s="288">
        <v>1.29</v>
      </c>
      <c r="R1703" s="288"/>
      <c r="S1703" s="288"/>
      <c r="T1703" s="288"/>
      <c r="U1703" s="288">
        <v>0</v>
      </c>
      <c r="V1703" s="289">
        <v>1.29</v>
      </c>
      <c r="W1703" s="289">
        <v>0</v>
      </c>
      <c r="X1703" s="288">
        <v>1.29</v>
      </c>
      <c r="Y1703" s="288">
        <v>0</v>
      </c>
      <c r="Z1703" s="288">
        <v>0</v>
      </c>
      <c r="AA1703" s="288">
        <v>0</v>
      </c>
      <c r="AB1703" s="288">
        <v>0</v>
      </c>
      <c r="AC1703" s="289">
        <v>1.29</v>
      </c>
      <c r="AD1703" s="289">
        <v>0</v>
      </c>
    </row>
    <row r="1704" spans="1:30" ht="15" customHeight="1" x14ac:dyDescent="0.25">
      <c r="A1704" s="282" t="s">
        <v>2510</v>
      </c>
      <c r="B1704" s="282" t="s">
        <v>2511</v>
      </c>
      <c r="C1704" s="282" t="s">
        <v>2512</v>
      </c>
      <c r="D1704" s="283" t="s">
        <v>2553</v>
      </c>
      <c r="E1704" s="403">
        <v>45063</v>
      </c>
      <c r="F1704" s="403">
        <v>46873</v>
      </c>
      <c r="G1704" s="283" t="s">
        <v>237</v>
      </c>
      <c r="H1704" s="282" t="s">
        <v>2554</v>
      </c>
      <c r="I1704" s="285"/>
      <c r="J1704" s="282" t="s">
        <v>184</v>
      </c>
      <c r="K1704" s="283" t="s">
        <v>2555</v>
      </c>
      <c r="L1704" s="286" t="s">
        <v>219</v>
      </c>
      <c r="M1704" s="287">
        <v>2500</v>
      </c>
      <c r="N1704" s="287">
        <v>2.5</v>
      </c>
      <c r="O1704" s="287" t="s">
        <v>159</v>
      </c>
      <c r="P1704" s="287" t="s">
        <v>159</v>
      </c>
      <c r="Q1704" s="288">
        <v>1.468</v>
      </c>
      <c r="R1704" s="288"/>
      <c r="S1704" s="288"/>
      <c r="T1704" s="288"/>
      <c r="U1704" s="288">
        <v>0</v>
      </c>
      <c r="V1704" s="289">
        <v>1.468</v>
      </c>
      <c r="W1704" s="289">
        <v>0</v>
      </c>
      <c r="X1704" s="288">
        <v>1.468</v>
      </c>
      <c r="Y1704" s="288">
        <v>0</v>
      </c>
      <c r="Z1704" s="288">
        <v>0</v>
      </c>
      <c r="AA1704" s="288">
        <v>0</v>
      </c>
      <c r="AB1704" s="288">
        <v>0</v>
      </c>
      <c r="AC1704" s="289">
        <v>1.468</v>
      </c>
      <c r="AD1704" s="289">
        <v>0</v>
      </c>
    </row>
    <row r="1705" spans="1:30" ht="15" customHeight="1" x14ac:dyDescent="0.25">
      <c r="A1705" s="282" t="s">
        <v>2510</v>
      </c>
      <c r="B1705" s="282" t="s">
        <v>2511</v>
      </c>
      <c r="C1705" s="282" t="s">
        <v>2512</v>
      </c>
      <c r="D1705" s="283" t="s">
        <v>2556</v>
      </c>
      <c r="E1705" s="403">
        <v>45352</v>
      </c>
      <c r="F1705" s="403">
        <v>47178</v>
      </c>
      <c r="G1705" s="283" t="s">
        <v>2480</v>
      </c>
      <c r="H1705" s="282" t="s">
        <v>2557</v>
      </c>
      <c r="I1705" s="285"/>
      <c r="J1705" s="282" t="s">
        <v>2515</v>
      </c>
      <c r="K1705" s="283" t="s">
        <v>2516</v>
      </c>
      <c r="L1705" s="286" t="s">
        <v>219</v>
      </c>
      <c r="M1705" s="287" t="s">
        <v>159</v>
      </c>
      <c r="N1705" s="287">
        <v>10</v>
      </c>
      <c r="O1705" s="287" t="s">
        <v>159</v>
      </c>
      <c r="P1705" s="287" t="s">
        <v>159</v>
      </c>
      <c r="Q1705" s="288">
        <v>1.3699999999999999</v>
      </c>
      <c r="R1705" s="288"/>
      <c r="S1705" s="288"/>
      <c r="T1705" s="288"/>
      <c r="U1705" s="288">
        <v>0</v>
      </c>
      <c r="V1705" s="289">
        <v>1.3699999999999999</v>
      </c>
      <c r="W1705" s="289">
        <v>0</v>
      </c>
      <c r="X1705" s="288">
        <v>1.3699999999999999</v>
      </c>
      <c r="Y1705" s="288">
        <v>0</v>
      </c>
      <c r="Z1705" s="288">
        <v>0</v>
      </c>
      <c r="AA1705" s="288">
        <v>0</v>
      </c>
      <c r="AB1705" s="288">
        <v>0</v>
      </c>
      <c r="AC1705" s="289">
        <v>1.3699999999999999</v>
      </c>
      <c r="AD1705" s="289">
        <v>0</v>
      </c>
    </row>
    <row r="1706" spans="1:30" ht="15" customHeight="1" x14ac:dyDescent="0.25">
      <c r="A1706" s="282" t="s">
        <v>2510</v>
      </c>
      <c r="B1706" s="282" t="s">
        <v>2511</v>
      </c>
      <c r="C1706" s="282" t="s">
        <v>2512</v>
      </c>
      <c r="D1706" s="283" t="s">
        <v>2558</v>
      </c>
      <c r="E1706" s="403">
        <v>45352</v>
      </c>
      <c r="F1706" s="403">
        <v>47178</v>
      </c>
      <c r="G1706" s="283" t="s">
        <v>2480</v>
      </c>
      <c r="H1706" s="282" t="s">
        <v>2559</v>
      </c>
      <c r="I1706" s="285"/>
      <c r="J1706" s="282" t="s">
        <v>2515</v>
      </c>
      <c r="K1706" s="283" t="s">
        <v>2516</v>
      </c>
      <c r="L1706" s="286" t="s">
        <v>219</v>
      </c>
      <c r="M1706" s="287" t="s">
        <v>159</v>
      </c>
      <c r="N1706" s="287">
        <v>10</v>
      </c>
      <c r="O1706" s="287" t="s">
        <v>159</v>
      </c>
      <c r="P1706" s="287" t="s">
        <v>159</v>
      </c>
      <c r="Q1706" s="288">
        <v>1.3</v>
      </c>
      <c r="R1706" s="288"/>
      <c r="S1706" s="288"/>
      <c r="T1706" s="288"/>
      <c r="U1706" s="288">
        <v>0</v>
      </c>
      <c r="V1706" s="289">
        <v>1.3</v>
      </c>
      <c r="W1706" s="289">
        <v>0</v>
      </c>
      <c r="X1706" s="288">
        <v>1.3</v>
      </c>
      <c r="Y1706" s="288">
        <v>0</v>
      </c>
      <c r="Z1706" s="288">
        <v>0</v>
      </c>
      <c r="AA1706" s="288">
        <v>0</v>
      </c>
      <c r="AB1706" s="288">
        <v>0</v>
      </c>
      <c r="AC1706" s="289">
        <v>1.3</v>
      </c>
      <c r="AD1706" s="289">
        <v>0</v>
      </c>
    </row>
    <row r="1707" spans="1:30" ht="15" customHeight="1" x14ac:dyDescent="0.25">
      <c r="A1707" s="282" t="s">
        <v>2510</v>
      </c>
      <c r="B1707" s="282" t="s">
        <v>2511</v>
      </c>
      <c r="C1707" s="282" t="s">
        <v>2512</v>
      </c>
      <c r="D1707" s="283" t="s">
        <v>2560</v>
      </c>
      <c r="E1707" s="403">
        <v>44013</v>
      </c>
      <c r="F1707" s="403">
        <v>45839</v>
      </c>
      <c r="G1707" s="283" t="s">
        <v>237</v>
      </c>
      <c r="H1707" s="282" t="s">
        <v>2561</v>
      </c>
      <c r="I1707" s="285"/>
      <c r="J1707" s="282" t="s">
        <v>2515</v>
      </c>
      <c r="K1707" s="283" t="s">
        <v>2562</v>
      </c>
      <c r="L1707" s="286" t="s">
        <v>219</v>
      </c>
      <c r="M1707" s="287" t="s">
        <v>159</v>
      </c>
      <c r="N1707" s="287">
        <v>10</v>
      </c>
      <c r="O1707" s="287" t="s">
        <v>159</v>
      </c>
      <c r="P1707" s="287" t="s">
        <v>159</v>
      </c>
      <c r="Q1707" s="288">
        <v>1.425</v>
      </c>
      <c r="R1707" s="288"/>
      <c r="S1707" s="288"/>
      <c r="T1707" s="288"/>
      <c r="U1707" s="288">
        <v>0</v>
      </c>
      <c r="V1707" s="289">
        <v>1.425</v>
      </c>
      <c r="W1707" s="289">
        <v>0</v>
      </c>
      <c r="X1707" s="288">
        <v>1.425</v>
      </c>
      <c r="Y1707" s="288">
        <v>0</v>
      </c>
      <c r="Z1707" s="288">
        <v>0</v>
      </c>
      <c r="AA1707" s="288">
        <v>0</v>
      </c>
      <c r="AB1707" s="288">
        <v>0</v>
      </c>
      <c r="AC1707" s="289">
        <v>1.425</v>
      </c>
      <c r="AD1707" s="289">
        <v>0</v>
      </c>
    </row>
    <row r="1708" spans="1:30" ht="15" customHeight="1" x14ac:dyDescent="0.25">
      <c r="A1708" s="282" t="s">
        <v>2510</v>
      </c>
      <c r="B1708" s="282" t="s">
        <v>2520</v>
      </c>
      <c r="C1708" s="282" t="s">
        <v>2512</v>
      </c>
      <c r="D1708" s="283" t="s">
        <v>2563</v>
      </c>
      <c r="E1708" s="403">
        <v>44684</v>
      </c>
      <c r="F1708" s="403">
        <v>46509</v>
      </c>
      <c r="G1708" s="283" t="s">
        <v>237</v>
      </c>
      <c r="H1708" s="282" t="s">
        <v>2564</v>
      </c>
      <c r="I1708" s="285"/>
      <c r="J1708" s="282" t="s">
        <v>184</v>
      </c>
      <c r="K1708" s="283" t="s">
        <v>2565</v>
      </c>
      <c r="L1708" s="286" t="s">
        <v>219</v>
      </c>
      <c r="M1708" s="287" t="s">
        <v>159</v>
      </c>
      <c r="N1708" s="287">
        <v>20</v>
      </c>
      <c r="O1708" s="287" t="s">
        <v>159</v>
      </c>
      <c r="P1708" s="287" t="s">
        <v>159</v>
      </c>
      <c r="Q1708" s="288">
        <v>1.5699999999999998</v>
      </c>
      <c r="R1708" s="288">
        <v>1.5449999999999999</v>
      </c>
      <c r="S1708" s="288">
        <v>2.3549999999999998E-2</v>
      </c>
      <c r="T1708" s="288">
        <v>8.5000000000000006E-4</v>
      </c>
      <c r="U1708" s="288">
        <v>0</v>
      </c>
      <c r="V1708" s="289">
        <v>1.5693999999999999</v>
      </c>
      <c r="W1708" s="289">
        <v>0</v>
      </c>
      <c r="X1708" s="288">
        <v>1.5699999999999998</v>
      </c>
      <c r="Y1708" s="288">
        <v>1.5449999999999999</v>
      </c>
      <c r="Z1708" s="288">
        <v>2.3549999999999998E-2</v>
      </c>
      <c r="AA1708" s="288">
        <v>8.5000000000000006E-4</v>
      </c>
      <c r="AB1708" s="288">
        <v>0</v>
      </c>
      <c r="AC1708" s="289">
        <v>1.5693999999999999</v>
      </c>
      <c r="AD1708" s="289">
        <v>0</v>
      </c>
    </row>
    <row r="1709" spans="1:30" ht="15" customHeight="1" x14ac:dyDescent="0.25">
      <c r="A1709" s="282" t="s">
        <v>2510</v>
      </c>
      <c r="B1709" s="282" t="s">
        <v>2520</v>
      </c>
      <c r="C1709" s="282" t="s">
        <v>2512</v>
      </c>
      <c r="D1709" s="283" t="s">
        <v>2566</v>
      </c>
      <c r="E1709" s="403">
        <v>44684</v>
      </c>
      <c r="F1709" s="403">
        <v>46509</v>
      </c>
      <c r="G1709" s="283" t="s">
        <v>237</v>
      </c>
      <c r="H1709" s="282" t="s">
        <v>2564</v>
      </c>
      <c r="I1709" s="285"/>
      <c r="J1709" s="282" t="s">
        <v>184</v>
      </c>
      <c r="K1709" s="283" t="s">
        <v>2565</v>
      </c>
      <c r="L1709" s="286" t="s">
        <v>219</v>
      </c>
      <c r="M1709" s="287" t="s">
        <v>159</v>
      </c>
      <c r="N1709" s="287">
        <v>35.4</v>
      </c>
      <c r="O1709" s="287" t="s">
        <v>159</v>
      </c>
      <c r="P1709" s="287" t="s">
        <v>159</v>
      </c>
      <c r="Q1709" s="288">
        <v>1.3474576271186443</v>
      </c>
      <c r="R1709" s="288">
        <v>1.3248587570621468</v>
      </c>
      <c r="S1709" s="288">
        <v>2.0480225988700564E-2</v>
      </c>
      <c r="T1709" s="288">
        <v>7.0056497175141239E-4</v>
      </c>
      <c r="U1709" s="288">
        <v>0</v>
      </c>
      <c r="V1709" s="289">
        <v>1.3460395480225986</v>
      </c>
      <c r="W1709" s="289">
        <v>0</v>
      </c>
      <c r="X1709" s="288">
        <v>1.3474576271186443</v>
      </c>
      <c r="Y1709" s="288">
        <v>1.3248587570621468</v>
      </c>
      <c r="Z1709" s="288">
        <v>2.0480225988700564E-2</v>
      </c>
      <c r="AA1709" s="288">
        <v>7.0056497175141239E-4</v>
      </c>
      <c r="AB1709" s="288">
        <v>0</v>
      </c>
      <c r="AC1709" s="289">
        <v>1.3460395480225986</v>
      </c>
      <c r="AD1709" s="289">
        <v>0</v>
      </c>
    </row>
    <row r="1710" spans="1:30" ht="15" customHeight="1" x14ac:dyDescent="0.25">
      <c r="A1710" s="282" t="s">
        <v>2510</v>
      </c>
      <c r="B1710" s="282" t="s">
        <v>2520</v>
      </c>
      <c r="C1710" s="282" t="s">
        <v>2512</v>
      </c>
      <c r="D1710" s="283" t="s">
        <v>2567</v>
      </c>
      <c r="E1710" s="403">
        <v>44684</v>
      </c>
      <c r="F1710" s="403">
        <v>46509</v>
      </c>
      <c r="G1710" s="283" t="s">
        <v>237</v>
      </c>
      <c r="H1710" s="282" t="s">
        <v>2564</v>
      </c>
      <c r="I1710" s="285"/>
      <c r="J1710" s="282" t="s">
        <v>184</v>
      </c>
      <c r="K1710" s="283" t="s">
        <v>2565</v>
      </c>
      <c r="L1710" s="286" t="s">
        <v>219</v>
      </c>
      <c r="M1710" s="287" t="s">
        <v>159</v>
      </c>
      <c r="N1710" s="287">
        <v>25.4</v>
      </c>
      <c r="O1710" s="287" t="s">
        <v>159</v>
      </c>
      <c r="P1710" s="287" t="s">
        <v>159</v>
      </c>
      <c r="Q1710" s="288">
        <v>1.6338582677165354</v>
      </c>
      <c r="R1710" s="288">
        <v>1.6062992125984252</v>
      </c>
      <c r="S1710" s="288">
        <v>2.4251968503937009E-2</v>
      </c>
      <c r="T1710" s="288">
        <v>9.1338582677165348E-4</v>
      </c>
      <c r="U1710" s="288">
        <v>0</v>
      </c>
      <c r="V1710" s="289">
        <v>1.6314645669291339</v>
      </c>
      <c r="W1710" s="289">
        <v>0</v>
      </c>
      <c r="X1710" s="288">
        <v>1.6338582677165354</v>
      </c>
      <c r="Y1710" s="288">
        <v>1.6062992125984252</v>
      </c>
      <c r="Z1710" s="288">
        <v>2.4251968503937009E-2</v>
      </c>
      <c r="AA1710" s="288">
        <v>9.1338582677165348E-4</v>
      </c>
      <c r="AB1710" s="288">
        <v>0</v>
      </c>
      <c r="AC1710" s="289">
        <v>1.6314645669291339</v>
      </c>
      <c r="AD1710" s="289">
        <v>0</v>
      </c>
    </row>
    <row r="1711" spans="1:30" ht="15" customHeight="1" x14ac:dyDescent="0.25">
      <c r="A1711" s="282" t="s">
        <v>2510</v>
      </c>
      <c r="B1711" s="282" t="s">
        <v>2520</v>
      </c>
      <c r="C1711" s="282" t="s">
        <v>2512</v>
      </c>
      <c r="D1711" s="283" t="s">
        <v>2568</v>
      </c>
      <c r="E1711" s="403">
        <v>45230</v>
      </c>
      <c r="F1711" s="403">
        <v>47057</v>
      </c>
      <c r="G1711" s="283" t="s">
        <v>193</v>
      </c>
      <c r="H1711" s="282" t="s">
        <v>2569</v>
      </c>
      <c r="I1711" s="285"/>
      <c r="J1711" s="282" t="s">
        <v>184</v>
      </c>
      <c r="K1711" s="283" t="s">
        <v>2570</v>
      </c>
      <c r="L1711" s="286" t="s">
        <v>219</v>
      </c>
      <c r="M1711" s="287" t="s">
        <v>159</v>
      </c>
      <c r="N1711" s="287">
        <v>31</v>
      </c>
      <c r="O1711" s="287" t="s">
        <v>159</v>
      </c>
      <c r="P1711" s="287" t="s">
        <v>159</v>
      </c>
      <c r="Q1711" s="288">
        <v>1.5387096774193549</v>
      </c>
      <c r="R1711" s="288">
        <v>1.5354838709677421</v>
      </c>
      <c r="S1711" s="288">
        <v>-1.6096774193548387E-3</v>
      </c>
      <c r="T1711" s="288"/>
      <c r="U1711" s="288">
        <v>0</v>
      </c>
      <c r="V1711" s="289">
        <v>1.5354838709677421</v>
      </c>
      <c r="W1711" s="289">
        <v>0</v>
      </c>
      <c r="X1711" s="288">
        <v>1.5387096774193549</v>
      </c>
      <c r="Y1711" s="288">
        <v>1.5354838709677421</v>
      </c>
      <c r="Z1711" s="288">
        <v>-1.6096774193548387E-3</v>
      </c>
      <c r="AA1711" s="288">
        <v>0</v>
      </c>
      <c r="AB1711" s="288">
        <v>0</v>
      </c>
      <c r="AC1711" s="289">
        <v>1.5354838709677421</v>
      </c>
      <c r="AD1711" s="289">
        <v>0</v>
      </c>
    </row>
    <row r="1712" spans="1:30" ht="15" customHeight="1" x14ac:dyDescent="0.25">
      <c r="A1712" s="282" t="s">
        <v>2510</v>
      </c>
      <c r="B1712" s="282" t="s">
        <v>2520</v>
      </c>
      <c r="C1712" s="282" t="s">
        <v>2512</v>
      </c>
      <c r="D1712" s="283" t="s">
        <v>2571</v>
      </c>
      <c r="E1712" s="403">
        <v>45230</v>
      </c>
      <c r="F1712" s="403">
        <v>47057</v>
      </c>
      <c r="G1712" s="283" t="s">
        <v>193</v>
      </c>
      <c r="H1712" s="282" t="s">
        <v>2569</v>
      </c>
      <c r="I1712" s="285"/>
      <c r="J1712" s="282" t="s">
        <v>184</v>
      </c>
      <c r="K1712" s="283" t="s">
        <v>2570</v>
      </c>
      <c r="L1712" s="286" t="s">
        <v>219</v>
      </c>
      <c r="M1712" s="287" t="s">
        <v>159</v>
      </c>
      <c r="N1712" s="287">
        <v>31</v>
      </c>
      <c r="O1712" s="287" t="s">
        <v>159</v>
      </c>
      <c r="P1712" s="287" t="s">
        <v>159</v>
      </c>
      <c r="Q1712" s="288">
        <v>1.5387096774193549</v>
      </c>
      <c r="R1712" s="288">
        <v>1.5354838709677421</v>
      </c>
      <c r="S1712" s="288">
        <v>-1.6096774193548387E-3</v>
      </c>
      <c r="T1712" s="288"/>
      <c r="U1712" s="288">
        <v>0</v>
      </c>
      <c r="V1712" s="289">
        <v>1.5354838709677421</v>
      </c>
      <c r="W1712" s="289">
        <v>0</v>
      </c>
      <c r="X1712" s="288">
        <v>1.5387096774193549</v>
      </c>
      <c r="Y1712" s="288">
        <v>1.5354838709677421</v>
      </c>
      <c r="Z1712" s="288">
        <v>-1.6096774193548387E-3</v>
      </c>
      <c r="AA1712" s="288">
        <v>0</v>
      </c>
      <c r="AB1712" s="288">
        <v>0</v>
      </c>
      <c r="AC1712" s="289">
        <v>1.5354838709677421</v>
      </c>
      <c r="AD1712" s="289">
        <v>0</v>
      </c>
    </row>
    <row r="1713" spans="1:30" ht="15" customHeight="1" x14ac:dyDescent="0.25">
      <c r="A1713" s="282" t="s">
        <v>2510</v>
      </c>
      <c r="B1713" s="282" t="s">
        <v>2520</v>
      </c>
      <c r="C1713" s="282" t="s">
        <v>2512</v>
      </c>
      <c r="D1713" s="283" t="s">
        <v>2572</v>
      </c>
      <c r="E1713" s="403">
        <v>45230</v>
      </c>
      <c r="F1713" s="403">
        <v>47057</v>
      </c>
      <c r="G1713" s="283" t="s">
        <v>193</v>
      </c>
      <c r="H1713" s="282" t="s">
        <v>2569</v>
      </c>
      <c r="I1713" s="285"/>
      <c r="J1713" s="282" t="s">
        <v>184</v>
      </c>
      <c r="K1713" s="283" t="s">
        <v>2570</v>
      </c>
      <c r="L1713" s="286" t="s">
        <v>219</v>
      </c>
      <c r="M1713" s="287" t="s">
        <v>159</v>
      </c>
      <c r="N1713" s="287">
        <v>31</v>
      </c>
      <c r="O1713" s="287" t="s">
        <v>159</v>
      </c>
      <c r="P1713" s="287" t="s">
        <v>159</v>
      </c>
      <c r="Q1713" s="288">
        <v>1.5387096774193549</v>
      </c>
      <c r="R1713" s="288">
        <v>1.5354838709677421</v>
      </c>
      <c r="S1713" s="288">
        <v>-1.6096774193548387E-3</v>
      </c>
      <c r="T1713" s="288"/>
      <c r="U1713" s="288">
        <v>0</v>
      </c>
      <c r="V1713" s="289">
        <v>1.5354838709677421</v>
      </c>
      <c r="W1713" s="289">
        <v>0</v>
      </c>
      <c r="X1713" s="288">
        <v>1.5387096774193549</v>
      </c>
      <c r="Y1713" s="288">
        <v>1.5354838709677421</v>
      </c>
      <c r="Z1713" s="288">
        <v>-1.6096774193548387E-3</v>
      </c>
      <c r="AA1713" s="288">
        <v>0</v>
      </c>
      <c r="AB1713" s="288">
        <v>0</v>
      </c>
      <c r="AC1713" s="289">
        <v>1.5354838709677421</v>
      </c>
      <c r="AD1713" s="289">
        <v>0</v>
      </c>
    </row>
    <row r="1714" spans="1:30" ht="15" customHeight="1" x14ac:dyDescent="0.25">
      <c r="A1714" s="282" t="s">
        <v>2510</v>
      </c>
      <c r="B1714" s="282" t="s">
        <v>2520</v>
      </c>
      <c r="C1714" s="282" t="s">
        <v>2512</v>
      </c>
      <c r="D1714" s="283" t="s">
        <v>2573</v>
      </c>
      <c r="E1714" s="403">
        <v>45230</v>
      </c>
      <c r="F1714" s="403">
        <v>47057</v>
      </c>
      <c r="G1714" s="283" t="s">
        <v>193</v>
      </c>
      <c r="H1714" s="282" t="s">
        <v>2569</v>
      </c>
      <c r="I1714" s="285"/>
      <c r="J1714" s="282" t="s">
        <v>184</v>
      </c>
      <c r="K1714" s="283" t="s">
        <v>2570</v>
      </c>
      <c r="L1714" s="286" t="s">
        <v>219</v>
      </c>
      <c r="M1714" s="287" t="s">
        <v>159</v>
      </c>
      <c r="N1714" s="287">
        <v>31</v>
      </c>
      <c r="O1714" s="287" t="s">
        <v>159</v>
      </c>
      <c r="P1714" s="287" t="s">
        <v>159</v>
      </c>
      <c r="Q1714" s="288">
        <v>1.5387096774193549</v>
      </c>
      <c r="R1714" s="288">
        <v>1.5354838709677421</v>
      </c>
      <c r="S1714" s="288">
        <v>-1.6096774193548387E-3</v>
      </c>
      <c r="T1714" s="288"/>
      <c r="U1714" s="288">
        <v>0</v>
      </c>
      <c r="V1714" s="289">
        <v>1.5354838709677421</v>
      </c>
      <c r="W1714" s="289">
        <v>0</v>
      </c>
      <c r="X1714" s="288">
        <v>1.5387096774193549</v>
      </c>
      <c r="Y1714" s="288">
        <v>1.5354838709677421</v>
      </c>
      <c r="Z1714" s="288">
        <v>-1.6096774193548387E-3</v>
      </c>
      <c r="AA1714" s="288">
        <v>0</v>
      </c>
      <c r="AB1714" s="288">
        <v>0</v>
      </c>
      <c r="AC1714" s="289">
        <v>1.5354838709677421</v>
      </c>
      <c r="AD1714" s="289">
        <v>0</v>
      </c>
    </row>
    <row r="1715" spans="1:30" ht="15" customHeight="1" x14ac:dyDescent="0.25">
      <c r="A1715" s="282" t="s">
        <v>2510</v>
      </c>
      <c r="B1715" s="282" t="s">
        <v>2520</v>
      </c>
      <c r="C1715" s="282" t="s">
        <v>2512</v>
      </c>
      <c r="D1715" s="283" t="s">
        <v>2574</v>
      </c>
      <c r="E1715" s="403">
        <v>45230</v>
      </c>
      <c r="F1715" s="403">
        <v>47057</v>
      </c>
      <c r="G1715" s="283" t="s">
        <v>193</v>
      </c>
      <c r="H1715" s="282" t="s">
        <v>2569</v>
      </c>
      <c r="I1715" s="285"/>
      <c r="J1715" s="282" t="s">
        <v>184</v>
      </c>
      <c r="K1715" s="283" t="s">
        <v>2570</v>
      </c>
      <c r="L1715" s="286" t="s">
        <v>219</v>
      </c>
      <c r="M1715" s="287" t="s">
        <v>159</v>
      </c>
      <c r="N1715" s="287">
        <v>31</v>
      </c>
      <c r="O1715" s="287" t="s">
        <v>159</v>
      </c>
      <c r="P1715" s="287" t="s">
        <v>159</v>
      </c>
      <c r="Q1715" s="288">
        <v>1.5387096774193549</v>
      </c>
      <c r="R1715" s="288">
        <v>1.5354838709677421</v>
      </c>
      <c r="S1715" s="288">
        <v>-1.6096774193548387E-3</v>
      </c>
      <c r="T1715" s="288"/>
      <c r="U1715" s="288">
        <v>0</v>
      </c>
      <c r="V1715" s="289">
        <v>1.5354838709677421</v>
      </c>
      <c r="W1715" s="289">
        <v>0</v>
      </c>
      <c r="X1715" s="288">
        <v>1.5387096774193549</v>
      </c>
      <c r="Y1715" s="288">
        <v>1.5354838709677421</v>
      </c>
      <c r="Z1715" s="288">
        <v>-1.6096774193548387E-3</v>
      </c>
      <c r="AA1715" s="288">
        <v>0</v>
      </c>
      <c r="AB1715" s="288">
        <v>0</v>
      </c>
      <c r="AC1715" s="289">
        <v>1.5354838709677421</v>
      </c>
      <c r="AD1715" s="289">
        <v>0</v>
      </c>
    </row>
    <row r="1716" spans="1:30" ht="15" customHeight="1" x14ac:dyDescent="0.25">
      <c r="A1716" s="282" t="s">
        <v>2510</v>
      </c>
      <c r="B1716" s="282" t="s">
        <v>2520</v>
      </c>
      <c r="C1716" s="282" t="s">
        <v>2512</v>
      </c>
      <c r="D1716" s="283" t="s">
        <v>2575</v>
      </c>
      <c r="E1716" s="403">
        <v>45230</v>
      </c>
      <c r="F1716" s="403">
        <v>47057</v>
      </c>
      <c r="G1716" s="283" t="s">
        <v>193</v>
      </c>
      <c r="H1716" s="282" t="s">
        <v>2569</v>
      </c>
      <c r="I1716" s="285"/>
      <c r="J1716" s="282" t="s">
        <v>184</v>
      </c>
      <c r="K1716" s="283" t="s">
        <v>2570</v>
      </c>
      <c r="L1716" s="286" t="s">
        <v>219</v>
      </c>
      <c r="M1716" s="287" t="s">
        <v>159</v>
      </c>
      <c r="N1716" s="287">
        <v>31</v>
      </c>
      <c r="O1716" s="287" t="s">
        <v>159</v>
      </c>
      <c r="P1716" s="287" t="s">
        <v>159</v>
      </c>
      <c r="Q1716" s="288">
        <v>1.5387096774193549</v>
      </c>
      <c r="R1716" s="288">
        <v>1.5354838709677421</v>
      </c>
      <c r="S1716" s="288">
        <v>-1.6096774193548387E-3</v>
      </c>
      <c r="T1716" s="288"/>
      <c r="U1716" s="288">
        <v>0</v>
      </c>
      <c r="V1716" s="289">
        <v>1.5354838709677421</v>
      </c>
      <c r="W1716" s="289">
        <v>0</v>
      </c>
      <c r="X1716" s="288">
        <v>1.5387096774193549</v>
      </c>
      <c r="Y1716" s="288">
        <v>1.5354838709677421</v>
      </c>
      <c r="Z1716" s="288">
        <v>-1.6096774193548387E-3</v>
      </c>
      <c r="AA1716" s="288">
        <v>0</v>
      </c>
      <c r="AB1716" s="288">
        <v>0</v>
      </c>
      <c r="AC1716" s="289">
        <v>1.5354838709677421</v>
      </c>
      <c r="AD1716" s="289">
        <v>0</v>
      </c>
    </row>
    <row r="1717" spans="1:30" ht="15" customHeight="1" x14ac:dyDescent="0.25">
      <c r="A1717" s="282" t="s">
        <v>2510</v>
      </c>
      <c r="B1717" s="282" t="s">
        <v>2576</v>
      </c>
      <c r="C1717" s="282" t="s">
        <v>2512</v>
      </c>
      <c r="D1717" s="283" t="s">
        <v>2577</v>
      </c>
      <c r="E1717" s="403">
        <v>45125</v>
      </c>
      <c r="F1717" s="403">
        <v>46951</v>
      </c>
      <c r="G1717" s="283" t="s">
        <v>201</v>
      </c>
      <c r="H1717" s="282" t="s">
        <v>2578</v>
      </c>
      <c r="I1717" s="285"/>
      <c r="J1717" s="282" t="s">
        <v>184</v>
      </c>
      <c r="K1717" s="283" t="s">
        <v>2579</v>
      </c>
      <c r="L1717" s="286" t="s">
        <v>219</v>
      </c>
      <c r="M1717" s="287" t="s">
        <v>159</v>
      </c>
      <c r="N1717" s="287">
        <v>15</v>
      </c>
      <c r="O1717" s="287" t="s">
        <v>159</v>
      </c>
      <c r="P1717" s="287" t="s">
        <v>159</v>
      </c>
      <c r="Q1717" s="288">
        <v>1.4066666666666667</v>
      </c>
      <c r="R1717" s="288">
        <v>1.4</v>
      </c>
      <c r="S1717" s="288">
        <v>3.3333333333333335E-3</v>
      </c>
      <c r="T1717" s="288"/>
      <c r="U1717" s="288">
        <v>0</v>
      </c>
      <c r="V1717" s="289">
        <v>1.4033333333333333</v>
      </c>
      <c r="W1717" s="289">
        <v>0</v>
      </c>
      <c r="X1717" s="288">
        <v>1.4066666666666667</v>
      </c>
      <c r="Y1717" s="288">
        <v>1.4</v>
      </c>
      <c r="Z1717" s="288">
        <v>3.3333333333333335E-3</v>
      </c>
      <c r="AA1717" s="288">
        <v>0</v>
      </c>
      <c r="AB1717" s="288">
        <v>0</v>
      </c>
      <c r="AC1717" s="289">
        <v>1.4033333333333333</v>
      </c>
      <c r="AD1717" s="289">
        <v>0</v>
      </c>
    </row>
    <row r="1718" spans="1:30" ht="15" customHeight="1" x14ac:dyDescent="0.25">
      <c r="A1718" s="282" t="s">
        <v>2510</v>
      </c>
      <c r="B1718" s="282" t="s">
        <v>2529</v>
      </c>
      <c r="C1718" s="282" t="s">
        <v>2512</v>
      </c>
      <c r="D1718" s="283" t="s">
        <v>2580</v>
      </c>
      <c r="E1718" s="403">
        <v>45233</v>
      </c>
      <c r="F1718" s="403">
        <v>47057</v>
      </c>
      <c r="G1718" s="283" t="s">
        <v>193</v>
      </c>
      <c r="H1718" s="282" t="s">
        <v>2581</v>
      </c>
      <c r="I1718" s="285"/>
      <c r="J1718" s="282" t="s">
        <v>184</v>
      </c>
      <c r="K1718" s="283" t="s">
        <v>2582</v>
      </c>
      <c r="L1718" s="286" t="s">
        <v>219</v>
      </c>
      <c r="M1718" s="287" t="s">
        <v>159</v>
      </c>
      <c r="N1718" s="287">
        <v>31</v>
      </c>
      <c r="O1718" s="287" t="s">
        <v>159</v>
      </c>
      <c r="P1718" s="287" t="s">
        <v>159</v>
      </c>
      <c r="Q1718" s="288">
        <v>1.5483870967741935</v>
      </c>
      <c r="R1718" s="288">
        <v>1.5419354838709676</v>
      </c>
      <c r="S1718" s="288">
        <v>1.432258064516129E-3</v>
      </c>
      <c r="T1718" s="288"/>
      <c r="U1718" s="288">
        <v>0</v>
      </c>
      <c r="V1718" s="289">
        <v>1.5433677419354837</v>
      </c>
      <c r="W1718" s="289">
        <v>0</v>
      </c>
      <c r="X1718" s="288">
        <v>1.5483870967741935</v>
      </c>
      <c r="Y1718" s="288">
        <v>1.5419354838709676</v>
      </c>
      <c r="Z1718" s="288">
        <v>1.432258064516129E-3</v>
      </c>
      <c r="AA1718" s="288">
        <v>0</v>
      </c>
      <c r="AB1718" s="288">
        <v>0</v>
      </c>
      <c r="AC1718" s="289">
        <v>1.5433677419354837</v>
      </c>
      <c r="AD1718" s="289">
        <v>0</v>
      </c>
    </row>
    <row r="1719" spans="1:30" ht="15" customHeight="1" x14ac:dyDescent="0.25">
      <c r="A1719" s="282" t="s">
        <v>2510</v>
      </c>
      <c r="B1719" s="282" t="s">
        <v>2529</v>
      </c>
      <c r="C1719" s="282" t="s">
        <v>2512</v>
      </c>
      <c r="D1719" s="283" t="s">
        <v>2583</v>
      </c>
      <c r="E1719" s="403">
        <v>45233</v>
      </c>
      <c r="F1719" s="403">
        <v>47057</v>
      </c>
      <c r="G1719" s="283" t="s">
        <v>193</v>
      </c>
      <c r="H1719" s="282" t="s">
        <v>2581</v>
      </c>
      <c r="I1719" s="285"/>
      <c r="J1719" s="282" t="s">
        <v>184</v>
      </c>
      <c r="K1719" s="283" t="s">
        <v>2582</v>
      </c>
      <c r="L1719" s="286" t="s">
        <v>219</v>
      </c>
      <c r="M1719" s="287" t="s">
        <v>159</v>
      </c>
      <c r="N1719" s="287">
        <v>31</v>
      </c>
      <c r="O1719" s="287" t="s">
        <v>159</v>
      </c>
      <c r="P1719" s="287" t="s">
        <v>159</v>
      </c>
      <c r="Q1719" s="288">
        <v>1.5483870967741935</v>
      </c>
      <c r="R1719" s="288">
        <v>1.5419354838709676</v>
      </c>
      <c r="S1719" s="288">
        <v>1.432258064516129E-3</v>
      </c>
      <c r="T1719" s="288"/>
      <c r="U1719" s="288">
        <v>0</v>
      </c>
      <c r="V1719" s="289">
        <v>1.5433677419354837</v>
      </c>
      <c r="W1719" s="289">
        <v>0</v>
      </c>
      <c r="X1719" s="288">
        <v>1.5483870967741935</v>
      </c>
      <c r="Y1719" s="288">
        <v>1.5419354838709676</v>
      </c>
      <c r="Z1719" s="288">
        <v>1.432258064516129E-3</v>
      </c>
      <c r="AA1719" s="288">
        <v>0</v>
      </c>
      <c r="AB1719" s="288">
        <v>0</v>
      </c>
      <c r="AC1719" s="289">
        <v>1.5433677419354837</v>
      </c>
      <c r="AD1719" s="289">
        <v>0</v>
      </c>
    </row>
    <row r="1720" spans="1:30" ht="15" customHeight="1" x14ac:dyDescent="0.25">
      <c r="A1720" s="282" t="s">
        <v>2510</v>
      </c>
      <c r="B1720" s="282" t="s">
        <v>2529</v>
      </c>
      <c r="C1720" s="282" t="s">
        <v>2512</v>
      </c>
      <c r="D1720" s="283" t="s">
        <v>2584</v>
      </c>
      <c r="E1720" s="403">
        <v>45233</v>
      </c>
      <c r="F1720" s="403">
        <v>47057</v>
      </c>
      <c r="G1720" s="283" t="s">
        <v>193</v>
      </c>
      <c r="H1720" s="282" t="s">
        <v>2581</v>
      </c>
      <c r="I1720" s="285"/>
      <c r="J1720" s="282" t="s">
        <v>184</v>
      </c>
      <c r="K1720" s="283" t="s">
        <v>2582</v>
      </c>
      <c r="L1720" s="286" t="s">
        <v>219</v>
      </c>
      <c r="M1720" s="287" t="s">
        <v>159</v>
      </c>
      <c r="N1720" s="287">
        <v>31</v>
      </c>
      <c r="O1720" s="287" t="s">
        <v>159</v>
      </c>
      <c r="P1720" s="287" t="s">
        <v>159</v>
      </c>
      <c r="Q1720" s="288">
        <v>1.5483870967741935</v>
      </c>
      <c r="R1720" s="288">
        <v>1.5419354838709676</v>
      </c>
      <c r="S1720" s="288">
        <v>1.432258064516129E-3</v>
      </c>
      <c r="T1720" s="288"/>
      <c r="U1720" s="288">
        <v>0</v>
      </c>
      <c r="V1720" s="289">
        <v>1.5433677419354837</v>
      </c>
      <c r="W1720" s="289">
        <v>0</v>
      </c>
      <c r="X1720" s="288">
        <v>1.5483870967741935</v>
      </c>
      <c r="Y1720" s="288">
        <v>1.5419354838709676</v>
      </c>
      <c r="Z1720" s="288">
        <v>1.432258064516129E-3</v>
      </c>
      <c r="AA1720" s="288">
        <v>0</v>
      </c>
      <c r="AB1720" s="288">
        <v>0</v>
      </c>
      <c r="AC1720" s="289">
        <v>1.5433677419354837</v>
      </c>
      <c r="AD1720" s="289">
        <v>0</v>
      </c>
    </row>
    <row r="1721" spans="1:30" ht="15" customHeight="1" x14ac:dyDescent="0.25">
      <c r="A1721" s="282" t="s">
        <v>2510</v>
      </c>
      <c r="B1721" s="282" t="s">
        <v>2529</v>
      </c>
      <c r="C1721" s="282" t="s">
        <v>2512</v>
      </c>
      <c r="D1721" s="283" t="s">
        <v>2585</v>
      </c>
      <c r="E1721" s="403">
        <v>45233</v>
      </c>
      <c r="F1721" s="403">
        <v>47057</v>
      </c>
      <c r="G1721" s="283" t="s">
        <v>193</v>
      </c>
      <c r="H1721" s="282" t="s">
        <v>2581</v>
      </c>
      <c r="I1721" s="285"/>
      <c r="J1721" s="282" t="s">
        <v>184</v>
      </c>
      <c r="K1721" s="283" t="s">
        <v>2582</v>
      </c>
      <c r="L1721" s="286" t="s">
        <v>219</v>
      </c>
      <c r="M1721" s="287" t="s">
        <v>159</v>
      </c>
      <c r="N1721" s="287">
        <v>31</v>
      </c>
      <c r="O1721" s="287" t="s">
        <v>159</v>
      </c>
      <c r="P1721" s="287" t="s">
        <v>159</v>
      </c>
      <c r="Q1721" s="288">
        <v>1.5483870967741935</v>
      </c>
      <c r="R1721" s="288">
        <v>1.5419354838709676</v>
      </c>
      <c r="S1721" s="288">
        <v>1.432258064516129E-3</v>
      </c>
      <c r="T1721" s="288"/>
      <c r="U1721" s="288">
        <v>0</v>
      </c>
      <c r="V1721" s="289">
        <v>1.5433677419354837</v>
      </c>
      <c r="W1721" s="289">
        <v>0</v>
      </c>
      <c r="X1721" s="288">
        <v>1.5483870967741935</v>
      </c>
      <c r="Y1721" s="288">
        <v>1.5419354838709676</v>
      </c>
      <c r="Z1721" s="288">
        <v>1.432258064516129E-3</v>
      </c>
      <c r="AA1721" s="288">
        <v>0</v>
      </c>
      <c r="AB1721" s="288">
        <v>0</v>
      </c>
      <c r="AC1721" s="289">
        <v>1.5433677419354837</v>
      </c>
      <c r="AD1721" s="289">
        <v>0</v>
      </c>
    </row>
    <row r="1722" spans="1:30" ht="15" customHeight="1" x14ac:dyDescent="0.25">
      <c r="A1722" s="282" t="s">
        <v>2510</v>
      </c>
      <c r="B1722" s="282" t="s">
        <v>2529</v>
      </c>
      <c r="C1722" s="282" t="s">
        <v>2512</v>
      </c>
      <c r="D1722" s="283" t="s">
        <v>2586</v>
      </c>
      <c r="E1722" s="403">
        <v>45233</v>
      </c>
      <c r="F1722" s="403">
        <v>47057</v>
      </c>
      <c r="G1722" s="283" t="s">
        <v>193</v>
      </c>
      <c r="H1722" s="282" t="s">
        <v>2581</v>
      </c>
      <c r="I1722" s="285"/>
      <c r="J1722" s="282" t="s">
        <v>184</v>
      </c>
      <c r="K1722" s="283" t="s">
        <v>2582</v>
      </c>
      <c r="L1722" s="286" t="s">
        <v>219</v>
      </c>
      <c r="M1722" s="287" t="s">
        <v>159</v>
      </c>
      <c r="N1722" s="287">
        <v>31</v>
      </c>
      <c r="O1722" s="287" t="s">
        <v>159</v>
      </c>
      <c r="P1722" s="287" t="s">
        <v>159</v>
      </c>
      <c r="Q1722" s="288">
        <v>1.5483870967741935</v>
      </c>
      <c r="R1722" s="288">
        <v>1.5419354838709676</v>
      </c>
      <c r="S1722" s="288">
        <v>1.432258064516129E-3</v>
      </c>
      <c r="T1722" s="288"/>
      <c r="U1722" s="288">
        <v>0</v>
      </c>
      <c r="V1722" s="289">
        <v>1.5433677419354837</v>
      </c>
      <c r="W1722" s="289">
        <v>0</v>
      </c>
      <c r="X1722" s="288">
        <v>1.5483870967741935</v>
      </c>
      <c r="Y1722" s="288">
        <v>1.5419354838709676</v>
      </c>
      <c r="Z1722" s="288">
        <v>1.432258064516129E-3</v>
      </c>
      <c r="AA1722" s="288">
        <v>0</v>
      </c>
      <c r="AB1722" s="288">
        <v>0</v>
      </c>
      <c r="AC1722" s="289">
        <v>1.5433677419354837</v>
      </c>
      <c r="AD1722" s="289">
        <v>0</v>
      </c>
    </row>
    <row r="1723" spans="1:30" ht="15" customHeight="1" x14ac:dyDescent="0.25">
      <c r="A1723" s="282" t="s">
        <v>2510</v>
      </c>
      <c r="B1723" s="282" t="s">
        <v>2529</v>
      </c>
      <c r="C1723" s="282" t="s">
        <v>2512</v>
      </c>
      <c r="D1723" s="283" t="s">
        <v>2587</v>
      </c>
      <c r="E1723" s="403">
        <v>45233</v>
      </c>
      <c r="F1723" s="403">
        <v>47057</v>
      </c>
      <c r="G1723" s="283" t="s">
        <v>193</v>
      </c>
      <c r="H1723" s="282" t="s">
        <v>2581</v>
      </c>
      <c r="I1723" s="285"/>
      <c r="J1723" s="282" t="s">
        <v>184</v>
      </c>
      <c r="K1723" s="283" t="s">
        <v>2582</v>
      </c>
      <c r="L1723" s="286" t="s">
        <v>219</v>
      </c>
      <c r="M1723" s="287" t="s">
        <v>159</v>
      </c>
      <c r="N1723" s="287">
        <v>31</v>
      </c>
      <c r="O1723" s="287" t="s">
        <v>159</v>
      </c>
      <c r="P1723" s="287" t="s">
        <v>159</v>
      </c>
      <c r="Q1723" s="288">
        <v>1.5483870967741935</v>
      </c>
      <c r="R1723" s="288">
        <v>1.5419354838709676</v>
      </c>
      <c r="S1723" s="288">
        <v>1.432258064516129E-3</v>
      </c>
      <c r="T1723" s="288"/>
      <c r="U1723" s="288">
        <v>0</v>
      </c>
      <c r="V1723" s="289">
        <v>1.5433677419354837</v>
      </c>
      <c r="W1723" s="289">
        <v>0</v>
      </c>
      <c r="X1723" s="288">
        <v>1.5483870967741935</v>
      </c>
      <c r="Y1723" s="288">
        <v>1.5419354838709676</v>
      </c>
      <c r="Z1723" s="288">
        <v>1.432258064516129E-3</v>
      </c>
      <c r="AA1723" s="288">
        <v>0</v>
      </c>
      <c r="AB1723" s="288">
        <v>0</v>
      </c>
      <c r="AC1723" s="289">
        <v>1.5433677419354837</v>
      </c>
      <c r="AD1723" s="289">
        <v>0</v>
      </c>
    </row>
    <row r="1724" spans="1:30" ht="15" customHeight="1" x14ac:dyDescent="0.25">
      <c r="A1724" s="282" t="s">
        <v>2510</v>
      </c>
      <c r="B1724" s="282" t="s">
        <v>2576</v>
      </c>
      <c r="C1724" s="282" t="s">
        <v>2512</v>
      </c>
      <c r="D1724" s="283" t="s">
        <v>2588</v>
      </c>
      <c r="E1724" s="403">
        <v>45125</v>
      </c>
      <c r="F1724" s="403">
        <v>46951</v>
      </c>
      <c r="G1724" s="283" t="s">
        <v>201</v>
      </c>
      <c r="H1724" s="282" t="s">
        <v>2589</v>
      </c>
      <c r="I1724" s="285"/>
      <c r="J1724" s="282" t="s">
        <v>184</v>
      </c>
      <c r="K1724" s="283" t="s">
        <v>2590</v>
      </c>
      <c r="L1724" s="286" t="s">
        <v>219</v>
      </c>
      <c r="M1724" s="287" t="s">
        <v>159</v>
      </c>
      <c r="N1724" s="287">
        <v>10</v>
      </c>
      <c r="O1724" s="287" t="s">
        <v>159</v>
      </c>
      <c r="P1724" s="287" t="s">
        <v>159</v>
      </c>
      <c r="Q1724" s="288">
        <v>1.58</v>
      </c>
      <c r="R1724" s="288">
        <v>1.5699999999999998</v>
      </c>
      <c r="S1724" s="288">
        <v>4.1200000000000004E-3</v>
      </c>
      <c r="T1724" s="288"/>
      <c r="U1724" s="288">
        <v>0</v>
      </c>
      <c r="V1724" s="289">
        <v>1.5741199999999997</v>
      </c>
      <c r="W1724" s="289">
        <v>0</v>
      </c>
      <c r="X1724" s="288">
        <v>1.58</v>
      </c>
      <c r="Y1724" s="288">
        <v>1.5699999999999998</v>
      </c>
      <c r="Z1724" s="288">
        <v>4.1200000000000004E-3</v>
      </c>
      <c r="AA1724" s="288">
        <v>0</v>
      </c>
      <c r="AB1724" s="288">
        <v>0</v>
      </c>
      <c r="AC1724" s="289">
        <v>1.5741199999999997</v>
      </c>
      <c r="AD1724" s="289">
        <v>0</v>
      </c>
    </row>
    <row r="1725" spans="1:30" ht="15" customHeight="1" x14ac:dyDescent="0.25">
      <c r="A1725" s="282" t="s">
        <v>2510</v>
      </c>
      <c r="B1725" s="282" t="s">
        <v>2520</v>
      </c>
      <c r="C1725" s="282" t="s">
        <v>2512</v>
      </c>
      <c r="D1725" s="283" t="s">
        <v>2591</v>
      </c>
      <c r="E1725" s="403">
        <v>45233</v>
      </c>
      <c r="F1725" s="403">
        <v>47057</v>
      </c>
      <c r="G1725" s="283" t="s">
        <v>193</v>
      </c>
      <c r="H1725" s="282" t="s">
        <v>2592</v>
      </c>
      <c r="I1725" s="285"/>
      <c r="J1725" s="282" t="s">
        <v>184</v>
      </c>
      <c r="K1725" s="283" t="s">
        <v>2593</v>
      </c>
      <c r="L1725" s="286" t="s">
        <v>219</v>
      </c>
      <c r="M1725" s="287" t="s">
        <v>159</v>
      </c>
      <c r="N1725" s="287">
        <v>21</v>
      </c>
      <c r="O1725" s="287" t="s">
        <v>159</v>
      </c>
      <c r="P1725" s="287" t="s">
        <v>159</v>
      </c>
      <c r="Q1725" s="288">
        <v>1.8857142857142857</v>
      </c>
      <c r="R1725" s="288">
        <v>1.8761904761904762</v>
      </c>
      <c r="S1725" s="288">
        <v>-1.8714285714285716E-4</v>
      </c>
      <c r="T1725" s="288"/>
      <c r="U1725" s="288">
        <v>0</v>
      </c>
      <c r="V1725" s="289">
        <v>1.8761904761904762</v>
      </c>
      <c r="W1725" s="289">
        <v>0</v>
      </c>
      <c r="X1725" s="288">
        <v>1.8857142857142857</v>
      </c>
      <c r="Y1725" s="288">
        <v>1.8761904761904762</v>
      </c>
      <c r="Z1725" s="288">
        <v>-1.8714285714285716E-4</v>
      </c>
      <c r="AA1725" s="288">
        <v>0</v>
      </c>
      <c r="AB1725" s="288">
        <v>0</v>
      </c>
      <c r="AC1725" s="289">
        <v>1.8761904761904762</v>
      </c>
      <c r="AD1725" s="289">
        <v>0</v>
      </c>
    </row>
    <row r="1726" spans="1:30" ht="15" customHeight="1" x14ac:dyDescent="0.25">
      <c r="A1726" s="282" t="s">
        <v>2510</v>
      </c>
      <c r="B1726" s="282" t="s">
        <v>2520</v>
      </c>
      <c r="C1726" s="282" t="s">
        <v>2512</v>
      </c>
      <c r="D1726" s="283" t="s">
        <v>2594</v>
      </c>
      <c r="E1726" s="403">
        <v>45233</v>
      </c>
      <c r="F1726" s="403">
        <v>47057</v>
      </c>
      <c r="G1726" s="283" t="s">
        <v>193</v>
      </c>
      <c r="H1726" s="282" t="s">
        <v>2592</v>
      </c>
      <c r="I1726" s="285"/>
      <c r="J1726" s="282" t="s">
        <v>184</v>
      </c>
      <c r="K1726" s="283" t="s">
        <v>2593</v>
      </c>
      <c r="L1726" s="286" t="s">
        <v>219</v>
      </c>
      <c r="M1726" s="287" t="s">
        <v>159</v>
      </c>
      <c r="N1726" s="287">
        <v>21</v>
      </c>
      <c r="O1726" s="287" t="s">
        <v>159</v>
      </c>
      <c r="P1726" s="287" t="s">
        <v>159</v>
      </c>
      <c r="Q1726" s="288">
        <v>1.8857142857142857</v>
      </c>
      <c r="R1726" s="288">
        <v>1.8761904761904762</v>
      </c>
      <c r="S1726" s="288">
        <v>-1.8714285714285716E-4</v>
      </c>
      <c r="T1726" s="288"/>
      <c r="U1726" s="288">
        <v>0</v>
      </c>
      <c r="V1726" s="289">
        <v>1.8761904761904762</v>
      </c>
      <c r="W1726" s="289">
        <v>0</v>
      </c>
      <c r="X1726" s="288">
        <v>1.8857142857142857</v>
      </c>
      <c r="Y1726" s="288">
        <v>1.8761904761904762</v>
      </c>
      <c r="Z1726" s="288">
        <v>-1.8714285714285716E-4</v>
      </c>
      <c r="AA1726" s="288">
        <v>0</v>
      </c>
      <c r="AB1726" s="288">
        <v>0</v>
      </c>
      <c r="AC1726" s="289">
        <v>1.8761904761904762</v>
      </c>
      <c r="AD1726" s="289">
        <v>0</v>
      </c>
    </row>
    <row r="1727" spans="1:30" ht="15" customHeight="1" x14ac:dyDescent="0.25">
      <c r="A1727" s="282" t="s">
        <v>2510</v>
      </c>
      <c r="B1727" s="282" t="s">
        <v>2520</v>
      </c>
      <c r="C1727" s="282" t="s">
        <v>2512</v>
      </c>
      <c r="D1727" s="283" t="s">
        <v>2595</v>
      </c>
      <c r="E1727" s="403">
        <v>45233</v>
      </c>
      <c r="F1727" s="403">
        <v>47057</v>
      </c>
      <c r="G1727" s="283" t="s">
        <v>193</v>
      </c>
      <c r="H1727" s="282" t="s">
        <v>2592</v>
      </c>
      <c r="I1727" s="285"/>
      <c r="J1727" s="282" t="s">
        <v>184</v>
      </c>
      <c r="K1727" s="283" t="s">
        <v>2593</v>
      </c>
      <c r="L1727" s="286" t="s">
        <v>219</v>
      </c>
      <c r="M1727" s="287" t="s">
        <v>159</v>
      </c>
      <c r="N1727" s="287">
        <v>21</v>
      </c>
      <c r="O1727" s="287" t="s">
        <v>159</v>
      </c>
      <c r="P1727" s="287" t="s">
        <v>159</v>
      </c>
      <c r="Q1727" s="288">
        <v>1.8857142857142857</v>
      </c>
      <c r="R1727" s="288">
        <v>1.8761904761904762</v>
      </c>
      <c r="S1727" s="288">
        <v>-1.8714285714285716E-4</v>
      </c>
      <c r="T1727" s="288"/>
      <c r="U1727" s="288">
        <v>0</v>
      </c>
      <c r="V1727" s="289">
        <v>1.8761904761904762</v>
      </c>
      <c r="W1727" s="289">
        <v>0</v>
      </c>
      <c r="X1727" s="288">
        <v>1.8857142857142857</v>
      </c>
      <c r="Y1727" s="288">
        <v>1.8761904761904762</v>
      </c>
      <c r="Z1727" s="288">
        <v>-1.8714285714285716E-4</v>
      </c>
      <c r="AA1727" s="288">
        <v>0</v>
      </c>
      <c r="AB1727" s="288">
        <v>0</v>
      </c>
      <c r="AC1727" s="289">
        <v>1.8761904761904762</v>
      </c>
      <c r="AD1727" s="289">
        <v>0</v>
      </c>
    </row>
    <row r="1728" spans="1:30" ht="15" customHeight="1" x14ac:dyDescent="0.25">
      <c r="A1728" s="282" t="s">
        <v>2510</v>
      </c>
      <c r="B1728" s="282" t="s">
        <v>2520</v>
      </c>
      <c r="C1728" s="282" t="s">
        <v>2512</v>
      </c>
      <c r="D1728" s="283" t="s">
        <v>2596</v>
      </c>
      <c r="E1728" s="403">
        <v>45233</v>
      </c>
      <c r="F1728" s="403">
        <v>47057</v>
      </c>
      <c r="G1728" s="283" t="s">
        <v>193</v>
      </c>
      <c r="H1728" s="282" t="s">
        <v>2592</v>
      </c>
      <c r="I1728" s="285"/>
      <c r="J1728" s="282" t="s">
        <v>184</v>
      </c>
      <c r="K1728" s="283" t="s">
        <v>2593</v>
      </c>
      <c r="L1728" s="286" t="s">
        <v>219</v>
      </c>
      <c r="M1728" s="287" t="s">
        <v>159</v>
      </c>
      <c r="N1728" s="287">
        <v>21</v>
      </c>
      <c r="O1728" s="287" t="s">
        <v>159</v>
      </c>
      <c r="P1728" s="287" t="s">
        <v>159</v>
      </c>
      <c r="Q1728" s="288">
        <v>1.8857142857142857</v>
      </c>
      <c r="R1728" s="288">
        <v>1.8761904761904762</v>
      </c>
      <c r="S1728" s="288">
        <v>-1.8714285714285716E-4</v>
      </c>
      <c r="T1728" s="288"/>
      <c r="U1728" s="288">
        <v>0</v>
      </c>
      <c r="V1728" s="289">
        <v>1.8761904761904762</v>
      </c>
      <c r="W1728" s="289">
        <v>0</v>
      </c>
      <c r="X1728" s="288">
        <v>1.8857142857142857</v>
      </c>
      <c r="Y1728" s="288">
        <v>1.8761904761904762</v>
      </c>
      <c r="Z1728" s="288">
        <v>-1.8714285714285716E-4</v>
      </c>
      <c r="AA1728" s="288">
        <v>0</v>
      </c>
      <c r="AB1728" s="288">
        <v>0</v>
      </c>
      <c r="AC1728" s="289">
        <v>1.8761904761904762</v>
      </c>
      <c r="AD1728" s="289">
        <v>0</v>
      </c>
    </row>
    <row r="1729" spans="1:30" ht="15" customHeight="1" x14ac:dyDescent="0.25">
      <c r="A1729" s="282" t="s">
        <v>2510</v>
      </c>
      <c r="B1729" s="282" t="s">
        <v>2520</v>
      </c>
      <c r="C1729" s="282" t="s">
        <v>2512</v>
      </c>
      <c r="D1729" s="283" t="s">
        <v>2597</v>
      </c>
      <c r="E1729" s="403">
        <v>45233</v>
      </c>
      <c r="F1729" s="403">
        <v>47057</v>
      </c>
      <c r="G1729" s="283" t="s">
        <v>193</v>
      </c>
      <c r="H1729" s="282" t="s">
        <v>2592</v>
      </c>
      <c r="I1729" s="285"/>
      <c r="J1729" s="282" t="s">
        <v>184</v>
      </c>
      <c r="K1729" s="283" t="s">
        <v>2593</v>
      </c>
      <c r="L1729" s="286" t="s">
        <v>219</v>
      </c>
      <c r="M1729" s="287" t="s">
        <v>159</v>
      </c>
      <c r="N1729" s="287">
        <v>21</v>
      </c>
      <c r="O1729" s="287" t="s">
        <v>159</v>
      </c>
      <c r="P1729" s="287" t="s">
        <v>159</v>
      </c>
      <c r="Q1729" s="288">
        <v>1.8857142857142857</v>
      </c>
      <c r="R1729" s="288">
        <v>1.8761904761904762</v>
      </c>
      <c r="S1729" s="288">
        <v>-1.8714285714285716E-4</v>
      </c>
      <c r="T1729" s="288"/>
      <c r="U1729" s="288">
        <v>0</v>
      </c>
      <c r="V1729" s="289">
        <v>1.8761904761904762</v>
      </c>
      <c r="W1729" s="289">
        <v>0</v>
      </c>
      <c r="X1729" s="288">
        <v>1.8857142857142857</v>
      </c>
      <c r="Y1729" s="288">
        <v>1.8761904761904762</v>
      </c>
      <c r="Z1729" s="288">
        <v>-1.8714285714285716E-4</v>
      </c>
      <c r="AA1729" s="288">
        <v>0</v>
      </c>
      <c r="AB1729" s="288">
        <v>0</v>
      </c>
      <c r="AC1729" s="289">
        <v>1.8761904761904762</v>
      </c>
      <c r="AD1729" s="289">
        <v>0</v>
      </c>
    </row>
    <row r="1730" spans="1:30" ht="15" customHeight="1" x14ac:dyDescent="0.25">
      <c r="A1730" s="282" t="s">
        <v>2510</v>
      </c>
      <c r="B1730" s="282" t="s">
        <v>2520</v>
      </c>
      <c r="C1730" s="282" t="s">
        <v>2512</v>
      </c>
      <c r="D1730" s="283" t="s">
        <v>2598</v>
      </c>
      <c r="E1730" s="403">
        <v>45233</v>
      </c>
      <c r="F1730" s="403">
        <v>47057</v>
      </c>
      <c r="G1730" s="283" t="s">
        <v>193</v>
      </c>
      <c r="H1730" s="282" t="s">
        <v>2592</v>
      </c>
      <c r="I1730" s="285"/>
      <c r="J1730" s="282" t="s">
        <v>184</v>
      </c>
      <c r="K1730" s="283" t="s">
        <v>2593</v>
      </c>
      <c r="L1730" s="286" t="s">
        <v>219</v>
      </c>
      <c r="M1730" s="287" t="s">
        <v>159</v>
      </c>
      <c r="N1730" s="287">
        <v>21</v>
      </c>
      <c r="O1730" s="287" t="s">
        <v>159</v>
      </c>
      <c r="P1730" s="287" t="s">
        <v>159</v>
      </c>
      <c r="Q1730" s="288">
        <v>1.8857142857142857</v>
      </c>
      <c r="R1730" s="288">
        <v>1.8761904761904762</v>
      </c>
      <c r="S1730" s="288">
        <v>-1.8714285714285716E-4</v>
      </c>
      <c r="T1730" s="288"/>
      <c r="U1730" s="288">
        <v>0</v>
      </c>
      <c r="V1730" s="289">
        <v>1.8761904761904762</v>
      </c>
      <c r="W1730" s="289">
        <v>0</v>
      </c>
      <c r="X1730" s="288">
        <v>1.8857142857142857</v>
      </c>
      <c r="Y1730" s="288">
        <v>1.8761904761904762</v>
      </c>
      <c r="Z1730" s="288">
        <v>-1.8714285714285716E-4</v>
      </c>
      <c r="AA1730" s="288">
        <v>0</v>
      </c>
      <c r="AB1730" s="288">
        <v>0</v>
      </c>
      <c r="AC1730" s="289">
        <v>1.8761904761904762</v>
      </c>
      <c r="AD1730" s="289">
        <v>0</v>
      </c>
    </row>
    <row r="1731" spans="1:30" ht="15" customHeight="1" x14ac:dyDescent="0.25">
      <c r="A1731" s="282" t="s">
        <v>2510</v>
      </c>
      <c r="B1731" s="282" t="s">
        <v>2520</v>
      </c>
      <c r="C1731" s="282" t="s">
        <v>2512</v>
      </c>
      <c r="D1731" s="283" t="s">
        <v>2599</v>
      </c>
      <c r="E1731" s="403">
        <v>45233</v>
      </c>
      <c r="F1731" s="403">
        <v>47057</v>
      </c>
      <c r="G1731" s="283" t="s">
        <v>193</v>
      </c>
      <c r="H1731" s="282" t="s">
        <v>2592</v>
      </c>
      <c r="I1731" s="285"/>
      <c r="J1731" s="282" t="s">
        <v>184</v>
      </c>
      <c r="K1731" s="283" t="s">
        <v>2593</v>
      </c>
      <c r="L1731" s="286" t="s">
        <v>219</v>
      </c>
      <c r="M1731" s="287" t="s">
        <v>159</v>
      </c>
      <c r="N1731" s="287">
        <v>21</v>
      </c>
      <c r="O1731" s="287" t="s">
        <v>159</v>
      </c>
      <c r="P1731" s="287" t="s">
        <v>159</v>
      </c>
      <c r="Q1731" s="288">
        <v>1.8857142857142857</v>
      </c>
      <c r="R1731" s="288">
        <v>1.8761904761904762</v>
      </c>
      <c r="S1731" s="288">
        <v>-1.8714285714285716E-4</v>
      </c>
      <c r="T1731" s="288"/>
      <c r="U1731" s="288">
        <v>0</v>
      </c>
      <c r="V1731" s="289">
        <v>1.8761904761904762</v>
      </c>
      <c r="W1731" s="289">
        <v>0</v>
      </c>
      <c r="X1731" s="288">
        <v>1.8857142857142857</v>
      </c>
      <c r="Y1731" s="288">
        <v>1.8761904761904762</v>
      </c>
      <c r="Z1731" s="288">
        <v>-1.8714285714285716E-4</v>
      </c>
      <c r="AA1731" s="288">
        <v>0</v>
      </c>
      <c r="AB1731" s="288">
        <v>0</v>
      </c>
      <c r="AC1731" s="289">
        <v>1.8761904761904762</v>
      </c>
      <c r="AD1731" s="289">
        <v>0</v>
      </c>
    </row>
    <row r="1732" spans="1:30" ht="15" customHeight="1" x14ac:dyDescent="0.25">
      <c r="A1732" s="282" t="s">
        <v>2510</v>
      </c>
      <c r="B1732" s="282" t="s">
        <v>2520</v>
      </c>
      <c r="C1732" s="282" t="s">
        <v>2512</v>
      </c>
      <c r="D1732" s="283" t="s">
        <v>2600</v>
      </c>
      <c r="E1732" s="403">
        <v>45233</v>
      </c>
      <c r="F1732" s="403">
        <v>47057</v>
      </c>
      <c r="G1732" s="283" t="s">
        <v>193</v>
      </c>
      <c r="H1732" s="282" t="s">
        <v>2592</v>
      </c>
      <c r="I1732" s="285"/>
      <c r="J1732" s="282" t="s">
        <v>184</v>
      </c>
      <c r="K1732" s="283" t="s">
        <v>2593</v>
      </c>
      <c r="L1732" s="286" t="s">
        <v>219</v>
      </c>
      <c r="M1732" s="287" t="s">
        <v>159</v>
      </c>
      <c r="N1732" s="287">
        <v>21</v>
      </c>
      <c r="O1732" s="287" t="s">
        <v>159</v>
      </c>
      <c r="P1732" s="287" t="s">
        <v>159</v>
      </c>
      <c r="Q1732" s="288">
        <v>1.8857142857142857</v>
      </c>
      <c r="R1732" s="288">
        <v>1.8761904761904762</v>
      </c>
      <c r="S1732" s="288">
        <v>-1.8714285714285716E-4</v>
      </c>
      <c r="T1732" s="288"/>
      <c r="U1732" s="288">
        <v>0</v>
      </c>
      <c r="V1732" s="289">
        <v>1.8761904761904762</v>
      </c>
      <c r="W1732" s="289">
        <v>0</v>
      </c>
      <c r="X1732" s="288">
        <v>1.8857142857142857</v>
      </c>
      <c r="Y1732" s="288">
        <v>1.8761904761904762</v>
      </c>
      <c r="Z1732" s="288">
        <v>-1.8714285714285716E-4</v>
      </c>
      <c r="AA1732" s="288">
        <v>0</v>
      </c>
      <c r="AB1732" s="288">
        <v>0</v>
      </c>
      <c r="AC1732" s="289">
        <v>1.8761904761904762</v>
      </c>
      <c r="AD1732" s="289">
        <v>0</v>
      </c>
    </row>
    <row r="1733" spans="1:30" ht="15" customHeight="1" x14ac:dyDescent="0.25">
      <c r="A1733" s="282" t="s">
        <v>2510</v>
      </c>
      <c r="B1733" s="282" t="s">
        <v>2520</v>
      </c>
      <c r="C1733" s="282" t="s">
        <v>2512</v>
      </c>
      <c r="D1733" s="283" t="s">
        <v>2601</v>
      </c>
      <c r="E1733" s="403">
        <v>45233</v>
      </c>
      <c r="F1733" s="403">
        <v>47057</v>
      </c>
      <c r="G1733" s="283" t="s">
        <v>193</v>
      </c>
      <c r="H1733" s="282" t="s">
        <v>2592</v>
      </c>
      <c r="I1733" s="285"/>
      <c r="J1733" s="282" t="s">
        <v>184</v>
      </c>
      <c r="K1733" s="283" t="s">
        <v>2593</v>
      </c>
      <c r="L1733" s="286" t="s">
        <v>219</v>
      </c>
      <c r="M1733" s="287" t="s">
        <v>159</v>
      </c>
      <c r="N1733" s="287">
        <v>21</v>
      </c>
      <c r="O1733" s="287" t="s">
        <v>159</v>
      </c>
      <c r="P1733" s="287" t="s">
        <v>159</v>
      </c>
      <c r="Q1733" s="288">
        <v>1.8857142857142857</v>
      </c>
      <c r="R1733" s="288">
        <v>1.8761904761904762</v>
      </c>
      <c r="S1733" s="288">
        <v>-1.8714285714285716E-4</v>
      </c>
      <c r="T1733" s="288"/>
      <c r="U1733" s="288">
        <v>0</v>
      </c>
      <c r="V1733" s="289">
        <v>1.8761904761904762</v>
      </c>
      <c r="W1733" s="289">
        <v>0</v>
      </c>
      <c r="X1733" s="288">
        <v>1.8857142857142857</v>
      </c>
      <c r="Y1733" s="288">
        <v>1.8761904761904762</v>
      </c>
      <c r="Z1733" s="288">
        <v>-1.8714285714285716E-4</v>
      </c>
      <c r="AA1733" s="288">
        <v>0</v>
      </c>
      <c r="AB1733" s="288">
        <v>0</v>
      </c>
      <c r="AC1733" s="289">
        <v>1.8761904761904762</v>
      </c>
      <c r="AD1733" s="289">
        <v>0</v>
      </c>
    </row>
    <row r="1734" spans="1:30" ht="15" customHeight="1" x14ac:dyDescent="0.25">
      <c r="A1734" s="282" t="s">
        <v>2510</v>
      </c>
      <c r="B1734" s="282" t="s">
        <v>2520</v>
      </c>
      <c r="C1734" s="282" t="s">
        <v>2512</v>
      </c>
      <c r="D1734" s="283" t="s">
        <v>2602</v>
      </c>
      <c r="E1734" s="403">
        <v>45233</v>
      </c>
      <c r="F1734" s="403">
        <v>47057</v>
      </c>
      <c r="G1734" s="283" t="s">
        <v>193</v>
      </c>
      <c r="H1734" s="282" t="s">
        <v>2592</v>
      </c>
      <c r="I1734" s="285"/>
      <c r="J1734" s="282" t="s">
        <v>184</v>
      </c>
      <c r="K1734" s="283" t="s">
        <v>2593</v>
      </c>
      <c r="L1734" s="286" t="s">
        <v>219</v>
      </c>
      <c r="M1734" s="287" t="s">
        <v>159</v>
      </c>
      <c r="N1734" s="287">
        <v>21</v>
      </c>
      <c r="O1734" s="287" t="s">
        <v>159</v>
      </c>
      <c r="P1734" s="287" t="s">
        <v>159</v>
      </c>
      <c r="Q1734" s="288">
        <v>1.8857142857142857</v>
      </c>
      <c r="R1734" s="288">
        <v>1.8761904761904762</v>
      </c>
      <c r="S1734" s="288">
        <v>-1.8714285714285716E-4</v>
      </c>
      <c r="T1734" s="288"/>
      <c r="U1734" s="288">
        <v>0</v>
      </c>
      <c r="V1734" s="289">
        <v>1.8761904761904762</v>
      </c>
      <c r="W1734" s="289">
        <v>0</v>
      </c>
      <c r="X1734" s="288">
        <v>1.8857142857142857</v>
      </c>
      <c r="Y1734" s="288">
        <v>1.8761904761904762</v>
      </c>
      <c r="Z1734" s="288">
        <v>-1.8714285714285716E-4</v>
      </c>
      <c r="AA1734" s="288">
        <v>0</v>
      </c>
      <c r="AB1734" s="288">
        <v>0</v>
      </c>
      <c r="AC1734" s="289">
        <v>1.8761904761904762</v>
      </c>
      <c r="AD1734" s="289">
        <v>0</v>
      </c>
    </row>
    <row r="1735" spans="1:30" ht="15" customHeight="1" x14ac:dyDescent="0.25">
      <c r="A1735" s="282" t="s">
        <v>2510</v>
      </c>
      <c r="B1735" s="282" t="s">
        <v>2576</v>
      </c>
      <c r="C1735" s="282" t="s">
        <v>2512</v>
      </c>
      <c r="D1735" s="283" t="s">
        <v>2603</v>
      </c>
      <c r="E1735" s="403">
        <v>45125</v>
      </c>
      <c r="F1735" s="403">
        <v>46951</v>
      </c>
      <c r="G1735" s="283" t="s">
        <v>201</v>
      </c>
      <c r="H1735" s="282" t="s">
        <v>2604</v>
      </c>
      <c r="I1735" s="285"/>
      <c r="J1735" s="282" t="s">
        <v>184</v>
      </c>
      <c r="K1735" s="283" t="s">
        <v>2605</v>
      </c>
      <c r="L1735" s="286" t="s">
        <v>219</v>
      </c>
      <c r="M1735" s="287" t="s">
        <v>159</v>
      </c>
      <c r="N1735" s="287">
        <v>15</v>
      </c>
      <c r="O1735" s="287" t="s">
        <v>159</v>
      </c>
      <c r="P1735" s="287" t="s">
        <v>159</v>
      </c>
      <c r="Q1735" s="288">
        <v>1.5133333333333332</v>
      </c>
      <c r="R1735" s="288">
        <v>1.5</v>
      </c>
      <c r="S1735" s="288">
        <v>4.7866666666666665E-3</v>
      </c>
      <c r="T1735" s="288"/>
      <c r="U1735" s="288">
        <v>0</v>
      </c>
      <c r="V1735" s="289">
        <v>1.5047866666666667</v>
      </c>
      <c r="W1735" s="289">
        <v>0</v>
      </c>
      <c r="X1735" s="288">
        <v>1.5133333333333332</v>
      </c>
      <c r="Y1735" s="288">
        <v>1.5</v>
      </c>
      <c r="Z1735" s="288">
        <v>4.7866666666666665E-3</v>
      </c>
      <c r="AA1735" s="288">
        <v>0</v>
      </c>
      <c r="AB1735" s="288">
        <v>0</v>
      </c>
      <c r="AC1735" s="289">
        <v>1.5047866666666667</v>
      </c>
      <c r="AD1735" s="289">
        <v>0</v>
      </c>
    </row>
    <row r="1736" spans="1:30" ht="15" customHeight="1" x14ac:dyDescent="0.25">
      <c r="A1736" s="282" t="s">
        <v>2510</v>
      </c>
      <c r="B1736" s="282" t="s">
        <v>2576</v>
      </c>
      <c r="C1736" s="282" t="s">
        <v>2512</v>
      </c>
      <c r="D1736" s="283" t="s">
        <v>2606</v>
      </c>
      <c r="E1736" s="403">
        <v>45125</v>
      </c>
      <c r="F1736" s="403">
        <v>46951</v>
      </c>
      <c r="G1736" s="283" t="s">
        <v>201</v>
      </c>
      <c r="H1736" s="282" t="s">
        <v>2607</v>
      </c>
      <c r="I1736" s="285"/>
      <c r="J1736" s="282" t="s">
        <v>184</v>
      </c>
      <c r="K1736" s="283" t="s">
        <v>2608</v>
      </c>
      <c r="L1736" s="286" t="s">
        <v>219</v>
      </c>
      <c r="M1736" s="287" t="s">
        <v>159</v>
      </c>
      <c r="N1736" s="287">
        <v>20</v>
      </c>
      <c r="O1736" s="287" t="s">
        <v>159</v>
      </c>
      <c r="P1736" s="287" t="s">
        <v>159</v>
      </c>
      <c r="Q1736" s="288">
        <v>1.48</v>
      </c>
      <c r="R1736" s="288">
        <v>1.4650000000000001</v>
      </c>
      <c r="S1736" s="288">
        <v>5.0999999999999995E-3</v>
      </c>
      <c r="T1736" s="288"/>
      <c r="U1736" s="288">
        <v>0</v>
      </c>
      <c r="V1736" s="289">
        <v>1.4701000000000002</v>
      </c>
      <c r="W1736" s="289">
        <v>0</v>
      </c>
      <c r="X1736" s="288">
        <v>1.48</v>
      </c>
      <c r="Y1736" s="288">
        <v>1.4650000000000001</v>
      </c>
      <c r="Z1736" s="288">
        <v>5.0999999999999995E-3</v>
      </c>
      <c r="AA1736" s="288">
        <v>0</v>
      </c>
      <c r="AB1736" s="288">
        <v>0</v>
      </c>
      <c r="AC1736" s="289">
        <v>1.4701000000000002</v>
      </c>
      <c r="AD1736" s="289">
        <v>0</v>
      </c>
    </row>
    <row r="1737" spans="1:30" ht="15" customHeight="1" x14ac:dyDescent="0.25">
      <c r="A1737" s="282" t="s">
        <v>2609</v>
      </c>
      <c r="B1737" s="282" t="s">
        <v>2610</v>
      </c>
      <c r="C1737" s="282" t="s">
        <v>2611</v>
      </c>
      <c r="D1737" s="283" t="s">
        <v>2612</v>
      </c>
      <c r="E1737" s="403">
        <v>44673</v>
      </c>
      <c r="F1737" s="403">
        <v>46210</v>
      </c>
      <c r="G1737" s="283" t="s">
        <v>237</v>
      </c>
      <c r="H1737" s="282" t="s">
        <v>2613</v>
      </c>
      <c r="I1737" s="285"/>
      <c r="J1737" s="282" t="s">
        <v>2614</v>
      </c>
      <c r="K1737" s="283" t="s">
        <v>2615</v>
      </c>
      <c r="L1737" s="286" t="s">
        <v>158</v>
      </c>
      <c r="M1737" s="287">
        <v>1950</v>
      </c>
      <c r="N1737" s="287">
        <v>65</v>
      </c>
      <c r="O1737" s="287" t="s">
        <v>159</v>
      </c>
      <c r="P1737" s="287" t="s">
        <v>159</v>
      </c>
      <c r="Q1737" s="288">
        <v>407.69230769230768</v>
      </c>
      <c r="R1737" s="288"/>
      <c r="S1737" s="288"/>
      <c r="T1737" s="288"/>
      <c r="U1737" s="288">
        <v>0</v>
      </c>
      <c r="V1737" s="289">
        <v>407.69230769230768</v>
      </c>
      <c r="W1737" s="289">
        <v>0</v>
      </c>
      <c r="X1737" s="288">
        <v>0.40769230769230769</v>
      </c>
      <c r="Y1737" s="288">
        <v>0</v>
      </c>
      <c r="Z1737" s="288">
        <v>0</v>
      </c>
      <c r="AA1737" s="288">
        <v>0</v>
      </c>
      <c r="AB1737" s="288">
        <v>0</v>
      </c>
      <c r="AC1737" s="289">
        <v>0.40769230769230769</v>
      </c>
      <c r="AD1737" s="289">
        <v>0</v>
      </c>
    </row>
    <row r="1738" spans="1:30" ht="15" customHeight="1" x14ac:dyDescent="0.25">
      <c r="A1738" s="282" t="s">
        <v>2609</v>
      </c>
      <c r="B1738" s="282" t="s">
        <v>2610</v>
      </c>
      <c r="C1738" s="282" t="s">
        <v>2611</v>
      </c>
      <c r="D1738" s="283" t="s">
        <v>2616</v>
      </c>
      <c r="E1738" s="403">
        <v>43677</v>
      </c>
      <c r="F1738" s="403">
        <v>45593</v>
      </c>
      <c r="G1738" s="283" t="s">
        <v>237</v>
      </c>
      <c r="H1738" s="282" t="s">
        <v>2617</v>
      </c>
      <c r="I1738" s="285"/>
      <c r="J1738" s="282" t="s">
        <v>2515</v>
      </c>
      <c r="K1738" s="283" t="s">
        <v>2618</v>
      </c>
      <c r="L1738" s="286" t="s">
        <v>158</v>
      </c>
      <c r="M1738" s="287">
        <v>2200</v>
      </c>
      <c r="N1738" s="287" t="s">
        <v>159</v>
      </c>
      <c r="O1738" s="287" t="s">
        <v>159</v>
      </c>
      <c r="P1738" s="287" t="s">
        <v>159</v>
      </c>
      <c r="Q1738" s="288">
        <v>723.9</v>
      </c>
      <c r="R1738" s="288"/>
      <c r="S1738" s="288"/>
      <c r="T1738" s="288"/>
      <c r="U1738" s="288">
        <v>0</v>
      </c>
      <c r="V1738" s="289">
        <v>723.9</v>
      </c>
      <c r="W1738" s="289">
        <v>0</v>
      </c>
      <c r="X1738" s="288">
        <v>0.72389999999999999</v>
      </c>
      <c r="Y1738" s="288">
        <v>0</v>
      </c>
      <c r="Z1738" s="288">
        <v>0</v>
      </c>
      <c r="AA1738" s="288">
        <v>0</v>
      </c>
      <c r="AB1738" s="288">
        <v>0</v>
      </c>
      <c r="AC1738" s="289">
        <v>0.72389999999999999</v>
      </c>
      <c r="AD1738" s="289">
        <v>0</v>
      </c>
    </row>
    <row r="1739" spans="1:30" ht="15" customHeight="1" x14ac:dyDescent="0.25">
      <c r="A1739" s="282" t="s">
        <v>2609</v>
      </c>
      <c r="B1739" s="282" t="s">
        <v>2610</v>
      </c>
      <c r="C1739" s="282" t="s">
        <v>2611</v>
      </c>
      <c r="D1739" s="283" t="s">
        <v>2619</v>
      </c>
      <c r="E1739" s="403">
        <v>44673</v>
      </c>
      <c r="F1739" s="403">
        <v>46210</v>
      </c>
      <c r="G1739" s="283" t="s">
        <v>237</v>
      </c>
      <c r="H1739" s="282" t="s">
        <v>2613</v>
      </c>
      <c r="I1739" s="285"/>
      <c r="J1739" s="282" t="s">
        <v>2614</v>
      </c>
      <c r="K1739" s="283" t="s">
        <v>2620</v>
      </c>
      <c r="L1739" s="286" t="s">
        <v>158</v>
      </c>
      <c r="M1739" s="287">
        <v>1800</v>
      </c>
      <c r="N1739" s="287">
        <v>110</v>
      </c>
      <c r="O1739" s="287" t="s">
        <v>159</v>
      </c>
      <c r="P1739" s="287" t="s">
        <v>159</v>
      </c>
      <c r="Q1739" s="288">
        <v>501.81818181818181</v>
      </c>
      <c r="R1739" s="288"/>
      <c r="S1739" s="288"/>
      <c r="T1739" s="288"/>
      <c r="U1739" s="288">
        <v>0</v>
      </c>
      <c r="V1739" s="289">
        <v>501.81818181818181</v>
      </c>
      <c r="W1739" s="289">
        <v>0</v>
      </c>
      <c r="X1739" s="288">
        <v>0.50181818181818183</v>
      </c>
      <c r="Y1739" s="288">
        <v>0</v>
      </c>
      <c r="Z1739" s="288">
        <v>0</v>
      </c>
      <c r="AA1739" s="288">
        <v>0</v>
      </c>
      <c r="AB1739" s="288">
        <v>0</v>
      </c>
      <c r="AC1739" s="289">
        <v>0.50181818181818183</v>
      </c>
      <c r="AD1739" s="289">
        <v>0</v>
      </c>
    </row>
    <row r="1740" spans="1:30" ht="15" customHeight="1" x14ac:dyDescent="0.25">
      <c r="A1740" s="282" t="s">
        <v>2621</v>
      </c>
      <c r="B1740" s="282"/>
      <c r="C1740" s="282" t="s">
        <v>260</v>
      </c>
      <c r="D1740" s="283" t="s">
        <v>2622</v>
      </c>
      <c r="E1740" s="403">
        <v>43321</v>
      </c>
      <c r="F1740" s="403">
        <v>45147</v>
      </c>
      <c r="G1740" s="283" t="s">
        <v>154</v>
      </c>
      <c r="H1740" s="282" t="s">
        <v>2623</v>
      </c>
      <c r="I1740" s="282" t="s">
        <v>590</v>
      </c>
      <c r="J1740" s="282" t="s">
        <v>156</v>
      </c>
      <c r="K1740" s="283" t="s">
        <v>2624</v>
      </c>
      <c r="L1740" s="286" t="s">
        <v>219</v>
      </c>
      <c r="M1740" s="287"/>
      <c r="N1740" s="287">
        <v>0</v>
      </c>
      <c r="O1740" s="287"/>
      <c r="P1740" s="287"/>
      <c r="Q1740" s="288">
        <v>3.76</v>
      </c>
      <c r="R1740" s="288"/>
      <c r="S1740" s="288"/>
      <c r="T1740" s="288"/>
      <c r="U1740" s="288">
        <v>0</v>
      </c>
      <c r="V1740" s="289">
        <v>3.76</v>
      </c>
      <c r="W1740" s="289">
        <v>0</v>
      </c>
      <c r="X1740" s="288">
        <v>3.76</v>
      </c>
      <c r="Y1740" s="288">
        <v>0</v>
      </c>
      <c r="Z1740" s="288">
        <v>0</v>
      </c>
      <c r="AA1740" s="288">
        <v>0</v>
      </c>
      <c r="AB1740" s="288">
        <v>0</v>
      </c>
      <c r="AC1740" s="289">
        <v>3.76</v>
      </c>
      <c r="AD1740" s="289">
        <v>0</v>
      </c>
    </row>
    <row r="1741" spans="1:30" ht="15" customHeight="1" x14ac:dyDescent="0.25">
      <c r="A1741" s="282" t="s">
        <v>2621</v>
      </c>
      <c r="B1741" s="282"/>
      <c r="C1741" s="282" t="s">
        <v>260</v>
      </c>
      <c r="D1741" s="283" t="s">
        <v>2625</v>
      </c>
      <c r="E1741" s="403">
        <v>43321</v>
      </c>
      <c r="F1741" s="403">
        <v>45147</v>
      </c>
      <c r="G1741" s="283" t="s">
        <v>154</v>
      </c>
      <c r="H1741" s="282" t="s">
        <v>2623</v>
      </c>
      <c r="I1741" s="282" t="s">
        <v>590</v>
      </c>
      <c r="J1741" s="282" t="s">
        <v>156</v>
      </c>
      <c r="K1741" s="283" t="s">
        <v>2624</v>
      </c>
      <c r="L1741" s="286" t="s">
        <v>219</v>
      </c>
      <c r="M1741" s="287"/>
      <c r="N1741" s="287">
        <v>0</v>
      </c>
      <c r="O1741" s="287"/>
      <c r="P1741" s="287"/>
      <c r="Q1741" s="288">
        <v>4.53</v>
      </c>
      <c r="R1741" s="288"/>
      <c r="S1741" s="288"/>
      <c r="T1741" s="288"/>
      <c r="U1741" s="288">
        <v>0</v>
      </c>
      <c r="V1741" s="289">
        <v>4.53</v>
      </c>
      <c r="W1741" s="289">
        <v>0</v>
      </c>
      <c r="X1741" s="288">
        <v>4.53</v>
      </c>
      <c r="Y1741" s="288">
        <v>0</v>
      </c>
      <c r="Z1741" s="288">
        <v>0</v>
      </c>
      <c r="AA1741" s="288">
        <v>0</v>
      </c>
      <c r="AB1741" s="288">
        <v>0</v>
      </c>
      <c r="AC1741" s="289">
        <v>4.53</v>
      </c>
      <c r="AD1741" s="289">
        <v>0</v>
      </c>
    </row>
    <row r="1742" spans="1:30" ht="15" customHeight="1" x14ac:dyDescent="0.25">
      <c r="A1742" s="282" t="s">
        <v>2621</v>
      </c>
      <c r="B1742" s="282"/>
      <c r="C1742" s="282" t="s">
        <v>260</v>
      </c>
      <c r="D1742" s="283" t="s">
        <v>2626</v>
      </c>
      <c r="E1742" s="403">
        <v>43321</v>
      </c>
      <c r="F1742" s="403">
        <v>45147</v>
      </c>
      <c r="G1742" s="283" t="s">
        <v>154</v>
      </c>
      <c r="H1742" s="282" t="s">
        <v>2623</v>
      </c>
      <c r="I1742" s="282" t="s">
        <v>590</v>
      </c>
      <c r="J1742" s="282" t="s">
        <v>156</v>
      </c>
      <c r="K1742" s="283" t="s">
        <v>2624</v>
      </c>
      <c r="L1742" s="286" t="s">
        <v>219</v>
      </c>
      <c r="M1742" s="287"/>
      <c r="N1742" s="287">
        <v>0</v>
      </c>
      <c r="O1742" s="287"/>
      <c r="P1742" s="287"/>
      <c r="Q1742" s="288">
        <v>3.75</v>
      </c>
      <c r="R1742" s="288"/>
      <c r="S1742" s="288"/>
      <c r="T1742" s="288"/>
      <c r="U1742" s="288">
        <v>0</v>
      </c>
      <c r="V1742" s="289">
        <v>3.75</v>
      </c>
      <c r="W1742" s="289">
        <v>0</v>
      </c>
      <c r="X1742" s="288">
        <v>3.75</v>
      </c>
      <c r="Y1742" s="288">
        <v>0</v>
      </c>
      <c r="Z1742" s="288">
        <v>0</v>
      </c>
      <c r="AA1742" s="288">
        <v>0</v>
      </c>
      <c r="AB1742" s="288">
        <v>0</v>
      </c>
      <c r="AC1742" s="289">
        <v>3.75</v>
      </c>
      <c r="AD1742" s="289">
        <v>0</v>
      </c>
    </row>
    <row r="1743" spans="1:30" ht="15" customHeight="1" x14ac:dyDescent="0.25">
      <c r="A1743" s="282" t="s">
        <v>2621</v>
      </c>
      <c r="B1743" s="282"/>
      <c r="C1743" s="282" t="s">
        <v>260</v>
      </c>
      <c r="D1743" s="283" t="s">
        <v>2627</v>
      </c>
      <c r="E1743" s="403">
        <v>43321</v>
      </c>
      <c r="F1743" s="403">
        <v>45147</v>
      </c>
      <c r="G1743" s="283" t="s">
        <v>154</v>
      </c>
      <c r="H1743" s="282" t="s">
        <v>2623</v>
      </c>
      <c r="I1743" s="282" t="s">
        <v>590</v>
      </c>
      <c r="J1743" s="282" t="s">
        <v>156</v>
      </c>
      <c r="K1743" s="283" t="s">
        <v>2624</v>
      </c>
      <c r="L1743" s="286" t="s">
        <v>219</v>
      </c>
      <c r="M1743" s="287"/>
      <c r="N1743" s="287">
        <v>0</v>
      </c>
      <c r="O1743" s="287"/>
      <c r="P1743" s="287"/>
      <c r="Q1743" s="288">
        <v>4.5199999999999996</v>
      </c>
      <c r="R1743" s="288"/>
      <c r="S1743" s="288"/>
      <c r="T1743" s="288"/>
      <c r="U1743" s="288">
        <v>0</v>
      </c>
      <c r="V1743" s="289">
        <v>4.5199999999999996</v>
      </c>
      <c r="W1743" s="289">
        <v>0</v>
      </c>
      <c r="X1743" s="288">
        <v>4.5199999999999996</v>
      </c>
      <c r="Y1743" s="288">
        <v>0</v>
      </c>
      <c r="Z1743" s="288">
        <v>0</v>
      </c>
      <c r="AA1743" s="288">
        <v>0</v>
      </c>
      <c r="AB1743" s="288">
        <v>0</v>
      </c>
      <c r="AC1743" s="289">
        <v>4.5199999999999996</v>
      </c>
      <c r="AD1743" s="289">
        <v>0</v>
      </c>
    </row>
    <row r="1744" spans="1:30" ht="15" customHeight="1" x14ac:dyDescent="0.25">
      <c r="A1744" s="282" t="s">
        <v>2621</v>
      </c>
      <c r="B1744" s="282"/>
      <c r="C1744" s="282" t="s">
        <v>260</v>
      </c>
      <c r="D1744" s="283" t="s">
        <v>2628</v>
      </c>
      <c r="E1744" s="403">
        <v>43321</v>
      </c>
      <c r="F1744" s="403">
        <v>45147</v>
      </c>
      <c r="G1744" s="283" t="s">
        <v>154</v>
      </c>
      <c r="H1744" s="282" t="s">
        <v>2623</v>
      </c>
      <c r="I1744" s="282" t="s">
        <v>590</v>
      </c>
      <c r="J1744" s="282" t="s">
        <v>156</v>
      </c>
      <c r="K1744" s="283" t="s">
        <v>2624</v>
      </c>
      <c r="L1744" s="286" t="s">
        <v>219</v>
      </c>
      <c r="M1744" s="287"/>
      <c r="N1744" s="287">
        <v>0</v>
      </c>
      <c r="O1744" s="287"/>
      <c r="P1744" s="287"/>
      <c r="Q1744" s="288">
        <v>3.74</v>
      </c>
      <c r="R1744" s="288"/>
      <c r="S1744" s="288"/>
      <c r="T1744" s="288"/>
      <c r="U1744" s="288">
        <v>0</v>
      </c>
      <c r="V1744" s="289">
        <v>3.74</v>
      </c>
      <c r="W1744" s="289">
        <v>0</v>
      </c>
      <c r="X1744" s="288">
        <v>3.74</v>
      </c>
      <c r="Y1744" s="288">
        <v>0</v>
      </c>
      <c r="Z1744" s="288">
        <v>0</v>
      </c>
      <c r="AA1744" s="288">
        <v>0</v>
      </c>
      <c r="AB1744" s="288">
        <v>0</v>
      </c>
      <c r="AC1744" s="289">
        <v>3.74</v>
      </c>
      <c r="AD1744" s="289">
        <v>0</v>
      </c>
    </row>
    <row r="1745" spans="1:30" ht="15" customHeight="1" x14ac:dyDescent="0.25">
      <c r="A1745" s="282" t="s">
        <v>2621</v>
      </c>
      <c r="B1745" s="282"/>
      <c r="C1745" s="282" t="s">
        <v>260</v>
      </c>
      <c r="D1745" s="283" t="s">
        <v>2629</v>
      </c>
      <c r="E1745" s="403">
        <v>43321</v>
      </c>
      <c r="F1745" s="403">
        <v>45147</v>
      </c>
      <c r="G1745" s="283" t="s">
        <v>154</v>
      </c>
      <c r="H1745" s="282" t="s">
        <v>2623</v>
      </c>
      <c r="I1745" s="282" t="s">
        <v>590</v>
      </c>
      <c r="J1745" s="282" t="s">
        <v>156</v>
      </c>
      <c r="K1745" s="283" t="s">
        <v>2624</v>
      </c>
      <c r="L1745" s="286" t="s">
        <v>219</v>
      </c>
      <c r="M1745" s="287"/>
      <c r="N1745" s="287">
        <v>0</v>
      </c>
      <c r="O1745" s="287"/>
      <c r="P1745" s="287"/>
      <c r="Q1745" s="288">
        <v>3.74</v>
      </c>
      <c r="R1745" s="288"/>
      <c r="S1745" s="288"/>
      <c r="T1745" s="288"/>
      <c r="U1745" s="288">
        <v>0</v>
      </c>
      <c r="V1745" s="289">
        <v>3.74</v>
      </c>
      <c r="W1745" s="289">
        <v>0</v>
      </c>
      <c r="X1745" s="288">
        <v>3.74</v>
      </c>
      <c r="Y1745" s="288">
        <v>0</v>
      </c>
      <c r="Z1745" s="288">
        <v>0</v>
      </c>
      <c r="AA1745" s="288">
        <v>0</v>
      </c>
      <c r="AB1745" s="288">
        <v>0</v>
      </c>
      <c r="AC1745" s="289">
        <v>3.74</v>
      </c>
      <c r="AD1745" s="289">
        <v>0</v>
      </c>
    </row>
    <row r="1746" spans="1:30" ht="15" customHeight="1" x14ac:dyDescent="0.25">
      <c r="A1746" s="282" t="s">
        <v>2621</v>
      </c>
      <c r="B1746" s="282"/>
      <c r="C1746" s="282" t="s">
        <v>260</v>
      </c>
      <c r="D1746" s="283" t="s">
        <v>2630</v>
      </c>
      <c r="E1746" s="403">
        <v>43321</v>
      </c>
      <c r="F1746" s="403">
        <v>45147</v>
      </c>
      <c r="G1746" s="283" t="s">
        <v>154</v>
      </c>
      <c r="H1746" s="282" t="s">
        <v>2623</v>
      </c>
      <c r="I1746" s="282" t="s">
        <v>590</v>
      </c>
      <c r="J1746" s="282" t="s">
        <v>156</v>
      </c>
      <c r="K1746" s="283" t="s">
        <v>2624</v>
      </c>
      <c r="L1746" s="286" t="s">
        <v>219</v>
      </c>
      <c r="M1746" s="287"/>
      <c r="N1746" s="287">
        <v>0</v>
      </c>
      <c r="O1746" s="287"/>
      <c r="P1746" s="287"/>
      <c r="Q1746" s="288">
        <v>3.72</v>
      </c>
      <c r="R1746" s="288"/>
      <c r="S1746" s="288"/>
      <c r="T1746" s="288"/>
      <c r="U1746" s="288">
        <v>0</v>
      </c>
      <c r="V1746" s="289">
        <v>3.72</v>
      </c>
      <c r="W1746" s="289">
        <v>0</v>
      </c>
      <c r="X1746" s="288">
        <v>3.72</v>
      </c>
      <c r="Y1746" s="288">
        <v>0</v>
      </c>
      <c r="Z1746" s="288">
        <v>0</v>
      </c>
      <c r="AA1746" s="288">
        <v>0</v>
      </c>
      <c r="AB1746" s="288">
        <v>0</v>
      </c>
      <c r="AC1746" s="289">
        <v>3.72</v>
      </c>
      <c r="AD1746" s="289">
        <v>0</v>
      </c>
    </row>
    <row r="1747" spans="1:30" ht="15" customHeight="1" x14ac:dyDescent="0.25">
      <c r="A1747" s="282" t="s">
        <v>2621</v>
      </c>
      <c r="B1747" s="282"/>
      <c r="C1747" s="282" t="s">
        <v>260</v>
      </c>
      <c r="D1747" s="283" t="s">
        <v>2631</v>
      </c>
      <c r="E1747" s="403">
        <v>43321</v>
      </c>
      <c r="F1747" s="403">
        <v>45147</v>
      </c>
      <c r="G1747" s="283" t="s">
        <v>154</v>
      </c>
      <c r="H1747" s="282" t="s">
        <v>2623</v>
      </c>
      <c r="I1747" s="282" t="s">
        <v>590</v>
      </c>
      <c r="J1747" s="282" t="s">
        <v>156</v>
      </c>
      <c r="K1747" s="283" t="s">
        <v>2624</v>
      </c>
      <c r="L1747" s="286" t="s">
        <v>219</v>
      </c>
      <c r="M1747" s="287"/>
      <c r="N1747" s="287">
        <v>0</v>
      </c>
      <c r="O1747" s="287"/>
      <c r="P1747" s="287"/>
      <c r="Q1747" s="288">
        <v>3.71</v>
      </c>
      <c r="R1747" s="288"/>
      <c r="S1747" s="288"/>
      <c r="T1747" s="288"/>
      <c r="U1747" s="288">
        <v>0</v>
      </c>
      <c r="V1747" s="289">
        <v>3.71</v>
      </c>
      <c r="W1747" s="289">
        <v>0</v>
      </c>
      <c r="X1747" s="288">
        <v>3.71</v>
      </c>
      <c r="Y1747" s="288">
        <v>0</v>
      </c>
      <c r="Z1747" s="288">
        <v>0</v>
      </c>
      <c r="AA1747" s="288">
        <v>0</v>
      </c>
      <c r="AB1747" s="288">
        <v>0</v>
      </c>
      <c r="AC1747" s="289">
        <v>3.71</v>
      </c>
      <c r="AD1747" s="289">
        <v>0</v>
      </c>
    </row>
    <row r="1748" spans="1:30" ht="15" customHeight="1" x14ac:dyDescent="0.25">
      <c r="A1748" s="282" t="s">
        <v>2621</v>
      </c>
      <c r="B1748" s="282"/>
      <c r="C1748" s="282" t="s">
        <v>260</v>
      </c>
      <c r="D1748" s="283" t="s">
        <v>2632</v>
      </c>
      <c r="E1748" s="403">
        <v>43321</v>
      </c>
      <c r="F1748" s="403">
        <v>45147</v>
      </c>
      <c r="G1748" s="283" t="s">
        <v>154</v>
      </c>
      <c r="H1748" s="282" t="s">
        <v>2623</v>
      </c>
      <c r="I1748" s="282" t="s">
        <v>590</v>
      </c>
      <c r="J1748" s="282" t="s">
        <v>156</v>
      </c>
      <c r="K1748" s="283" t="s">
        <v>2624</v>
      </c>
      <c r="L1748" s="286" t="s">
        <v>219</v>
      </c>
      <c r="M1748" s="287"/>
      <c r="N1748" s="287">
        <v>0</v>
      </c>
      <c r="O1748" s="287"/>
      <c r="P1748" s="287"/>
      <c r="Q1748" s="288">
        <v>3.37</v>
      </c>
      <c r="R1748" s="288"/>
      <c r="S1748" s="288"/>
      <c r="T1748" s="288"/>
      <c r="U1748" s="288">
        <v>0</v>
      </c>
      <c r="V1748" s="289">
        <v>3.37</v>
      </c>
      <c r="W1748" s="289">
        <v>0</v>
      </c>
      <c r="X1748" s="288">
        <v>3.37</v>
      </c>
      <c r="Y1748" s="288">
        <v>0</v>
      </c>
      <c r="Z1748" s="288">
        <v>0</v>
      </c>
      <c r="AA1748" s="288">
        <v>0</v>
      </c>
      <c r="AB1748" s="288">
        <v>0</v>
      </c>
      <c r="AC1748" s="289">
        <v>3.37</v>
      </c>
      <c r="AD1748" s="289">
        <v>0</v>
      </c>
    </row>
    <row r="1749" spans="1:30" ht="15" customHeight="1" x14ac:dyDescent="0.25">
      <c r="A1749" s="282" t="s">
        <v>2621</v>
      </c>
      <c r="B1749" s="282"/>
      <c r="C1749" s="282" t="s">
        <v>260</v>
      </c>
      <c r="D1749" s="283" t="s">
        <v>2633</v>
      </c>
      <c r="E1749" s="403">
        <v>43321</v>
      </c>
      <c r="F1749" s="403">
        <v>45147</v>
      </c>
      <c r="G1749" s="283" t="s">
        <v>154</v>
      </c>
      <c r="H1749" s="282" t="s">
        <v>2623</v>
      </c>
      <c r="I1749" s="282" t="s">
        <v>590</v>
      </c>
      <c r="J1749" s="282" t="s">
        <v>156</v>
      </c>
      <c r="K1749" s="283" t="s">
        <v>2624</v>
      </c>
      <c r="L1749" s="286" t="s">
        <v>219</v>
      </c>
      <c r="M1749" s="287"/>
      <c r="N1749" s="287">
        <v>0</v>
      </c>
      <c r="O1749" s="287"/>
      <c r="P1749" s="287"/>
      <c r="Q1749" s="288">
        <v>3.37</v>
      </c>
      <c r="R1749" s="288"/>
      <c r="S1749" s="288"/>
      <c r="T1749" s="288"/>
      <c r="U1749" s="288">
        <v>0</v>
      </c>
      <c r="V1749" s="289">
        <v>3.37</v>
      </c>
      <c r="W1749" s="289">
        <v>0</v>
      </c>
      <c r="X1749" s="288">
        <v>3.37</v>
      </c>
      <c r="Y1749" s="288">
        <v>0</v>
      </c>
      <c r="Z1749" s="288">
        <v>0</v>
      </c>
      <c r="AA1749" s="288">
        <v>0</v>
      </c>
      <c r="AB1749" s="288">
        <v>0</v>
      </c>
      <c r="AC1749" s="289">
        <v>3.37</v>
      </c>
      <c r="AD1749" s="289">
        <v>0</v>
      </c>
    </row>
    <row r="1750" spans="1:30" ht="15" customHeight="1" x14ac:dyDescent="0.25">
      <c r="A1750" s="282" t="s">
        <v>2621</v>
      </c>
      <c r="B1750" s="282"/>
      <c r="C1750" s="282" t="s">
        <v>260</v>
      </c>
      <c r="D1750" s="283" t="s">
        <v>2634</v>
      </c>
      <c r="E1750" s="403">
        <v>43321</v>
      </c>
      <c r="F1750" s="403">
        <v>45147</v>
      </c>
      <c r="G1750" s="283" t="s">
        <v>154</v>
      </c>
      <c r="H1750" s="282" t="s">
        <v>2623</v>
      </c>
      <c r="I1750" s="282" t="s">
        <v>590</v>
      </c>
      <c r="J1750" s="282" t="s">
        <v>156</v>
      </c>
      <c r="K1750" s="283" t="s">
        <v>2624</v>
      </c>
      <c r="L1750" s="286" t="s">
        <v>219</v>
      </c>
      <c r="M1750" s="287"/>
      <c r="N1750" s="287">
        <v>0</v>
      </c>
      <c r="O1750" s="287"/>
      <c r="P1750" s="287"/>
      <c r="Q1750" s="288">
        <v>2.4300000000000002</v>
      </c>
      <c r="R1750" s="288"/>
      <c r="S1750" s="288"/>
      <c r="T1750" s="288"/>
      <c r="U1750" s="288">
        <v>0</v>
      </c>
      <c r="V1750" s="289">
        <v>2.4300000000000002</v>
      </c>
      <c r="W1750" s="289">
        <v>0</v>
      </c>
      <c r="X1750" s="288">
        <v>2.4300000000000002</v>
      </c>
      <c r="Y1750" s="288">
        <v>0</v>
      </c>
      <c r="Z1750" s="288">
        <v>0</v>
      </c>
      <c r="AA1750" s="288">
        <v>0</v>
      </c>
      <c r="AB1750" s="288">
        <v>0</v>
      </c>
      <c r="AC1750" s="289">
        <v>2.4300000000000002</v>
      </c>
      <c r="AD1750" s="289">
        <v>0</v>
      </c>
    </row>
    <row r="1751" spans="1:30" ht="15" customHeight="1" x14ac:dyDescent="0.25">
      <c r="A1751" s="282" t="s">
        <v>2621</v>
      </c>
      <c r="B1751" s="282"/>
      <c r="C1751" s="282" t="s">
        <v>260</v>
      </c>
      <c r="D1751" s="283" t="s">
        <v>2635</v>
      </c>
      <c r="E1751" s="403">
        <v>43321</v>
      </c>
      <c r="F1751" s="403">
        <v>45147</v>
      </c>
      <c r="G1751" s="283" t="s">
        <v>154</v>
      </c>
      <c r="H1751" s="282" t="s">
        <v>2623</v>
      </c>
      <c r="I1751" s="282" t="s">
        <v>590</v>
      </c>
      <c r="J1751" s="282" t="s">
        <v>156</v>
      </c>
      <c r="K1751" s="283" t="s">
        <v>2624</v>
      </c>
      <c r="L1751" s="286" t="s">
        <v>219</v>
      </c>
      <c r="M1751" s="287"/>
      <c r="N1751" s="287">
        <v>0</v>
      </c>
      <c r="O1751" s="287"/>
      <c r="P1751" s="287"/>
      <c r="Q1751" s="288">
        <v>2.84</v>
      </c>
      <c r="R1751" s="288"/>
      <c r="S1751" s="288"/>
      <c r="T1751" s="288"/>
      <c r="U1751" s="288">
        <v>0</v>
      </c>
      <c r="V1751" s="289">
        <v>2.84</v>
      </c>
      <c r="W1751" s="289">
        <v>0</v>
      </c>
      <c r="X1751" s="288">
        <v>2.84</v>
      </c>
      <c r="Y1751" s="288">
        <v>0</v>
      </c>
      <c r="Z1751" s="288">
        <v>0</v>
      </c>
      <c r="AA1751" s="288">
        <v>0</v>
      </c>
      <c r="AB1751" s="288">
        <v>0</v>
      </c>
      <c r="AC1751" s="289">
        <v>2.84</v>
      </c>
      <c r="AD1751" s="289">
        <v>0</v>
      </c>
    </row>
    <row r="1752" spans="1:30" ht="15" customHeight="1" x14ac:dyDescent="0.25">
      <c r="A1752" s="282" t="s">
        <v>2621</v>
      </c>
      <c r="B1752" s="282"/>
      <c r="C1752" s="282" t="s">
        <v>260</v>
      </c>
      <c r="D1752" s="283" t="s">
        <v>2636</v>
      </c>
      <c r="E1752" s="403">
        <v>43321</v>
      </c>
      <c r="F1752" s="403">
        <v>45147</v>
      </c>
      <c r="G1752" s="283" t="s">
        <v>154</v>
      </c>
      <c r="H1752" s="282" t="s">
        <v>2623</v>
      </c>
      <c r="I1752" s="282" t="s">
        <v>590</v>
      </c>
      <c r="J1752" s="282" t="s">
        <v>156</v>
      </c>
      <c r="K1752" s="283" t="s">
        <v>2624</v>
      </c>
      <c r="L1752" s="286" t="s">
        <v>219</v>
      </c>
      <c r="M1752" s="287"/>
      <c r="N1752" s="287">
        <v>0</v>
      </c>
      <c r="O1752" s="287"/>
      <c r="P1752" s="287"/>
      <c r="Q1752" s="288">
        <v>3.37</v>
      </c>
      <c r="R1752" s="288"/>
      <c r="S1752" s="288"/>
      <c r="T1752" s="288"/>
      <c r="U1752" s="288">
        <v>0</v>
      </c>
      <c r="V1752" s="289">
        <v>3.37</v>
      </c>
      <c r="W1752" s="289">
        <v>0</v>
      </c>
      <c r="X1752" s="288">
        <v>3.37</v>
      </c>
      <c r="Y1752" s="288">
        <v>0</v>
      </c>
      <c r="Z1752" s="288">
        <v>0</v>
      </c>
      <c r="AA1752" s="288">
        <v>0</v>
      </c>
      <c r="AB1752" s="288">
        <v>0</v>
      </c>
      <c r="AC1752" s="289">
        <v>3.37</v>
      </c>
      <c r="AD1752" s="289">
        <v>0</v>
      </c>
    </row>
    <row r="1753" spans="1:30" ht="15" customHeight="1" x14ac:dyDescent="0.25">
      <c r="A1753" s="282" t="s">
        <v>2621</v>
      </c>
      <c r="B1753" s="282"/>
      <c r="C1753" s="282" t="s">
        <v>260</v>
      </c>
      <c r="D1753" s="283" t="s">
        <v>2637</v>
      </c>
      <c r="E1753" s="403">
        <v>43321</v>
      </c>
      <c r="F1753" s="403">
        <v>45147</v>
      </c>
      <c r="G1753" s="283" t="s">
        <v>154</v>
      </c>
      <c r="H1753" s="282" t="s">
        <v>2623</v>
      </c>
      <c r="I1753" s="282" t="s">
        <v>590</v>
      </c>
      <c r="J1753" s="282" t="s">
        <v>156</v>
      </c>
      <c r="K1753" s="283" t="s">
        <v>2624</v>
      </c>
      <c r="L1753" s="286" t="s">
        <v>219</v>
      </c>
      <c r="M1753" s="287"/>
      <c r="N1753" s="287">
        <v>0</v>
      </c>
      <c r="O1753" s="287"/>
      <c r="P1753" s="287"/>
      <c r="Q1753" s="288">
        <v>3.41</v>
      </c>
      <c r="R1753" s="288"/>
      <c r="S1753" s="288"/>
      <c r="T1753" s="288"/>
      <c r="U1753" s="288">
        <v>0</v>
      </c>
      <c r="V1753" s="289">
        <v>3.41</v>
      </c>
      <c r="W1753" s="289">
        <v>0</v>
      </c>
      <c r="X1753" s="288">
        <v>3.41</v>
      </c>
      <c r="Y1753" s="288">
        <v>0</v>
      </c>
      <c r="Z1753" s="288">
        <v>0</v>
      </c>
      <c r="AA1753" s="288">
        <v>0</v>
      </c>
      <c r="AB1753" s="288">
        <v>0</v>
      </c>
      <c r="AC1753" s="289">
        <v>3.41</v>
      </c>
      <c r="AD1753" s="289">
        <v>0</v>
      </c>
    </row>
    <row r="1754" spans="1:30" ht="15" customHeight="1" x14ac:dyDescent="0.25">
      <c r="A1754" s="282" t="s">
        <v>2621</v>
      </c>
      <c r="B1754" s="282"/>
      <c r="C1754" s="282" t="s">
        <v>260</v>
      </c>
      <c r="D1754" s="283" t="s">
        <v>2638</v>
      </c>
      <c r="E1754" s="403">
        <v>43321</v>
      </c>
      <c r="F1754" s="403">
        <v>45147</v>
      </c>
      <c r="G1754" s="283" t="s">
        <v>154</v>
      </c>
      <c r="H1754" s="282" t="s">
        <v>2623</v>
      </c>
      <c r="I1754" s="282" t="s">
        <v>590</v>
      </c>
      <c r="J1754" s="282" t="s">
        <v>156</v>
      </c>
      <c r="K1754" s="283" t="s">
        <v>2624</v>
      </c>
      <c r="L1754" s="286" t="s">
        <v>219</v>
      </c>
      <c r="M1754" s="287"/>
      <c r="N1754" s="287">
        <v>0</v>
      </c>
      <c r="O1754" s="287"/>
      <c r="P1754" s="287"/>
      <c r="Q1754" s="288">
        <v>3.4</v>
      </c>
      <c r="R1754" s="288"/>
      <c r="S1754" s="288"/>
      <c r="T1754" s="288"/>
      <c r="U1754" s="288">
        <v>0</v>
      </c>
      <c r="V1754" s="289">
        <v>3.4</v>
      </c>
      <c r="W1754" s="289">
        <v>0</v>
      </c>
      <c r="X1754" s="288">
        <v>3.4</v>
      </c>
      <c r="Y1754" s="288">
        <v>0</v>
      </c>
      <c r="Z1754" s="288">
        <v>0</v>
      </c>
      <c r="AA1754" s="288">
        <v>0</v>
      </c>
      <c r="AB1754" s="288">
        <v>0</v>
      </c>
      <c r="AC1754" s="289">
        <v>3.4</v>
      </c>
      <c r="AD1754" s="289">
        <v>0</v>
      </c>
    </row>
    <row r="1755" spans="1:30" ht="15" customHeight="1" x14ac:dyDescent="0.25">
      <c r="A1755" s="282" t="s">
        <v>2621</v>
      </c>
      <c r="B1755" s="282"/>
      <c r="C1755" s="282" t="s">
        <v>260</v>
      </c>
      <c r="D1755" s="283" t="s">
        <v>2639</v>
      </c>
      <c r="E1755" s="403">
        <v>43321</v>
      </c>
      <c r="F1755" s="403">
        <v>45147</v>
      </c>
      <c r="G1755" s="283" t="s">
        <v>154</v>
      </c>
      <c r="H1755" s="282" t="s">
        <v>2623</v>
      </c>
      <c r="I1755" s="282" t="s">
        <v>590</v>
      </c>
      <c r="J1755" s="282" t="s">
        <v>156</v>
      </c>
      <c r="K1755" s="283" t="s">
        <v>2624</v>
      </c>
      <c r="L1755" s="286" t="s">
        <v>219</v>
      </c>
      <c r="M1755" s="287"/>
      <c r="N1755" s="287">
        <v>0</v>
      </c>
      <c r="O1755" s="287"/>
      <c r="P1755" s="287"/>
      <c r="Q1755" s="288">
        <v>3.37</v>
      </c>
      <c r="R1755" s="288"/>
      <c r="S1755" s="288"/>
      <c r="T1755" s="288"/>
      <c r="U1755" s="288">
        <v>0</v>
      </c>
      <c r="V1755" s="289">
        <v>3.37</v>
      </c>
      <c r="W1755" s="289">
        <v>0</v>
      </c>
      <c r="X1755" s="288">
        <v>3.37</v>
      </c>
      <c r="Y1755" s="288">
        <v>0</v>
      </c>
      <c r="Z1755" s="288">
        <v>0</v>
      </c>
      <c r="AA1755" s="288">
        <v>0</v>
      </c>
      <c r="AB1755" s="288">
        <v>0</v>
      </c>
      <c r="AC1755" s="289">
        <v>3.37</v>
      </c>
      <c r="AD1755" s="289">
        <v>0</v>
      </c>
    </row>
    <row r="1756" spans="1:30" ht="15" customHeight="1" x14ac:dyDescent="0.25">
      <c r="A1756" s="282" t="s">
        <v>2621</v>
      </c>
      <c r="B1756" s="282"/>
      <c r="C1756" s="282" t="s">
        <v>260</v>
      </c>
      <c r="D1756" s="283" t="s">
        <v>2640</v>
      </c>
      <c r="E1756" s="403">
        <v>43321</v>
      </c>
      <c r="F1756" s="403">
        <v>45147</v>
      </c>
      <c r="G1756" s="283" t="s">
        <v>154</v>
      </c>
      <c r="H1756" s="282" t="s">
        <v>2623</v>
      </c>
      <c r="I1756" s="282" t="s">
        <v>590</v>
      </c>
      <c r="J1756" s="282" t="s">
        <v>156</v>
      </c>
      <c r="K1756" s="283" t="s">
        <v>2624</v>
      </c>
      <c r="L1756" s="286" t="s">
        <v>219</v>
      </c>
      <c r="M1756" s="287"/>
      <c r="N1756" s="287">
        <v>0</v>
      </c>
      <c r="O1756" s="287"/>
      <c r="P1756" s="287"/>
      <c r="Q1756" s="288">
        <v>3.41</v>
      </c>
      <c r="R1756" s="288"/>
      <c r="S1756" s="288"/>
      <c r="T1756" s="288"/>
      <c r="U1756" s="288">
        <v>0</v>
      </c>
      <c r="V1756" s="289">
        <v>3.41</v>
      </c>
      <c r="W1756" s="289">
        <v>0</v>
      </c>
      <c r="X1756" s="288">
        <v>3.41</v>
      </c>
      <c r="Y1756" s="288">
        <v>0</v>
      </c>
      <c r="Z1756" s="288">
        <v>0</v>
      </c>
      <c r="AA1756" s="288">
        <v>0</v>
      </c>
      <c r="AB1756" s="288">
        <v>0</v>
      </c>
      <c r="AC1756" s="289">
        <v>3.41</v>
      </c>
      <c r="AD1756" s="289">
        <v>0</v>
      </c>
    </row>
    <row r="1757" spans="1:30" ht="15" customHeight="1" x14ac:dyDescent="0.25">
      <c r="A1757" s="282" t="s">
        <v>2621</v>
      </c>
      <c r="B1757" s="282"/>
      <c r="C1757" s="282" t="s">
        <v>260</v>
      </c>
      <c r="D1757" s="283" t="s">
        <v>2641</v>
      </c>
      <c r="E1757" s="403">
        <v>43321</v>
      </c>
      <c r="F1757" s="403">
        <v>45147</v>
      </c>
      <c r="G1757" s="283" t="s">
        <v>154</v>
      </c>
      <c r="H1757" s="282" t="s">
        <v>2623</v>
      </c>
      <c r="I1757" s="282" t="s">
        <v>590</v>
      </c>
      <c r="J1757" s="282" t="s">
        <v>156</v>
      </c>
      <c r="K1757" s="283" t="s">
        <v>2624</v>
      </c>
      <c r="L1757" s="286" t="s">
        <v>219</v>
      </c>
      <c r="M1757" s="287"/>
      <c r="N1757" s="287">
        <v>0</v>
      </c>
      <c r="O1757" s="287"/>
      <c r="P1757" s="287"/>
      <c r="Q1757" s="288">
        <v>3.4</v>
      </c>
      <c r="R1757" s="288"/>
      <c r="S1757" s="288"/>
      <c r="T1757" s="288"/>
      <c r="U1757" s="288">
        <v>0</v>
      </c>
      <c r="V1757" s="289">
        <v>3.4</v>
      </c>
      <c r="W1757" s="289">
        <v>0</v>
      </c>
      <c r="X1757" s="288">
        <v>3.4</v>
      </c>
      <c r="Y1757" s="288">
        <v>0</v>
      </c>
      <c r="Z1757" s="288">
        <v>0</v>
      </c>
      <c r="AA1757" s="288">
        <v>0</v>
      </c>
      <c r="AB1757" s="288">
        <v>0</v>
      </c>
      <c r="AC1757" s="289">
        <v>3.4</v>
      </c>
      <c r="AD1757" s="289">
        <v>0</v>
      </c>
    </row>
    <row r="1758" spans="1:30" ht="15" customHeight="1" x14ac:dyDescent="0.25">
      <c r="A1758" s="282" t="s">
        <v>2621</v>
      </c>
      <c r="B1758" s="282"/>
      <c r="C1758" s="282" t="s">
        <v>260</v>
      </c>
      <c r="D1758" s="283" t="s">
        <v>2642</v>
      </c>
      <c r="E1758" s="403">
        <v>43321</v>
      </c>
      <c r="F1758" s="403">
        <v>45147</v>
      </c>
      <c r="G1758" s="283" t="s">
        <v>154</v>
      </c>
      <c r="H1758" s="282" t="s">
        <v>2623</v>
      </c>
      <c r="I1758" s="282" t="s">
        <v>590</v>
      </c>
      <c r="J1758" s="282" t="s">
        <v>156</v>
      </c>
      <c r="K1758" s="283" t="s">
        <v>2624</v>
      </c>
      <c r="L1758" s="286" t="s">
        <v>219</v>
      </c>
      <c r="M1758" s="287"/>
      <c r="N1758" s="287">
        <v>0</v>
      </c>
      <c r="O1758" s="287"/>
      <c r="P1758" s="287"/>
      <c r="Q1758" s="288">
        <v>3.37</v>
      </c>
      <c r="R1758" s="288"/>
      <c r="S1758" s="288"/>
      <c r="T1758" s="288"/>
      <c r="U1758" s="288">
        <v>0</v>
      </c>
      <c r="V1758" s="289">
        <v>3.37</v>
      </c>
      <c r="W1758" s="289">
        <v>0</v>
      </c>
      <c r="X1758" s="288">
        <v>3.37</v>
      </c>
      <c r="Y1758" s="288">
        <v>0</v>
      </c>
      <c r="Z1758" s="288">
        <v>0</v>
      </c>
      <c r="AA1758" s="288">
        <v>0</v>
      </c>
      <c r="AB1758" s="288">
        <v>0</v>
      </c>
      <c r="AC1758" s="289">
        <v>3.37</v>
      </c>
      <c r="AD1758" s="289">
        <v>0</v>
      </c>
    </row>
    <row r="1759" spans="1:30" ht="15" customHeight="1" x14ac:dyDescent="0.25">
      <c r="A1759" s="282" t="s">
        <v>2621</v>
      </c>
      <c r="B1759" s="282"/>
      <c r="C1759" s="282" t="s">
        <v>260</v>
      </c>
      <c r="D1759" s="283" t="s">
        <v>2643</v>
      </c>
      <c r="E1759" s="403">
        <v>43321</v>
      </c>
      <c r="F1759" s="403">
        <v>45147</v>
      </c>
      <c r="G1759" s="283" t="s">
        <v>154</v>
      </c>
      <c r="H1759" s="282" t="s">
        <v>2623</v>
      </c>
      <c r="I1759" s="282" t="s">
        <v>590</v>
      </c>
      <c r="J1759" s="282" t="s">
        <v>156</v>
      </c>
      <c r="K1759" s="283" t="s">
        <v>2624</v>
      </c>
      <c r="L1759" s="286" t="s">
        <v>219</v>
      </c>
      <c r="M1759" s="287"/>
      <c r="N1759" s="287">
        <v>0</v>
      </c>
      <c r="O1759" s="287"/>
      <c r="P1759" s="287"/>
      <c r="Q1759" s="288">
        <v>3.4</v>
      </c>
      <c r="R1759" s="288"/>
      <c r="S1759" s="288"/>
      <c r="T1759" s="288"/>
      <c r="U1759" s="288">
        <v>0</v>
      </c>
      <c r="V1759" s="289">
        <v>3.4</v>
      </c>
      <c r="W1759" s="289">
        <v>0</v>
      </c>
      <c r="X1759" s="288">
        <v>3.4</v>
      </c>
      <c r="Y1759" s="288">
        <v>0</v>
      </c>
      <c r="Z1759" s="288">
        <v>0</v>
      </c>
      <c r="AA1759" s="288">
        <v>0</v>
      </c>
      <c r="AB1759" s="288">
        <v>0</v>
      </c>
      <c r="AC1759" s="289">
        <v>3.4</v>
      </c>
      <c r="AD1759" s="289">
        <v>0</v>
      </c>
    </row>
    <row r="1760" spans="1:30" ht="15" customHeight="1" x14ac:dyDescent="0.25">
      <c r="A1760" s="282" t="s">
        <v>2621</v>
      </c>
      <c r="B1760" s="282"/>
      <c r="C1760" s="282" t="s">
        <v>260</v>
      </c>
      <c r="D1760" s="283" t="s">
        <v>2644</v>
      </c>
      <c r="E1760" s="403">
        <v>43321</v>
      </c>
      <c r="F1760" s="403">
        <v>45147</v>
      </c>
      <c r="G1760" s="283" t="s">
        <v>154</v>
      </c>
      <c r="H1760" s="282" t="s">
        <v>2623</v>
      </c>
      <c r="I1760" s="282" t="s">
        <v>590</v>
      </c>
      <c r="J1760" s="282" t="s">
        <v>156</v>
      </c>
      <c r="K1760" s="283" t="s">
        <v>2624</v>
      </c>
      <c r="L1760" s="286" t="s">
        <v>219</v>
      </c>
      <c r="M1760" s="287"/>
      <c r="N1760" s="287">
        <v>0</v>
      </c>
      <c r="O1760" s="287"/>
      <c r="P1760" s="287"/>
      <c r="Q1760" s="288">
        <v>3.4</v>
      </c>
      <c r="R1760" s="288"/>
      <c r="S1760" s="288"/>
      <c r="T1760" s="288"/>
      <c r="U1760" s="288">
        <v>0</v>
      </c>
      <c r="V1760" s="289">
        <v>3.4</v>
      </c>
      <c r="W1760" s="289">
        <v>0</v>
      </c>
      <c r="X1760" s="288">
        <v>3.4</v>
      </c>
      <c r="Y1760" s="288">
        <v>0</v>
      </c>
      <c r="Z1760" s="288">
        <v>0</v>
      </c>
      <c r="AA1760" s="288">
        <v>0</v>
      </c>
      <c r="AB1760" s="288">
        <v>0</v>
      </c>
      <c r="AC1760" s="289">
        <v>3.4</v>
      </c>
      <c r="AD1760" s="289">
        <v>0</v>
      </c>
    </row>
    <row r="1761" spans="1:30" ht="15" customHeight="1" x14ac:dyDescent="0.25">
      <c r="A1761" s="282" t="s">
        <v>2621</v>
      </c>
      <c r="B1761" s="282"/>
      <c r="C1761" s="282" t="s">
        <v>260</v>
      </c>
      <c r="D1761" s="283" t="s">
        <v>2645</v>
      </c>
      <c r="E1761" s="403">
        <v>43321</v>
      </c>
      <c r="F1761" s="403">
        <v>45147</v>
      </c>
      <c r="G1761" s="283" t="s">
        <v>154</v>
      </c>
      <c r="H1761" s="282" t="s">
        <v>2623</v>
      </c>
      <c r="I1761" s="282" t="s">
        <v>590</v>
      </c>
      <c r="J1761" s="282" t="s">
        <v>156</v>
      </c>
      <c r="K1761" s="283" t="s">
        <v>2624</v>
      </c>
      <c r="L1761" s="286" t="s">
        <v>219</v>
      </c>
      <c r="M1761" s="287"/>
      <c r="N1761" s="287">
        <v>0</v>
      </c>
      <c r="O1761" s="287"/>
      <c r="P1761" s="287"/>
      <c r="Q1761" s="288">
        <v>2.95</v>
      </c>
      <c r="R1761" s="288"/>
      <c r="S1761" s="288"/>
      <c r="T1761" s="288"/>
      <c r="U1761" s="288">
        <v>0</v>
      </c>
      <c r="V1761" s="289">
        <v>2.95</v>
      </c>
      <c r="W1761" s="289">
        <v>0</v>
      </c>
      <c r="X1761" s="288">
        <v>2.95</v>
      </c>
      <c r="Y1761" s="288">
        <v>0</v>
      </c>
      <c r="Z1761" s="288">
        <v>0</v>
      </c>
      <c r="AA1761" s="288">
        <v>0</v>
      </c>
      <c r="AB1761" s="288">
        <v>0</v>
      </c>
      <c r="AC1761" s="289">
        <v>2.95</v>
      </c>
      <c r="AD1761" s="289">
        <v>0</v>
      </c>
    </row>
    <row r="1762" spans="1:30" ht="15" customHeight="1" x14ac:dyDescent="0.25">
      <c r="A1762" s="282" t="s">
        <v>2621</v>
      </c>
      <c r="B1762" s="282"/>
      <c r="C1762" s="282" t="s">
        <v>260</v>
      </c>
      <c r="D1762" s="283" t="s">
        <v>2646</v>
      </c>
      <c r="E1762" s="403">
        <v>43321</v>
      </c>
      <c r="F1762" s="403">
        <v>45147</v>
      </c>
      <c r="G1762" s="283" t="s">
        <v>154</v>
      </c>
      <c r="H1762" s="282" t="s">
        <v>2623</v>
      </c>
      <c r="I1762" s="282" t="s">
        <v>590</v>
      </c>
      <c r="J1762" s="282" t="s">
        <v>156</v>
      </c>
      <c r="K1762" s="283" t="s">
        <v>2624</v>
      </c>
      <c r="L1762" s="286" t="s">
        <v>219</v>
      </c>
      <c r="M1762" s="287"/>
      <c r="N1762" s="287">
        <v>0</v>
      </c>
      <c r="O1762" s="287"/>
      <c r="P1762" s="287"/>
      <c r="Q1762" s="288">
        <v>3.19</v>
      </c>
      <c r="R1762" s="288"/>
      <c r="S1762" s="288"/>
      <c r="T1762" s="288"/>
      <c r="U1762" s="288">
        <v>0</v>
      </c>
      <c r="V1762" s="289">
        <v>3.19</v>
      </c>
      <c r="W1762" s="289">
        <v>0</v>
      </c>
      <c r="X1762" s="288">
        <v>3.19</v>
      </c>
      <c r="Y1762" s="288">
        <v>0</v>
      </c>
      <c r="Z1762" s="288">
        <v>0</v>
      </c>
      <c r="AA1762" s="288">
        <v>0</v>
      </c>
      <c r="AB1762" s="288">
        <v>0</v>
      </c>
      <c r="AC1762" s="289">
        <v>3.19</v>
      </c>
      <c r="AD1762" s="289">
        <v>0</v>
      </c>
    </row>
    <row r="1763" spans="1:30" ht="15" customHeight="1" x14ac:dyDescent="0.25">
      <c r="A1763" s="282" t="s">
        <v>2621</v>
      </c>
      <c r="B1763" s="282"/>
      <c r="C1763" s="282" t="s">
        <v>260</v>
      </c>
      <c r="D1763" s="283" t="s">
        <v>2647</v>
      </c>
      <c r="E1763" s="403">
        <v>43321</v>
      </c>
      <c r="F1763" s="403">
        <v>45147</v>
      </c>
      <c r="G1763" s="283" t="s">
        <v>154</v>
      </c>
      <c r="H1763" s="282" t="s">
        <v>2623</v>
      </c>
      <c r="I1763" s="282" t="s">
        <v>590</v>
      </c>
      <c r="J1763" s="282" t="s">
        <v>156</v>
      </c>
      <c r="K1763" s="283" t="s">
        <v>2624</v>
      </c>
      <c r="L1763" s="286" t="s">
        <v>219</v>
      </c>
      <c r="M1763" s="287"/>
      <c r="N1763" s="287">
        <v>0</v>
      </c>
      <c r="O1763" s="287"/>
      <c r="P1763" s="287"/>
      <c r="Q1763" s="288">
        <v>3.61</v>
      </c>
      <c r="R1763" s="288"/>
      <c r="S1763" s="288"/>
      <c r="T1763" s="288"/>
      <c r="U1763" s="288">
        <v>0</v>
      </c>
      <c r="V1763" s="289">
        <v>3.61</v>
      </c>
      <c r="W1763" s="289">
        <v>0</v>
      </c>
      <c r="X1763" s="288">
        <v>3.61</v>
      </c>
      <c r="Y1763" s="288">
        <v>0</v>
      </c>
      <c r="Z1763" s="288">
        <v>0</v>
      </c>
      <c r="AA1763" s="288">
        <v>0</v>
      </c>
      <c r="AB1763" s="288">
        <v>0</v>
      </c>
      <c r="AC1763" s="289">
        <v>3.61</v>
      </c>
      <c r="AD1763" s="289">
        <v>0</v>
      </c>
    </row>
    <row r="1764" spans="1:30" ht="15" customHeight="1" x14ac:dyDescent="0.25">
      <c r="A1764" s="282" t="s">
        <v>2621</v>
      </c>
      <c r="B1764" s="282"/>
      <c r="C1764" s="282" t="s">
        <v>260</v>
      </c>
      <c r="D1764" s="283" t="s">
        <v>2648</v>
      </c>
      <c r="E1764" s="403">
        <v>43321</v>
      </c>
      <c r="F1764" s="403">
        <v>45147</v>
      </c>
      <c r="G1764" s="283" t="s">
        <v>154</v>
      </c>
      <c r="H1764" s="282" t="s">
        <v>2623</v>
      </c>
      <c r="I1764" s="282" t="s">
        <v>590</v>
      </c>
      <c r="J1764" s="282" t="s">
        <v>156</v>
      </c>
      <c r="K1764" s="283" t="s">
        <v>2624</v>
      </c>
      <c r="L1764" s="286" t="s">
        <v>219</v>
      </c>
      <c r="M1764" s="287"/>
      <c r="N1764" s="287">
        <v>0</v>
      </c>
      <c r="O1764" s="287"/>
      <c r="P1764" s="287"/>
      <c r="Q1764" s="288">
        <v>3.87</v>
      </c>
      <c r="R1764" s="288"/>
      <c r="S1764" s="288"/>
      <c r="T1764" s="288"/>
      <c r="U1764" s="288">
        <v>0</v>
      </c>
      <c r="V1764" s="289">
        <v>3.87</v>
      </c>
      <c r="W1764" s="289">
        <v>0</v>
      </c>
      <c r="X1764" s="288">
        <v>3.87</v>
      </c>
      <c r="Y1764" s="288">
        <v>0</v>
      </c>
      <c r="Z1764" s="288">
        <v>0</v>
      </c>
      <c r="AA1764" s="288">
        <v>0</v>
      </c>
      <c r="AB1764" s="288">
        <v>0</v>
      </c>
      <c r="AC1764" s="289">
        <v>3.87</v>
      </c>
      <c r="AD1764" s="289">
        <v>0</v>
      </c>
    </row>
    <row r="1765" spans="1:30" ht="15" customHeight="1" x14ac:dyDescent="0.25">
      <c r="A1765" s="282" t="s">
        <v>2621</v>
      </c>
      <c r="B1765" s="282"/>
      <c r="C1765" s="282" t="s">
        <v>260</v>
      </c>
      <c r="D1765" s="283" t="s">
        <v>2649</v>
      </c>
      <c r="E1765" s="403">
        <v>43321</v>
      </c>
      <c r="F1765" s="403">
        <v>45147</v>
      </c>
      <c r="G1765" s="283" t="s">
        <v>154</v>
      </c>
      <c r="H1765" s="282" t="s">
        <v>2623</v>
      </c>
      <c r="I1765" s="282" t="s">
        <v>590</v>
      </c>
      <c r="J1765" s="282" t="s">
        <v>156</v>
      </c>
      <c r="K1765" s="283" t="s">
        <v>2624</v>
      </c>
      <c r="L1765" s="286" t="s">
        <v>219</v>
      </c>
      <c r="M1765" s="287"/>
      <c r="N1765" s="287">
        <v>0</v>
      </c>
      <c r="O1765" s="287"/>
      <c r="P1765" s="287"/>
      <c r="Q1765" s="288">
        <v>4.74</v>
      </c>
      <c r="R1765" s="288"/>
      <c r="S1765" s="288"/>
      <c r="T1765" s="288"/>
      <c r="U1765" s="288">
        <v>0</v>
      </c>
      <c r="V1765" s="289">
        <v>4.74</v>
      </c>
      <c r="W1765" s="289">
        <v>0</v>
      </c>
      <c r="X1765" s="288">
        <v>4.74</v>
      </c>
      <c r="Y1765" s="288">
        <v>0</v>
      </c>
      <c r="Z1765" s="288">
        <v>0</v>
      </c>
      <c r="AA1765" s="288">
        <v>0</v>
      </c>
      <c r="AB1765" s="288">
        <v>0</v>
      </c>
      <c r="AC1765" s="289">
        <v>4.74</v>
      </c>
      <c r="AD1765" s="289">
        <v>0</v>
      </c>
    </row>
    <row r="1766" spans="1:30" ht="15" customHeight="1" x14ac:dyDescent="0.25">
      <c r="A1766" s="282" t="s">
        <v>2621</v>
      </c>
      <c r="B1766" s="282"/>
      <c r="C1766" s="282" t="s">
        <v>260</v>
      </c>
      <c r="D1766" s="283" t="s">
        <v>2650</v>
      </c>
      <c r="E1766" s="403">
        <v>43321</v>
      </c>
      <c r="F1766" s="403">
        <v>45147</v>
      </c>
      <c r="G1766" s="283" t="s">
        <v>154</v>
      </c>
      <c r="H1766" s="282" t="s">
        <v>2623</v>
      </c>
      <c r="I1766" s="282" t="s">
        <v>590</v>
      </c>
      <c r="J1766" s="282" t="s">
        <v>156</v>
      </c>
      <c r="K1766" s="283" t="s">
        <v>2624</v>
      </c>
      <c r="L1766" s="286" t="s">
        <v>219</v>
      </c>
      <c r="M1766" s="287"/>
      <c r="N1766" s="287">
        <v>0</v>
      </c>
      <c r="O1766" s="287"/>
      <c r="P1766" s="287"/>
      <c r="Q1766" s="288">
        <v>3.43</v>
      </c>
      <c r="R1766" s="288"/>
      <c r="S1766" s="288"/>
      <c r="T1766" s="288"/>
      <c r="U1766" s="288">
        <v>0</v>
      </c>
      <c r="V1766" s="289">
        <v>3.43</v>
      </c>
      <c r="W1766" s="289">
        <v>0</v>
      </c>
      <c r="X1766" s="288">
        <v>3.43</v>
      </c>
      <c r="Y1766" s="288">
        <v>0</v>
      </c>
      <c r="Z1766" s="288">
        <v>0</v>
      </c>
      <c r="AA1766" s="288">
        <v>0</v>
      </c>
      <c r="AB1766" s="288">
        <v>0</v>
      </c>
      <c r="AC1766" s="289">
        <v>3.43</v>
      </c>
      <c r="AD1766" s="289">
        <v>0</v>
      </c>
    </row>
    <row r="1767" spans="1:30" ht="15" customHeight="1" x14ac:dyDescent="0.25">
      <c r="A1767" s="282" t="s">
        <v>2621</v>
      </c>
      <c r="B1767" s="282"/>
      <c r="C1767" s="282" t="s">
        <v>260</v>
      </c>
      <c r="D1767" s="283" t="s">
        <v>2651</v>
      </c>
      <c r="E1767" s="403">
        <v>43321</v>
      </c>
      <c r="F1767" s="403">
        <v>45147</v>
      </c>
      <c r="G1767" s="283" t="s">
        <v>154</v>
      </c>
      <c r="H1767" s="282" t="s">
        <v>2623</v>
      </c>
      <c r="I1767" s="282" t="s">
        <v>590</v>
      </c>
      <c r="J1767" s="282" t="s">
        <v>156</v>
      </c>
      <c r="K1767" s="283" t="s">
        <v>2624</v>
      </c>
      <c r="L1767" s="286" t="s">
        <v>219</v>
      </c>
      <c r="M1767" s="287"/>
      <c r="N1767" s="287">
        <v>0</v>
      </c>
      <c r="O1767" s="287"/>
      <c r="P1767" s="287"/>
      <c r="Q1767" s="288">
        <v>3.62</v>
      </c>
      <c r="R1767" s="288"/>
      <c r="S1767" s="288"/>
      <c r="T1767" s="288"/>
      <c r="U1767" s="288">
        <v>0</v>
      </c>
      <c r="V1767" s="289">
        <v>3.62</v>
      </c>
      <c r="W1767" s="289">
        <v>0</v>
      </c>
      <c r="X1767" s="288">
        <v>3.62</v>
      </c>
      <c r="Y1767" s="288">
        <v>0</v>
      </c>
      <c r="Z1767" s="288">
        <v>0</v>
      </c>
      <c r="AA1767" s="288">
        <v>0</v>
      </c>
      <c r="AB1767" s="288">
        <v>0</v>
      </c>
      <c r="AC1767" s="289">
        <v>3.62</v>
      </c>
      <c r="AD1767" s="289">
        <v>0</v>
      </c>
    </row>
    <row r="1768" spans="1:30" ht="15" customHeight="1" x14ac:dyDescent="0.25">
      <c r="A1768" s="282" t="s">
        <v>2621</v>
      </c>
      <c r="B1768" s="282"/>
      <c r="C1768" s="282" t="s">
        <v>260</v>
      </c>
      <c r="D1768" s="283" t="s">
        <v>2652</v>
      </c>
      <c r="E1768" s="403">
        <v>43321</v>
      </c>
      <c r="F1768" s="403">
        <v>45147</v>
      </c>
      <c r="G1768" s="283" t="s">
        <v>154</v>
      </c>
      <c r="H1768" s="282" t="s">
        <v>2623</v>
      </c>
      <c r="I1768" s="282" t="s">
        <v>590</v>
      </c>
      <c r="J1768" s="282" t="s">
        <v>156</v>
      </c>
      <c r="K1768" s="283" t="s">
        <v>2624</v>
      </c>
      <c r="L1768" s="286" t="s">
        <v>219</v>
      </c>
      <c r="M1768" s="287"/>
      <c r="N1768" s="287">
        <v>0</v>
      </c>
      <c r="O1768" s="287"/>
      <c r="P1768" s="287"/>
      <c r="Q1768" s="288">
        <v>3.69</v>
      </c>
      <c r="R1768" s="288"/>
      <c r="S1768" s="288"/>
      <c r="T1768" s="288"/>
      <c r="U1768" s="288">
        <v>0</v>
      </c>
      <c r="V1768" s="289">
        <v>3.69</v>
      </c>
      <c r="W1768" s="289">
        <v>0</v>
      </c>
      <c r="X1768" s="288">
        <v>3.69</v>
      </c>
      <c r="Y1768" s="288">
        <v>0</v>
      </c>
      <c r="Z1768" s="288">
        <v>0</v>
      </c>
      <c r="AA1768" s="288">
        <v>0</v>
      </c>
      <c r="AB1768" s="288">
        <v>0</v>
      </c>
      <c r="AC1768" s="289">
        <v>3.69</v>
      </c>
      <c r="AD1768" s="289">
        <v>0</v>
      </c>
    </row>
    <row r="1769" spans="1:30" ht="15" customHeight="1" x14ac:dyDescent="0.25">
      <c r="A1769" s="282" t="s">
        <v>2621</v>
      </c>
      <c r="B1769" s="282"/>
      <c r="C1769" s="282" t="s">
        <v>260</v>
      </c>
      <c r="D1769" s="283" t="s">
        <v>2653</v>
      </c>
      <c r="E1769" s="403">
        <v>43321</v>
      </c>
      <c r="F1769" s="403">
        <v>45147</v>
      </c>
      <c r="G1769" s="283" t="s">
        <v>154</v>
      </c>
      <c r="H1769" s="282" t="s">
        <v>2623</v>
      </c>
      <c r="I1769" s="282" t="s">
        <v>590</v>
      </c>
      <c r="J1769" s="282" t="s">
        <v>156</v>
      </c>
      <c r="K1769" s="283" t="s">
        <v>2624</v>
      </c>
      <c r="L1769" s="286" t="s">
        <v>219</v>
      </c>
      <c r="M1769" s="287"/>
      <c r="N1769" s="287">
        <v>0</v>
      </c>
      <c r="O1769" s="287"/>
      <c r="P1769" s="287"/>
      <c r="Q1769" s="288">
        <v>3.82</v>
      </c>
      <c r="R1769" s="288"/>
      <c r="S1769" s="288"/>
      <c r="T1769" s="288"/>
      <c r="U1769" s="288">
        <v>0</v>
      </c>
      <c r="V1769" s="289">
        <v>3.82</v>
      </c>
      <c r="W1769" s="289">
        <v>0</v>
      </c>
      <c r="X1769" s="288">
        <v>3.82</v>
      </c>
      <c r="Y1769" s="288">
        <v>0</v>
      </c>
      <c r="Z1769" s="288">
        <v>0</v>
      </c>
      <c r="AA1769" s="288">
        <v>0</v>
      </c>
      <c r="AB1769" s="288">
        <v>0</v>
      </c>
      <c r="AC1769" s="289">
        <v>3.82</v>
      </c>
      <c r="AD1769" s="289">
        <v>0</v>
      </c>
    </row>
    <row r="1770" spans="1:30" ht="15" customHeight="1" x14ac:dyDescent="0.25">
      <c r="A1770" s="282" t="s">
        <v>2621</v>
      </c>
      <c r="B1770" s="282"/>
      <c r="C1770" s="282" t="s">
        <v>260</v>
      </c>
      <c r="D1770" s="283" t="s">
        <v>2654</v>
      </c>
      <c r="E1770" s="403">
        <v>43321</v>
      </c>
      <c r="F1770" s="403">
        <v>45147</v>
      </c>
      <c r="G1770" s="283" t="s">
        <v>154</v>
      </c>
      <c r="H1770" s="282" t="s">
        <v>2623</v>
      </c>
      <c r="I1770" s="282" t="s">
        <v>590</v>
      </c>
      <c r="J1770" s="282" t="s">
        <v>156</v>
      </c>
      <c r="K1770" s="283" t="s">
        <v>2624</v>
      </c>
      <c r="L1770" s="286" t="s">
        <v>219</v>
      </c>
      <c r="M1770" s="287"/>
      <c r="N1770" s="287">
        <v>0</v>
      </c>
      <c r="O1770" s="287"/>
      <c r="P1770" s="287"/>
      <c r="Q1770" s="288">
        <v>3.8</v>
      </c>
      <c r="R1770" s="288"/>
      <c r="S1770" s="288"/>
      <c r="T1770" s="288"/>
      <c r="U1770" s="288">
        <v>0</v>
      </c>
      <c r="V1770" s="289">
        <v>3.8</v>
      </c>
      <c r="W1770" s="289">
        <v>0</v>
      </c>
      <c r="X1770" s="288">
        <v>3.8</v>
      </c>
      <c r="Y1770" s="288">
        <v>0</v>
      </c>
      <c r="Z1770" s="288">
        <v>0</v>
      </c>
      <c r="AA1770" s="288">
        <v>0</v>
      </c>
      <c r="AB1770" s="288">
        <v>0</v>
      </c>
      <c r="AC1770" s="289">
        <v>3.8</v>
      </c>
      <c r="AD1770" s="289">
        <v>0</v>
      </c>
    </row>
    <row r="1771" spans="1:30" ht="15" customHeight="1" x14ac:dyDescent="0.25">
      <c r="A1771" s="282" t="s">
        <v>2621</v>
      </c>
      <c r="B1771" s="282"/>
      <c r="C1771" s="282" t="s">
        <v>260</v>
      </c>
      <c r="D1771" s="283" t="s">
        <v>2655</v>
      </c>
      <c r="E1771" s="403">
        <v>43321</v>
      </c>
      <c r="F1771" s="403">
        <v>45147</v>
      </c>
      <c r="G1771" s="283" t="s">
        <v>154</v>
      </c>
      <c r="H1771" s="282" t="s">
        <v>2623</v>
      </c>
      <c r="I1771" s="282" t="s">
        <v>590</v>
      </c>
      <c r="J1771" s="282" t="s">
        <v>156</v>
      </c>
      <c r="K1771" s="283" t="s">
        <v>2624</v>
      </c>
      <c r="L1771" s="286" t="s">
        <v>219</v>
      </c>
      <c r="M1771" s="287"/>
      <c r="N1771" s="287">
        <v>0</v>
      </c>
      <c r="O1771" s="287"/>
      <c r="P1771" s="287"/>
      <c r="Q1771" s="288">
        <v>3.93</v>
      </c>
      <c r="R1771" s="288"/>
      <c r="S1771" s="288"/>
      <c r="T1771" s="288"/>
      <c r="U1771" s="288">
        <v>0</v>
      </c>
      <c r="V1771" s="289">
        <v>3.93</v>
      </c>
      <c r="W1771" s="289">
        <v>0</v>
      </c>
      <c r="X1771" s="288">
        <v>3.93</v>
      </c>
      <c r="Y1771" s="288">
        <v>0</v>
      </c>
      <c r="Z1771" s="288">
        <v>0</v>
      </c>
      <c r="AA1771" s="288">
        <v>0</v>
      </c>
      <c r="AB1771" s="288">
        <v>0</v>
      </c>
      <c r="AC1771" s="289">
        <v>3.93</v>
      </c>
      <c r="AD1771" s="289">
        <v>0</v>
      </c>
    </row>
    <row r="1772" spans="1:30" ht="15" customHeight="1" x14ac:dyDescent="0.25">
      <c r="A1772" s="282" t="s">
        <v>2621</v>
      </c>
      <c r="B1772" s="282"/>
      <c r="C1772" s="282" t="s">
        <v>260</v>
      </c>
      <c r="D1772" s="283" t="s">
        <v>2656</v>
      </c>
      <c r="E1772" s="403">
        <v>43321</v>
      </c>
      <c r="F1772" s="403">
        <v>45147</v>
      </c>
      <c r="G1772" s="283" t="s">
        <v>154</v>
      </c>
      <c r="H1772" s="282" t="s">
        <v>2623</v>
      </c>
      <c r="I1772" s="282" t="s">
        <v>590</v>
      </c>
      <c r="J1772" s="282" t="s">
        <v>156</v>
      </c>
      <c r="K1772" s="283" t="s">
        <v>2624</v>
      </c>
      <c r="L1772" s="286" t="s">
        <v>219</v>
      </c>
      <c r="M1772" s="287"/>
      <c r="N1772" s="287">
        <v>0</v>
      </c>
      <c r="O1772" s="287"/>
      <c r="P1772" s="287"/>
      <c r="Q1772" s="288">
        <v>3.21</v>
      </c>
      <c r="R1772" s="288"/>
      <c r="S1772" s="288"/>
      <c r="T1772" s="288"/>
      <c r="U1772" s="288">
        <v>0</v>
      </c>
      <c r="V1772" s="289">
        <v>3.21</v>
      </c>
      <c r="W1772" s="289">
        <v>0</v>
      </c>
      <c r="X1772" s="288">
        <v>3.21</v>
      </c>
      <c r="Y1772" s="288">
        <v>0</v>
      </c>
      <c r="Z1772" s="288">
        <v>0</v>
      </c>
      <c r="AA1772" s="288">
        <v>0</v>
      </c>
      <c r="AB1772" s="288">
        <v>0</v>
      </c>
      <c r="AC1772" s="289">
        <v>3.21</v>
      </c>
      <c r="AD1772" s="289">
        <v>0</v>
      </c>
    </row>
    <row r="1773" spans="1:30" ht="15" customHeight="1" x14ac:dyDescent="0.25">
      <c r="A1773" s="282" t="s">
        <v>2621</v>
      </c>
      <c r="B1773" s="282"/>
      <c r="C1773" s="282" t="s">
        <v>260</v>
      </c>
      <c r="D1773" s="283" t="s">
        <v>2657</v>
      </c>
      <c r="E1773" s="403">
        <v>43321</v>
      </c>
      <c r="F1773" s="403">
        <v>45147</v>
      </c>
      <c r="G1773" s="283" t="s">
        <v>154</v>
      </c>
      <c r="H1773" s="282" t="s">
        <v>2623</v>
      </c>
      <c r="I1773" s="282" t="s">
        <v>590</v>
      </c>
      <c r="J1773" s="282" t="s">
        <v>156</v>
      </c>
      <c r="K1773" s="283" t="s">
        <v>2624</v>
      </c>
      <c r="L1773" s="286" t="s">
        <v>219</v>
      </c>
      <c r="M1773" s="287"/>
      <c r="N1773" s="287">
        <v>0</v>
      </c>
      <c r="O1773" s="287"/>
      <c r="P1773" s="287"/>
      <c r="Q1773" s="288">
        <v>3.38</v>
      </c>
      <c r="R1773" s="288"/>
      <c r="S1773" s="288"/>
      <c r="T1773" s="288"/>
      <c r="U1773" s="288">
        <v>0</v>
      </c>
      <c r="V1773" s="289">
        <v>3.38</v>
      </c>
      <c r="W1773" s="289">
        <v>0</v>
      </c>
      <c r="X1773" s="288">
        <v>3.38</v>
      </c>
      <c r="Y1773" s="288">
        <v>0</v>
      </c>
      <c r="Z1773" s="288">
        <v>0</v>
      </c>
      <c r="AA1773" s="288">
        <v>0</v>
      </c>
      <c r="AB1773" s="288">
        <v>0</v>
      </c>
      <c r="AC1773" s="289">
        <v>3.38</v>
      </c>
      <c r="AD1773" s="289">
        <v>0</v>
      </c>
    </row>
    <row r="1774" spans="1:30" ht="15" customHeight="1" x14ac:dyDescent="0.25">
      <c r="A1774" s="282" t="s">
        <v>2621</v>
      </c>
      <c r="B1774" s="282"/>
      <c r="C1774" s="282" t="s">
        <v>260</v>
      </c>
      <c r="D1774" s="283" t="s">
        <v>2658</v>
      </c>
      <c r="E1774" s="403">
        <v>43321</v>
      </c>
      <c r="F1774" s="403">
        <v>45147</v>
      </c>
      <c r="G1774" s="283" t="s">
        <v>154</v>
      </c>
      <c r="H1774" s="282" t="s">
        <v>2623</v>
      </c>
      <c r="I1774" s="282" t="s">
        <v>590</v>
      </c>
      <c r="J1774" s="282" t="s">
        <v>156</v>
      </c>
      <c r="K1774" s="283" t="s">
        <v>2624</v>
      </c>
      <c r="L1774" s="286" t="s">
        <v>219</v>
      </c>
      <c r="M1774" s="287"/>
      <c r="N1774" s="287">
        <v>0</v>
      </c>
      <c r="O1774" s="287"/>
      <c r="P1774" s="287"/>
      <c r="Q1774" s="288">
        <v>3.25</v>
      </c>
      <c r="R1774" s="288"/>
      <c r="S1774" s="288"/>
      <c r="T1774" s="288"/>
      <c r="U1774" s="288">
        <v>0</v>
      </c>
      <c r="V1774" s="289">
        <v>3.25</v>
      </c>
      <c r="W1774" s="289">
        <v>0</v>
      </c>
      <c r="X1774" s="288">
        <v>3.25</v>
      </c>
      <c r="Y1774" s="288">
        <v>0</v>
      </c>
      <c r="Z1774" s="288">
        <v>0</v>
      </c>
      <c r="AA1774" s="288">
        <v>0</v>
      </c>
      <c r="AB1774" s="288">
        <v>0</v>
      </c>
      <c r="AC1774" s="289">
        <v>3.25</v>
      </c>
      <c r="AD1774" s="289">
        <v>0</v>
      </c>
    </row>
    <row r="1775" spans="1:30" ht="15" customHeight="1" x14ac:dyDescent="0.25">
      <c r="A1775" s="282" t="s">
        <v>2621</v>
      </c>
      <c r="B1775" s="282"/>
      <c r="C1775" s="282" t="s">
        <v>260</v>
      </c>
      <c r="D1775" s="283" t="s">
        <v>2659</v>
      </c>
      <c r="E1775" s="403">
        <v>43321</v>
      </c>
      <c r="F1775" s="403">
        <v>45147</v>
      </c>
      <c r="G1775" s="283" t="s">
        <v>154</v>
      </c>
      <c r="H1775" s="282" t="s">
        <v>2623</v>
      </c>
      <c r="I1775" s="282" t="s">
        <v>590</v>
      </c>
      <c r="J1775" s="282" t="s">
        <v>156</v>
      </c>
      <c r="K1775" s="283" t="s">
        <v>2624</v>
      </c>
      <c r="L1775" s="286" t="s">
        <v>219</v>
      </c>
      <c r="M1775" s="287"/>
      <c r="N1775" s="287">
        <v>0</v>
      </c>
      <c r="O1775" s="287"/>
      <c r="P1775" s="287"/>
      <c r="Q1775" s="288">
        <v>3.44</v>
      </c>
      <c r="R1775" s="288"/>
      <c r="S1775" s="288"/>
      <c r="T1775" s="288"/>
      <c r="U1775" s="288">
        <v>0</v>
      </c>
      <c r="V1775" s="289">
        <v>3.44</v>
      </c>
      <c r="W1775" s="289">
        <v>0</v>
      </c>
      <c r="X1775" s="288">
        <v>3.44</v>
      </c>
      <c r="Y1775" s="288">
        <v>0</v>
      </c>
      <c r="Z1775" s="288">
        <v>0</v>
      </c>
      <c r="AA1775" s="288">
        <v>0</v>
      </c>
      <c r="AB1775" s="288">
        <v>0</v>
      </c>
      <c r="AC1775" s="289">
        <v>3.44</v>
      </c>
      <c r="AD1775" s="289">
        <v>0</v>
      </c>
    </row>
    <row r="1776" spans="1:30" ht="15" customHeight="1" x14ac:dyDescent="0.25">
      <c r="A1776" s="282" t="s">
        <v>2621</v>
      </c>
      <c r="B1776" s="282"/>
      <c r="C1776" s="282" t="s">
        <v>260</v>
      </c>
      <c r="D1776" s="283" t="s">
        <v>2660</v>
      </c>
      <c r="E1776" s="403">
        <v>43321</v>
      </c>
      <c r="F1776" s="403">
        <v>45147</v>
      </c>
      <c r="G1776" s="283" t="s">
        <v>154</v>
      </c>
      <c r="H1776" s="282" t="s">
        <v>2623</v>
      </c>
      <c r="I1776" s="282" t="s">
        <v>590</v>
      </c>
      <c r="J1776" s="282" t="s">
        <v>156</v>
      </c>
      <c r="K1776" s="283" t="s">
        <v>2624</v>
      </c>
      <c r="L1776" s="286" t="s">
        <v>219</v>
      </c>
      <c r="M1776" s="287"/>
      <c r="N1776" s="287">
        <v>0</v>
      </c>
      <c r="O1776" s="287"/>
      <c r="P1776" s="287"/>
      <c r="Q1776" s="288">
        <v>3.8</v>
      </c>
      <c r="R1776" s="288"/>
      <c r="S1776" s="288"/>
      <c r="T1776" s="288"/>
      <c r="U1776" s="288">
        <v>0</v>
      </c>
      <c r="V1776" s="289">
        <v>3.8</v>
      </c>
      <c r="W1776" s="289">
        <v>0</v>
      </c>
      <c r="X1776" s="288">
        <v>3.8</v>
      </c>
      <c r="Y1776" s="288">
        <v>0</v>
      </c>
      <c r="Z1776" s="288">
        <v>0</v>
      </c>
      <c r="AA1776" s="288">
        <v>0</v>
      </c>
      <c r="AB1776" s="288">
        <v>0</v>
      </c>
      <c r="AC1776" s="289">
        <v>3.8</v>
      </c>
      <c r="AD1776" s="289">
        <v>0</v>
      </c>
    </row>
    <row r="1777" spans="1:30" ht="15" customHeight="1" x14ac:dyDescent="0.25">
      <c r="A1777" s="282" t="s">
        <v>2621</v>
      </c>
      <c r="B1777" s="282"/>
      <c r="C1777" s="282" t="s">
        <v>260</v>
      </c>
      <c r="D1777" s="283" t="s">
        <v>2661</v>
      </c>
      <c r="E1777" s="403">
        <v>43321</v>
      </c>
      <c r="F1777" s="403">
        <v>45147</v>
      </c>
      <c r="G1777" s="283" t="s">
        <v>154</v>
      </c>
      <c r="H1777" s="282" t="s">
        <v>2623</v>
      </c>
      <c r="I1777" s="282" t="s">
        <v>590</v>
      </c>
      <c r="J1777" s="282" t="s">
        <v>156</v>
      </c>
      <c r="K1777" s="283" t="s">
        <v>2624</v>
      </c>
      <c r="L1777" s="286" t="s">
        <v>219</v>
      </c>
      <c r="M1777" s="287"/>
      <c r="N1777" s="287">
        <v>0</v>
      </c>
      <c r="O1777" s="287"/>
      <c r="P1777" s="287"/>
      <c r="Q1777" s="288">
        <v>3.94</v>
      </c>
      <c r="R1777" s="288"/>
      <c r="S1777" s="288"/>
      <c r="T1777" s="288"/>
      <c r="U1777" s="288">
        <v>0</v>
      </c>
      <c r="V1777" s="289">
        <v>3.94</v>
      </c>
      <c r="W1777" s="289">
        <v>0</v>
      </c>
      <c r="X1777" s="288">
        <v>3.94</v>
      </c>
      <c r="Y1777" s="288">
        <v>0</v>
      </c>
      <c r="Z1777" s="288">
        <v>0</v>
      </c>
      <c r="AA1777" s="288">
        <v>0</v>
      </c>
      <c r="AB1777" s="288">
        <v>0</v>
      </c>
      <c r="AC1777" s="289">
        <v>3.94</v>
      </c>
      <c r="AD1777" s="289">
        <v>0</v>
      </c>
    </row>
    <row r="1778" spans="1:30" ht="15" customHeight="1" x14ac:dyDescent="0.25">
      <c r="A1778" s="282" t="s">
        <v>2621</v>
      </c>
      <c r="B1778" s="282"/>
      <c r="C1778" s="282" t="s">
        <v>260</v>
      </c>
      <c r="D1778" s="283" t="s">
        <v>2662</v>
      </c>
      <c r="E1778" s="403">
        <v>43321</v>
      </c>
      <c r="F1778" s="403">
        <v>45147</v>
      </c>
      <c r="G1778" s="283" t="s">
        <v>154</v>
      </c>
      <c r="H1778" s="282" t="s">
        <v>2623</v>
      </c>
      <c r="I1778" s="282" t="s">
        <v>590</v>
      </c>
      <c r="J1778" s="282" t="s">
        <v>156</v>
      </c>
      <c r="K1778" s="283" t="s">
        <v>2624</v>
      </c>
      <c r="L1778" s="286" t="s">
        <v>219</v>
      </c>
      <c r="M1778" s="287"/>
      <c r="N1778" s="287">
        <v>0</v>
      </c>
      <c r="O1778" s="287"/>
      <c r="P1778" s="287"/>
      <c r="Q1778" s="288">
        <v>3.6</v>
      </c>
      <c r="R1778" s="288"/>
      <c r="S1778" s="288"/>
      <c r="T1778" s="288"/>
      <c r="U1778" s="288">
        <v>0</v>
      </c>
      <c r="V1778" s="289">
        <v>3.6</v>
      </c>
      <c r="W1778" s="289">
        <v>0</v>
      </c>
      <c r="X1778" s="288">
        <v>3.6</v>
      </c>
      <c r="Y1778" s="288">
        <v>0</v>
      </c>
      <c r="Z1778" s="288">
        <v>0</v>
      </c>
      <c r="AA1778" s="288">
        <v>0</v>
      </c>
      <c r="AB1778" s="288">
        <v>0</v>
      </c>
      <c r="AC1778" s="289">
        <v>3.6</v>
      </c>
      <c r="AD1778" s="289">
        <v>0</v>
      </c>
    </row>
    <row r="1779" spans="1:30" ht="15" customHeight="1" x14ac:dyDescent="0.25">
      <c r="A1779" s="282" t="s">
        <v>2621</v>
      </c>
      <c r="B1779" s="282"/>
      <c r="C1779" s="282" t="s">
        <v>260</v>
      </c>
      <c r="D1779" s="283" t="s">
        <v>2663</v>
      </c>
      <c r="E1779" s="403">
        <v>43321</v>
      </c>
      <c r="F1779" s="403">
        <v>45147</v>
      </c>
      <c r="G1779" s="283" t="s">
        <v>154</v>
      </c>
      <c r="H1779" s="282" t="s">
        <v>2623</v>
      </c>
      <c r="I1779" s="282" t="s">
        <v>590</v>
      </c>
      <c r="J1779" s="282" t="s">
        <v>156</v>
      </c>
      <c r="K1779" s="283" t="s">
        <v>2624</v>
      </c>
      <c r="L1779" s="286" t="s">
        <v>219</v>
      </c>
      <c r="M1779" s="287"/>
      <c r="N1779" s="287">
        <v>0</v>
      </c>
      <c r="O1779" s="287"/>
      <c r="P1779" s="287"/>
      <c r="Q1779" s="288">
        <v>3.78</v>
      </c>
      <c r="R1779" s="288"/>
      <c r="S1779" s="288"/>
      <c r="T1779" s="288"/>
      <c r="U1779" s="288">
        <v>0</v>
      </c>
      <c r="V1779" s="289">
        <v>3.78</v>
      </c>
      <c r="W1779" s="289">
        <v>0</v>
      </c>
      <c r="X1779" s="288">
        <v>3.78</v>
      </c>
      <c r="Y1779" s="288">
        <v>0</v>
      </c>
      <c r="Z1779" s="288">
        <v>0</v>
      </c>
      <c r="AA1779" s="288">
        <v>0</v>
      </c>
      <c r="AB1779" s="288">
        <v>0</v>
      </c>
      <c r="AC1779" s="289">
        <v>3.78</v>
      </c>
      <c r="AD1779" s="289">
        <v>0</v>
      </c>
    </row>
    <row r="1780" spans="1:30" ht="15" customHeight="1" x14ac:dyDescent="0.25">
      <c r="A1780" s="282" t="s">
        <v>2621</v>
      </c>
      <c r="B1780" s="282"/>
      <c r="C1780" s="282" t="s">
        <v>260</v>
      </c>
      <c r="D1780" s="283" t="s">
        <v>2664</v>
      </c>
      <c r="E1780" s="403">
        <v>43321</v>
      </c>
      <c r="F1780" s="403">
        <v>45147</v>
      </c>
      <c r="G1780" s="283" t="s">
        <v>154</v>
      </c>
      <c r="H1780" s="282" t="s">
        <v>2623</v>
      </c>
      <c r="I1780" s="282" t="s">
        <v>590</v>
      </c>
      <c r="J1780" s="282" t="s">
        <v>156</v>
      </c>
      <c r="K1780" s="283" t="s">
        <v>2624</v>
      </c>
      <c r="L1780" s="286" t="s">
        <v>219</v>
      </c>
      <c r="M1780" s="287"/>
      <c r="N1780" s="287">
        <v>0</v>
      </c>
      <c r="O1780" s="287"/>
      <c r="P1780" s="287"/>
      <c r="Q1780" s="288">
        <v>3.67</v>
      </c>
      <c r="R1780" s="288"/>
      <c r="S1780" s="288"/>
      <c r="T1780" s="288"/>
      <c r="U1780" s="288">
        <v>0</v>
      </c>
      <c r="V1780" s="289">
        <v>3.67</v>
      </c>
      <c r="W1780" s="289">
        <v>0</v>
      </c>
      <c r="X1780" s="288">
        <v>3.67</v>
      </c>
      <c r="Y1780" s="288">
        <v>0</v>
      </c>
      <c r="Z1780" s="288">
        <v>0</v>
      </c>
      <c r="AA1780" s="288">
        <v>0</v>
      </c>
      <c r="AB1780" s="288">
        <v>0</v>
      </c>
      <c r="AC1780" s="289">
        <v>3.67</v>
      </c>
      <c r="AD1780" s="289">
        <v>0</v>
      </c>
    </row>
    <row r="1781" spans="1:30" ht="15" customHeight="1" x14ac:dyDescent="0.25">
      <c r="A1781" s="282" t="s">
        <v>2621</v>
      </c>
      <c r="B1781" s="282"/>
      <c r="C1781" s="282" t="s">
        <v>260</v>
      </c>
      <c r="D1781" s="283" t="s">
        <v>2665</v>
      </c>
      <c r="E1781" s="403">
        <v>43321</v>
      </c>
      <c r="F1781" s="403">
        <v>45147</v>
      </c>
      <c r="G1781" s="283" t="s">
        <v>154</v>
      </c>
      <c r="H1781" s="282" t="s">
        <v>2623</v>
      </c>
      <c r="I1781" s="282" t="s">
        <v>590</v>
      </c>
      <c r="J1781" s="282" t="s">
        <v>156</v>
      </c>
      <c r="K1781" s="283" t="s">
        <v>2624</v>
      </c>
      <c r="L1781" s="286" t="s">
        <v>219</v>
      </c>
      <c r="M1781" s="287"/>
      <c r="N1781" s="287">
        <v>0</v>
      </c>
      <c r="O1781" s="287"/>
      <c r="P1781" s="287"/>
      <c r="Q1781" s="288">
        <v>3.79</v>
      </c>
      <c r="R1781" s="288"/>
      <c r="S1781" s="288"/>
      <c r="T1781" s="288"/>
      <c r="U1781" s="288">
        <v>0</v>
      </c>
      <c r="V1781" s="289">
        <v>3.79</v>
      </c>
      <c r="W1781" s="289">
        <v>0</v>
      </c>
      <c r="X1781" s="288">
        <v>3.79</v>
      </c>
      <c r="Y1781" s="288">
        <v>0</v>
      </c>
      <c r="Z1781" s="288">
        <v>0</v>
      </c>
      <c r="AA1781" s="288">
        <v>0</v>
      </c>
      <c r="AB1781" s="288">
        <v>0</v>
      </c>
      <c r="AC1781" s="289">
        <v>3.79</v>
      </c>
      <c r="AD1781" s="289">
        <v>0</v>
      </c>
    </row>
    <row r="1782" spans="1:30" ht="15" customHeight="1" x14ac:dyDescent="0.25">
      <c r="A1782" s="282" t="s">
        <v>2621</v>
      </c>
      <c r="B1782" s="282"/>
      <c r="C1782" s="282" t="s">
        <v>260</v>
      </c>
      <c r="D1782" s="283" t="s">
        <v>2666</v>
      </c>
      <c r="E1782" s="403">
        <v>43321</v>
      </c>
      <c r="F1782" s="403">
        <v>45147</v>
      </c>
      <c r="G1782" s="283" t="s">
        <v>154</v>
      </c>
      <c r="H1782" s="282" t="s">
        <v>2623</v>
      </c>
      <c r="I1782" s="282" t="s">
        <v>590</v>
      </c>
      <c r="J1782" s="282" t="s">
        <v>156</v>
      </c>
      <c r="K1782" s="283" t="s">
        <v>2624</v>
      </c>
      <c r="L1782" s="286" t="s">
        <v>219</v>
      </c>
      <c r="M1782" s="287"/>
      <c r="N1782" s="287">
        <v>0</v>
      </c>
      <c r="O1782" s="287"/>
      <c r="P1782" s="287"/>
      <c r="Q1782" s="288">
        <v>3.54</v>
      </c>
      <c r="R1782" s="288"/>
      <c r="S1782" s="288"/>
      <c r="T1782" s="288"/>
      <c r="U1782" s="288">
        <v>0</v>
      </c>
      <c r="V1782" s="289">
        <v>3.54</v>
      </c>
      <c r="W1782" s="289">
        <v>0</v>
      </c>
      <c r="X1782" s="288">
        <v>3.54</v>
      </c>
      <c r="Y1782" s="288">
        <v>0</v>
      </c>
      <c r="Z1782" s="288">
        <v>0</v>
      </c>
      <c r="AA1782" s="288">
        <v>0</v>
      </c>
      <c r="AB1782" s="288">
        <v>0</v>
      </c>
      <c r="AC1782" s="289">
        <v>3.54</v>
      </c>
      <c r="AD1782" s="289">
        <v>0</v>
      </c>
    </row>
    <row r="1783" spans="1:30" ht="15" customHeight="1" x14ac:dyDescent="0.25">
      <c r="A1783" s="282" t="s">
        <v>2621</v>
      </c>
      <c r="B1783" s="282"/>
      <c r="C1783" s="282" t="s">
        <v>260</v>
      </c>
      <c r="D1783" s="283" t="s">
        <v>2667</v>
      </c>
      <c r="E1783" s="403">
        <v>43321</v>
      </c>
      <c r="F1783" s="403">
        <v>45147</v>
      </c>
      <c r="G1783" s="283" t="s">
        <v>154</v>
      </c>
      <c r="H1783" s="282" t="s">
        <v>2623</v>
      </c>
      <c r="I1783" s="282" t="s">
        <v>590</v>
      </c>
      <c r="J1783" s="282" t="s">
        <v>156</v>
      </c>
      <c r="K1783" s="283" t="s">
        <v>2624</v>
      </c>
      <c r="L1783" s="286" t="s">
        <v>219</v>
      </c>
      <c r="M1783" s="287"/>
      <c r="N1783" s="287">
        <v>0</v>
      </c>
      <c r="O1783" s="287"/>
      <c r="P1783" s="287"/>
      <c r="Q1783" s="288">
        <v>3.69</v>
      </c>
      <c r="R1783" s="288"/>
      <c r="S1783" s="288"/>
      <c r="T1783" s="288"/>
      <c r="U1783" s="288">
        <v>0</v>
      </c>
      <c r="V1783" s="289">
        <v>3.69</v>
      </c>
      <c r="W1783" s="289">
        <v>0</v>
      </c>
      <c r="X1783" s="288">
        <v>3.69</v>
      </c>
      <c r="Y1783" s="288">
        <v>0</v>
      </c>
      <c r="Z1783" s="288">
        <v>0</v>
      </c>
      <c r="AA1783" s="288">
        <v>0</v>
      </c>
      <c r="AB1783" s="288">
        <v>0</v>
      </c>
      <c r="AC1783" s="289">
        <v>3.69</v>
      </c>
      <c r="AD1783" s="289">
        <v>0</v>
      </c>
    </row>
    <row r="1784" spans="1:30" ht="15" customHeight="1" x14ac:dyDescent="0.25">
      <c r="A1784" s="282" t="s">
        <v>2621</v>
      </c>
      <c r="B1784" s="282"/>
      <c r="C1784" s="282" t="s">
        <v>260</v>
      </c>
      <c r="D1784" s="283" t="s">
        <v>2668</v>
      </c>
      <c r="E1784" s="403">
        <v>43321</v>
      </c>
      <c r="F1784" s="403">
        <v>45147</v>
      </c>
      <c r="G1784" s="283" t="s">
        <v>154</v>
      </c>
      <c r="H1784" s="282" t="s">
        <v>2623</v>
      </c>
      <c r="I1784" s="282" t="s">
        <v>590</v>
      </c>
      <c r="J1784" s="282" t="s">
        <v>156</v>
      </c>
      <c r="K1784" s="283" t="s">
        <v>2624</v>
      </c>
      <c r="L1784" s="286" t="s">
        <v>219</v>
      </c>
      <c r="M1784" s="287"/>
      <c r="N1784" s="287">
        <v>0</v>
      </c>
      <c r="O1784" s="287"/>
      <c r="P1784" s="287"/>
      <c r="Q1784" s="288">
        <v>4.57</v>
      </c>
      <c r="R1784" s="288"/>
      <c r="S1784" s="288"/>
      <c r="T1784" s="288"/>
      <c r="U1784" s="288">
        <v>0</v>
      </c>
      <c r="V1784" s="289">
        <v>4.57</v>
      </c>
      <c r="W1784" s="289">
        <v>0</v>
      </c>
      <c r="X1784" s="288">
        <v>4.57</v>
      </c>
      <c r="Y1784" s="288">
        <v>0</v>
      </c>
      <c r="Z1784" s="288">
        <v>0</v>
      </c>
      <c r="AA1784" s="288">
        <v>0</v>
      </c>
      <c r="AB1784" s="288">
        <v>0</v>
      </c>
      <c r="AC1784" s="289">
        <v>4.57</v>
      </c>
      <c r="AD1784" s="289">
        <v>0</v>
      </c>
    </row>
    <row r="1785" spans="1:30" ht="15" customHeight="1" x14ac:dyDescent="0.25">
      <c r="A1785" s="282" t="s">
        <v>2621</v>
      </c>
      <c r="B1785" s="282"/>
      <c r="C1785" s="282" t="s">
        <v>260</v>
      </c>
      <c r="D1785" s="283" t="s">
        <v>2669</v>
      </c>
      <c r="E1785" s="403">
        <v>43321</v>
      </c>
      <c r="F1785" s="403">
        <v>45147</v>
      </c>
      <c r="G1785" s="283" t="s">
        <v>154</v>
      </c>
      <c r="H1785" s="282" t="s">
        <v>2623</v>
      </c>
      <c r="I1785" s="282" t="s">
        <v>590</v>
      </c>
      <c r="J1785" s="282" t="s">
        <v>156</v>
      </c>
      <c r="K1785" s="283" t="s">
        <v>2624</v>
      </c>
      <c r="L1785" s="286" t="s">
        <v>219</v>
      </c>
      <c r="M1785" s="287"/>
      <c r="N1785" s="287">
        <v>0</v>
      </c>
      <c r="O1785" s="287"/>
      <c r="P1785" s="287"/>
      <c r="Q1785" s="288">
        <v>4.71</v>
      </c>
      <c r="R1785" s="288"/>
      <c r="S1785" s="288"/>
      <c r="T1785" s="288"/>
      <c r="U1785" s="288">
        <v>0</v>
      </c>
      <c r="V1785" s="289">
        <v>4.71</v>
      </c>
      <c r="W1785" s="289">
        <v>0</v>
      </c>
      <c r="X1785" s="288">
        <v>4.71</v>
      </c>
      <c r="Y1785" s="288">
        <v>0</v>
      </c>
      <c r="Z1785" s="288">
        <v>0</v>
      </c>
      <c r="AA1785" s="288">
        <v>0</v>
      </c>
      <c r="AB1785" s="288">
        <v>0</v>
      </c>
      <c r="AC1785" s="289">
        <v>4.71</v>
      </c>
      <c r="AD1785" s="289">
        <v>0</v>
      </c>
    </row>
    <row r="1786" spans="1:30" ht="15" customHeight="1" x14ac:dyDescent="0.25">
      <c r="A1786" s="282" t="s">
        <v>2621</v>
      </c>
      <c r="B1786" s="282"/>
      <c r="C1786" s="282" t="s">
        <v>260</v>
      </c>
      <c r="D1786" s="283" t="s">
        <v>2670</v>
      </c>
      <c r="E1786" s="403">
        <v>43321</v>
      </c>
      <c r="F1786" s="403">
        <v>45147</v>
      </c>
      <c r="G1786" s="283" t="s">
        <v>154</v>
      </c>
      <c r="H1786" s="282" t="s">
        <v>2623</v>
      </c>
      <c r="I1786" s="282" t="s">
        <v>590</v>
      </c>
      <c r="J1786" s="282" t="s">
        <v>156</v>
      </c>
      <c r="K1786" s="283" t="s">
        <v>2624</v>
      </c>
      <c r="L1786" s="286" t="s">
        <v>219</v>
      </c>
      <c r="M1786" s="287"/>
      <c r="N1786" s="287">
        <v>0</v>
      </c>
      <c r="O1786" s="287"/>
      <c r="P1786" s="287"/>
      <c r="Q1786" s="288">
        <v>3.67</v>
      </c>
      <c r="R1786" s="288"/>
      <c r="S1786" s="288"/>
      <c r="T1786" s="288"/>
      <c r="U1786" s="288">
        <v>0</v>
      </c>
      <c r="V1786" s="289">
        <v>3.67</v>
      </c>
      <c r="W1786" s="289">
        <v>0</v>
      </c>
      <c r="X1786" s="288">
        <v>3.67</v>
      </c>
      <c r="Y1786" s="288">
        <v>0</v>
      </c>
      <c r="Z1786" s="288">
        <v>0</v>
      </c>
      <c r="AA1786" s="288">
        <v>0</v>
      </c>
      <c r="AB1786" s="288">
        <v>0</v>
      </c>
      <c r="AC1786" s="289">
        <v>3.67</v>
      </c>
      <c r="AD1786" s="289">
        <v>0</v>
      </c>
    </row>
    <row r="1787" spans="1:30" ht="15" customHeight="1" x14ac:dyDescent="0.25">
      <c r="A1787" s="282" t="s">
        <v>2621</v>
      </c>
      <c r="B1787" s="282"/>
      <c r="C1787" s="282" t="s">
        <v>260</v>
      </c>
      <c r="D1787" s="283" t="s">
        <v>2671</v>
      </c>
      <c r="E1787" s="403">
        <v>43321</v>
      </c>
      <c r="F1787" s="403">
        <v>45147</v>
      </c>
      <c r="G1787" s="283" t="s">
        <v>154</v>
      </c>
      <c r="H1787" s="282" t="s">
        <v>2623</v>
      </c>
      <c r="I1787" s="282" t="s">
        <v>590</v>
      </c>
      <c r="J1787" s="282" t="s">
        <v>156</v>
      </c>
      <c r="K1787" s="283" t="s">
        <v>2624</v>
      </c>
      <c r="L1787" s="286" t="s">
        <v>219</v>
      </c>
      <c r="M1787" s="287"/>
      <c r="N1787" s="287">
        <v>0</v>
      </c>
      <c r="O1787" s="287"/>
      <c r="P1787" s="287"/>
      <c r="Q1787" s="288">
        <v>3.78</v>
      </c>
      <c r="R1787" s="288"/>
      <c r="S1787" s="288"/>
      <c r="T1787" s="288"/>
      <c r="U1787" s="288">
        <v>0</v>
      </c>
      <c r="V1787" s="289">
        <v>3.78</v>
      </c>
      <c r="W1787" s="289">
        <v>0</v>
      </c>
      <c r="X1787" s="288">
        <v>3.78</v>
      </c>
      <c r="Y1787" s="288">
        <v>0</v>
      </c>
      <c r="Z1787" s="288">
        <v>0</v>
      </c>
      <c r="AA1787" s="288">
        <v>0</v>
      </c>
      <c r="AB1787" s="288">
        <v>0</v>
      </c>
      <c r="AC1787" s="289">
        <v>3.78</v>
      </c>
      <c r="AD1787" s="289">
        <v>0</v>
      </c>
    </row>
    <row r="1788" spans="1:30" ht="15" customHeight="1" x14ac:dyDescent="0.25">
      <c r="A1788" s="282" t="s">
        <v>2621</v>
      </c>
      <c r="B1788" s="282"/>
      <c r="C1788" s="282" t="s">
        <v>260</v>
      </c>
      <c r="D1788" s="283" t="s">
        <v>2672</v>
      </c>
      <c r="E1788" s="403">
        <v>43321</v>
      </c>
      <c r="F1788" s="403">
        <v>45147</v>
      </c>
      <c r="G1788" s="283" t="s">
        <v>154</v>
      </c>
      <c r="H1788" s="282" t="s">
        <v>2623</v>
      </c>
      <c r="I1788" s="282" t="s">
        <v>590</v>
      </c>
      <c r="J1788" s="282" t="s">
        <v>156</v>
      </c>
      <c r="K1788" s="283" t="s">
        <v>2624</v>
      </c>
      <c r="L1788" s="286" t="s">
        <v>219</v>
      </c>
      <c r="M1788" s="287"/>
      <c r="N1788" s="287">
        <v>0</v>
      </c>
      <c r="O1788" s="287"/>
      <c r="P1788" s="287"/>
      <c r="Q1788" s="288">
        <v>3.71</v>
      </c>
      <c r="R1788" s="288"/>
      <c r="S1788" s="288"/>
      <c r="T1788" s="288"/>
      <c r="U1788" s="288">
        <v>0</v>
      </c>
      <c r="V1788" s="289">
        <v>3.71</v>
      </c>
      <c r="W1788" s="289">
        <v>0</v>
      </c>
      <c r="X1788" s="288">
        <v>3.71</v>
      </c>
      <c r="Y1788" s="288">
        <v>0</v>
      </c>
      <c r="Z1788" s="288">
        <v>0</v>
      </c>
      <c r="AA1788" s="288">
        <v>0</v>
      </c>
      <c r="AB1788" s="288">
        <v>0</v>
      </c>
      <c r="AC1788" s="289">
        <v>3.71</v>
      </c>
      <c r="AD1788" s="289">
        <v>0</v>
      </c>
    </row>
    <row r="1789" spans="1:30" ht="15" customHeight="1" x14ac:dyDescent="0.25">
      <c r="A1789" s="282" t="s">
        <v>2621</v>
      </c>
      <c r="B1789" s="282"/>
      <c r="C1789" s="282" t="s">
        <v>260</v>
      </c>
      <c r="D1789" s="283" t="s">
        <v>2673</v>
      </c>
      <c r="E1789" s="403">
        <v>43321</v>
      </c>
      <c r="F1789" s="403">
        <v>45147</v>
      </c>
      <c r="G1789" s="283" t="s">
        <v>154</v>
      </c>
      <c r="H1789" s="282" t="s">
        <v>2623</v>
      </c>
      <c r="I1789" s="282" t="s">
        <v>590</v>
      </c>
      <c r="J1789" s="282" t="s">
        <v>156</v>
      </c>
      <c r="K1789" s="283" t="s">
        <v>2624</v>
      </c>
      <c r="L1789" s="286" t="s">
        <v>219</v>
      </c>
      <c r="M1789" s="287"/>
      <c r="N1789" s="287">
        <v>0</v>
      </c>
      <c r="O1789" s="287"/>
      <c r="P1789" s="287"/>
      <c r="Q1789" s="288">
        <v>4.16</v>
      </c>
      <c r="R1789" s="288"/>
      <c r="S1789" s="288"/>
      <c r="T1789" s="288"/>
      <c r="U1789" s="288">
        <v>0</v>
      </c>
      <c r="V1789" s="289">
        <v>4.16</v>
      </c>
      <c r="W1789" s="289">
        <v>0</v>
      </c>
      <c r="X1789" s="288">
        <v>4.16</v>
      </c>
      <c r="Y1789" s="288">
        <v>0</v>
      </c>
      <c r="Z1789" s="288">
        <v>0</v>
      </c>
      <c r="AA1789" s="288">
        <v>0</v>
      </c>
      <c r="AB1789" s="288">
        <v>0</v>
      </c>
      <c r="AC1789" s="289">
        <v>4.16</v>
      </c>
      <c r="AD1789" s="289">
        <v>0</v>
      </c>
    </row>
    <row r="1790" spans="1:30" ht="15" customHeight="1" x14ac:dyDescent="0.25">
      <c r="A1790" s="282" t="s">
        <v>2621</v>
      </c>
      <c r="B1790" s="282"/>
      <c r="C1790" s="282" t="s">
        <v>260</v>
      </c>
      <c r="D1790" s="283" t="s">
        <v>2674</v>
      </c>
      <c r="E1790" s="403">
        <v>43321</v>
      </c>
      <c r="F1790" s="403">
        <v>45147</v>
      </c>
      <c r="G1790" s="283" t="s">
        <v>154</v>
      </c>
      <c r="H1790" s="282" t="s">
        <v>2623</v>
      </c>
      <c r="I1790" s="282" t="s">
        <v>590</v>
      </c>
      <c r="J1790" s="282" t="s">
        <v>156</v>
      </c>
      <c r="K1790" s="283" t="s">
        <v>2624</v>
      </c>
      <c r="L1790" s="286" t="s">
        <v>219</v>
      </c>
      <c r="M1790" s="287"/>
      <c r="N1790" s="287">
        <v>0</v>
      </c>
      <c r="O1790" s="287"/>
      <c r="P1790" s="287"/>
      <c r="Q1790" s="288">
        <v>4.29</v>
      </c>
      <c r="R1790" s="288"/>
      <c r="S1790" s="288"/>
      <c r="T1790" s="288"/>
      <c r="U1790" s="288">
        <v>0</v>
      </c>
      <c r="V1790" s="289">
        <v>4.29</v>
      </c>
      <c r="W1790" s="289">
        <v>0</v>
      </c>
      <c r="X1790" s="288">
        <v>4.29</v>
      </c>
      <c r="Y1790" s="288">
        <v>0</v>
      </c>
      <c r="Z1790" s="288">
        <v>0</v>
      </c>
      <c r="AA1790" s="288">
        <v>0</v>
      </c>
      <c r="AB1790" s="288">
        <v>0</v>
      </c>
      <c r="AC1790" s="289">
        <v>4.29</v>
      </c>
      <c r="AD1790" s="289">
        <v>0</v>
      </c>
    </row>
    <row r="1791" spans="1:30" ht="15" customHeight="1" x14ac:dyDescent="0.25">
      <c r="A1791" s="282" t="s">
        <v>2621</v>
      </c>
      <c r="B1791" s="282"/>
      <c r="C1791" s="282" t="s">
        <v>260</v>
      </c>
      <c r="D1791" s="283" t="s">
        <v>2675</v>
      </c>
      <c r="E1791" s="403">
        <v>43321</v>
      </c>
      <c r="F1791" s="403">
        <v>45147</v>
      </c>
      <c r="G1791" s="283" t="s">
        <v>154</v>
      </c>
      <c r="H1791" s="282" t="s">
        <v>2623</v>
      </c>
      <c r="I1791" s="282" t="s">
        <v>590</v>
      </c>
      <c r="J1791" s="282" t="s">
        <v>156</v>
      </c>
      <c r="K1791" s="283" t="s">
        <v>2624</v>
      </c>
      <c r="L1791" s="286" t="s">
        <v>219</v>
      </c>
      <c r="M1791" s="287"/>
      <c r="N1791" s="287">
        <v>0</v>
      </c>
      <c r="O1791" s="287"/>
      <c r="P1791" s="287"/>
      <c r="Q1791" s="288">
        <v>4.5199999999999996</v>
      </c>
      <c r="R1791" s="288"/>
      <c r="S1791" s="288"/>
      <c r="T1791" s="288"/>
      <c r="U1791" s="288">
        <v>0</v>
      </c>
      <c r="V1791" s="289">
        <v>4.5199999999999996</v>
      </c>
      <c r="W1791" s="289">
        <v>0</v>
      </c>
      <c r="X1791" s="288">
        <v>4.5199999999999996</v>
      </c>
      <c r="Y1791" s="288">
        <v>0</v>
      </c>
      <c r="Z1791" s="288">
        <v>0</v>
      </c>
      <c r="AA1791" s="288">
        <v>0</v>
      </c>
      <c r="AB1791" s="288">
        <v>0</v>
      </c>
      <c r="AC1791" s="289">
        <v>4.5199999999999996</v>
      </c>
      <c r="AD1791" s="289">
        <v>0</v>
      </c>
    </row>
    <row r="1792" spans="1:30" ht="15" customHeight="1" x14ac:dyDescent="0.25">
      <c r="A1792" s="282" t="s">
        <v>2621</v>
      </c>
      <c r="B1792" s="282"/>
      <c r="C1792" s="282" t="s">
        <v>260</v>
      </c>
      <c r="D1792" s="283" t="s">
        <v>2676</v>
      </c>
      <c r="E1792" s="403">
        <v>43321</v>
      </c>
      <c r="F1792" s="403">
        <v>45147</v>
      </c>
      <c r="G1792" s="283" t="s">
        <v>154</v>
      </c>
      <c r="H1792" s="282" t="s">
        <v>2623</v>
      </c>
      <c r="I1792" s="282" t="s">
        <v>590</v>
      </c>
      <c r="J1792" s="282" t="s">
        <v>156</v>
      </c>
      <c r="K1792" s="283" t="s">
        <v>2624</v>
      </c>
      <c r="L1792" s="286" t="s">
        <v>219</v>
      </c>
      <c r="M1792" s="287"/>
      <c r="N1792" s="287">
        <v>0</v>
      </c>
      <c r="O1792" s="287"/>
      <c r="P1792" s="287"/>
      <c r="Q1792" s="288">
        <v>4.28</v>
      </c>
      <c r="R1792" s="288"/>
      <c r="S1792" s="288"/>
      <c r="T1792" s="288"/>
      <c r="U1792" s="288">
        <v>0</v>
      </c>
      <c r="V1792" s="289">
        <v>4.28</v>
      </c>
      <c r="W1792" s="289">
        <v>0</v>
      </c>
      <c r="X1792" s="288">
        <v>4.28</v>
      </c>
      <c r="Y1792" s="288">
        <v>0</v>
      </c>
      <c r="Z1792" s="288">
        <v>0</v>
      </c>
      <c r="AA1792" s="288">
        <v>0</v>
      </c>
      <c r="AB1792" s="288">
        <v>0</v>
      </c>
      <c r="AC1792" s="289">
        <v>4.28</v>
      </c>
      <c r="AD1792" s="289">
        <v>0</v>
      </c>
    </row>
    <row r="1793" spans="1:30" ht="15" customHeight="1" x14ac:dyDescent="0.25">
      <c r="A1793" s="282" t="s">
        <v>2621</v>
      </c>
      <c r="B1793" s="282"/>
      <c r="C1793" s="282" t="s">
        <v>260</v>
      </c>
      <c r="D1793" s="283" t="s">
        <v>2677</v>
      </c>
      <c r="E1793" s="403">
        <v>43321</v>
      </c>
      <c r="F1793" s="403">
        <v>45147</v>
      </c>
      <c r="G1793" s="283" t="s">
        <v>154</v>
      </c>
      <c r="H1793" s="282" t="s">
        <v>2623</v>
      </c>
      <c r="I1793" s="282" t="s">
        <v>590</v>
      </c>
      <c r="J1793" s="282" t="s">
        <v>156</v>
      </c>
      <c r="K1793" s="283" t="s">
        <v>2624</v>
      </c>
      <c r="L1793" s="286" t="s">
        <v>219</v>
      </c>
      <c r="M1793" s="287"/>
      <c r="N1793" s="287">
        <v>0</v>
      </c>
      <c r="O1793" s="287"/>
      <c r="P1793" s="287"/>
      <c r="Q1793" s="288">
        <v>4.42</v>
      </c>
      <c r="R1793" s="288"/>
      <c r="S1793" s="288"/>
      <c r="T1793" s="288"/>
      <c r="U1793" s="288">
        <v>0</v>
      </c>
      <c r="V1793" s="289">
        <v>4.42</v>
      </c>
      <c r="W1793" s="289">
        <v>0</v>
      </c>
      <c r="X1793" s="288">
        <v>4.42</v>
      </c>
      <c r="Y1793" s="288">
        <v>0</v>
      </c>
      <c r="Z1793" s="288">
        <v>0</v>
      </c>
      <c r="AA1793" s="288">
        <v>0</v>
      </c>
      <c r="AB1793" s="288">
        <v>0</v>
      </c>
      <c r="AC1793" s="289">
        <v>4.42</v>
      </c>
      <c r="AD1793" s="289">
        <v>0</v>
      </c>
    </row>
    <row r="1794" spans="1:30" ht="15" customHeight="1" x14ac:dyDescent="0.25">
      <c r="A1794" s="282" t="s">
        <v>2621</v>
      </c>
      <c r="B1794" s="282"/>
      <c r="C1794" s="282" t="s">
        <v>260</v>
      </c>
      <c r="D1794" s="283" t="s">
        <v>2678</v>
      </c>
      <c r="E1794" s="403">
        <v>43321</v>
      </c>
      <c r="F1794" s="403">
        <v>45147</v>
      </c>
      <c r="G1794" s="283" t="s">
        <v>154</v>
      </c>
      <c r="H1794" s="282" t="s">
        <v>2623</v>
      </c>
      <c r="I1794" s="282" t="s">
        <v>590</v>
      </c>
      <c r="J1794" s="282" t="s">
        <v>156</v>
      </c>
      <c r="K1794" s="283" t="s">
        <v>2624</v>
      </c>
      <c r="L1794" s="286" t="s">
        <v>219</v>
      </c>
      <c r="M1794" s="287"/>
      <c r="N1794" s="287">
        <v>0</v>
      </c>
      <c r="O1794" s="287"/>
      <c r="P1794" s="287"/>
      <c r="Q1794" s="288">
        <v>3.73</v>
      </c>
      <c r="R1794" s="288"/>
      <c r="S1794" s="288"/>
      <c r="T1794" s="288"/>
      <c r="U1794" s="288">
        <v>0</v>
      </c>
      <c r="V1794" s="289">
        <v>3.73</v>
      </c>
      <c r="W1794" s="289">
        <v>0</v>
      </c>
      <c r="X1794" s="288">
        <v>3.73</v>
      </c>
      <c r="Y1794" s="288">
        <v>0</v>
      </c>
      <c r="Z1794" s="288">
        <v>0</v>
      </c>
      <c r="AA1794" s="288">
        <v>0</v>
      </c>
      <c r="AB1794" s="288">
        <v>0</v>
      </c>
      <c r="AC1794" s="289">
        <v>3.73</v>
      </c>
      <c r="AD1794" s="289">
        <v>0</v>
      </c>
    </row>
    <row r="1795" spans="1:30" ht="15" customHeight="1" x14ac:dyDescent="0.25">
      <c r="A1795" s="282" t="s">
        <v>2621</v>
      </c>
      <c r="B1795" s="282"/>
      <c r="C1795" s="282" t="s">
        <v>260</v>
      </c>
      <c r="D1795" s="283" t="s">
        <v>2679</v>
      </c>
      <c r="E1795" s="403">
        <v>43321</v>
      </c>
      <c r="F1795" s="403">
        <v>45147</v>
      </c>
      <c r="G1795" s="283" t="s">
        <v>154</v>
      </c>
      <c r="H1795" s="282" t="s">
        <v>2623</v>
      </c>
      <c r="I1795" s="282" t="s">
        <v>590</v>
      </c>
      <c r="J1795" s="282" t="s">
        <v>156</v>
      </c>
      <c r="K1795" s="283" t="s">
        <v>2624</v>
      </c>
      <c r="L1795" s="286" t="s">
        <v>219</v>
      </c>
      <c r="M1795" s="287"/>
      <c r="N1795" s="287">
        <v>0</v>
      </c>
      <c r="O1795" s="287"/>
      <c r="P1795" s="287"/>
      <c r="Q1795" s="288">
        <v>4.2</v>
      </c>
      <c r="R1795" s="288"/>
      <c r="S1795" s="288"/>
      <c r="T1795" s="288"/>
      <c r="U1795" s="288">
        <v>0</v>
      </c>
      <c r="V1795" s="289">
        <v>4.2</v>
      </c>
      <c r="W1795" s="289">
        <v>0</v>
      </c>
      <c r="X1795" s="288">
        <v>4.2</v>
      </c>
      <c r="Y1795" s="288">
        <v>0</v>
      </c>
      <c r="Z1795" s="288">
        <v>0</v>
      </c>
      <c r="AA1795" s="288">
        <v>0</v>
      </c>
      <c r="AB1795" s="288">
        <v>0</v>
      </c>
      <c r="AC1795" s="289">
        <v>4.2</v>
      </c>
      <c r="AD1795" s="289">
        <v>0</v>
      </c>
    </row>
    <row r="1796" spans="1:30" ht="15" customHeight="1" x14ac:dyDescent="0.25">
      <c r="A1796" s="282" t="s">
        <v>2621</v>
      </c>
      <c r="B1796" s="282"/>
      <c r="C1796" s="282" t="s">
        <v>260</v>
      </c>
      <c r="D1796" s="283" t="s">
        <v>2680</v>
      </c>
      <c r="E1796" s="403">
        <v>43321</v>
      </c>
      <c r="F1796" s="403">
        <v>45147</v>
      </c>
      <c r="G1796" s="283" t="s">
        <v>154</v>
      </c>
      <c r="H1796" s="282" t="s">
        <v>2623</v>
      </c>
      <c r="I1796" s="282" t="s">
        <v>590</v>
      </c>
      <c r="J1796" s="282" t="s">
        <v>156</v>
      </c>
      <c r="K1796" s="283" t="s">
        <v>2624</v>
      </c>
      <c r="L1796" s="286" t="s">
        <v>219</v>
      </c>
      <c r="M1796" s="287"/>
      <c r="N1796" s="287">
        <v>0</v>
      </c>
      <c r="O1796" s="287"/>
      <c r="P1796" s="287"/>
      <c r="Q1796" s="288">
        <v>3.36</v>
      </c>
      <c r="R1796" s="288"/>
      <c r="S1796" s="288"/>
      <c r="T1796" s="288"/>
      <c r="U1796" s="288">
        <v>0</v>
      </c>
      <c r="V1796" s="289">
        <v>3.36</v>
      </c>
      <c r="W1796" s="289">
        <v>0</v>
      </c>
      <c r="X1796" s="288">
        <v>3.36</v>
      </c>
      <c r="Y1796" s="288">
        <v>0</v>
      </c>
      <c r="Z1796" s="288">
        <v>0</v>
      </c>
      <c r="AA1796" s="288">
        <v>0</v>
      </c>
      <c r="AB1796" s="288">
        <v>0</v>
      </c>
      <c r="AC1796" s="289">
        <v>3.36</v>
      </c>
      <c r="AD1796" s="289">
        <v>0</v>
      </c>
    </row>
    <row r="1797" spans="1:30" ht="15" customHeight="1" x14ac:dyDescent="0.25">
      <c r="A1797" s="282" t="s">
        <v>2621</v>
      </c>
      <c r="B1797" s="282"/>
      <c r="C1797" s="282" t="s">
        <v>260</v>
      </c>
      <c r="D1797" s="283" t="s">
        <v>2681</v>
      </c>
      <c r="E1797" s="403">
        <v>43321</v>
      </c>
      <c r="F1797" s="403">
        <v>45147</v>
      </c>
      <c r="G1797" s="283" t="s">
        <v>154</v>
      </c>
      <c r="H1797" s="282" t="s">
        <v>2623</v>
      </c>
      <c r="I1797" s="282" t="s">
        <v>590</v>
      </c>
      <c r="J1797" s="282" t="s">
        <v>156</v>
      </c>
      <c r="K1797" s="283" t="s">
        <v>2624</v>
      </c>
      <c r="L1797" s="286" t="s">
        <v>219</v>
      </c>
      <c r="M1797" s="287"/>
      <c r="N1797" s="287">
        <v>0</v>
      </c>
      <c r="O1797" s="287"/>
      <c r="P1797" s="287"/>
      <c r="Q1797" s="288">
        <v>3.36</v>
      </c>
      <c r="R1797" s="288"/>
      <c r="S1797" s="288"/>
      <c r="T1797" s="288"/>
      <c r="U1797" s="288">
        <v>0</v>
      </c>
      <c r="V1797" s="289">
        <v>3.36</v>
      </c>
      <c r="W1797" s="289">
        <v>0</v>
      </c>
      <c r="X1797" s="288">
        <v>3.36</v>
      </c>
      <c r="Y1797" s="288">
        <v>0</v>
      </c>
      <c r="Z1797" s="288">
        <v>0</v>
      </c>
      <c r="AA1797" s="288">
        <v>0</v>
      </c>
      <c r="AB1797" s="288">
        <v>0</v>
      </c>
      <c r="AC1797" s="289">
        <v>3.36</v>
      </c>
      <c r="AD1797" s="289">
        <v>0</v>
      </c>
    </row>
    <row r="1798" spans="1:30" ht="15" customHeight="1" x14ac:dyDescent="0.25">
      <c r="A1798" s="282" t="s">
        <v>2621</v>
      </c>
      <c r="B1798" s="282"/>
      <c r="C1798" s="282" t="s">
        <v>260</v>
      </c>
      <c r="D1798" s="283" t="s">
        <v>2682</v>
      </c>
      <c r="E1798" s="403">
        <v>43321</v>
      </c>
      <c r="F1798" s="403">
        <v>45147</v>
      </c>
      <c r="G1798" s="283" t="s">
        <v>154</v>
      </c>
      <c r="H1798" s="282" t="s">
        <v>2623</v>
      </c>
      <c r="I1798" s="282" t="s">
        <v>590</v>
      </c>
      <c r="J1798" s="282" t="s">
        <v>156</v>
      </c>
      <c r="K1798" s="283" t="s">
        <v>2624</v>
      </c>
      <c r="L1798" s="286" t="s">
        <v>219</v>
      </c>
      <c r="M1798" s="287"/>
      <c r="N1798" s="287">
        <v>0</v>
      </c>
      <c r="O1798" s="287"/>
      <c r="P1798" s="287"/>
      <c r="Q1798" s="288">
        <v>3.44</v>
      </c>
      <c r="R1798" s="288"/>
      <c r="S1798" s="288"/>
      <c r="T1798" s="288"/>
      <c r="U1798" s="288">
        <v>0</v>
      </c>
      <c r="V1798" s="289">
        <v>3.44</v>
      </c>
      <c r="W1798" s="289">
        <v>0</v>
      </c>
      <c r="X1798" s="288">
        <v>3.44</v>
      </c>
      <c r="Y1798" s="288">
        <v>0</v>
      </c>
      <c r="Z1798" s="288">
        <v>0</v>
      </c>
      <c r="AA1798" s="288">
        <v>0</v>
      </c>
      <c r="AB1798" s="288">
        <v>0</v>
      </c>
      <c r="AC1798" s="289">
        <v>3.44</v>
      </c>
      <c r="AD1798" s="289">
        <v>0</v>
      </c>
    </row>
    <row r="1799" spans="1:30" ht="15" customHeight="1" x14ac:dyDescent="0.25">
      <c r="A1799" s="282" t="s">
        <v>2621</v>
      </c>
      <c r="B1799" s="282"/>
      <c r="C1799" s="282" t="s">
        <v>260</v>
      </c>
      <c r="D1799" s="283" t="s">
        <v>2683</v>
      </c>
      <c r="E1799" s="403">
        <v>43321</v>
      </c>
      <c r="F1799" s="403">
        <v>45147</v>
      </c>
      <c r="G1799" s="283" t="s">
        <v>154</v>
      </c>
      <c r="H1799" s="282" t="s">
        <v>2623</v>
      </c>
      <c r="I1799" s="282" t="s">
        <v>590</v>
      </c>
      <c r="J1799" s="282" t="s">
        <v>156</v>
      </c>
      <c r="K1799" s="283" t="s">
        <v>2624</v>
      </c>
      <c r="L1799" s="286" t="s">
        <v>219</v>
      </c>
      <c r="M1799" s="287"/>
      <c r="N1799" s="287">
        <v>0</v>
      </c>
      <c r="O1799" s="287"/>
      <c r="P1799" s="287"/>
      <c r="Q1799" s="288">
        <v>4.07</v>
      </c>
      <c r="R1799" s="288"/>
      <c r="S1799" s="288"/>
      <c r="T1799" s="288"/>
      <c r="U1799" s="288">
        <v>0</v>
      </c>
      <c r="V1799" s="289">
        <v>4.07</v>
      </c>
      <c r="W1799" s="289">
        <v>0</v>
      </c>
      <c r="X1799" s="288">
        <v>4.07</v>
      </c>
      <c r="Y1799" s="288">
        <v>0</v>
      </c>
      <c r="Z1799" s="288">
        <v>0</v>
      </c>
      <c r="AA1799" s="288">
        <v>0</v>
      </c>
      <c r="AB1799" s="288">
        <v>0</v>
      </c>
      <c r="AC1799" s="289">
        <v>4.07</v>
      </c>
      <c r="AD1799" s="289">
        <v>0</v>
      </c>
    </row>
    <row r="1800" spans="1:30" ht="15" customHeight="1" x14ac:dyDescent="0.25">
      <c r="A1800" s="282" t="s">
        <v>2621</v>
      </c>
      <c r="B1800" s="282"/>
      <c r="C1800" s="282" t="s">
        <v>260</v>
      </c>
      <c r="D1800" s="283" t="s">
        <v>2684</v>
      </c>
      <c r="E1800" s="403">
        <v>43321</v>
      </c>
      <c r="F1800" s="403">
        <v>45147</v>
      </c>
      <c r="G1800" s="283" t="s">
        <v>154</v>
      </c>
      <c r="H1800" s="282" t="s">
        <v>2623</v>
      </c>
      <c r="I1800" s="282" t="s">
        <v>590</v>
      </c>
      <c r="J1800" s="282" t="s">
        <v>156</v>
      </c>
      <c r="K1800" s="283" t="s">
        <v>2624</v>
      </c>
      <c r="L1800" s="286" t="s">
        <v>219</v>
      </c>
      <c r="M1800" s="287"/>
      <c r="N1800" s="287">
        <v>0</v>
      </c>
      <c r="O1800" s="287"/>
      <c r="P1800" s="287"/>
      <c r="Q1800" s="288">
        <v>3.04</v>
      </c>
      <c r="R1800" s="288"/>
      <c r="S1800" s="288"/>
      <c r="T1800" s="288"/>
      <c r="U1800" s="288">
        <v>0</v>
      </c>
      <c r="V1800" s="289">
        <v>3.04</v>
      </c>
      <c r="W1800" s="289">
        <v>0</v>
      </c>
      <c r="X1800" s="288">
        <v>3.04</v>
      </c>
      <c r="Y1800" s="288">
        <v>0</v>
      </c>
      <c r="Z1800" s="288">
        <v>0</v>
      </c>
      <c r="AA1800" s="288">
        <v>0</v>
      </c>
      <c r="AB1800" s="288">
        <v>0</v>
      </c>
      <c r="AC1800" s="289">
        <v>3.04</v>
      </c>
      <c r="AD1800" s="289">
        <v>0</v>
      </c>
    </row>
    <row r="1801" spans="1:30" ht="15" customHeight="1" x14ac:dyDescent="0.25">
      <c r="A1801" s="282" t="s">
        <v>2621</v>
      </c>
      <c r="B1801" s="282"/>
      <c r="C1801" s="282" t="s">
        <v>260</v>
      </c>
      <c r="D1801" s="283" t="s">
        <v>2685</v>
      </c>
      <c r="E1801" s="403">
        <v>43321</v>
      </c>
      <c r="F1801" s="403">
        <v>45147</v>
      </c>
      <c r="G1801" s="283" t="s">
        <v>154</v>
      </c>
      <c r="H1801" s="282" t="s">
        <v>2623</v>
      </c>
      <c r="I1801" s="282" t="s">
        <v>590</v>
      </c>
      <c r="J1801" s="282" t="s">
        <v>156</v>
      </c>
      <c r="K1801" s="283" t="s">
        <v>2624</v>
      </c>
      <c r="L1801" s="286" t="s">
        <v>219</v>
      </c>
      <c r="M1801" s="287"/>
      <c r="N1801" s="287">
        <v>0</v>
      </c>
      <c r="O1801" s="287"/>
      <c r="P1801" s="287"/>
      <c r="Q1801" s="288">
        <v>3.3</v>
      </c>
      <c r="R1801" s="288"/>
      <c r="S1801" s="288"/>
      <c r="T1801" s="288"/>
      <c r="U1801" s="288">
        <v>0</v>
      </c>
      <c r="V1801" s="289">
        <v>3.3</v>
      </c>
      <c r="W1801" s="289">
        <v>0</v>
      </c>
      <c r="X1801" s="288">
        <v>3.3</v>
      </c>
      <c r="Y1801" s="288">
        <v>0</v>
      </c>
      <c r="Z1801" s="288">
        <v>0</v>
      </c>
      <c r="AA1801" s="288">
        <v>0</v>
      </c>
      <c r="AB1801" s="288">
        <v>0</v>
      </c>
      <c r="AC1801" s="289">
        <v>3.3</v>
      </c>
      <c r="AD1801" s="289">
        <v>0</v>
      </c>
    </row>
    <row r="1802" spans="1:30" ht="15" customHeight="1" x14ac:dyDescent="0.25">
      <c r="A1802" s="282" t="s">
        <v>2621</v>
      </c>
      <c r="B1802" s="282"/>
      <c r="C1802" s="282" t="s">
        <v>260</v>
      </c>
      <c r="D1802" s="283" t="s">
        <v>2686</v>
      </c>
      <c r="E1802" s="403">
        <v>43321</v>
      </c>
      <c r="F1802" s="403">
        <v>45147</v>
      </c>
      <c r="G1802" s="283" t="s">
        <v>154</v>
      </c>
      <c r="H1802" s="282" t="s">
        <v>2623</v>
      </c>
      <c r="I1802" s="282" t="s">
        <v>590</v>
      </c>
      <c r="J1802" s="282" t="s">
        <v>156</v>
      </c>
      <c r="K1802" s="283" t="s">
        <v>2624</v>
      </c>
      <c r="L1802" s="286" t="s">
        <v>219</v>
      </c>
      <c r="M1802" s="287"/>
      <c r="N1802" s="287">
        <v>0</v>
      </c>
      <c r="O1802" s="287"/>
      <c r="P1802" s="287"/>
      <c r="Q1802" s="288">
        <v>3.41</v>
      </c>
      <c r="R1802" s="288"/>
      <c r="S1802" s="288"/>
      <c r="T1802" s="288"/>
      <c r="U1802" s="288">
        <v>0</v>
      </c>
      <c r="V1802" s="289">
        <v>3.41</v>
      </c>
      <c r="W1802" s="289">
        <v>0</v>
      </c>
      <c r="X1802" s="288">
        <v>3.41</v>
      </c>
      <c r="Y1802" s="288">
        <v>0</v>
      </c>
      <c r="Z1802" s="288">
        <v>0</v>
      </c>
      <c r="AA1802" s="288">
        <v>0</v>
      </c>
      <c r="AB1802" s="288">
        <v>0</v>
      </c>
      <c r="AC1802" s="289">
        <v>3.41</v>
      </c>
      <c r="AD1802" s="289">
        <v>0</v>
      </c>
    </row>
    <row r="1803" spans="1:30" ht="15" customHeight="1" x14ac:dyDescent="0.25">
      <c r="A1803" s="282" t="s">
        <v>2621</v>
      </c>
      <c r="B1803" s="282"/>
      <c r="C1803" s="282" t="s">
        <v>260</v>
      </c>
      <c r="D1803" s="283" t="s">
        <v>2687</v>
      </c>
      <c r="E1803" s="403">
        <v>43321</v>
      </c>
      <c r="F1803" s="403">
        <v>45147</v>
      </c>
      <c r="G1803" s="283" t="s">
        <v>154</v>
      </c>
      <c r="H1803" s="282" t="s">
        <v>2623</v>
      </c>
      <c r="I1803" s="282" t="s">
        <v>590</v>
      </c>
      <c r="J1803" s="282" t="s">
        <v>156</v>
      </c>
      <c r="K1803" s="283" t="s">
        <v>2624</v>
      </c>
      <c r="L1803" s="286" t="s">
        <v>219</v>
      </c>
      <c r="M1803" s="287"/>
      <c r="N1803" s="287">
        <v>0</v>
      </c>
      <c r="O1803" s="287"/>
      <c r="P1803" s="287"/>
      <c r="Q1803" s="288">
        <v>3.08</v>
      </c>
      <c r="R1803" s="288"/>
      <c r="S1803" s="288"/>
      <c r="T1803" s="288"/>
      <c r="U1803" s="288">
        <v>0</v>
      </c>
      <c r="V1803" s="289">
        <v>3.08</v>
      </c>
      <c r="W1803" s="289">
        <v>0</v>
      </c>
      <c r="X1803" s="288">
        <v>3.08</v>
      </c>
      <c r="Y1803" s="288">
        <v>0</v>
      </c>
      <c r="Z1803" s="288">
        <v>0</v>
      </c>
      <c r="AA1803" s="288">
        <v>0</v>
      </c>
      <c r="AB1803" s="288">
        <v>0</v>
      </c>
      <c r="AC1803" s="289">
        <v>3.08</v>
      </c>
      <c r="AD1803" s="289">
        <v>0</v>
      </c>
    </row>
    <row r="1804" spans="1:30" ht="15" customHeight="1" x14ac:dyDescent="0.25">
      <c r="A1804" s="282" t="s">
        <v>2621</v>
      </c>
      <c r="B1804" s="282"/>
      <c r="C1804" s="282" t="s">
        <v>260</v>
      </c>
      <c r="D1804" s="283" t="s">
        <v>2688</v>
      </c>
      <c r="E1804" s="403">
        <v>43321</v>
      </c>
      <c r="F1804" s="403">
        <v>45147</v>
      </c>
      <c r="G1804" s="283" t="s">
        <v>154</v>
      </c>
      <c r="H1804" s="282" t="s">
        <v>2623</v>
      </c>
      <c r="I1804" s="282" t="s">
        <v>590</v>
      </c>
      <c r="J1804" s="282" t="s">
        <v>156</v>
      </c>
      <c r="K1804" s="283" t="s">
        <v>2624</v>
      </c>
      <c r="L1804" s="286" t="s">
        <v>219</v>
      </c>
      <c r="M1804" s="287"/>
      <c r="N1804" s="287">
        <v>0</v>
      </c>
      <c r="O1804" s="287"/>
      <c r="P1804" s="287"/>
      <c r="Q1804" s="288">
        <v>3.64</v>
      </c>
      <c r="R1804" s="288"/>
      <c r="S1804" s="288"/>
      <c r="T1804" s="288"/>
      <c r="U1804" s="288">
        <v>0</v>
      </c>
      <c r="V1804" s="289">
        <v>3.64</v>
      </c>
      <c r="W1804" s="289">
        <v>0</v>
      </c>
      <c r="X1804" s="288">
        <v>3.64</v>
      </c>
      <c r="Y1804" s="288">
        <v>0</v>
      </c>
      <c r="Z1804" s="288">
        <v>0</v>
      </c>
      <c r="AA1804" s="288">
        <v>0</v>
      </c>
      <c r="AB1804" s="288">
        <v>0</v>
      </c>
      <c r="AC1804" s="289">
        <v>3.64</v>
      </c>
      <c r="AD1804" s="289">
        <v>0</v>
      </c>
    </row>
    <row r="1805" spans="1:30" ht="15" customHeight="1" x14ac:dyDescent="0.25">
      <c r="A1805" s="282" t="s">
        <v>2621</v>
      </c>
      <c r="B1805" s="282"/>
      <c r="C1805" s="282" t="s">
        <v>260</v>
      </c>
      <c r="D1805" s="283" t="s">
        <v>2689</v>
      </c>
      <c r="E1805" s="403">
        <v>43321</v>
      </c>
      <c r="F1805" s="403">
        <v>45147</v>
      </c>
      <c r="G1805" s="283" t="s">
        <v>154</v>
      </c>
      <c r="H1805" s="282" t="s">
        <v>2623</v>
      </c>
      <c r="I1805" s="282" t="s">
        <v>590</v>
      </c>
      <c r="J1805" s="282" t="s">
        <v>156</v>
      </c>
      <c r="K1805" s="283" t="s">
        <v>2624</v>
      </c>
      <c r="L1805" s="286" t="s">
        <v>219</v>
      </c>
      <c r="M1805" s="287"/>
      <c r="N1805" s="287">
        <v>0.9</v>
      </c>
      <c r="O1805" s="287"/>
      <c r="P1805" s="287"/>
      <c r="Q1805" s="288">
        <v>3.28</v>
      </c>
      <c r="R1805" s="288"/>
      <c r="S1805" s="288"/>
      <c r="T1805" s="288"/>
      <c r="U1805" s="288">
        <v>0</v>
      </c>
      <c r="V1805" s="289">
        <v>3.28</v>
      </c>
      <c r="W1805" s="289">
        <v>0</v>
      </c>
      <c r="X1805" s="288">
        <v>3.28</v>
      </c>
      <c r="Y1805" s="288">
        <v>0</v>
      </c>
      <c r="Z1805" s="288">
        <v>0</v>
      </c>
      <c r="AA1805" s="288">
        <v>0</v>
      </c>
      <c r="AB1805" s="288">
        <v>0</v>
      </c>
      <c r="AC1805" s="289">
        <v>3.28</v>
      </c>
      <c r="AD1805" s="289">
        <v>0</v>
      </c>
    </row>
    <row r="1806" spans="1:30" ht="15" customHeight="1" x14ac:dyDescent="0.25">
      <c r="A1806" s="282" t="s">
        <v>2621</v>
      </c>
      <c r="B1806" s="282"/>
      <c r="C1806" s="282" t="s">
        <v>260</v>
      </c>
      <c r="D1806" s="283" t="s">
        <v>2690</v>
      </c>
      <c r="E1806" s="403">
        <v>43321</v>
      </c>
      <c r="F1806" s="403">
        <v>45147</v>
      </c>
      <c r="G1806" s="283" t="s">
        <v>154</v>
      </c>
      <c r="H1806" s="282" t="s">
        <v>2623</v>
      </c>
      <c r="I1806" s="282" t="s">
        <v>590</v>
      </c>
      <c r="J1806" s="282" t="s">
        <v>156</v>
      </c>
      <c r="K1806" s="283" t="s">
        <v>2624</v>
      </c>
      <c r="L1806" s="286" t="s">
        <v>219</v>
      </c>
      <c r="M1806" s="287"/>
      <c r="N1806" s="287">
        <v>2.0499999999999998</v>
      </c>
      <c r="O1806" s="287"/>
      <c r="P1806" s="287"/>
      <c r="Q1806" s="288">
        <v>3.27</v>
      </c>
      <c r="R1806" s="288"/>
      <c r="S1806" s="288"/>
      <c r="T1806" s="288"/>
      <c r="U1806" s="288">
        <v>0</v>
      </c>
      <c r="V1806" s="289">
        <v>3.27</v>
      </c>
      <c r="W1806" s="289">
        <v>0</v>
      </c>
      <c r="X1806" s="288">
        <v>3.27</v>
      </c>
      <c r="Y1806" s="288">
        <v>0</v>
      </c>
      <c r="Z1806" s="288">
        <v>0</v>
      </c>
      <c r="AA1806" s="288">
        <v>0</v>
      </c>
      <c r="AB1806" s="288">
        <v>0</v>
      </c>
      <c r="AC1806" s="289">
        <v>3.27</v>
      </c>
      <c r="AD1806" s="289">
        <v>0</v>
      </c>
    </row>
    <row r="1807" spans="1:30" ht="15" customHeight="1" x14ac:dyDescent="0.25">
      <c r="A1807" s="282" t="s">
        <v>2621</v>
      </c>
      <c r="B1807" s="282"/>
      <c r="C1807" s="282" t="s">
        <v>260</v>
      </c>
      <c r="D1807" s="283" t="s">
        <v>2691</v>
      </c>
      <c r="E1807" s="403">
        <v>43321</v>
      </c>
      <c r="F1807" s="403">
        <v>45147</v>
      </c>
      <c r="G1807" s="283" t="s">
        <v>154</v>
      </c>
      <c r="H1807" s="282" t="s">
        <v>2623</v>
      </c>
      <c r="I1807" s="282" t="s">
        <v>590</v>
      </c>
      <c r="J1807" s="282" t="s">
        <v>156</v>
      </c>
      <c r="K1807" s="283" t="s">
        <v>2624</v>
      </c>
      <c r="L1807" s="286" t="s">
        <v>219</v>
      </c>
      <c r="M1807" s="287"/>
      <c r="N1807" s="287">
        <v>1.35</v>
      </c>
      <c r="O1807" s="287"/>
      <c r="P1807" s="287"/>
      <c r="Q1807" s="288">
        <v>3.29</v>
      </c>
      <c r="R1807" s="288"/>
      <c r="S1807" s="288"/>
      <c r="T1807" s="288"/>
      <c r="U1807" s="288">
        <v>0</v>
      </c>
      <c r="V1807" s="289">
        <v>3.29</v>
      </c>
      <c r="W1807" s="289">
        <v>0</v>
      </c>
      <c r="X1807" s="288">
        <v>3.29</v>
      </c>
      <c r="Y1807" s="288">
        <v>0</v>
      </c>
      <c r="Z1807" s="288">
        <v>0</v>
      </c>
      <c r="AA1807" s="288">
        <v>0</v>
      </c>
      <c r="AB1807" s="288">
        <v>0</v>
      </c>
      <c r="AC1807" s="289">
        <v>3.29</v>
      </c>
      <c r="AD1807" s="289">
        <v>0</v>
      </c>
    </row>
    <row r="1808" spans="1:30" ht="15" customHeight="1" x14ac:dyDescent="0.25">
      <c r="A1808" s="282" t="s">
        <v>2621</v>
      </c>
      <c r="B1808" s="282"/>
      <c r="C1808" s="282" t="s">
        <v>260</v>
      </c>
      <c r="D1808" s="283" t="s">
        <v>2692</v>
      </c>
      <c r="E1808" s="403">
        <v>43321</v>
      </c>
      <c r="F1808" s="403">
        <v>45147</v>
      </c>
      <c r="G1808" s="283" t="s">
        <v>154</v>
      </c>
      <c r="H1808" s="282" t="s">
        <v>2623</v>
      </c>
      <c r="I1808" s="282" t="s">
        <v>590</v>
      </c>
      <c r="J1808" s="282" t="s">
        <v>156</v>
      </c>
      <c r="K1808" s="283" t="s">
        <v>2624</v>
      </c>
      <c r="L1808" s="286" t="s">
        <v>219</v>
      </c>
      <c r="M1808" s="287"/>
      <c r="N1808" s="287">
        <v>2.5</v>
      </c>
      <c r="O1808" s="287"/>
      <c r="P1808" s="287"/>
      <c r="Q1808" s="288">
        <v>3.25</v>
      </c>
      <c r="R1808" s="288"/>
      <c r="S1808" s="288"/>
      <c r="T1808" s="288"/>
      <c r="U1808" s="288">
        <v>0</v>
      </c>
      <c r="V1808" s="289">
        <v>3.25</v>
      </c>
      <c r="W1808" s="289">
        <v>0</v>
      </c>
      <c r="X1808" s="288">
        <v>3.25</v>
      </c>
      <c r="Y1808" s="288">
        <v>0</v>
      </c>
      <c r="Z1808" s="288">
        <v>0</v>
      </c>
      <c r="AA1808" s="288">
        <v>0</v>
      </c>
      <c r="AB1808" s="288">
        <v>0</v>
      </c>
      <c r="AC1808" s="289">
        <v>3.25</v>
      </c>
      <c r="AD1808" s="289">
        <v>0</v>
      </c>
    </row>
    <row r="1809" spans="1:30" ht="15" customHeight="1" x14ac:dyDescent="0.25">
      <c r="A1809" s="282" t="s">
        <v>2621</v>
      </c>
      <c r="B1809" s="282"/>
      <c r="C1809" s="282" t="s">
        <v>260</v>
      </c>
      <c r="D1809" s="283" t="s">
        <v>2693</v>
      </c>
      <c r="E1809" s="403">
        <v>43321</v>
      </c>
      <c r="F1809" s="403">
        <v>45147</v>
      </c>
      <c r="G1809" s="283" t="s">
        <v>154</v>
      </c>
      <c r="H1809" s="282" t="s">
        <v>2623</v>
      </c>
      <c r="I1809" s="282" t="s">
        <v>590</v>
      </c>
      <c r="J1809" s="282" t="s">
        <v>156</v>
      </c>
      <c r="K1809" s="283" t="s">
        <v>2624</v>
      </c>
      <c r="L1809" s="286" t="s">
        <v>219</v>
      </c>
      <c r="M1809" s="287"/>
      <c r="N1809" s="287">
        <v>0</v>
      </c>
      <c r="O1809" s="287"/>
      <c r="P1809" s="287"/>
      <c r="Q1809" s="288">
        <v>3.08</v>
      </c>
      <c r="R1809" s="288"/>
      <c r="S1809" s="288"/>
      <c r="T1809" s="288"/>
      <c r="U1809" s="288">
        <v>0</v>
      </c>
      <c r="V1809" s="289">
        <v>3.08</v>
      </c>
      <c r="W1809" s="289">
        <v>0</v>
      </c>
      <c r="X1809" s="288">
        <v>3.08</v>
      </c>
      <c r="Y1809" s="288">
        <v>0</v>
      </c>
      <c r="Z1809" s="288">
        <v>0</v>
      </c>
      <c r="AA1809" s="288">
        <v>0</v>
      </c>
      <c r="AB1809" s="288">
        <v>0</v>
      </c>
      <c r="AC1809" s="289">
        <v>3.08</v>
      </c>
      <c r="AD1809" s="289">
        <v>0</v>
      </c>
    </row>
    <row r="1810" spans="1:30" ht="15" customHeight="1" x14ac:dyDescent="0.25">
      <c r="A1810" s="282" t="s">
        <v>2621</v>
      </c>
      <c r="B1810" s="282"/>
      <c r="C1810" s="282" t="s">
        <v>260</v>
      </c>
      <c r="D1810" s="283" t="s">
        <v>2694</v>
      </c>
      <c r="E1810" s="403">
        <v>43321</v>
      </c>
      <c r="F1810" s="403">
        <v>45147</v>
      </c>
      <c r="G1810" s="283" t="s">
        <v>154</v>
      </c>
      <c r="H1810" s="282" t="s">
        <v>2623</v>
      </c>
      <c r="I1810" s="282" t="s">
        <v>590</v>
      </c>
      <c r="J1810" s="282" t="s">
        <v>156</v>
      </c>
      <c r="K1810" s="283" t="s">
        <v>2624</v>
      </c>
      <c r="L1810" s="286" t="s">
        <v>219</v>
      </c>
      <c r="M1810" s="287"/>
      <c r="N1810" s="287">
        <v>0</v>
      </c>
      <c r="O1810" s="287"/>
      <c r="P1810" s="287"/>
      <c r="Q1810" s="288">
        <v>3.64</v>
      </c>
      <c r="R1810" s="288"/>
      <c r="S1810" s="288"/>
      <c r="T1810" s="288"/>
      <c r="U1810" s="288">
        <v>0</v>
      </c>
      <c r="V1810" s="289">
        <v>3.64</v>
      </c>
      <c r="W1810" s="289">
        <v>0</v>
      </c>
      <c r="X1810" s="288">
        <v>3.64</v>
      </c>
      <c r="Y1810" s="288">
        <v>0</v>
      </c>
      <c r="Z1810" s="288">
        <v>0</v>
      </c>
      <c r="AA1810" s="288">
        <v>0</v>
      </c>
      <c r="AB1810" s="288">
        <v>0</v>
      </c>
      <c r="AC1810" s="289">
        <v>3.64</v>
      </c>
      <c r="AD1810" s="289">
        <v>0</v>
      </c>
    </row>
    <row r="1811" spans="1:30" ht="15" customHeight="1" x14ac:dyDescent="0.25">
      <c r="A1811" s="282" t="s">
        <v>2621</v>
      </c>
      <c r="B1811" s="282"/>
      <c r="C1811" s="282" t="s">
        <v>260</v>
      </c>
      <c r="D1811" s="283" t="s">
        <v>2695</v>
      </c>
      <c r="E1811" s="403">
        <v>43321</v>
      </c>
      <c r="F1811" s="403">
        <v>45147</v>
      </c>
      <c r="G1811" s="283" t="s">
        <v>154</v>
      </c>
      <c r="H1811" s="282" t="s">
        <v>2623</v>
      </c>
      <c r="I1811" s="282" t="s">
        <v>590</v>
      </c>
      <c r="J1811" s="282" t="s">
        <v>156</v>
      </c>
      <c r="K1811" s="283" t="s">
        <v>2624</v>
      </c>
      <c r="L1811" s="286" t="s">
        <v>219</v>
      </c>
      <c r="M1811" s="287"/>
      <c r="N1811" s="287">
        <v>0</v>
      </c>
      <c r="O1811" s="287"/>
      <c r="P1811" s="287"/>
      <c r="Q1811" s="288">
        <v>4.32</v>
      </c>
      <c r="R1811" s="288"/>
      <c r="S1811" s="288"/>
      <c r="T1811" s="288"/>
      <c r="U1811" s="288">
        <v>0</v>
      </c>
      <c r="V1811" s="289">
        <v>4.32</v>
      </c>
      <c r="W1811" s="289">
        <v>0</v>
      </c>
      <c r="X1811" s="288">
        <v>4.32</v>
      </c>
      <c r="Y1811" s="288">
        <v>0</v>
      </c>
      <c r="Z1811" s="288">
        <v>0</v>
      </c>
      <c r="AA1811" s="288">
        <v>0</v>
      </c>
      <c r="AB1811" s="288">
        <v>0</v>
      </c>
      <c r="AC1811" s="289">
        <v>4.32</v>
      </c>
      <c r="AD1811" s="289">
        <v>0</v>
      </c>
    </row>
    <row r="1812" spans="1:30" ht="15" customHeight="1" x14ac:dyDescent="0.25">
      <c r="A1812" s="282" t="s">
        <v>2696</v>
      </c>
      <c r="B1812" s="282"/>
      <c r="C1812" s="282" t="s">
        <v>260</v>
      </c>
      <c r="D1812" s="283" t="s">
        <v>2697</v>
      </c>
      <c r="E1812" s="403">
        <v>45061</v>
      </c>
      <c r="F1812" s="403">
        <v>46888</v>
      </c>
      <c r="G1812" s="283" t="s">
        <v>154</v>
      </c>
      <c r="H1812" s="282" t="s">
        <v>2698</v>
      </c>
      <c r="I1812" s="282" t="s">
        <v>590</v>
      </c>
      <c r="J1812" s="282" t="s">
        <v>156</v>
      </c>
      <c r="K1812" s="283" t="s">
        <v>2699</v>
      </c>
      <c r="L1812" s="286" t="s">
        <v>321</v>
      </c>
      <c r="M1812" s="287"/>
      <c r="N1812" s="287">
        <v>0.9</v>
      </c>
      <c r="O1812" s="287"/>
      <c r="P1812" s="287"/>
      <c r="Q1812" s="288">
        <v>16.399999999999999</v>
      </c>
      <c r="R1812" s="288">
        <v>16.399999999999999</v>
      </c>
      <c r="S1812" s="288">
        <v>5.6899999999999999E-2</v>
      </c>
      <c r="T1812" s="288"/>
      <c r="U1812" s="288">
        <v>0</v>
      </c>
      <c r="V1812" s="289">
        <v>16.456899999999997</v>
      </c>
      <c r="W1812" s="289">
        <v>0</v>
      </c>
      <c r="X1812" s="288">
        <v>18.222222222222221</v>
      </c>
      <c r="Y1812" s="288">
        <v>18.222222222222221</v>
      </c>
      <c r="Z1812" s="288">
        <v>6.3222222222222221E-2</v>
      </c>
      <c r="AA1812" s="288">
        <v>0</v>
      </c>
      <c r="AB1812" s="288">
        <v>0</v>
      </c>
      <c r="AC1812" s="289">
        <v>18.285444444444444</v>
      </c>
      <c r="AD1812" s="289">
        <v>0</v>
      </c>
    </row>
    <row r="1813" spans="1:30" ht="15" customHeight="1" x14ac:dyDescent="0.25">
      <c r="A1813" s="282" t="s">
        <v>2696</v>
      </c>
      <c r="B1813" s="282"/>
      <c r="C1813" s="282" t="s">
        <v>260</v>
      </c>
      <c r="D1813" s="283" t="s">
        <v>2700</v>
      </c>
      <c r="E1813" s="403">
        <v>45061</v>
      </c>
      <c r="F1813" s="403">
        <v>46888</v>
      </c>
      <c r="G1813" s="283" t="s">
        <v>154</v>
      </c>
      <c r="H1813" s="282" t="s">
        <v>2698</v>
      </c>
      <c r="I1813" s="282" t="s">
        <v>590</v>
      </c>
      <c r="J1813" s="282" t="s">
        <v>156</v>
      </c>
      <c r="K1813" s="283" t="s">
        <v>2699</v>
      </c>
      <c r="L1813" s="286" t="s">
        <v>321</v>
      </c>
      <c r="M1813" s="287"/>
      <c r="N1813" s="287">
        <v>3</v>
      </c>
      <c r="O1813" s="287"/>
      <c r="P1813" s="287"/>
      <c r="Q1813" s="288">
        <v>27.9</v>
      </c>
      <c r="R1813" s="288">
        <v>27.9</v>
      </c>
      <c r="S1813" s="288">
        <v>6.3799999999999996E-2</v>
      </c>
      <c r="T1813" s="288"/>
      <c r="U1813" s="288">
        <v>0</v>
      </c>
      <c r="V1813" s="289">
        <v>27.963799999999999</v>
      </c>
      <c r="W1813" s="289">
        <v>0</v>
      </c>
      <c r="X1813" s="288">
        <v>9.2999999999999989</v>
      </c>
      <c r="Y1813" s="288">
        <v>9.2999999999999989</v>
      </c>
      <c r="Z1813" s="288">
        <v>2.1266666666666666E-2</v>
      </c>
      <c r="AA1813" s="288">
        <v>0</v>
      </c>
      <c r="AB1813" s="288">
        <v>0</v>
      </c>
      <c r="AC1813" s="289">
        <v>9.3212666666666664</v>
      </c>
      <c r="AD1813" s="289">
        <v>0</v>
      </c>
    </row>
    <row r="1814" spans="1:30" ht="15" customHeight="1" x14ac:dyDescent="0.25">
      <c r="A1814" s="282" t="s">
        <v>2696</v>
      </c>
      <c r="B1814" s="282"/>
      <c r="C1814" s="282" t="s">
        <v>260</v>
      </c>
      <c r="D1814" s="283" t="s">
        <v>2701</v>
      </c>
      <c r="E1814" s="403">
        <v>45061</v>
      </c>
      <c r="F1814" s="403">
        <v>46888</v>
      </c>
      <c r="G1814" s="283" t="s">
        <v>154</v>
      </c>
      <c r="H1814" s="282" t="s">
        <v>2698</v>
      </c>
      <c r="I1814" s="282" t="s">
        <v>590</v>
      </c>
      <c r="J1814" s="282" t="s">
        <v>156</v>
      </c>
      <c r="K1814" s="283" t="s">
        <v>2699</v>
      </c>
      <c r="L1814" s="286" t="s">
        <v>321</v>
      </c>
      <c r="M1814" s="287"/>
      <c r="N1814" s="287">
        <v>3.8</v>
      </c>
      <c r="O1814" s="287"/>
      <c r="P1814" s="287"/>
      <c r="Q1814" s="288">
        <v>29.1</v>
      </c>
      <c r="R1814" s="288">
        <v>29</v>
      </c>
      <c r="S1814" s="288">
        <v>6.4799999999999996E-2</v>
      </c>
      <c r="T1814" s="288"/>
      <c r="U1814" s="288">
        <v>0</v>
      </c>
      <c r="V1814" s="289">
        <v>29.064800000000002</v>
      </c>
      <c r="W1814" s="289">
        <v>0</v>
      </c>
      <c r="X1814" s="288">
        <v>7.6578947368421062</v>
      </c>
      <c r="Y1814" s="288">
        <v>7.6315789473684212</v>
      </c>
      <c r="Z1814" s="288">
        <v>1.7052631578947368E-2</v>
      </c>
      <c r="AA1814" s="288">
        <v>0</v>
      </c>
      <c r="AB1814" s="288">
        <v>0</v>
      </c>
      <c r="AC1814" s="289">
        <v>7.6486315789473682</v>
      </c>
      <c r="AD1814" s="289">
        <v>0</v>
      </c>
    </row>
    <row r="1815" spans="1:30" ht="15" customHeight="1" x14ac:dyDescent="0.25">
      <c r="A1815" s="282" t="s">
        <v>2696</v>
      </c>
      <c r="B1815" s="282"/>
      <c r="C1815" s="282" t="s">
        <v>260</v>
      </c>
      <c r="D1815" s="283" t="s">
        <v>2702</v>
      </c>
      <c r="E1815" s="403">
        <v>45061</v>
      </c>
      <c r="F1815" s="403">
        <v>46888</v>
      </c>
      <c r="G1815" s="283" t="s">
        <v>154</v>
      </c>
      <c r="H1815" s="282" t="s">
        <v>2698</v>
      </c>
      <c r="I1815" s="282" t="s">
        <v>590</v>
      </c>
      <c r="J1815" s="282" t="s">
        <v>156</v>
      </c>
      <c r="K1815" s="283" t="s">
        <v>2699</v>
      </c>
      <c r="L1815" s="286" t="s">
        <v>321</v>
      </c>
      <c r="M1815" s="287"/>
      <c r="N1815" s="287">
        <v>3.4</v>
      </c>
      <c r="O1815" s="287"/>
      <c r="P1815" s="287"/>
      <c r="Q1815" s="288">
        <v>28.4</v>
      </c>
      <c r="R1815" s="288">
        <v>28.3</v>
      </c>
      <c r="S1815" s="288">
        <v>6.4199999999999993E-2</v>
      </c>
      <c r="T1815" s="288"/>
      <c r="U1815" s="288">
        <v>0</v>
      </c>
      <c r="V1815" s="289">
        <v>28.3642</v>
      </c>
      <c r="W1815" s="289">
        <v>0</v>
      </c>
      <c r="X1815" s="288">
        <v>8.3529411764705888</v>
      </c>
      <c r="Y1815" s="288">
        <v>8.3235294117647065</v>
      </c>
      <c r="Z1815" s="288">
        <v>1.8882352941176468E-2</v>
      </c>
      <c r="AA1815" s="288">
        <v>0</v>
      </c>
      <c r="AB1815" s="288">
        <v>0</v>
      </c>
      <c r="AC1815" s="289">
        <v>8.3424117647058829</v>
      </c>
      <c r="AD1815" s="289">
        <v>0</v>
      </c>
    </row>
    <row r="1816" spans="1:30" ht="15" customHeight="1" x14ac:dyDescent="0.25">
      <c r="A1816" s="282" t="s">
        <v>2696</v>
      </c>
      <c r="B1816" s="282"/>
      <c r="C1816" s="282" t="s">
        <v>260</v>
      </c>
      <c r="D1816" s="283" t="s">
        <v>2703</v>
      </c>
      <c r="E1816" s="403">
        <v>45061</v>
      </c>
      <c r="F1816" s="403">
        <v>46888</v>
      </c>
      <c r="G1816" s="283" t="s">
        <v>154</v>
      </c>
      <c r="H1816" s="282" t="s">
        <v>2698</v>
      </c>
      <c r="I1816" s="282" t="s">
        <v>590</v>
      </c>
      <c r="J1816" s="282" t="s">
        <v>156</v>
      </c>
      <c r="K1816" s="283" t="s">
        <v>2699</v>
      </c>
      <c r="L1816" s="286" t="s">
        <v>321</v>
      </c>
      <c r="M1816" s="287"/>
      <c r="N1816" s="287">
        <v>2.6</v>
      </c>
      <c r="O1816" s="287"/>
      <c r="P1816" s="287"/>
      <c r="Q1816" s="288">
        <v>26.4</v>
      </c>
      <c r="R1816" s="288">
        <v>26.3</v>
      </c>
      <c r="S1816" s="288">
        <v>6.2799999999999995E-2</v>
      </c>
      <c r="T1816" s="288"/>
      <c r="U1816" s="288">
        <v>0</v>
      </c>
      <c r="V1816" s="289">
        <v>26.3628</v>
      </c>
      <c r="W1816" s="289">
        <v>0</v>
      </c>
      <c r="X1816" s="288">
        <v>10.153846153846153</v>
      </c>
      <c r="Y1816" s="288">
        <v>10.115384615384615</v>
      </c>
      <c r="Z1816" s="288">
        <v>2.4153846153846151E-2</v>
      </c>
      <c r="AA1816" s="288">
        <v>0</v>
      </c>
      <c r="AB1816" s="288">
        <v>0</v>
      </c>
      <c r="AC1816" s="289">
        <v>10.139538461538461</v>
      </c>
      <c r="AD1816" s="289">
        <v>0</v>
      </c>
    </row>
    <row r="1817" spans="1:30" ht="15" customHeight="1" x14ac:dyDescent="0.25">
      <c r="A1817" s="282" t="s">
        <v>2696</v>
      </c>
      <c r="B1817" s="282"/>
      <c r="C1817" s="282" t="s">
        <v>260</v>
      </c>
      <c r="D1817" s="283" t="s">
        <v>2704</v>
      </c>
      <c r="E1817" s="403">
        <v>45061</v>
      </c>
      <c r="F1817" s="403">
        <v>46888</v>
      </c>
      <c r="G1817" s="283" t="s">
        <v>154</v>
      </c>
      <c r="H1817" s="282" t="s">
        <v>2698</v>
      </c>
      <c r="I1817" s="282" t="s">
        <v>590</v>
      </c>
      <c r="J1817" s="282" t="s">
        <v>156</v>
      </c>
      <c r="K1817" s="283" t="s">
        <v>2699</v>
      </c>
      <c r="L1817" s="286" t="s">
        <v>321</v>
      </c>
      <c r="M1817" s="287"/>
      <c r="N1817" s="287">
        <v>2.2999999999999998</v>
      </c>
      <c r="O1817" s="287"/>
      <c r="P1817" s="287"/>
      <c r="Q1817" s="288">
        <v>23.7</v>
      </c>
      <c r="R1817" s="288">
        <v>23.6</v>
      </c>
      <c r="S1817" s="288">
        <v>6.1100000000000002E-2</v>
      </c>
      <c r="T1817" s="288"/>
      <c r="U1817" s="288">
        <v>0</v>
      </c>
      <c r="V1817" s="289">
        <v>23.661100000000001</v>
      </c>
      <c r="W1817" s="289">
        <v>0</v>
      </c>
      <c r="X1817" s="288">
        <v>10.304347826086957</v>
      </c>
      <c r="Y1817" s="288">
        <v>10.260869565217392</v>
      </c>
      <c r="Z1817" s="288">
        <v>2.6565217391304352E-2</v>
      </c>
      <c r="AA1817" s="288">
        <v>0</v>
      </c>
      <c r="AB1817" s="288">
        <v>0</v>
      </c>
      <c r="AC1817" s="289">
        <v>10.287434782608697</v>
      </c>
      <c r="AD1817" s="289">
        <v>0</v>
      </c>
    </row>
    <row r="1818" spans="1:30" ht="15" customHeight="1" x14ac:dyDescent="0.25">
      <c r="A1818" s="282" t="s">
        <v>2696</v>
      </c>
      <c r="B1818" s="282"/>
      <c r="C1818" s="282" t="s">
        <v>260</v>
      </c>
      <c r="D1818" s="283" t="s">
        <v>2705</v>
      </c>
      <c r="E1818" s="403">
        <v>45061</v>
      </c>
      <c r="F1818" s="403">
        <v>46888</v>
      </c>
      <c r="G1818" s="283" t="s">
        <v>154</v>
      </c>
      <c r="H1818" s="282" t="s">
        <v>2698</v>
      </c>
      <c r="I1818" s="282" t="s">
        <v>590</v>
      </c>
      <c r="J1818" s="282" t="s">
        <v>156</v>
      </c>
      <c r="K1818" s="283" t="s">
        <v>2699</v>
      </c>
      <c r="L1818" s="286" t="s">
        <v>321</v>
      </c>
      <c r="M1818" s="287"/>
      <c r="N1818" s="287">
        <v>1.9</v>
      </c>
      <c r="O1818" s="287"/>
      <c r="P1818" s="287"/>
      <c r="Q1818" s="288">
        <v>21.6</v>
      </c>
      <c r="R1818" s="288">
        <v>21.5</v>
      </c>
      <c r="S1818" s="288">
        <v>5.9900000000000002E-2</v>
      </c>
      <c r="T1818" s="288"/>
      <c r="U1818" s="288">
        <v>0</v>
      </c>
      <c r="V1818" s="289">
        <v>21.559899999999999</v>
      </c>
      <c r="W1818" s="289">
        <v>0</v>
      </c>
      <c r="X1818" s="288">
        <v>11.368421052631581</v>
      </c>
      <c r="Y1818" s="288">
        <v>11.315789473684211</v>
      </c>
      <c r="Z1818" s="288">
        <v>3.1526315789473687E-2</v>
      </c>
      <c r="AA1818" s="288">
        <v>0</v>
      </c>
      <c r="AB1818" s="288">
        <v>0</v>
      </c>
      <c r="AC1818" s="289">
        <v>11.347315789473685</v>
      </c>
      <c r="AD1818" s="289">
        <v>0</v>
      </c>
    </row>
    <row r="1819" spans="1:30" ht="15" customHeight="1" x14ac:dyDescent="0.25">
      <c r="A1819" s="282" t="s">
        <v>2696</v>
      </c>
      <c r="B1819" s="282"/>
      <c r="C1819" s="282" t="s">
        <v>260</v>
      </c>
      <c r="D1819" s="283" t="s">
        <v>2706</v>
      </c>
      <c r="E1819" s="403">
        <v>45061</v>
      </c>
      <c r="F1819" s="403">
        <v>46888</v>
      </c>
      <c r="G1819" s="283" t="s">
        <v>154</v>
      </c>
      <c r="H1819" s="282" t="s">
        <v>2698</v>
      </c>
      <c r="I1819" s="282" t="s">
        <v>590</v>
      </c>
      <c r="J1819" s="282" t="s">
        <v>156</v>
      </c>
      <c r="K1819" s="283" t="s">
        <v>2699</v>
      </c>
      <c r="L1819" s="286" t="s">
        <v>321</v>
      </c>
      <c r="M1819" s="287"/>
      <c r="N1819" s="287">
        <v>1.5</v>
      </c>
      <c r="O1819" s="287"/>
      <c r="P1819" s="287"/>
      <c r="Q1819" s="288">
        <v>19.600000000000001</v>
      </c>
      <c r="R1819" s="288">
        <v>19.5</v>
      </c>
      <c r="S1819" s="288">
        <v>5.8599999999999999E-2</v>
      </c>
      <c r="T1819" s="288"/>
      <c r="U1819" s="288">
        <v>0</v>
      </c>
      <c r="V1819" s="289">
        <v>19.558599999999998</v>
      </c>
      <c r="W1819" s="289">
        <v>0</v>
      </c>
      <c r="X1819" s="288">
        <v>13.066666666666668</v>
      </c>
      <c r="Y1819" s="288">
        <v>13</v>
      </c>
      <c r="Z1819" s="288">
        <v>3.9066666666666666E-2</v>
      </c>
      <c r="AA1819" s="288">
        <v>0</v>
      </c>
      <c r="AB1819" s="288">
        <v>0</v>
      </c>
      <c r="AC1819" s="289">
        <v>13.039066666666667</v>
      </c>
      <c r="AD1819" s="289">
        <v>0</v>
      </c>
    </row>
    <row r="1820" spans="1:30" ht="15" customHeight="1" x14ac:dyDescent="0.25">
      <c r="A1820" s="282" t="s">
        <v>2696</v>
      </c>
      <c r="B1820" s="282"/>
      <c r="C1820" s="282" t="s">
        <v>260</v>
      </c>
      <c r="D1820" s="283" t="s">
        <v>2707</v>
      </c>
      <c r="E1820" s="403">
        <v>45061</v>
      </c>
      <c r="F1820" s="403">
        <v>46888</v>
      </c>
      <c r="G1820" s="283" t="s">
        <v>154</v>
      </c>
      <c r="H1820" s="282" t="s">
        <v>2698</v>
      </c>
      <c r="I1820" s="282" t="s">
        <v>590</v>
      </c>
      <c r="J1820" s="282" t="s">
        <v>156</v>
      </c>
      <c r="K1820" s="283" t="s">
        <v>2699</v>
      </c>
      <c r="L1820" s="286" t="s">
        <v>321</v>
      </c>
      <c r="M1820" s="287"/>
      <c r="N1820" s="287">
        <v>1.1000000000000001</v>
      </c>
      <c r="O1820" s="287"/>
      <c r="P1820" s="287"/>
      <c r="Q1820" s="288">
        <v>17.5</v>
      </c>
      <c r="R1820" s="288">
        <v>17.399999999999999</v>
      </c>
      <c r="S1820" s="288">
        <v>5.7299999999999997E-2</v>
      </c>
      <c r="T1820" s="288"/>
      <c r="U1820" s="288">
        <v>0</v>
      </c>
      <c r="V1820" s="289">
        <v>17.4573</v>
      </c>
      <c r="W1820" s="289">
        <v>0</v>
      </c>
      <c r="X1820" s="288">
        <v>15.909090909090908</v>
      </c>
      <c r="Y1820" s="288">
        <v>15.818181818181815</v>
      </c>
      <c r="Z1820" s="288">
        <v>5.2090909090909084E-2</v>
      </c>
      <c r="AA1820" s="288">
        <v>0</v>
      </c>
      <c r="AB1820" s="288">
        <v>0</v>
      </c>
      <c r="AC1820" s="289">
        <v>15.870272727272724</v>
      </c>
      <c r="AD1820" s="289">
        <v>0</v>
      </c>
    </row>
    <row r="1821" spans="1:30" ht="15" customHeight="1" x14ac:dyDescent="0.25">
      <c r="A1821" s="282" t="s">
        <v>2708</v>
      </c>
      <c r="B1821" s="282" t="s">
        <v>2709</v>
      </c>
      <c r="C1821" s="282" t="s">
        <v>2710</v>
      </c>
      <c r="D1821" s="283" t="s">
        <v>2711</v>
      </c>
      <c r="E1821" s="403">
        <v>45013</v>
      </c>
      <c r="F1821" s="403">
        <v>46839</v>
      </c>
      <c r="G1821" s="283" t="s">
        <v>237</v>
      </c>
      <c r="H1821" s="282" t="s">
        <v>2712</v>
      </c>
      <c r="I1821" s="285"/>
      <c r="J1821" s="282" t="s">
        <v>184</v>
      </c>
      <c r="K1821" s="283" t="s">
        <v>2713</v>
      </c>
      <c r="L1821" s="286" t="s">
        <v>158</v>
      </c>
      <c r="M1821" s="287" t="s">
        <v>159</v>
      </c>
      <c r="N1821" s="287" t="s">
        <v>159</v>
      </c>
      <c r="O1821" s="287" t="s">
        <v>159</v>
      </c>
      <c r="P1821" s="287" t="s">
        <v>159</v>
      </c>
      <c r="Q1821" s="288">
        <v>132</v>
      </c>
      <c r="R1821" s="288">
        <v>147</v>
      </c>
      <c r="S1821" s="288">
        <v>-15.4</v>
      </c>
      <c r="T1821" s="288">
        <v>2.3199999999999998E-2</v>
      </c>
      <c r="U1821" s="288">
        <v>0</v>
      </c>
      <c r="V1821" s="289">
        <v>147.0232</v>
      </c>
      <c r="W1821" s="289">
        <v>0</v>
      </c>
      <c r="X1821" s="288">
        <v>0.13200000000000001</v>
      </c>
      <c r="Y1821" s="288">
        <v>0.14699999999999999</v>
      </c>
      <c r="Z1821" s="288">
        <v>-1.54E-2</v>
      </c>
      <c r="AA1821" s="288">
        <v>2.3199999999999998E-5</v>
      </c>
      <c r="AB1821" s="288">
        <v>0</v>
      </c>
      <c r="AC1821" s="289">
        <v>0.14702319999999999</v>
      </c>
      <c r="AD1821" s="289">
        <v>0</v>
      </c>
    </row>
    <row r="1822" spans="1:30" ht="15" customHeight="1" x14ac:dyDescent="0.25">
      <c r="A1822" s="282" t="s">
        <v>2708</v>
      </c>
      <c r="B1822" s="282" t="s">
        <v>2709</v>
      </c>
      <c r="C1822" s="282" t="s">
        <v>2710</v>
      </c>
      <c r="D1822" s="283" t="s">
        <v>2714</v>
      </c>
      <c r="E1822" s="403">
        <v>45013</v>
      </c>
      <c r="F1822" s="403">
        <v>46839</v>
      </c>
      <c r="G1822" s="283" t="s">
        <v>237</v>
      </c>
      <c r="H1822" s="282" t="s">
        <v>2712</v>
      </c>
      <c r="I1822" s="285"/>
      <c r="J1822" s="282" t="s">
        <v>184</v>
      </c>
      <c r="K1822" s="283" t="s">
        <v>2713</v>
      </c>
      <c r="L1822" s="286" t="s">
        <v>158</v>
      </c>
      <c r="M1822" s="287" t="s">
        <v>159</v>
      </c>
      <c r="N1822" s="287" t="s">
        <v>159</v>
      </c>
      <c r="O1822" s="287" t="s">
        <v>159</v>
      </c>
      <c r="P1822" s="287" t="s">
        <v>159</v>
      </c>
      <c r="Q1822" s="288">
        <v>132</v>
      </c>
      <c r="R1822" s="288">
        <v>147</v>
      </c>
      <c r="S1822" s="288">
        <v>-15.4</v>
      </c>
      <c r="T1822" s="288">
        <v>2.3199999999999998E-2</v>
      </c>
      <c r="U1822" s="288">
        <v>0</v>
      </c>
      <c r="V1822" s="289">
        <v>147.0232</v>
      </c>
      <c r="W1822" s="289">
        <v>0</v>
      </c>
      <c r="X1822" s="288">
        <v>0.13200000000000001</v>
      </c>
      <c r="Y1822" s="288">
        <v>0.14699999999999999</v>
      </c>
      <c r="Z1822" s="288">
        <v>-1.54E-2</v>
      </c>
      <c r="AA1822" s="288">
        <v>2.3199999999999998E-5</v>
      </c>
      <c r="AB1822" s="288">
        <v>0</v>
      </c>
      <c r="AC1822" s="289">
        <v>0.14702319999999999</v>
      </c>
      <c r="AD1822" s="289">
        <v>0</v>
      </c>
    </row>
    <row r="1823" spans="1:30" ht="15" customHeight="1" x14ac:dyDescent="0.25">
      <c r="A1823" s="282" t="s">
        <v>2708</v>
      </c>
      <c r="B1823" s="282" t="s">
        <v>2709</v>
      </c>
      <c r="C1823" s="282" t="s">
        <v>2710</v>
      </c>
      <c r="D1823" s="283" t="s">
        <v>2715</v>
      </c>
      <c r="E1823" s="403">
        <v>45013</v>
      </c>
      <c r="F1823" s="403">
        <v>46839</v>
      </c>
      <c r="G1823" s="283" t="s">
        <v>237</v>
      </c>
      <c r="H1823" s="282" t="s">
        <v>2712</v>
      </c>
      <c r="I1823" s="285"/>
      <c r="J1823" s="282" t="s">
        <v>184</v>
      </c>
      <c r="K1823" s="283" t="s">
        <v>2713</v>
      </c>
      <c r="L1823" s="286" t="s">
        <v>158</v>
      </c>
      <c r="M1823" s="287" t="s">
        <v>159</v>
      </c>
      <c r="N1823" s="287" t="s">
        <v>159</v>
      </c>
      <c r="O1823" s="287" t="s">
        <v>159</v>
      </c>
      <c r="P1823" s="287" t="s">
        <v>159</v>
      </c>
      <c r="Q1823" s="288">
        <v>132</v>
      </c>
      <c r="R1823" s="288">
        <v>147</v>
      </c>
      <c r="S1823" s="288">
        <v>-15.4</v>
      </c>
      <c r="T1823" s="288">
        <v>2.3199999999999998E-2</v>
      </c>
      <c r="U1823" s="288">
        <v>0</v>
      </c>
      <c r="V1823" s="289">
        <v>147.0232</v>
      </c>
      <c r="W1823" s="289">
        <v>0</v>
      </c>
      <c r="X1823" s="288">
        <v>0.13200000000000001</v>
      </c>
      <c r="Y1823" s="288">
        <v>0.14699999999999999</v>
      </c>
      <c r="Z1823" s="288">
        <v>-1.54E-2</v>
      </c>
      <c r="AA1823" s="288">
        <v>2.3199999999999998E-5</v>
      </c>
      <c r="AB1823" s="288">
        <v>0</v>
      </c>
      <c r="AC1823" s="289">
        <v>0.14702319999999999</v>
      </c>
      <c r="AD1823" s="289">
        <v>0</v>
      </c>
    </row>
    <row r="1824" spans="1:30" ht="15" customHeight="1" x14ac:dyDescent="0.25">
      <c r="A1824" s="282" t="s">
        <v>2708</v>
      </c>
      <c r="B1824" s="282" t="s">
        <v>2709</v>
      </c>
      <c r="C1824" s="282" t="s">
        <v>2710</v>
      </c>
      <c r="D1824" s="283" t="s">
        <v>2716</v>
      </c>
      <c r="E1824" s="403">
        <v>45013</v>
      </c>
      <c r="F1824" s="403">
        <v>46839</v>
      </c>
      <c r="G1824" s="283" t="s">
        <v>237</v>
      </c>
      <c r="H1824" s="282" t="s">
        <v>2712</v>
      </c>
      <c r="I1824" s="285"/>
      <c r="J1824" s="282" t="s">
        <v>184</v>
      </c>
      <c r="K1824" s="283" t="s">
        <v>2713</v>
      </c>
      <c r="L1824" s="286" t="s">
        <v>158</v>
      </c>
      <c r="M1824" s="287" t="s">
        <v>159</v>
      </c>
      <c r="N1824" s="287" t="s">
        <v>159</v>
      </c>
      <c r="O1824" s="287" t="s">
        <v>159</v>
      </c>
      <c r="P1824" s="287" t="s">
        <v>159</v>
      </c>
      <c r="Q1824" s="288">
        <v>132</v>
      </c>
      <c r="R1824" s="288">
        <v>147</v>
      </c>
      <c r="S1824" s="288">
        <v>-15.4</v>
      </c>
      <c r="T1824" s="288">
        <v>2.3199999999999998E-2</v>
      </c>
      <c r="U1824" s="288">
        <v>0</v>
      </c>
      <c r="V1824" s="289">
        <v>147.0232</v>
      </c>
      <c r="W1824" s="289">
        <v>0</v>
      </c>
      <c r="X1824" s="288">
        <v>0.13200000000000001</v>
      </c>
      <c r="Y1824" s="288">
        <v>0.14699999999999999</v>
      </c>
      <c r="Z1824" s="288">
        <v>-1.54E-2</v>
      </c>
      <c r="AA1824" s="288">
        <v>2.3199999999999998E-5</v>
      </c>
      <c r="AB1824" s="288">
        <v>0</v>
      </c>
      <c r="AC1824" s="289">
        <v>0.14702319999999999</v>
      </c>
      <c r="AD1824" s="289">
        <v>0</v>
      </c>
    </row>
    <row r="1825" spans="1:30" ht="15" customHeight="1" x14ac:dyDescent="0.25">
      <c r="A1825" s="282" t="s">
        <v>2708</v>
      </c>
      <c r="B1825" s="282" t="s">
        <v>2709</v>
      </c>
      <c r="C1825" s="282" t="s">
        <v>2710</v>
      </c>
      <c r="D1825" s="283" t="s">
        <v>2717</v>
      </c>
      <c r="E1825" s="403">
        <v>45013</v>
      </c>
      <c r="F1825" s="403">
        <v>46839</v>
      </c>
      <c r="G1825" s="283" t="s">
        <v>237</v>
      </c>
      <c r="H1825" s="282" t="s">
        <v>2712</v>
      </c>
      <c r="I1825" s="285"/>
      <c r="J1825" s="282" t="s">
        <v>184</v>
      </c>
      <c r="K1825" s="283" t="s">
        <v>2713</v>
      </c>
      <c r="L1825" s="286" t="s">
        <v>158</v>
      </c>
      <c r="M1825" s="287" t="s">
        <v>159</v>
      </c>
      <c r="N1825" s="287" t="s">
        <v>159</v>
      </c>
      <c r="O1825" s="287" t="s">
        <v>159</v>
      </c>
      <c r="P1825" s="287" t="s">
        <v>159</v>
      </c>
      <c r="Q1825" s="288">
        <v>132</v>
      </c>
      <c r="R1825" s="288">
        <v>147</v>
      </c>
      <c r="S1825" s="288">
        <v>-15.4</v>
      </c>
      <c r="T1825" s="288">
        <v>2.3199999999999998E-2</v>
      </c>
      <c r="U1825" s="288">
        <v>0</v>
      </c>
      <c r="V1825" s="289">
        <v>147.0232</v>
      </c>
      <c r="W1825" s="289">
        <v>0</v>
      </c>
      <c r="X1825" s="288">
        <v>0.13200000000000001</v>
      </c>
      <c r="Y1825" s="288">
        <v>0.14699999999999999</v>
      </c>
      <c r="Z1825" s="288">
        <v>-1.54E-2</v>
      </c>
      <c r="AA1825" s="288">
        <v>2.3199999999999998E-5</v>
      </c>
      <c r="AB1825" s="288">
        <v>0</v>
      </c>
      <c r="AC1825" s="289">
        <v>0.14702319999999999</v>
      </c>
      <c r="AD1825" s="289">
        <v>0</v>
      </c>
    </row>
    <row r="1826" spans="1:30" ht="15" customHeight="1" x14ac:dyDescent="0.25">
      <c r="A1826" s="282" t="s">
        <v>2708</v>
      </c>
      <c r="B1826" s="282" t="s">
        <v>2709</v>
      </c>
      <c r="C1826" s="282" t="s">
        <v>2710</v>
      </c>
      <c r="D1826" s="283" t="s">
        <v>2718</v>
      </c>
      <c r="E1826" s="403">
        <v>45013</v>
      </c>
      <c r="F1826" s="403">
        <v>46839</v>
      </c>
      <c r="G1826" s="283" t="s">
        <v>237</v>
      </c>
      <c r="H1826" s="282" t="s">
        <v>2712</v>
      </c>
      <c r="I1826" s="285"/>
      <c r="J1826" s="282" t="s">
        <v>184</v>
      </c>
      <c r="K1826" s="283" t="s">
        <v>2713</v>
      </c>
      <c r="L1826" s="286" t="s">
        <v>158</v>
      </c>
      <c r="M1826" s="287" t="s">
        <v>159</v>
      </c>
      <c r="N1826" s="287" t="s">
        <v>159</v>
      </c>
      <c r="O1826" s="287" t="s">
        <v>159</v>
      </c>
      <c r="P1826" s="287" t="s">
        <v>159</v>
      </c>
      <c r="Q1826" s="288">
        <v>132</v>
      </c>
      <c r="R1826" s="288">
        <v>147</v>
      </c>
      <c r="S1826" s="288">
        <v>-15.4</v>
      </c>
      <c r="T1826" s="288">
        <v>2.3199999999999998E-2</v>
      </c>
      <c r="U1826" s="288">
        <v>0</v>
      </c>
      <c r="V1826" s="289">
        <v>147.0232</v>
      </c>
      <c r="W1826" s="289">
        <v>0</v>
      </c>
      <c r="X1826" s="288">
        <v>0.13200000000000001</v>
      </c>
      <c r="Y1826" s="288">
        <v>0.14699999999999999</v>
      </c>
      <c r="Z1826" s="288">
        <v>-1.54E-2</v>
      </c>
      <c r="AA1826" s="288">
        <v>2.3199999999999998E-5</v>
      </c>
      <c r="AB1826" s="288">
        <v>0</v>
      </c>
      <c r="AC1826" s="289">
        <v>0.14702319999999999</v>
      </c>
      <c r="AD1826" s="289">
        <v>0</v>
      </c>
    </row>
    <row r="1827" spans="1:30" ht="15" customHeight="1" x14ac:dyDescent="0.25">
      <c r="A1827" s="282" t="s">
        <v>2708</v>
      </c>
      <c r="B1827" s="282" t="s">
        <v>2709</v>
      </c>
      <c r="C1827" s="282" t="s">
        <v>2710</v>
      </c>
      <c r="D1827" s="283" t="s">
        <v>2719</v>
      </c>
      <c r="E1827" s="403">
        <v>45013</v>
      </c>
      <c r="F1827" s="403">
        <v>46839</v>
      </c>
      <c r="G1827" s="283" t="s">
        <v>237</v>
      </c>
      <c r="H1827" s="282" t="s">
        <v>2712</v>
      </c>
      <c r="I1827" s="285"/>
      <c r="J1827" s="282" t="s">
        <v>184</v>
      </c>
      <c r="K1827" s="283" t="s">
        <v>2713</v>
      </c>
      <c r="L1827" s="286" t="s">
        <v>158</v>
      </c>
      <c r="M1827" s="287" t="s">
        <v>159</v>
      </c>
      <c r="N1827" s="287" t="s">
        <v>159</v>
      </c>
      <c r="O1827" s="287" t="s">
        <v>159</v>
      </c>
      <c r="P1827" s="287" t="s">
        <v>159</v>
      </c>
      <c r="Q1827" s="288">
        <v>132</v>
      </c>
      <c r="R1827" s="288">
        <v>147</v>
      </c>
      <c r="S1827" s="288">
        <v>-15.4</v>
      </c>
      <c r="T1827" s="288">
        <v>2.3199999999999998E-2</v>
      </c>
      <c r="U1827" s="288">
        <v>0</v>
      </c>
      <c r="V1827" s="289">
        <v>147.0232</v>
      </c>
      <c r="W1827" s="289">
        <v>0</v>
      </c>
      <c r="X1827" s="288">
        <v>0.13200000000000001</v>
      </c>
      <c r="Y1827" s="288">
        <v>0.14699999999999999</v>
      </c>
      <c r="Z1827" s="288">
        <v>-1.54E-2</v>
      </c>
      <c r="AA1827" s="288">
        <v>2.3199999999999998E-5</v>
      </c>
      <c r="AB1827" s="288">
        <v>0</v>
      </c>
      <c r="AC1827" s="289">
        <v>0.14702319999999999</v>
      </c>
      <c r="AD1827" s="289">
        <v>0</v>
      </c>
    </row>
    <row r="1828" spans="1:30" ht="15" customHeight="1" x14ac:dyDescent="0.25">
      <c r="A1828" s="282" t="s">
        <v>2708</v>
      </c>
      <c r="B1828" s="282" t="s">
        <v>2709</v>
      </c>
      <c r="C1828" s="282" t="s">
        <v>2710</v>
      </c>
      <c r="D1828" s="283" t="s">
        <v>2720</v>
      </c>
      <c r="E1828" s="403">
        <v>45013</v>
      </c>
      <c r="F1828" s="403">
        <v>46839</v>
      </c>
      <c r="G1828" s="283" t="s">
        <v>237</v>
      </c>
      <c r="H1828" s="282" t="s">
        <v>2712</v>
      </c>
      <c r="I1828" s="285"/>
      <c r="J1828" s="282" t="s">
        <v>184</v>
      </c>
      <c r="K1828" s="283" t="s">
        <v>2713</v>
      </c>
      <c r="L1828" s="286" t="s">
        <v>158</v>
      </c>
      <c r="M1828" s="287" t="s">
        <v>159</v>
      </c>
      <c r="N1828" s="287" t="s">
        <v>159</v>
      </c>
      <c r="O1828" s="287" t="s">
        <v>159</v>
      </c>
      <c r="P1828" s="287" t="s">
        <v>159</v>
      </c>
      <c r="Q1828" s="288">
        <v>132</v>
      </c>
      <c r="R1828" s="288">
        <v>147</v>
      </c>
      <c r="S1828" s="288">
        <v>-15.4</v>
      </c>
      <c r="T1828" s="288">
        <v>2.3199999999999998E-2</v>
      </c>
      <c r="U1828" s="288">
        <v>0</v>
      </c>
      <c r="V1828" s="289">
        <v>147.0232</v>
      </c>
      <c r="W1828" s="289">
        <v>0</v>
      </c>
      <c r="X1828" s="288">
        <v>0.13200000000000001</v>
      </c>
      <c r="Y1828" s="288">
        <v>0.14699999999999999</v>
      </c>
      <c r="Z1828" s="288">
        <v>-1.54E-2</v>
      </c>
      <c r="AA1828" s="288">
        <v>2.3199999999999998E-5</v>
      </c>
      <c r="AB1828" s="288">
        <v>0</v>
      </c>
      <c r="AC1828" s="289">
        <v>0.14702319999999999</v>
      </c>
      <c r="AD1828" s="289">
        <v>0</v>
      </c>
    </row>
    <row r="1829" spans="1:30" ht="15" customHeight="1" x14ac:dyDescent="0.25">
      <c r="A1829" s="282" t="s">
        <v>2708</v>
      </c>
      <c r="B1829" s="282" t="s">
        <v>2709</v>
      </c>
      <c r="C1829" s="282" t="s">
        <v>2710</v>
      </c>
      <c r="D1829" s="283" t="s">
        <v>2721</v>
      </c>
      <c r="E1829" s="403">
        <v>45013</v>
      </c>
      <c r="F1829" s="403">
        <v>46839</v>
      </c>
      <c r="G1829" s="283" t="s">
        <v>237</v>
      </c>
      <c r="H1829" s="282" t="s">
        <v>2712</v>
      </c>
      <c r="I1829" s="285"/>
      <c r="J1829" s="282" t="s">
        <v>184</v>
      </c>
      <c r="K1829" s="283" t="s">
        <v>2713</v>
      </c>
      <c r="L1829" s="286" t="s">
        <v>158</v>
      </c>
      <c r="M1829" s="287" t="s">
        <v>159</v>
      </c>
      <c r="N1829" s="287" t="s">
        <v>159</v>
      </c>
      <c r="O1829" s="287" t="s">
        <v>159</v>
      </c>
      <c r="P1829" s="287" t="s">
        <v>159</v>
      </c>
      <c r="Q1829" s="288">
        <v>132</v>
      </c>
      <c r="R1829" s="288">
        <v>147</v>
      </c>
      <c r="S1829" s="288">
        <v>-15.4</v>
      </c>
      <c r="T1829" s="288">
        <v>2.3199999999999998E-2</v>
      </c>
      <c r="U1829" s="288">
        <v>0</v>
      </c>
      <c r="V1829" s="289">
        <v>147.0232</v>
      </c>
      <c r="W1829" s="289">
        <v>0</v>
      </c>
      <c r="X1829" s="288">
        <v>0.13200000000000001</v>
      </c>
      <c r="Y1829" s="288">
        <v>0.14699999999999999</v>
      </c>
      <c r="Z1829" s="288">
        <v>-1.54E-2</v>
      </c>
      <c r="AA1829" s="288">
        <v>2.3199999999999998E-5</v>
      </c>
      <c r="AB1829" s="288">
        <v>0</v>
      </c>
      <c r="AC1829" s="289">
        <v>0.14702319999999999</v>
      </c>
      <c r="AD1829" s="289">
        <v>0</v>
      </c>
    </row>
    <row r="1830" spans="1:30" ht="15" customHeight="1" x14ac:dyDescent="0.25">
      <c r="A1830" s="282" t="s">
        <v>2708</v>
      </c>
      <c r="B1830" s="282" t="s">
        <v>2709</v>
      </c>
      <c r="C1830" s="282" t="s">
        <v>2710</v>
      </c>
      <c r="D1830" s="283" t="s">
        <v>2722</v>
      </c>
      <c r="E1830" s="403">
        <v>45013</v>
      </c>
      <c r="F1830" s="403">
        <v>46839</v>
      </c>
      <c r="G1830" s="283" t="s">
        <v>237</v>
      </c>
      <c r="H1830" s="282" t="s">
        <v>2712</v>
      </c>
      <c r="I1830" s="285"/>
      <c r="J1830" s="282" t="s">
        <v>184</v>
      </c>
      <c r="K1830" s="283" t="s">
        <v>2713</v>
      </c>
      <c r="L1830" s="286" t="s">
        <v>158</v>
      </c>
      <c r="M1830" s="287" t="s">
        <v>159</v>
      </c>
      <c r="N1830" s="287" t="s">
        <v>159</v>
      </c>
      <c r="O1830" s="287" t="s">
        <v>159</v>
      </c>
      <c r="P1830" s="287" t="s">
        <v>159</v>
      </c>
      <c r="Q1830" s="288">
        <v>132</v>
      </c>
      <c r="R1830" s="288">
        <v>147</v>
      </c>
      <c r="S1830" s="288">
        <v>-15.4</v>
      </c>
      <c r="T1830" s="288">
        <v>2.3199999999999998E-2</v>
      </c>
      <c r="U1830" s="288">
        <v>0</v>
      </c>
      <c r="V1830" s="289">
        <v>147.0232</v>
      </c>
      <c r="W1830" s="289">
        <v>0</v>
      </c>
      <c r="X1830" s="288">
        <v>0.13200000000000001</v>
      </c>
      <c r="Y1830" s="288">
        <v>0.14699999999999999</v>
      </c>
      <c r="Z1830" s="288">
        <v>-1.54E-2</v>
      </c>
      <c r="AA1830" s="288">
        <v>2.3199999999999998E-5</v>
      </c>
      <c r="AB1830" s="288">
        <v>0</v>
      </c>
      <c r="AC1830" s="289">
        <v>0.14702319999999999</v>
      </c>
      <c r="AD1830" s="289">
        <v>0</v>
      </c>
    </row>
    <row r="1831" spans="1:30" ht="15" customHeight="1" x14ac:dyDescent="0.25">
      <c r="A1831" s="282" t="s">
        <v>2708</v>
      </c>
      <c r="B1831" s="282" t="s">
        <v>2709</v>
      </c>
      <c r="C1831" s="282" t="s">
        <v>2710</v>
      </c>
      <c r="D1831" s="283" t="s">
        <v>2723</v>
      </c>
      <c r="E1831" s="403">
        <v>45013</v>
      </c>
      <c r="F1831" s="403">
        <v>46839</v>
      </c>
      <c r="G1831" s="283" t="s">
        <v>237</v>
      </c>
      <c r="H1831" s="282" t="s">
        <v>2712</v>
      </c>
      <c r="I1831" s="285"/>
      <c r="J1831" s="282" t="s">
        <v>184</v>
      </c>
      <c r="K1831" s="283" t="s">
        <v>2713</v>
      </c>
      <c r="L1831" s="286" t="s">
        <v>158</v>
      </c>
      <c r="M1831" s="287" t="s">
        <v>159</v>
      </c>
      <c r="N1831" s="287" t="s">
        <v>159</v>
      </c>
      <c r="O1831" s="287" t="s">
        <v>159</v>
      </c>
      <c r="P1831" s="287" t="s">
        <v>159</v>
      </c>
      <c r="Q1831" s="288">
        <v>132</v>
      </c>
      <c r="R1831" s="288">
        <v>147</v>
      </c>
      <c r="S1831" s="288">
        <v>-15.4</v>
      </c>
      <c r="T1831" s="288">
        <v>2.3199999999999998E-2</v>
      </c>
      <c r="U1831" s="288">
        <v>0</v>
      </c>
      <c r="V1831" s="289">
        <v>147.0232</v>
      </c>
      <c r="W1831" s="289">
        <v>0</v>
      </c>
      <c r="X1831" s="288">
        <v>0.13200000000000001</v>
      </c>
      <c r="Y1831" s="288">
        <v>0.14699999999999999</v>
      </c>
      <c r="Z1831" s="288">
        <v>-1.54E-2</v>
      </c>
      <c r="AA1831" s="288">
        <v>2.3199999999999998E-5</v>
      </c>
      <c r="AB1831" s="288">
        <v>0</v>
      </c>
      <c r="AC1831" s="289">
        <v>0.14702319999999999</v>
      </c>
      <c r="AD1831" s="289">
        <v>0</v>
      </c>
    </row>
    <row r="1832" spans="1:30" ht="15" customHeight="1" x14ac:dyDescent="0.25">
      <c r="A1832" s="282" t="s">
        <v>2708</v>
      </c>
      <c r="B1832" s="282" t="s">
        <v>2709</v>
      </c>
      <c r="C1832" s="282" t="s">
        <v>2710</v>
      </c>
      <c r="D1832" s="283" t="s">
        <v>2724</v>
      </c>
      <c r="E1832" s="403">
        <v>45013</v>
      </c>
      <c r="F1832" s="403">
        <v>46839</v>
      </c>
      <c r="G1832" s="283" t="s">
        <v>237</v>
      </c>
      <c r="H1832" s="282" t="s">
        <v>2712</v>
      </c>
      <c r="I1832" s="285"/>
      <c r="J1832" s="282" t="s">
        <v>184</v>
      </c>
      <c r="K1832" s="283" t="s">
        <v>2713</v>
      </c>
      <c r="L1832" s="286" t="s">
        <v>158</v>
      </c>
      <c r="M1832" s="287" t="s">
        <v>159</v>
      </c>
      <c r="N1832" s="287" t="s">
        <v>159</v>
      </c>
      <c r="O1832" s="287" t="s">
        <v>159</v>
      </c>
      <c r="P1832" s="287" t="s">
        <v>159</v>
      </c>
      <c r="Q1832" s="288">
        <v>132</v>
      </c>
      <c r="R1832" s="288">
        <v>147</v>
      </c>
      <c r="S1832" s="288">
        <v>-15.4</v>
      </c>
      <c r="T1832" s="288">
        <v>2.3199999999999998E-2</v>
      </c>
      <c r="U1832" s="288">
        <v>0</v>
      </c>
      <c r="V1832" s="289">
        <v>147.0232</v>
      </c>
      <c r="W1832" s="289">
        <v>0</v>
      </c>
      <c r="X1832" s="288">
        <v>0.13200000000000001</v>
      </c>
      <c r="Y1832" s="288">
        <v>0.14699999999999999</v>
      </c>
      <c r="Z1832" s="288">
        <v>-1.54E-2</v>
      </c>
      <c r="AA1832" s="288">
        <v>2.3199999999999998E-5</v>
      </c>
      <c r="AB1832" s="288">
        <v>0</v>
      </c>
      <c r="AC1832" s="289">
        <v>0.14702319999999999</v>
      </c>
      <c r="AD1832" s="289">
        <v>0</v>
      </c>
    </row>
    <row r="1833" spans="1:30" ht="15" customHeight="1" x14ac:dyDescent="0.25">
      <c r="A1833" s="282" t="s">
        <v>2708</v>
      </c>
      <c r="B1833" s="282" t="s">
        <v>2709</v>
      </c>
      <c r="C1833" s="282" t="s">
        <v>2710</v>
      </c>
      <c r="D1833" s="283" t="s">
        <v>2725</v>
      </c>
      <c r="E1833" s="403">
        <v>45013</v>
      </c>
      <c r="F1833" s="403">
        <v>46839</v>
      </c>
      <c r="G1833" s="283" t="s">
        <v>237</v>
      </c>
      <c r="H1833" s="282" t="s">
        <v>2712</v>
      </c>
      <c r="I1833" s="285"/>
      <c r="J1833" s="282" t="s">
        <v>184</v>
      </c>
      <c r="K1833" s="283" t="s">
        <v>2713</v>
      </c>
      <c r="L1833" s="286" t="s">
        <v>158</v>
      </c>
      <c r="M1833" s="287" t="s">
        <v>159</v>
      </c>
      <c r="N1833" s="287" t="s">
        <v>159</v>
      </c>
      <c r="O1833" s="287" t="s">
        <v>159</v>
      </c>
      <c r="P1833" s="287" t="s">
        <v>159</v>
      </c>
      <c r="Q1833" s="288">
        <v>132</v>
      </c>
      <c r="R1833" s="288">
        <v>147</v>
      </c>
      <c r="S1833" s="288">
        <v>-15.4</v>
      </c>
      <c r="T1833" s="288">
        <v>2.3199999999999998E-2</v>
      </c>
      <c r="U1833" s="288">
        <v>0</v>
      </c>
      <c r="V1833" s="289">
        <v>147.0232</v>
      </c>
      <c r="W1833" s="289">
        <v>0</v>
      </c>
      <c r="X1833" s="288">
        <v>0.13200000000000001</v>
      </c>
      <c r="Y1833" s="288">
        <v>0.14699999999999999</v>
      </c>
      <c r="Z1833" s="288">
        <v>-1.54E-2</v>
      </c>
      <c r="AA1833" s="288">
        <v>2.3199999999999998E-5</v>
      </c>
      <c r="AB1833" s="288">
        <v>0</v>
      </c>
      <c r="AC1833" s="289">
        <v>0.14702319999999999</v>
      </c>
      <c r="AD1833" s="289">
        <v>0</v>
      </c>
    </row>
    <row r="1834" spans="1:30" ht="15" customHeight="1" x14ac:dyDescent="0.25">
      <c r="A1834" s="282" t="s">
        <v>2708</v>
      </c>
      <c r="B1834" s="282" t="s">
        <v>2709</v>
      </c>
      <c r="C1834" s="282" t="s">
        <v>2710</v>
      </c>
      <c r="D1834" s="283" t="s">
        <v>2726</v>
      </c>
      <c r="E1834" s="403">
        <v>45013</v>
      </c>
      <c r="F1834" s="403">
        <v>46839</v>
      </c>
      <c r="G1834" s="283" t="s">
        <v>237</v>
      </c>
      <c r="H1834" s="282" t="s">
        <v>2712</v>
      </c>
      <c r="I1834" s="285"/>
      <c r="J1834" s="282" t="s">
        <v>184</v>
      </c>
      <c r="K1834" s="283" t="s">
        <v>2713</v>
      </c>
      <c r="L1834" s="286" t="s">
        <v>158</v>
      </c>
      <c r="M1834" s="287" t="s">
        <v>159</v>
      </c>
      <c r="N1834" s="287" t="s">
        <v>159</v>
      </c>
      <c r="O1834" s="287" t="s">
        <v>159</v>
      </c>
      <c r="P1834" s="287" t="s">
        <v>159</v>
      </c>
      <c r="Q1834" s="288">
        <v>132</v>
      </c>
      <c r="R1834" s="288">
        <v>147</v>
      </c>
      <c r="S1834" s="288">
        <v>-15.4</v>
      </c>
      <c r="T1834" s="288">
        <v>2.3199999999999998E-2</v>
      </c>
      <c r="U1834" s="288">
        <v>0</v>
      </c>
      <c r="V1834" s="289">
        <v>147.0232</v>
      </c>
      <c r="W1834" s="289">
        <v>0</v>
      </c>
      <c r="X1834" s="288">
        <v>0.13200000000000001</v>
      </c>
      <c r="Y1834" s="288">
        <v>0.14699999999999999</v>
      </c>
      <c r="Z1834" s="288">
        <v>-1.54E-2</v>
      </c>
      <c r="AA1834" s="288">
        <v>2.3199999999999998E-5</v>
      </c>
      <c r="AB1834" s="288">
        <v>0</v>
      </c>
      <c r="AC1834" s="289">
        <v>0.14702319999999999</v>
      </c>
      <c r="AD1834" s="289">
        <v>0</v>
      </c>
    </row>
    <row r="1835" spans="1:30" ht="15" customHeight="1" x14ac:dyDescent="0.25">
      <c r="A1835" s="282" t="s">
        <v>2708</v>
      </c>
      <c r="B1835" s="282" t="s">
        <v>2709</v>
      </c>
      <c r="C1835" s="282" t="s">
        <v>2710</v>
      </c>
      <c r="D1835" s="283" t="s">
        <v>2727</v>
      </c>
      <c r="E1835" s="403">
        <v>45013</v>
      </c>
      <c r="F1835" s="403">
        <v>46839</v>
      </c>
      <c r="G1835" s="283" t="s">
        <v>237</v>
      </c>
      <c r="H1835" s="282" t="s">
        <v>2712</v>
      </c>
      <c r="I1835" s="285"/>
      <c r="J1835" s="282" t="s">
        <v>184</v>
      </c>
      <c r="K1835" s="283" t="s">
        <v>2713</v>
      </c>
      <c r="L1835" s="286" t="s">
        <v>158</v>
      </c>
      <c r="M1835" s="287" t="s">
        <v>159</v>
      </c>
      <c r="N1835" s="287" t="s">
        <v>159</v>
      </c>
      <c r="O1835" s="287" t="s">
        <v>159</v>
      </c>
      <c r="P1835" s="287" t="s">
        <v>159</v>
      </c>
      <c r="Q1835" s="288">
        <v>132</v>
      </c>
      <c r="R1835" s="288">
        <v>147</v>
      </c>
      <c r="S1835" s="288">
        <v>-15.4</v>
      </c>
      <c r="T1835" s="288">
        <v>2.3199999999999998E-2</v>
      </c>
      <c r="U1835" s="288">
        <v>0</v>
      </c>
      <c r="V1835" s="289">
        <v>147.0232</v>
      </c>
      <c r="W1835" s="289">
        <v>0</v>
      </c>
      <c r="X1835" s="288">
        <v>0.13200000000000001</v>
      </c>
      <c r="Y1835" s="288">
        <v>0.14699999999999999</v>
      </c>
      <c r="Z1835" s="288">
        <v>-1.54E-2</v>
      </c>
      <c r="AA1835" s="288">
        <v>2.3199999999999998E-5</v>
      </c>
      <c r="AB1835" s="288">
        <v>0</v>
      </c>
      <c r="AC1835" s="289">
        <v>0.14702319999999999</v>
      </c>
      <c r="AD1835" s="289">
        <v>0</v>
      </c>
    </row>
    <row r="1836" spans="1:30" ht="15" customHeight="1" x14ac:dyDescent="0.25">
      <c r="A1836" s="282" t="s">
        <v>2708</v>
      </c>
      <c r="B1836" s="282" t="s">
        <v>2709</v>
      </c>
      <c r="C1836" s="282" t="s">
        <v>2710</v>
      </c>
      <c r="D1836" s="283" t="s">
        <v>2728</v>
      </c>
      <c r="E1836" s="403">
        <v>45013</v>
      </c>
      <c r="F1836" s="403">
        <v>46839</v>
      </c>
      <c r="G1836" s="283" t="s">
        <v>237</v>
      </c>
      <c r="H1836" s="282" t="s">
        <v>2712</v>
      </c>
      <c r="I1836" s="285"/>
      <c r="J1836" s="282" t="s">
        <v>184</v>
      </c>
      <c r="K1836" s="283" t="s">
        <v>2713</v>
      </c>
      <c r="L1836" s="286" t="s">
        <v>158</v>
      </c>
      <c r="M1836" s="287" t="s">
        <v>159</v>
      </c>
      <c r="N1836" s="287" t="s">
        <v>159</v>
      </c>
      <c r="O1836" s="287" t="s">
        <v>159</v>
      </c>
      <c r="P1836" s="287" t="s">
        <v>159</v>
      </c>
      <c r="Q1836" s="288">
        <v>132</v>
      </c>
      <c r="R1836" s="288">
        <v>147</v>
      </c>
      <c r="S1836" s="288">
        <v>-15.4</v>
      </c>
      <c r="T1836" s="288">
        <v>2.3199999999999998E-2</v>
      </c>
      <c r="U1836" s="288">
        <v>0</v>
      </c>
      <c r="V1836" s="289">
        <v>147.0232</v>
      </c>
      <c r="W1836" s="289">
        <v>0</v>
      </c>
      <c r="X1836" s="288">
        <v>0.13200000000000001</v>
      </c>
      <c r="Y1836" s="288">
        <v>0.14699999999999999</v>
      </c>
      <c r="Z1836" s="288">
        <v>-1.54E-2</v>
      </c>
      <c r="AA1836" s="288">
        <v>2.3199999999999998E-5</v>
      </c>
      <c r="AB1836" s="288">
        <v>0</v>
      </c>
      <c r="AC1836" s="289">
        <v>0.14702319999999999</v>
      </c>
      <c r="AD1836" s="289">
        <v>0</v>
      </c>
    </row>
    <row r="1837" spans="1:30" ht="15" customHeight="1" x14ac:dyDescent="0.25">
      <c r="A1837" s="282" t="s">
        <v>2708</v>
      </c>
      <c r="B1837" s="282" t="s">
        <v>2709</v>
      </c>
      <c r="C1837" s="282" t="s">
        <v>2710</v>
      </c>
      <c r="D1837" s="283" t="s">
        <v>2729</v>
      </c>
      <c r="E1837" s="403">
        <v>45013</v>
      </c>
      <c r="F1837" s="403">
        <v>46839</v>
      </c>
      <c r="G1837" s="283" t="s">
        <v>237</v>
      </c>
      <c r="H1837" s="282" t="s">
        <v>2712</v>
      </c>
      <c r="I1837" s="285"/>
      <c r="J1837" s="282" t="s">
        <v>184</v>
      </c>
      <c r="K1837" s="283" t="s">
        <v>2713</v>
      </c>
      <c r="L1837" s="286" t="s">
        <v>158</v>
      </c>
      <c r="M1837" s="287" t="s">
        <v>159</v>
      </c>
      <c r="N1837" s="287" t="s">
        <v>159</v>
      </c>
      <c r="O1837" s="287" t="s">
        <v>159</v>
      </c>
      <c r="P1837" s="287" t="s">
        <v>159</v>
      </c>
      <c r="Q1837" s="288">
        <v>132</v>
      </c>
      <c r="R1837" s="288">
        <v>147</v>
      </c>
      <c r="S1837" s="288">
        <v>-15.4</v>
      </c>
      <c r="T1837" s="288">
        <v>2.3199999999999998E-2</v>
      </c>
      <c r="U1837" s="288">
        <v>0</v>
      </c>
      <c r="V1837" s="289">
        <v>147.0232</v>
      </c>
      <c r="W1837" s="289">
        <v>0</v>
      </c>
      <c r="X1837" s="288">
        <v>0.13200000000000001</v>
      </c>
      <c r="Y1837" s="288">
        <v>0.14699999999999999</v>
      </c>
      <c r="Z1837" s="288">
        <v>-1.54E-2</v>
      </c>
      <c r="AA1837" s="288">
        <v>2.3199999999999998E-5</v>
      </c>
      <c r="AB1837" s="288">
        <v>0</v>
      </c>
      <c r="AC1837" s="289">
        <v>0.14702319999999999</v>
      </c>
      <c r="AD1837" s="289">
        <v>0</v>
      </c>
    </row>
    <row r="1838" spans="1:30" ht="15" customHeight="1" x14ac:dyDescent="0.25">
      <c r="A1838" s="282" t="s">
        <v>2708</v>
      </c>
      <c r="B1838" s="282" t="s">
        <v>2709</v>
      </c>
      <c r="C1838" s="282" t="s">
        <v>2710</v>
      </c>
      <c r="D1838" s="283" t="s">
        <v>2730</v>
      </c>
      <c r="E1838" s="403">
        <v>45013</v>
      </c>
      <c r="F1838" s="403">
        <v>46839</v>
      </c>
      <c r="G1838" s="283" t="s">
        <v>237</v>
      </c>
      <c r="H1838" s="282" t="s">
        <v>2712</v>
      </c>
      <c r="I1838" s="285"/>
      <c r="J1838" s="282" t="s">
        <v>184</v>
      </c>
      <c r="K1838" s="283" t="s">
        <v>2713</v>
      </c>
      <c r="L1838" s="286" t="s">
        <v>158</v>
      </c>
      <c r="M1838" s="287" t="s">
        <v>159</v>
      </c>
      <c r="N1838" s="287" t="s">
        <v>159</v>
      </c>
      <c r="O1838" s="287" t="s">
        <v>159</v>
      </c>
      <c r="P1838" s="287" t="s">
        <v>159</v>
      </c>
      <c r="Q1838" s="288">
        <v>132</v>
      </c>
      <c r="R1838" s="288">
        <v>147</v>
      </c>
      <c r="S1838" s="288">
        <v>-15.4</v>
      </c>
      <c r="T1838" s="288">
        <v>2.3199999999999998E-2</v>
      </c>
      <c r="U1838" s="288">
        <v>0</v>
      </c>
      <c r="V1838" s="289">
        <v>147.0232</v>
      </c>
      <c r="W1838" s="289">
        <v>0</v>
      </c>
      <c r="X1838" s="288">
        <v>0.13200000000000001</v>
      </c>
      <c r="Y1838" s="288">
        <v>0.14699999999999999</v>
      </c>
      <c r="Z1838" s="288">
        <v>-1.54E-2</v>
      </c>
      <c r="AA1838" s="288">
        <v>2.3199999999999998E-5</v>
      </c>
      <c r="AB1838" s="288">
        <v>0</v>
      </c>
      <c r="AC1838" s="289">
        <v>0.14702319999999999</v>
      </c>
      <c r="AD1838" s="289">
        <v>0</v>
      </c>
    </row>
    <row r="1839" spans="1:30" ht="15" customHeight="1" x14ac:dyDescent="0.25">
      <c r="A1839" s="282" t="s">
        <v>2708</v>
      </c>
      <c r="B1839" s="282" t="s">
        <v>2709</v>
      </c>
      <c r="C1839" s="282" t="s">
        <v>2710</v>
      </c>
      <c r="D1839" s="283" t="s">
        <v>2731</v>
      </c>
      <c r="E1839" s="403">
        <v>45013</v>
      </c>
      <c r="F1839" s="403">
        <v>46839</v>
      </c>
      <c r="G1839" s="283" t="s">
        <v>237</v>
      </c>
      <c r="H1839" s="282" t="s">
        <v>2712</v>
      </c>
      <c r="I1839" s="285"/>
      <c r="J1839" s="282" t="s">
        <v>184</v>
      </c>
      <c r="K1839" s="283" t="s">
        <v>2713</v>
      </c>
      <c r="L1839" s="286" t="s">
        <v>158</v>
      </c>
      <c r="M1839" s="287" t="s">
        <v>159</v>
      </c>
      <c r="N1839" s="287" t="s">
        <v>159</v>
      </c>
      <c r="O1839" s="287" t="s">
        <v>159</v>
      </c>
      <c r="P1839" s="287" t="s">
        <v>159</v>
      </c>
      <c r="Q1839" s="288">
        <v>132</v>
      </c>
      <c r="R1839" s="288">
        <v>147</v>
      </c>
      <c r="S1839" s="288">
        <v>-15.4</v>
      </c>
      <c r="T1839" s="288">
        <v>2.3199999999999998E-2</v>
      </c>
      <c r="U1839" s="288">
        <v>0</v>
      </c>
      <c r="V1839" s="289">
        <v>147.0232</v>
      </c>
      <c r="W1839" s="289">
        <v>0</v>
      </c>
      <c r="X1839" s="288">
        <v>0.13200000000000001</v>
      </c>
      <c r="Y1839" s="288">
        <v>0.14699999999999999</v>
      </c>
      <c r="Z1839" s="288">
        <v>-1.54E-2</v>
      </c>
      <c r="AA1839" s="288">
        <v>2.3199999999999998E-5</v>
      </c>
      <c r="AB1839" s="288">
        <v>0</v>
      </c>
      <c r="AC1839" s="289">
        <v>0.14702319999999999</v>
      </c>
      <c r="AD1839" s="289">
        <v>0</v>
      </c>
    </row>
    <row r="1840" spans="1:30" ht="15" customHeight="1" x14ac:dyDescent="0.25">
      <c r="A1840" s="282" t="s">
        <v>2708</v>
      </c>
      <c r="B1840" s="282" t="s">
        <v>2709</v>
      </c>
      <c r="C1840" s="282" t="s">
        <v>2710</v>
      </c>
      <c r="D1840" s="283" t="s">
        <v>2732</v>
      </c>
      <c r="E1840" s="403">
        <v>45013</v>
      </c>
      <c r="F1840" s="403">
        <v>46839</v>
      </c>
      <c r="G1840" s="283" t="s">
        <v>237</v>
      </c>
      <c r="H1840" s="282" t="s">
        <v>2712</v>
      </c>
      <c r="I1840" s="285"/>
      <c r="J1840" s="282" t="s">
        <v>184</v>
      </c>
      <c r="K1840" s="283" t="s">
        <v>2713</v>
      </c>
      <c r="L1840" s="286" t="s">
        <v>158</v>
      </c>
      <c r="M1840" s="287" t="s">
        <v>159</v>
      </c>
      <c r="N1840" s="287" t="s">
        <v>159</v>
      </c>
      <c r="O1840" s="287" t="s">
        <v>159</v>
      </c>
      <c r="P1840" s="287" t="s">
        <v>159</v>
      </c>
      <c r="Q1840" s="288">
        <v>132</v>
      </c>
      <c r="R1840" s="288">
        <v>147</v>
      </c>
      <c r="S1840" s="288">
        <v>-15.4</v>
      </c>
      <c r="T1840" s="288">
        <v>2.3199999999999998E-2</v>
      </c>
      <c r="U1840" s="288">
        <v>0</v>
      </c>
      <c r="V1840" s="289">
        <v>147.0232</v>
      </c>
      <c r="W1840" s="289">
        <v>0</v>
      </c>
      <c r="X1840" s="288">
        <v>0.13200000000000001</v>
      </c>
      <c r="Y1840" s="288">
        <v>0.14699999999999999</v>
      </c>
      <c r="Z1840" s="288">
        <v>-1.54E-2</v>
      </c>
      <c r="AA1840" s="288">
        <v>2.3199999999999998E-5</v>
      </c>
      <c r="AB1840" s="288">
        <v>0</v>
      </c>
      <c r="AC1840" s="289">
        <v>0.14702319999999999</v>
      </c>
      <c r="AD1840" s="289">
        <v>0</v>
      </c>
    </row>
    <row r="1841" spans="1:30" ht="15" customHeight="1" x14ac:dyDescent="0.25">
      <c r="A1841" s="282" t="s">
        <v>2708</v>
      </c>
      <c r="B1841" s="282" t="s">
        <v>2709</v>
      </c>
      <c r="C1841" s="282" t="s">
        <v>2710</v>
      </c>
      <c r="D1841" s="283" t="s">
        <v>2733</v>
      </c>
      <c r="E1841" s="403">
        <v>45013</v>
      </c>
      <c r="F1841" s="403">
        <v>46839</v>
      </c>
      <c r="G1841" s="283" t="s">
        <v>237</v>
      </c>
      <c r="H1841" s="282" t="s">
        <v>2712</v>
      </c>
      <c r="I1841" s="285"/>
      <c r="J1841" s="282" t="s">
        <v>184</v>
      </c>
      <c r="K1841" s="283" t="s">
        <v>2713</v>
      </c>
      <c r="L1841" s="286" t="s">
        <v>158</v>
      </c>
      <c r="M1841" s="287" t="s">
        <v>159</v>
      </c>
      <c r="N1841" s="287" t="s">
        <v>159</v>
      </c>
      <c r="O1841" s="287" t="s">
        <v>159</v>
      </c>
      <c r="P1841" s="287" t="s">
        <v>159</v>
      </c>
      <c r="Q1841" s="288">
        <v>132</v>
      </c>
      <c r="R1841" s="288">
        <v>147</v>
      </c>
      <c r="S1841" s="288">
        <v>-15.4</v>
      </c>
      <c r="T1841" s="288">
        <v>2.3199999999999998E-2</v>
      </c>
      <c r="U1841" s="288">
        <v>0</v>
      </c>
      <c r="V1841" s="289">
        <v>147.0232</v>
      </c>
      <c r="W1841" s="289">
        <v>0</v>
      </c>
      <c r="X1841" s="288">
        <v>0.13200000000000001</v>
      </c>
      <c r="Y1841" s="288">
        <v>0.14699999999999999</v>
      </c>
      <c r="Z1841" s="288">
        <v>-1.54E-2</v>
      </c>
      <c r="AA1841" s="288">
        <v>2.3199999999999998E-5</v>
      </c>
      <c r="AB1841" s="288">
        <v>0</v>
      </c>
      <c r="AC1841" s="289">
        <v>0.14702319999999999</v>
      </c>
      <c r="AD1841" s="289">
        <v>0</v>
      </c>
    </row>
    <row r="1842" spans="1:30" ht="15" customHeight="1" x14ac:dyDescent="0.25">
      <c r="A1842" s="282" t="s">
        <v>2708</v>
      </c>
      <c r="B1842" s="282" t="s">
        <v>2709</v>
      </c>
      <c r="C1842" s="282" t="s">
        <v>2710</v>
      </c>
      <c r="D1842" s="283" t="s">
        <v>2734</v>
      </c>
      <c r="E1842" s="403">
        <v>45013</v>
      </c>
      <c r="F1842" s="403">
        <v>46839</v>
      </c>
      <c r="G1842" s="283" t="s">
        <v>237</v>
      </c>
      <c r="H1842" s="282" t="s">
        <v>2712</v>
      </c>
      <c r="I1842" s="285"/>
      <c r="J1842" s="282" t="s">
        <v>184</v>
      </c>
      <c r="K1842" s="283" t="s">
        <v>2713</v>
      </c>
      <c r="L1842" s="286" t="s">
        <v>158</v>
      </c>
      <c r="M1842" s="287" t="s">
        <v>159</v>
      </c>
      <c r="N1842" s="287" t="s">
        <v>159</v>
      </c>
      <c r="O1842" s="287" t="s">
        <v>159</v>
      </c>
      <c r="P1842" s="287" t="s">
        <v>159</v>
      </c>
      <c r="Q1842" s="288">
        <v>132</v>
      </c>
      <c r="R1842" s="288">
        <v>147</v>
      </c>
      <c r="S1842" s="288">
        <v>-15.4</v>
      </c>
      <c r="T1842" s="288">
        <v>2.3199999999999998E-2</v>
      </c>
      <c r="U1842" s="288">
        <v>0</v>
      </c>
      <c r="V1842" s="289">
        <v>147.0232</v>
      </c>
      <c r="W1842" s="289">
        <v>0</v>
      </c>
      <c r="X1842" s="288">
        <v>0.13200000000000001</v>
      </c>
      <c r="Y1842" s="288">
        <v>0.14699999999999999</v>
      </c>
      <c r="Z1842" s="288">
        <v>-1.54E-2</v>
      </c>
      <c r="AA1842" s="288">
        <v>2.3199999999999998E-5</v>
      </c>
      <c r="AB1842" s="288">
        <v>0</v>
      </c>
      <c r="AC1842" s="289">
        <v>0.14702319999999999</v>
      </c>
      <c r="AD1842" s="289">
        <v>0</v>
      </c>
    </row>
    <row r="1843" spans="1:30" ht="15" customHeight="1" x14ac:dyDescent="0.25">
      <c r="A1843" s="282" t="s">
        <v>2708</v>
      </c>
      <c r="B1843" s="282" t="s">
        <v>2709</v>
      </c>
      <c r="C1843" s="282" t="s">
        <v>2710</v>
      </c>
      <c r="D1843" s="283" t="s">
        <v>2735</v>
      </c>
      <c r="E1843" s="403">
        <v>45013</v>
      </c>
      <c r="F1843" s="403">
        <v>46839</v>
      </c>
      <c r="G1843" s="283" t="s">
        <v>237</v>
      </c>
      <c r="H1843" s="282" t="s">
        <v>2712</v>
      </c>
      <c r="I1843" s="285"/>
      <c r="J1843" s="282" t="s">
        <v>184</v>
      </c>
      <c r="K1843" s="283" t="s">
        <v>2713</v>
      </c>
      <c r="L1843" s="286" t="s">
        <v>158</v>
      </c>
      <c r="M1843" s="287" t="s">
        <v>159</v>
      </c>
      <c r="N1843" s="287" t="s">
        <v>159</v>
      </c>
      <c r="O1843" s="287" t="s">
        <v>159</v>
      </c>
      <c r="P1843" s="287" t="s">
        <v>159</v>
      </c>
      <c r="Q1843" s="288">
        <v>132</v>
      </c>
      <c r="R1843" s="288">
        <v>147</v>
      </c>
      <c r="S1843" s="288">
        <v>-15.4</v>
      </c>
      <c r="T1843" s="288">
        <v>2.3199999999999998E-2</v>
      </c>
      <c r="U1843" s="288">
        <v>0</v>
      </c>
      <c r="V1843" s="289">
        <v>147.0232</v>
      </c>
      <c r="W1843" s="289">
        <v>0</v>
      </c>
      <c r="X1843" s="288">
        <v>0.13200000000000001</v>
      </c>
      <c r="Y1843" s="288">
        <v>0.14699999999999999</v>
      </c>
      <c r="Z1843" s="288">
        <v>-1.54E-2</v>
      </c>
      <c r="AA1843" s="288">
        <v>2.3199999999999998E-5</v>
      </c>
      <c r="AB1843" s="288">
        <v>0</v>
      </c>
      <c r="AC1843" s="289">
        <v>0.14702319999999999</v>
      </c>
      <c r="AD1843" s="289">
        <v>0</v>
      </c>
    </row>
    <row r="1844" spans="1:30" ht="15" customHeight="1" x14ac:dyDescent="0.25">
      <c r="A1844" s="282" t="s">
        <v>2708</v>
      </c>
      <c r="B1844" s="282" t="s">
        <v>2709</v>
      </c>
      <c r="C1844" s="282" t="s">
        <v>2710</v>
      </c>
      <c r="D1844" s="283" t="s">
        <v>2736</v>
      </c>
      <c r="E1844" s="403">
        <v>45013</v>
      </c>
      <c r="F1844" s="403">
        <v>46839</v>
      </c>
      <c r="G1844" s="283" t="s">
        <v>237</v>
      </c>
      <c r="H1844" s="282" t="s">
        <v>2712</v>
      </c>
      <c r="I1844" s="285"/>
      <c r="J1844" s="282" t="s">
        <v>184</v>
      </c>
      <c r="K1844" s="283" t="s">
        <v>2713</v>
      </c>
      <c r="L1844" s="286" t="s">
        <v>158</v>
      </c>
      <c r="M1844" s="287" t="s">
        <v>159</v>
      </c>
      <c r="N1844" s="287" t="s">
        <v>159</v>
      </c>
      <c r="O1844" s="287" t="s">
        <v>159</v>
      </c>
      <c r="P1844" s="287" t="s">
        <v>159</v>
      </c>
      <c r="Q1844" s="288">
        <v>132</v>
      </c>
      <c r="R1844" s="288">
        <v>147</v>
      </c>
      <c r="S1844" s="288">
        <v>-15.4</v>
      </c>
      <c r="T1844" s="288">
        <v>2.3199999999999998E-2</v>
      </c>
      <c r="U1844" s="288">
        <v>0</v>
      </c>
      <c r="V1844" s="289">
        <v>147.0232</v>
      </c>
      <c r="W1844" s="289">
        <v>0</v>
      </c>
      <c r="X1844" s="288">
        <v>0.13200000000000001</v>
      </c>
      <c r="Y1844" s="288">
        <v>0.14699999999999999</v>
      </c>
      <c r="Z1844" s="288">
        <v>-1.54E-2</v>
      </c>
      <c r="AA1844" s="288">
        <v>2.3199999999999998E-5</v>
      </c>
      <c r="AB1844" s="288">
        <v>0</v>
      </c>
      <c r="AC1844" s="289">
        <v>0.14702319999999999</v>
      </c>
      <c r="AD1844" s="289">
        <v>0</v>
      </c>
    </row>
    <row r="1845" spans="1:30" ht="15" customHeight="1" x14ac:dyDescent="0.25">
      <c r="A1845" s="282" t="s">
        <v>2708</v>
      </c>
      <c r="B1845" s="282" t="s">
        <v>2709</v>
      </c>
      <c r="C1845" s="282" t="s">
        <v>2710</v>
      </c>
      <c r="D1845" s="283" t="s">
        <v>2737</v>
      </c>
      <c r="E1845" s="403">
        <v>45013</v>
      </c>
      <c r="F1845" s="403">
        <v>46839</v>
      </c>
      <c r="G1845" s="283" t="s">
        <v>237</v>
      </c>
      <c r="H1845" s="282" t="s">
        <v>2712</v>
      </c>
      <c r="I1845" s="285"/>
      <c r="J1845" s="282" t="s">
        <v>184</v>
      </c>
      <c r="K1845" s="283" t="s">
        <v>2713</v>
      </c>
      <c r="L1845" s="286" t="s">
        <v>158</v>
      </c>
      <c r="M1845" s="287" t="s">
        <v>159</v>
      </c>
      <c r="N1845" s="287" t="s">
        <v>159</v>
      </c>
      <c r="O1845" s="287" t="s">
        <v>159</v>
      </c>
      <c r="P1845" s="287" t="s">
        <v>159</v>
      </c>
      <c r="Q1845" s="288">
        <v>132</v>
      </c>
      <c r="R1845" s="288">
        <v>147</v>
      </c>
      <c r="S1845" s="288">
        <v>-15.4</v>
      </c>
      <c r="T1845" s="288">
        <v>2.3199999999999998E-2</v>
      </c>
      <c r="U1845" s="288">
        <v>0</v>
      </c>
      <c r="V1845" s="289">
        <v>147.0232</v>
      </c>
      <c r="W1845" s="289">
        <v>0</v>
      </c>
      <c r="X1845" s="288">
        <v>0.13200000000000001</v>
      </c>
      <c r="Y1845" s="288">
        <v>0.14699999999999999</v>
      </c>
      <c r="Z1845" s="288">
        <v>-1.54E-2</v>
      </c>
      <c r="AA1845" s="288">
        <v>2.3199999999999998E-5</v>
      </c>
      <c r="AB1845" s="288">
        <v>0</v>
      </c>
      <c r="AC1845" s="289">
        <v>0.14702319999999999</v>
      </c>
      <c r="AD1845" s="289">
        <v>0</v>
      </c>
    </row>
    <row r="1846" spans="1:30" ht="15" customHeight="1" x14ac:dyDescent="0.25">
      <c r="A1846" s="282" t="s">
        <v>2708</v>
      </c>
      <c r="B1846" s="282" t="s">
        <v>2709</v>
      </c>
      <c r="C1846" s="282" t="s">
        <v>2710</v>
      </c>
      <c r="D1846" s="283" t="s">
        <v>2737</v>
      </c>
      <c r="E1846" s="403">
        <v>45013</v>
      </c>
      <c r="F1846" s="403">
        <v>46839</v>
      </c>
      <c r="G1846" s="283" t="s">
        <v>237</v>
      </c>
      <c r="H1846" s="282" t="s">
        <v>2712</v>
      </c>
      <c r="I1846" s="285"/>
      <c r="J1846" s="282" t="s">
        <v>184</v>
      </c>
      <c r="K1846" s="283" t="s">
        <v>2713</v>
      </c>
      <c r="L1846" s="286" t="s">
        <v>158</v>
      </c>
      <c r="M1846" s="287" t="s">
        <v>159</v>
      </c>
      <c r="N1846" s="287" t="s">
        <v>159</v>
      </c>
      <c r="O1846" s="287" t="s">
        <v>159</v>
      </c>
      <c r="P1846" s="287" t="s">
        <v>159</v>
      </c>
      <c r="Q1846" s="288">
        <v>132</v>
      </c>
      <c r="R1846" s="288">
        <v>147</v>
      </c>
      <c r="S1846" s="288">
        <v>-15.4</v>
      </c>
      <c r="T1846" s="288">
        <v>2.3199999999999998E-2</v>
      </c>
      <c r="U1846" s="288">
        <v>0</v>
      </c>
      <c r="V1846" s="289">
        <v>147.0232</v>
      </c>
      <c r="W1846" s="289">
        <v>0</v>
      </c>
      <c r="X1846" s="288">
        <v>0.13200000000000001</v>
      </c>
      <c r="Y1846" s="288">
        <v>0.14699999999999999</v>
      </c>
      <c r="Z1846" s="288">
        <v>-1.54E-2</v>
      </c>
      <c r="AA1846" s="288">
        <v>2.3199999999999998E-5</v>
      </c>
      <c r="AB1846" s="288">
        <v>0</v>
      </c>
      <c r="AC1846" s="289">
        <v>0.14702319999999999</v>
      </c>
      <c r="AD1846" s="289">
        <v>0</v>
      </c>
    </row>
    <row r="1847" spans="1:30" ht="15" customHeight="1" x14ac:dyDescent="0.25">
      <c r="A1847" s="282" t="s">
        <v>2708</v>
      </c>
      <c r="B1847" s="282" t="s">
        <v>2709</v>
      </c>
      <c r="C1847" s="282" t="s">
        <v>2710</v>
      </c>
      <c r="D1847" s="283" t="s">
        <v>2738</v>
      </c>
      <c r="E1847" s="403">
        <v>45013</v>
      </c>
      <c r="F1847" s="403">
        <v>46839</v>
      </c>
      <c r="G1847" s="283" t="s">
        <v>237</v>
      </c>
      <c r="H1847" s="282" t="s">
        <v>2712</v>
      </c>
      <c r="I1847" s="285"/>
      <c r="J1847" s="282" t="s">
        <v>184</v>
      </c>
      <c r="K1847" s="283" t="s">
        <v>2713</v>
      </c>
      <c r="L1847" s="286" t="s">
        <v>158</v>
      </c>
      <c r="M1847" s="287" t="s">
        <v>159</v>
      </c>
      <c r="N1847" s="287" t="s">
        <v>159</v>
      </c>
      <c r="O1847" s="287" t="s">
        <v>159</v>
      </c>
      <c r="P1847" s="287" t="s">
        <v>159</v>
      </c>
      <c r="Q1847" s="288">
        <v>184</v>
      </c>
      <c r="R1847" s="288">
        <v>199</v>
      </c>
      <c r="S1847" s="288">
        <v>-15</v>
      </c>
      <c r="T1847" s="288">
        <v>2.3300000000000001E-2</v>
      </c>
      <c r="U1847" s="288">
        <v>0</v>
      </c>
      <c r="V1847" s="289">
        <v>199.02330000000001</v>
      </c>
      <c r="W1847" s="289">
        <v>0</v>
      </c>
      <c r="X1847" s="288">
        <v>0.184</v>
      </c>
      <c r="Y1847" s="288">
        <v>0.19900000000000001</v>
      </c>
      <c r="Z1847" s="288">
        <v>-1.4999999999999999E-2</v>
      </c>
      <c r="AA1847" s="288">
        <v>2.3300000000000001E-5</v>
      </c>
      <c r="AB1847" s="288">
        <v>0</v>
      </c>
      <c r="AC1847" s="289">
        <v>0.19902330000000001</v>
      </c>
      <c r="AD1847" s="289">
        <v>0</v>
      </c>
    </row>
    <row r="1848" spans="1:30" ht="15" customHeight="1" x14ac:dyDescent="0.25">
      <c r="A1848" s="282" t="s">
        <v>2708</v>
      </c>
      <c r="B1848" s="282" t="s">
        <v>2709</v>
      </c>
      <c r="C1848" s="282" t="s">
        <v>2710</v>
      </c>
      <c r="D1848" s="283" t="s">
        <v>2739</v>
      </c>
      <c r="E1848" s="403">
        <v>45013</v>
      </c>
      <c r="F1848" s="403">
        <v>46839</v>
      </c>
      <c r="G1848" s="283" t="s">
        <v>237</v>
      </c>
      <c r="H1848" s="282" t="s">
        <v>2712</v>
      </c>
      <c r="I1848" s="285"/>
      <c r="J1848" s="282" t="s">
        <v>184</v>
      </c>
      <c r="K1848" s="283" t="s">
        <v>2713</v>
      </c>
      <c r="L1848" s="286" t="s">
        <v>158</v>
      </c>
      <c r="M1848" s="287" t="s">
        <v>159</v>
      </c>
      <c r="N1848" s="287" t="s">
        <v>159</v>
      </c>
      <c r="O1848" s="287" t="s">
        <v>159</v>
      </c>
      <c r="P1848" s="287" t="s">
        <v>159</v>
      </c>
      <c r="Q1848" s="288">
        <v>184</v>
      </c>
      <c r="R1848" s="288">
        <v>199</v>
      </c>
      <c r="S1848" s="288">
        <v>-15</v>
      </c>
      <c r="T1848" s="288">
        <v>2.3300000000000001E-2</v>
      </c>
      <c r="U1848" s="288">
        <v>0</v>
      </c>
      <c r="V1848" s="289">
        <v>199.02330000000001</v>
      </c>
      <c r="W1848" s="289">
        <v>0</v>
      </c>
      <c r="X1848" s="288">
        <v>0.184</v>
      </c>
      <c r="Y1848" s="288">
        <v>0.19900000000000001</v>
      </c>
      <c r="Z1848" s="288">
        <v>-1.4999999999999999E-2</v>
      </c>
      <c r="AA1848" s="288">
        <v>2.3300000000000001E-5</v>
      </c>
      <c r="AB1848" s="288">
        <v>0</v>
      </c>
      <c r="AC1848" s="289">
        <v>0.19902330000000001</v>
      </c>
      <c r="AD1848" s="289">
        <v>0</v>
      </c>
    </row>
    <row r="1849" spans="1:30" ht="15" customHeight="1" x14ac:dyDescent="0.25">
      <c r="A1849" s="282" t="s">
        <v>2708</v>
      </c>
      <c r="B1849" s="282" t="s">
        <v>2709</v>
      </c>
      <c r="C1849" s="282" t="s">
        <v>2710</v>
      </c>
      <c r="D1849" s="283" t="s">
        <v>2740</v>
      </c>
      <c r="E1849" s="403">
        <v>45013</v>
      </c>
      <c r="F1849" s="403">
        <v>46839</v>
      </c>
      <c r="G1849" s="283" t="s">
        <v>237</v>
      </c>
      <c r="H1849" s="282" t="s">
        <v>2712</v>
      </c>
      <c r="I1849" s="285"/>
      <c r="J1849" s="282" t="s">
        <v>184</v>
      </c>
      <c r="K1849" s="283" t="s">
        <v>2713</v>
      </c>
      <c r="L1849" s="286" t="s">
        <v>158</v>
      </c>
      <c r="M1849" s="287" t="s">
        <v>159</v>
      </c>
      <c r="N1849" s="287" t="s">
        <v>159</v>
      </c>
      <c r="O1849" s="287" t="s">
        <v>159</v>
      </c>
      <c r="P1849" s="287" t="s">
        <v>159</v>
      </c>
      <c r="Q1849" s="288">
        <v>184</v>
      </c>
      <c r="R1849" s="288">
        <v>199</v>
      </c>
      <c r="S1849" s="288">
        <v>-15</v>
      </c>
      <c r="T1849" s="288">
        <v>2.3300000000000001E-2</v>
      </c>
      <c r="U1849" s="288">
        <v>0</v>
      </c>
      <c r="V1849" s="289">
        <v>199.02330000000001</v>
      </c>
      <c r="W1849" s="289">
        <v>0</v>
      </c>
      <c r="X1849" s="288">
        <v>0.184</v>
      </c>
      <c r="Y1849" s="288">
        <v>0.19900000000000001</v>
      </c>
      <c r="Z1849" s="288">
        <v>-1.4999999999999999E-2</v>
      </c>
      <c r="AA1849" s="288">
        <v>2.3300000000000001E-5</v>
      </c>
      <c r="AB1849" s="288">
        <v>0</v>
      </c>
      <c r="AC1849" s="289">
        <v>0.19902330000000001</v>
      </c>
      <c r="AD1849" s="289">
        <v>0</v>
      </c>
    </row>
    <row r="1850" spans="1:30" ht="15" customHeight="1" x14ac:dyDescent="0.25">
      <c r="A1850" s="282" t="s">
        <v>2708</v>
      </c>
      <c r="B1850" s="282" t="s">
        <v>2709</v>
      </c>
      <c r="C1850" s="282" t="s">
        <v>2710</v>
      </c>
      <c r="D1850" s="283" t="s">
        <v>2741</v>
      </c>
      <c r="E1850" s="403">
        <v>45013</v>
      </c>
      <c r="F1850" s="403">
        <v>46839</v>
      </c>
      <c r="G1850" s="283" t="s">
        <v>237</v>
      </c>
      <c r="H1850" s="282" t="s">
        <v>2712</v>
      </c>
      <c r="I1850" s="285"/>
      <c r="J1850" s="282" t="s">
        <v>184</v>
      </c>
      <c r="K1850" s="283" t="s">
        <v>2713</v>
      </c>
      <c r="L1850" s="286" t="s">
        <v>158</v>
      </c>
      <c r="M1850" s="287" t="s">
        <v>159</v>
      </c>
      <c r="N1850" s="287" t="s">
        <v>159</v>
      </c>
      <c r="O1850" s="287" t="s">
        <v>159</v>
      </c>
      <c r="P1850" s="287" t="s">
        <v>159</v>
      </c>
      <c r="Q1850" s="288">
        <v>184</v>
      </c>
      <c r="R1850" s="288">
        <v>199</v>
      </c>
      <c r="S1850" s="288">
        <v>-15</v>
      </c>
      <c r="T1850" s="288">
        <v>2.3300000000000001E-2</v>
      </c>
      <c r="U1850" s="288">
        <v>0</v>
      </c>
      <c r="V1850" s="289">
        <v>199.02330000000001</v>
      </c>
      <c r="W1850" s="289">
        <v>0</v>
      </c>
      <c r="X1850" s="288">
        <v>0.184</v>
      </c>
      <c r="Y1850" s="288">
        <v>0.19900000000000001</v>
      </c>
      <c r="Z1850" s="288">
        <v>-1.4999999999999999E-2</v>
      </c>
      <c r="AA1850" s="288">
        <v>2.3300000000000001E-5</v>
      </c>
      <c r="AB1850" s="288">
        <v>0</v>
      </c>
      <c r="AC1850" s="289">
        <v>0.19902330000000001</v>
      </c>
      <c r="AD1850" s="289">
        <v>0</v>
      </c>
    </row>
    <row r="1851" spans="1:30" ht="15" customHeight="1" x14ac:dyDescent="0.25">
      <c r="A1851" s="282" t="s">
        <v>2708</v>
      </c>
      <c r="B1851" s="282" t="s">
        <v>2709</v>
      </c>
      <c r="C1851" s="282" t="s">
        <v>2710</v>
      </c>
      <c r="D1851" s="283" t="s">
        <v>2742</v>
      </c>
      <c r="E1851" s="403">
        <v>45013</v>
      </c>
      <c r="F1851" s="403">
        <v>46839</v>
      </c>
      <c r="G1851" s="283" t="s">
        <v>237</v>
      </c>
      <c r="H1851" s="282" t="s">
        <v>2712</v>
      </c>
      <c r="I1851" s="285"/>
      <c r="J1851" s="282" t="s">
        <v>184</v>
      </c>
      <c r="K1851" s="283" t="s">
        <v>2713</v>
      </c>
      <c r="L1851" s="286" t="s">
        <v>158</v>
      </c>
      <c r="M1851" s="287" t="s">
        <v>159</v>
      </c>
      <c r="N1851" s="287" t="s">
        <v>159</v>
      </c>
      <c r="O1851" s="287" t="s">
        <v>159</v>
      </c>
      <c r="P1851" s="287" t="s">
        <v>159</v>
      </c>
      <c r="Q1851" s="288">
        <v>184</v>
      </c>
      <c r="R1851" s="288">
        <v>199</v>
      </c>
      <c r="S1851" s="288">
        <v>-15</v>
      </c>
      <c r="T1851" s="288">
        <v>2.3300000000000001E-2</v>
      </c>
      <c r="U1851" s="288">
        <v>0</v>
      </c>
      <c r="V1851" s="289">
        <v>199.02330000000001</v>
      </c>
      <c r="W1851" s="289">
        <v>0</v>
      </c>
      <c r="X1851" s="288">
        <v>0.184</v>
      </c>
      <c r="Y1851" s="288">
        <v>0.19900000000000001</v>
      </c>
      <c r="Z1851" s="288">
        <v>-1.4999999999999999E-2</v>
      </c>
      <c r="AA1851" s="288">
        <v>2.3300000000000001E-5</v>
      </c>
      <c r="AB1851" s="288">
        <v>0</v>
      </c>
      <c r="AC1851" s="289">
        <v>0.19902330000000001</v>
      </c>
      <c r="AD1851" s="289">
        <v>0</v>
      </c>
    </row>
    <row r="1852" spans="1:30" ht="15" customHeight="1" x14ac:dyDescent="0.25">
      <c r="A1852" s="282" t="s">
        <v>2708</v>
      </c>
      <c r="B1852" s="282" t="s">
        <v>2709</v>
      </c>
      <c r="C1852" s="282" t="s">
        <v>2710</v>
      </c>
      <c r="D1852" s="283" t="s">
        <v>2743</v>
      </c>
      <c r="E1852" s="403">
        <v>45013</v>
      </c>
      <c r="F1852" s="403">
        <v>46839</v>
      </c>
      <c r="G1852" s="283" t="s">
        <v>237</v>
      </c>
      <c r="H1852" s="282" t="s">
        <v>2712</v>
      </c>
      <c r="I1852" s="285"/>
      <c r="J1852" s="282" t="s">
        <v>184</v>
      </c>
      <c r="K1852" s="283" t="s">
        <v>2713</v>
      </c>
      <c r="L1852" s="286" t="s">
        <v>158</v>
      </c>
      <c r="M1852" s="287" t="s">
        <v>159</v>
      </c>
      <c r="N1852" s="287" t="s">
        <v>159</v>
      </c>
      <c r="O1852" s="287" t="s">
        <v>159</v>
      </c>
      <c r="P1852" s="287" t="s">
        <v>159</v>
      </c>
      <c r="Q1852" s="288">
        <v>184</v>
      </c>
      <c r="R1852" s="288">
        <v>199</v>
      </c>
      <c r="S1852" s="288">
        <v>-15</v>
      </c>
      <c r="T1852" s="288">
        <v>2.3300000000000001E-2</v>
      </c>
      <c r="U1852" s="288">
        <v>0</v>
      </c>
      <c r="V1852" s="289">
        <v>199.02330000000001</v>
      </c>
      <c r="W1852" s="289">
        <v>0</v>
      </c>
      <c r="X1852" s="288">
        <v>0.184</v>
      </c>
      <c r="Y1852" s="288">
        <v>0.19900000000000001</v>
      </c>
      <c r="Z1852" s="288">
        <v>-1.4999999999999999E-2</v>
      </c>
      <c r="AA1852" s="288">
        <v>2.3300000000000001E-5</v>
      </c>
      <c r="AB1852" s="288">
        <v>0</v>
      </c>
      <c r="AC1852" s="289">
        <v>0.19902330000000001</v>
      </c>
      <c r="AD1852" s="289">
        <v>0</v>
      </c>
    </row>
    <row r="1853" spans="1:30" ht="15" customHeight="1" x14ac:dyDescent="0.25">
      <c r="A1853" s="282" t="s">
        <v>2708</v>
      </c>
      <c r="B1853" s="282" t="s">
        <v>2709</v>
      </c>
      <c r="C1853" s="282" t="s">
        <v>2710</v>
      </c>
      <c r="D1853" s="283" t="s">
        <v>2744</v>
      </c>
      <c r="E1853" s="403">
        <v>45013</v>
      </c>
      <c r="F1853" s="403">
        <v>46839</v>
      </c>
      <c r="G1853" s="283" t="s">
        <v>237</v>
      </c>
      <c r="H1853" s="282" t="s">
        <v>2712</v>
      </c>
      <c r="I1853" s="285"/>
      <c r="J1853" s="282" t="s">
        <v>184</v>
      </c>
      <c r="K1853" s="283" t="s">
        <v>2713</v>
      </c>
      <c r="L1853" s="286" t="s">
        <v>158</v>
      </c>
      <c r="M1853" s="287" t="s">
        <v>159</v>
      </c>
      <c r="N1853" s="287" t="s">
        <v>159</v>
      </c>
      <c r="O1853" s="287" t="s">
        <v>159</v>
      </c>
      <c r="P1853" s="287" t="s">
        <v>159</v>
      </c>
      <c r="Q1853" s="288">
        <v>184</v>
      </c>
      <c r="R1853" s="288">
        <v>199</v>
      </c>
      <c r="S1853" s="288">
        <v>-15</v>
      </c>
      <c r="T1853" s="288">
        <v>2.3300000000000001E-2</v>
      </c>
      <c r="U1853" s="288">
        <v>0</v>
      </c>
      <c r="V1853" s="289">
        <v>199.02330000000001</v>
      </c>
      <c r="W1853" s="289">
        <v>0</v>
      </c>
      <c r="X1853" s="288">
        <v>0.184</v>
      </c>
      <c r="Y1853" s="288">
        <v>0.19900000000000001</v>
      </c>
      <c r="Z1853" s="288">
        <v>-1.4999999999999999E-2</v>
      </c>
      <c r="AA1853" s="288">
        <v>2.3300000000000001E-5</v>
      </c>
      <c r="AB1853" s="288">
        <v>0</v>
      </c>
      <c r="AC1853" s="289">
        <v>0.19902330000000001</v>
      </c>
      <c r="AD1853" s="289">
        <v>0</v>
      </c>
    </row>
    <row r="1854" spans="1:30" ht="15" customHeight="1" x14ac:dyDescent="0.25">
      <c r="A1854" s="282" t="s">
        <v>2708</v>
      </c>
      <c r="B1854" s="282" t="s">
        <v>2709</v>
      </c>
      <c r="C1854" s="282" t="s">
        <v>2710</v>
      </c>
      <c r="D1854" s="283" t="s">
        <v>2745</v>
      </c>
      <c r="E1854" s="403">
        <v>45013</v>
      </c>
      <c r="F1854" s="403">
        <v>46839</v>
      </c>
      <c r="G1854" s="283" t="s">
        <v>237</v>
      </c>
      <c r="H1854" s="282" t="s">
        <v>2712</v>
      </c>
      <c r="I1854" s="285"/>
      <c r="J1854" s="282" t="s">
        <v>184</v>
      </c>
      <c r="K1854" s="283" t="s">
        <v>2713</v>
      </c>
      <c r="L1854" s="286" t="s">
        <v>158</v>
      </c>
      <c r="M1854" s="287" t="s">
        <v>159</v>
      </c>
      <c r="N1854" s="287" t="s">
        <v>159</v>
      </c>
      <c r="O1854" s="287" t="s">
        <v>159</v>
      </c>
      <c r="P1854" s="287" t="s">
        <v>159</v>
      </c>
      <c r="Q1854" s="288">
        <v>184</v>
      </c>
      <c r="R1854" s="288">
        <v>199</v>
      </c>
      <c r="S1854" s="288">
        <v>-15</v>
      </c>
      <c r="T1854" s="288">
        <v>2.3300000000000001E-2</v>
      </c>
      <c r="U1854" s="288">
        <v>0</v>
      </c>
      <c r="V1854" s="289">
        <v>199.02330000000001</v>
      </c>
      <c r="W1854" s="289">
        <v>0</v>
      </c>
      <c r="X1854" s="288">
        <v>0.184</v>
      </c>
      <c r="Y1854" s="288">
        <v>0.19900000000000001</v>
      </c>
      <c r="Z1854" s="288">
        <v>-1.4999999999999999E-2</v>
      </c>
      <c r="AA1854" s="288">
        <v>2.3300000000000001E-5</v>
      </c>
      <c r="AB1854" s="288">
        <v>0</v>
      </c>
      <c r="AC1854" s="289">
        <v>0.19902330000000001</v>
      </c>
      <c r="AD1854" s="289">
        <v>0</v>
      </c>
    </row>
    <row r="1855" spans="1:30" ht="15" customHeight="1" x14ac:dyDescent="0.25">
      <c r="A1855" s="282" t="s">
        <v>2708</v>
      </c>
      <c r="B1855" s="282" t="s">
        <v>2709</v>
      </c>
      <c r="C1855" s="282" t="s">
        <v>2710</v>
      </c>
      <c r="D1855" s="283" t="s">
        <v>2746</v>
      </c>
      <c r="E1855" s="403">
        <v>45013</v>
      </c>
      <c r="F1855" s="403">
        <v>46839</v>
      </c>
      <c r="G1855" s="283" t="s">
        <v>237</v>
      </c>
      <c r="H1855" s="282" t="s">
        <v>2712</v>
      </c>
      <c r="I1855" s="285"/>
      <c r="J1855" s="282" t="s">
        <v>184</v>
      </c>
      <c r="K1855" s="283" t="s">
        <v>2713</v>
      </c>
      <c r="L1855" s="286" t="s">
        <v>158</v>
      </c>
      <c r="M1855" s="287" t="s">
        <v>159</v>
      </c>
      <c r="N1855" s="287" t="s">
        <v>159</v>
      </c>
      <c r="O1855" s="287" t="s">
        <v>159</v>
      </c>
      <c r="P1855" s="287" t="s">
        <v>159</v>
      </c>
      <c r="Q1855" s="288">
        <v>184</v>
      </c>
      <c r="R1855" s="288">
        <v>199</v>
      </c>
      <c r="S1855" s="288">
        <v>-15</v>
      </c>
      <c r="T1855" s="288">
        <v>2.3300000000000001E-2</v>
      </c>
      <c r="U1855" s="288">
        <v>0</v>
      </c>
      <c r="V1855" s="289">
        <v>199.02330000000001</v>
      </c>
      <c r="W1855" s="289">
        <v>0</v>
      </c>
      <c r="X1855" s="288">
        <v>0.184</v>
      </c>
      <c r="Y1855" s="288">
        <v>0.19900000000000001</v>
      </c>
      <c r="Z1855" s="288">
        <v>-1.4999999999999999E-2</v>
      </c>
      <c r="AA1855" s="288">
        <v>2.3300000000000001E-5</v>
      </c>
      <c r="AB1855" s="288">
        <v>0</v>
      </c>
      <c r="AC1855" s="289">
        <v>0.19902330000000001</v>
      </c>
      <c r="AD1855" s="289">
        <v>0</v>
      </c>
    </row>
    <row r="1856" spans="1:30" ht="15" customHeight="1" x14ac:dyDescent="0.25">
      <c r="A1856" s="282" t="s">
        <v>2708</v>
      </c>
      <c r="B1856" s="282" t="s">
        <v>2709</v>
      </c>
      <c r="C1856" s="282" t="s">
        <v>2710</v>
      </c>
      <c r="D1856" s="283" t="s">
        <v>2747</v>
      </c>
      <c r="E1856" s="403">
        <v>45013</v>
      </c>
      <c r="F1856" s="403">
        <v>46839</v>
      </c>
      <c r="G1856" s="283" t="s">
        <v>237</v>
      </c>
      <c r="H1856" s="282" t="s">
        <v>2712</v>
      </c>
      <c r="I1856" s="285"/>
      <c r="J1856" s="282" t="s">
        <v>184</v>
      </c>
      <c r="K1856" s="283" t="s">
        <v>2713</v>
      </c>
      <c r="L1856" s="286" t="s">
        <v>158</v>
      </c>
      <c r="M1856" s="287" t="s">
        <v>159</v>
      </c>
      <c r="N1856" s="287" t="s">
        <v>159</v>
      </c>
      <c r="O1856" s="287" t="s">
        <v>159</v>
      </c>
      <c r="P1856" s="287" t="s">
        <v>159</v>
      </c>
      <c r="Q1856" s="288">
        <v>184</v>
      </c>
      <c r="R1856" s="288">
        <v>199</v>
      </c>
      <c r="S1856" s="288">
        <v>-15</v>
      </c>
      <c r="T1856" s="288">
        <v>2.3300000000000001E-2</v>
      </c>
      <c r="U1856" s="288">
        <v>0</v>
      </c>
      <c r="V1856" s="289">
        <v>199.02330000000001</v>
      </c>
      <c r="W1856" s="289">
        <v>0</v>
      </c>
      <c r="X1856" s="288">
        <v>0.184</v>
      </c>
      <c r="Y1856" s="288">
        <v>0.19900000000000001</v>
      </c>
      <c r="Z1856" s="288">
        <v>-1.4999999999999999E-2</v>
      </c>
      <c r="AA1856" s="288">
        <v>2.3300000000000001E-5</v>
      </c>
      <c r="AB1856" s="288">
        <v>0</v>
      </c>
      <c r="AC1856" s="289">
        <v>0.19902330000000001</v>
      </c>
      <c r="AD1856" s="289">
        <v>0</v>
      </c>
    </row>
    <row r="1857" spans="1:30" ht="15" customHeight="1" x14ac:dyDescent="0.25">
      <c r="A1857" s="282" t="s">
        <v>2708</v>
      </c>
      <c r="B1857" s="282" t="s">
        <v>2748</v>
      </c>
      <c r="C1857" s="282" t="s">
        <v>2710</v>
      </c>
      <c r="D1857" s="283" t="s">
        <v>2749</v>
      </c>
      <c r="E1857" s="403">
        <v>45211</v>
      </c>
      <c r="F1857" s="403">
        <v>47037</v>
      </c>
      <c r="G1857" s="283" t="s">
        <v>193</v>
      </c>
      <c r="H1857" s="282" t="s">
        <v>2750</v>
      </c>
      <c r="I1857" s="285"/>
      <c r="J1857" s="282" t="s">
        <v>184</v>
      </c>
      <c r="K1857" s="283" t="s">
        <v>2751</v>
      </c>
      <c r="L1857" s="286" t="s">
        <v>158</v>
      </c>
      <c r="M1857" s="287" t="s">
        <v>159</v>
      </c>
      <c r="N1857" s="287" t="s">
        <v>159</v>
      </c>
      <c r="O1857" s="287" t="s">
        <v>159</v>
      </c>
      <c r="P1857" s="287" t="s">
        <v>159</v>
      </c>
      <c r="Q1857" s="288">
        <v>150</v>
      </c>
      <c r="R1857" s="288">
        <v>150</v>
      </c>
      <c r="S1857" s="288">
        <v>0.39</v>
      </c>
      <c r="T1857" s="288">
        <v>5.0999999999999997E-2</v>
      </c>
      <c r="U1857" s="288">
        <v>0</v>
      </c>
      <c r="V1857" s="289">
        <v>150.44099999999997</v>
      </c>
      <c r="W1857" s="289">
        <v>0</v>
      </c>
      <c r="X1857" s="288">
        <v>0.15</v>
      </c>
      <c r="Y1857" s="288">
        <v>0.15</v>
      </c>
      <c r="Z1857" s="288">
        <v>3.8999999999999999E-4</v>
      </c>
      <c r="AA1857" s="288">
        <v>5.1E-5</v>
      </c>
      <c r="AB1857" s="288">
        <v>0</v>
      </c>
      <c r="AC1857" s="289">
        <v>0.15044099999999999</v>
      </c>
      <c r="AD1857" s="289">
        <v>0</v>
      </c>
    </row>
    <row r="1858" spans="1:30" ht="15" customHeight="1" x14ac:dyDescent="0.25">
      <c r="A1858" s="282" t="s">
        <v>2708</v>
      </c>
      <c r="B1858" s="282" t="s">
        <v>2748</v>
      </c>
      <c r="C1858" s="282" t="s">
        <v>2710</v>
      </c>
      <c r="D1858" s="283" t="s">
        <v>2752</v>
      </c>
      <c r="E1858" s="403">
        <v>45211</v>
      </c>
      <c r="F1858" s="403">
        <v>47037</v>
      </c>
      <c r="G1858" s="283" t="s">
        <v>193</v>
      </c>
      <c r="H1858" s="282" t="s">
        <v>2750</v>
      </c>
      <c r="I1858" s="285"/>
      <c r="J1858" s="282" t="s">
        <v>184</v>
      </c>
      <c r="K1858" s="283" t="s">
        <v>2751</v>
      </c>
      <c r="L1858" s="286" t="s">
        <v>158</v>
      </c>
      <c r="M1858" s="287" t="s">
        <v>159</v>
      </c>
      <c r="N1858" s="287" t="s">
        <v>159</v>
      </c>
      <c r="O1858" s="287" t="s">
        <v>159</v>
      </c>
      <c r="P1858" s="287" t="s">
        <v>159</v>
      </c>
      <c r="Q1858" s="288">
        <v>150</v>
      </c>
      <c r="R1858" s="288">
        <v>150</v>
      </c>
      <c r="S1858" s="288">
        <v>0.39</v>
      </c>
      <c r="T1858" s="288">
        <v>5.0999999999999997E-2</v>
      </c>
      <c r="U1858" s="288">
        <v>0</v>
      </c>
      <c r="V1858" s="289">
        <v>150.44099999999997</v>
      </c>
      <c r="W1858" s="289">
        <v>0</v>
      </c>
      <c r="X1858" s="288">
        <v>0.15</v>
      </c>
      <c r="Y1858" s="288">
        <v>0.15</v>
      </c>
      <c r="Z1858" s="288">
        <v>3.8999999999999999E-4</v>
      </c>
      <c r="AA1858" s="288">
        <v>5.1E-5</v>
      </c>
      <c r="AB1858" s="288">
        <v>0</v>
      </c>
      <c r="AC1858" s="289">
        <v>0.15044099999999999</v>
      </c>
      <c r="AD1858" s="289">
        <v>0</v>
      </c>
    </row>
    <row r="1859" spans="1:30" ht="15" customHeight="1" x14ac:dyDescent="0.25">
      <c r="A1859" s="282" t="s">
        <v>2708</v>
      </c>
      <c r="B1859" s="282" t="s">
        <v>2748</v>
      </c>
      <c r="C1859" s="282" t="s">
        <v>2710</v>
      </c>
      <c r="D1859" s="283" t="s">
        <v>2753</v>
      </c>
      <c r="E1859" s="403">
        <v>45211</v>
      </c>
      <c r="F1859" s="403">
        <v>47037</v>
      </c>
      <c r="G1859" s="283" t="s">
        <v>193</v>
      </c>
      <c r="H1859" s="282" t="s">
        <v>2750</v>
      </c>
      <c r="I1859" s="285"/>
      <c r="J1859" s="282" t="s">
        <v>184</v>
      </c>
      <c r="K1859" s="283" t="s">
        <v>2751</v>
      </c>
      <c r="L1859" s="286" t="s">
        <v>158</v>
      </c>
      <c r="M1859" s="287" t="s">
        <v>159</v>
      </c>
      <c r="N1859" s="287" t="s">
        <v>159</v>
      </c>
      <c r="O1859" s="287" t="s">
        <v>159</v>
      </c>
      <c r="P1859" s="287" t="s">
        <v>159</v>
      </c>
      <c r="Q1859" s="288">
        <v>150</v>
      </c>
      <c r="R1859" s="288">
        <v>150</v>
      </c>
      <c r="S1859" s="288">
        <v>0.39</v>
      </c>
      <c r="T1859" s="288">
        <v>5.0999999999999997E-2</v>
      </c>
      <c r="U1859" s="288">
        <v>0</v>
      </c>
      <c r="V1859" s="289">
        <v>150.44099999999997</v>
      </c>
      <c r="W1859" s="289">
        <v>0</v>
      </c>
      <c r="X1859" s="288">
        <v>0.15</v>
      </c>
      <c r="Y1859" s="288">
        <v>0.15</v>
      </c>
      <c r="Z1859" s="288">
        <v>3.8999999999999999E-4</v>
      </c>
      <c r="AA1859" s="288">
        <v>5.1E-5</v>
      </c>
      <c r="AB1859" s="288">
        <v>0</v>
      </c>
      <c r="AC1859" s="289">
        <v>0.15044099999999999</v>
      </c>
      <c r="AD1859" s="289">
        <v>0</v>
      </c>
    </row>
    <row r="1860" spans="1:30" ht="15" customHeight="1" x14ac:dyDescent="0.25">
      <c r="A1860" s="282" t="s">
        <v>2708</v>
      </c>
      <c r="B1860" s="282" t="s">
        <v>2748</v>
      </c>
      <c r="C1860" s="282" t="s">
        <v>2710</v>
      </c>
      <c r="D1860" s="283" t="s">
        <v>2754</v>
      </c>
      <c r="E1860" s="403">
        <v>45211</v>
      </c>
      <c r="F1860" s="403">
        <v>47037</v>
      </c>
      <c r="G1860" s="283" t="s">
        <v>193</v>
      </c>
      <c r="H1860" s="282" t="s">
        <v>2750</v>
      </c>
      <c r="I1860" s="285"/>
      <c r="J1860" s="282" t="s">
        <v>184</v>
      </c>
      <c r="K1860" s="283" t="s">
        <v>2751</v>
      </c>
      <c r="L1860" s="286" t="s">
        <v>158</v>
      </c>
      <c r="M1860" s="287" t="s">
        <v>159</v>
      </c>
      <c r="N1860" s="287" t="s">
        <v>159</v>
      </c>
      <c r="O1860" s="287" t="s">
        <v>159</v>
      </c>
      <c r="P1860" s="287" t="s">
        <v>159</v>
      </c>
      <c r="Q1860" s="288">
        <v>150</v>
      </c>
      <c r="R1860" s="288">
        <v>150</v>
      </c>
      <c r="S1860" s="288">
        <v>0.39</v>
      </c>
      <c r="T1860" s="288">
        <v>5.0999999999999997E-2</v>
      </c>
      <c r="U1860" s="288">
        <v>0</v>
      </c>
      <c r="V1860" s="289">
        <v>150.44099999999997</v>
      </c>
      <c r="W1860" s="289">
        <v>0</v>
      </c>
      <c r="X1860" s="288">
        <v>0.15</v>
      </c>
      <c r="Y1860" s="288">
        <v>0.15</v>
      </c>
      <c r="Z1860" s="288">
        <v>3.8999999999999999E-4</v>
      </c>
      <c r="AA1860" s="288">
        <v>5.1E-5</v>
      </c>
      <c r="AB1860" s="288">
        <v>0</v>
      </c>
      <c r="AC1860" s="289">
        <v>0.15044099999999999</v>
      </c>
      <c r="AD1860" s="289">
        <v>0</v>
      </c>
    </row>
    <row r="1861" spans="1:30" ht="15" customHeight="1" x14ac:dyDescent="0.25">
      <c r="A1861" s="282" t="s">
        <v>2708</v>
      </c>
      <c r="B1861" s="282" t="s">
        <v>2748</v>
      </c>
      <c r="C1861" s="282" t="s">
        <v>2710</v>
      </c>
      <c r="D1861" s="283" t="s">
        <v>2755</v>
      </c>
      <c r="E1861" s="403">
        <v>45211</v>
      </c>
      <c r="F1861" s="403">
        <v>47037</v>
      </c>
      <c r="G1861" s="283" t="s">
        <v>193</v>
      </c>
      <c r="H1861" s="282" t="s">
        <v>2750</v>
      </c>
      <c r="I1861" s="285"/>
      <c r="J1861" s="282" t="s">
        <v>184</v>
      </c>
      <c r="K1861" s="283" t="s">
        <v>2751</v>
      </c>
      <c r="L1861" s="286" t="s">
        <v>158</v>
      </c>
      <c r="M1861" s="287" t="s">
        <v>159</v>
      </c>
      <c r="N1861" s="287" t="s">
        <v>159</v>
      </c>
      <c r="O1861" s="287" t="s">
        <v>159</v>
      </c>
      <c r="P1861" s="287" t="s">
        <v>159</v>
      </c>
      <c r="Q1861" s="288">
        <v>150</v>
      </c>
      <c r="R1861" s="288">
        <v>150</v>
      </c>
      <c r="S1861" s="288">
        <v>0.39</v>
      </c>
      <c r="T1861" s="288">
        <v>5.0999999999999997E-2</v>
      </c>
      <c r="U1861" s="288">
        <v>0</v>
      </c>
      <c r="V1861" s="289">
        <v>150.44099999999997</v>
      </c>
      <c r="W1861" s="289">
        <v>0</v>
      </c>
      <c r="X1861" s="288">
        <v>0.15</v>
      </c>
      <c r="Y1861" s="288">
        <v>0.15</v>
      </c>
      <c r="Z1861" s="288">
        <v>3.8999999999999999E-4</v>
      </c>
      <c r="AA1861" s="288">
        <v>5.1E-5</v>
      </c>
      <c r="AB1861" s="288">
        <v>0</v>
      </c>
      <c r="AC1861" s="289">
        <v>0.15044099999999999</v>
      </c>
      <c r="AD1861" s="289">
        <v>0</v>
      </c>
    </row>
    <row r="1862" spans="1:30" ht="15" customHeight="1" x14ac:dyDescent="0.25">
      <c r="A1862" s="282" t="s">
        <v>2708</v>
      </c>
      <c r="B1862" s="282" t="s">
        <v>2748</v>
      </c>
      <c r="C1862" s="282" t="s">
        <v>2710</v>
      </c>
      <c r="D1862" s="283" t="s">
        <v>2756</v>
      </c>
      <c r="E1862" s="403">
        <v>45211</v>
      </c>
      <c r="F1862" s="403">
        <v>47037</v>
      </c>
      <c r="G1862" s="283" t="s">
        <v>193</v>
      </c>
      <c r="H1862" s="282" t="s">
        <v>2750</v>
      </c>
      <c r="I1862" s="285"/>
      <c r="J1862" s="282" t="s">
        <v>184</v>
      </c>
      <c r="K1862" s="283" t="s">
        <v>2751</v>
      </c>
      <c r="L1862" s="286" t="s">
        <v>158</v>
      </c>
      <c r="M1862" s="287" t="s">
        <v>159</v>
      </c>
      <c r="N1862" s="287" t="s">
        <v>159</v>
      </c>
      <c r="O1862" s="287" t="s">
        <v>159</v>
      </c>
      <c r="P1862" s="287" t="s">
        <v>159</v>
      </c>
      <c r="Q1862" s="288">
        <v>150</v>
      </c>
      <c r="R1862" s="288">
        <v>150</v>
      </c>
      <c r="S1862" s="288">
        <v>0.39</v>
      </c>
      <c r="T1862" s="288">
        <v>5.0999999999999997E-2</v>
      </c>
      <c r="U1862" s="288">
        <v>0</v>
      </c>
      <c r="V1862" s="289">
        <v>150.44099999999997</v>
      </c>
      <c r="W1862" s="289">
        <v>0</v>
      </c>
      <c r="X1862" s="288">
        <v>0.15</v>
      </c>
      <c r="Y1862" s="288">
        <v>0.15</v>
      </c>
      <c r="Z1862" s="288">
        <v>3.8999999999999999E-4</v>
      </c>
      <c r="AA1862" s="288">
        <v>5.1E-5</v>
      </c>
      <c r="AB1862" s="288">
        <v>0</v>
      </c>
      <c r="AC1862" s="289">
        <v>0.15044099999999999</v>
      </c>
      <c r="AD1862" s="289">
        <v>0</v>
      </c>
    </row>
    <row r="1863" spans="1:30" ht="15" customHeight="1" x14ac:dyDescent="0.25">
      <c r="A1863" s="282" t="s">
        <v>2708</v>
      </c>
      <c r="B1863" s="282" t="s">
        <v>2748</v>
      </c>
      <c r="C1863" s="282" t="s">
        <v>2710</v>
      </c>
      <c r="D1863" s="283" t="s">
        <v>2757</v>
      </c>
      <c r="E1863" s="403">
        <v>45211</v>
      </c>
      <c r="F1863" s="403">
        <v>47037</v>
      </c>
      <c r="G1863" s="283" t="s">
        <v>193</v>
      </c>
      <c r="H1863" s="282" t="s">
        <v>2750</v>
      </c>
      <c r="I1863" s="285"/>
      <c r="J1863" s="282" t="s">
        <v>184</v>
      </c>
      <c r="K1863" s="283" t="s">
        <v>2751</v>
      </c>
      <c r="L1863" s="286" t="s">
        <v>158</v>
      </c>
      <c r="M1863" s="287" t="s">
        <v>159</v>
      </c>
      <c r="N1863" s="287" t="s">
        <v>159</v>
      </c>
      <c r="O1863" s="287" t="s">
        <v>159</v>
      </c>
      <c r="P1863" s="287" t="s">
        <v>159</v>
      </c>
      <c r="Q1863" s="288">
        <v>150</v>
      </c>
      <c r="R1863" s="288">
        <v>150</v>
      </c>
      <c r="S1863" s="288">
        <v>0.39</v>
      </c>
      <c r="T1863" s="288">
        <v>5.0999999999999997E-2</v>
      </c>
      <c r="U1863" s="288">
        <v>0</v>
      </c>
      <c r="V1863" s="289">
        <v>150.44099999999997</v>
      </c>
      <c r="W1863" s="289">
        <v>0</v>
      </c>
      <c r="X1863" s="288">
        <v>0.15</v>
      </c>
      <c r="Y1863" s="288">
        <v>0.15</v>
      </c>
      <c r="Z1863" s="288">
        <v>3.8999999999999999E-4</v>
      </c>
      <c r="AA1863" s="288">
        <v>5.1E-5</v>
      </c>
      <c r="AB1863" s="288">
        <v>0</v>
      </c>
      <c r="AC1863" s="289">
        <v>0.15044099999999999</v>
      </c>
      <c r="AD1863" s="289">
        <v>0</v>
      </c>
    </row>
    <row r="1864" spans="1:30" ht="15" customHeight="1" x14ac:dyDescent="0.25">
      <c r="A1864" s="282" t="s">
        <v>2708</v>
      </c>
      <c r="B1864" s="282" t="s">
        <v>2748</v>
      </c>
      <c r="C1864" s="282" t="s">
        <v>2710</v>
      </c>
      <c r="D1864" s="283" t="s">
        <v>2758</v>
      </c>
      <c r="E1864" s="403">
        <v>45211</v>
      </c>
      <c r="F1864" s="403">
        <v>47037</v>
      </c>
      <c r="G1864" s="283" t="s">
        <v>193</v>
      </c>
      <c r="H1864" s="282" t="s">
        <v>2750</v>
      </c>
      <c r="I1864" s="285"/>
      <c r="J1864" s="282" t="s">
        <v>184</v>
      </c>
      <c r="K1864" s="283" t="s">
        <v>2751</v>
      </c>
      <c r="L1864" s="286" t="s">
        <v>158</v>
      </c>
      <c r="M1864" s="287" t="s">
        <v>159</v>
      </c>
      <c r="N1864" s="287" t="s">
        <v>159</v>
      </c>
      <c r="O1864" s="287" t="s">
        <v>159</v>
      </c>
      <c r="P1864" s="287" t="s">
        <v>159</v>
      </c>
      <c r="Q1864" s="288">
        <v>150</v>
      </c>
      <c r="R1864" s="288">
        <v>150</v>
      </c>
      <c r="S1864" s="288">
        <v>0.39</v>
      </c>
      <c r="T1864" s="288">
        <v>5.0999999999999997E-2</v>
      </c>
      <c r="U1864" s="288">
        <v>0</v>
      </c>
      <c r="V1864" s="289">
        <v>150.44099999999997</v>
      </c>
      <c r="W1864" s="289">
        <v>0</v>
      </c>
      <c r="X1864" s="288">
        <v>0.15</v>
      </c>
      <c r="Y1864" s="288">
        <v>0.15</v>
      </c>
      <c r="Z1864" s="288">
        <v>3.8999999999999999E-4</v>
      </c>
      <c r="AA1864" s="288">
        <v>5.1E-5</v>
      </c>
      <c r="AB1864" s="288">
        <v>0</v>
      </c>
      <c r="AC1864" s="289">
        <v>0.15044099999999999</v>
      </c>
      <c r="AD1864" s="289">
        <v>0</v>
      </c>
    </row>
    <row r="1865" spans="1:30" ht="15" customHeight="1" x14ac:dyDescent="0.25">
      <c r="A1865" s="282" t="s">
        <v>2708</v>
      </c>
      <c r="B1865" s="282" t="s">
        <v>2748</v>
      </c>
      <c r="C1865" s="282" t="s">
        <v>2710</v>
      </c>
      <c r="D1865" s="283" t="s">
        <v>2759</v>
      </c>
      <c r="E1865" s="403">
        <v>45211</v>
      </c>
      <c r="F1865" s="403">
        <v>47037</v>
      </c>
      <c r="G1865" s="283" t="s">
        <v>193</v>
      </c>
      <c r="H1865" s="282" t="s">
        <v>2750</v>
      </c>
      <c r="I1865" s="285"/>
      <c r="J1865" s="282" t="s">
        <v>184</v>
      </c>
      <c r="K1865" s="283" t="s">
        <v>2751</v>
      </c>
      <c r="L1865" s="286" t="s">
        <v>158</v>
      </c>
      <c r="M1865" s="287" t="s">
        <v>159</v>
      </c>
      <c r="N1865" s="287" t="s">
        <v>159</v>
      </c>
      <c r="O1865" s="287" t="s">
        <v>159</v>
      </c>
      <c r="P1865" s="287" t="s">
        <v>159</v>
      </c>
      <c r="Q1865" s="288">
        <v>150</v>
      </c>
      <c r="R1865" s="288">
        <v>150</v>
      </c>
      <c r="S1865" s="288">
        <v>0.39</v>
      </c>
      <c r="T1865" s="288">
        <v>5.0999999999999997E-2</v>
      </c>
      <c r="U1865" s="288">
        <v>0</v>
      </c>
      <c r="V1865" s="289">
        <v>150.44099999999997</v>
      </c>
      <c r="W1865" s="289">
        <v>0</v>
      </c>
      <c r="X1865" s="288">
        <v>0.15</v>
      </c>
      <c r="Y1865" s="288">
        <v>0.15</v>
      </c>
      <c r="Z1865" s="288">
        <v>3.8999999999999999E-4</v>
      </c>
      <c r="AA1865" s="288">
        <v>5.1E-5</v>
      </c>
      <c r="AB1865" s="288">
        <v>0</v>
      </c>
      <c r="AC1865" s="289">
        <v>0.15044099999999999</v>
      </c>
      <c r="AD1865" s="289">
        <v>0</v>
      </c>
    </row>
    <row r="1866" spans="1:30" ht="15" customHeight="1" x14ac:dyDescent="0.25">
      <c r="A1866" s="282" t="s">
        <v>2708</v>
      </c>
      <c r="B1866" s="282" t="s">
        <v>2748</v>
      </c>
      <c r="C1866" s="282" t="s">
        <v>2710</v>
      </c>
      <c r="D1866" s="283" t="s">
        <v>2760</v>
      </c>
      <c r="E1866" s="403">
        <v>45211</v>
      </c>
      <c r="F1866" s="403">
        <v>47037</v>
      </c>
      <c r="G1866" s="283" t="s">
        <v>193</v>
      </c>
      <c r="H1866" s="282" t="s">
        <v>2761</v>
      </c>
      <c r="I1866" s="285"/>
      <c r="J1866" s="282" t="s">
        <v>184</v>
      </c>
      <c r="K1866" s="283" t="s">
        <v>2762</v>
      </c>
      <c r="L1866" s="286" t="s">
        <v>158</v>
      </c>
      <c r="M1866" s="287" t="s">
        <v>159</v>
      </c>
      <c r="N1866" s="287" t="s">
        <v>159</v>
      </c>
      <c r="O1866" s="287" t="s">
        <v>159</v>
      </c>
      <c r="P1866" s="287" t="s">
        <v>159</v>
      </c>
      <c r="Q1866" s="288">
        <v>200</v>
      </c>
      <c r="R1866" s="288">
        <v>200</v>
      </c>
      <c r="S1866" s="288">
        <v>0.34</v>
      </c>
      <c r="T1866" s="288">
        <v>8.5999999999999993E-2</v>
      </c>
      <c r="U1866" s="288">
        <v>0</v>
      </c>
      <c r="V1866" s="289">
        <v>200.42600000000002</v>
      </c>
      <c r="W1866" s="289">
        <v>0</v>
      </c>
      <c r="X1866" s="288">
        <v>0.2</v>
      </c>
      <c r="Y1866" s="288">
        <v>0.2</v>
      </c>
      <c r="Z1866" s="288">
        <v>3.4000000000000002E-4</v>
      </c>
      <c r="AA1866" s="288">
        <v>8.599999999999999E-5</v>
      </c>
      <c r="AB1866" s="288">
        <v>0</v>
      </c>
      <c r="AC1866" s="289">
        <v>0.20042600000000002</v>
      </c>
      <c r="AD1866" s="289">
        <v>0</v>
      </c>
    </row>
    <row r="1867" spans="1:30" ht="15" customHeight="1" x14ac:dyDescent="0.25">
      <c r="A1867" s="282" t="s">
        <v>2708</v>
      </c>
      <c r="B1867" s="282" t="s">
        <v>2748</v>
      </c>
      <c r="C1867" s="282" t="s">
        <v>2710</v>
      </c>
      <c r="D1867" s="283" t="s">
        <v>2763</v>
      </c>
      <c r="E1867" s="403">
        <v>45211</v>
      </c>
      <c r="F1867" s="403">
        <v>47037</v>
      </c>
      <c r="G1867" s="283" t="s">
        <v>193</v>
      </c>
      <c r="H1867" s="282" t="s">
        <v>2761</v>
      </c>
      <c r="I1867" s="285"/>
      <c r="J1867" s="282" t="s">
        <v>184</v>
      </c>
      <c r="K1867" s="283" t="s">
        <v>2762</v>
      </c>
      <c r="L1867" s="286" t="s">
        <v>158</v>
      </c>
      <c r="M1867" s="287" t="s">
        <v>159</v>
      </c>
      <c r="N1867" s="287" t="s">
        <v>159</v>
      </c>
      <c r="O1867" s="287" t="s">
        <v>159</v>
      </c>
      <c r="P1867" s="287" t="s">
        <v>159</v>
      </c>
      <c r="Q1867" s="288">
        <v>200</v>
      </c>
      <c r="R1867" s="288">
        <v>200</v>
      </c>
      <c r="S1867" s="288">
        <v>0.34</v>
      </c>
      <c r="T1867" s="288">
        <v>8.5999999999999993E-2</v>
      </c>
      <c r="U1867" s="288">
        <v>0</v>
      </c>
      <c r="V1867" s="289">
        <v>200.42600000000002</v>
      </c>
      <c r="W1867" s="289">
        <v>0</v>
      </c>
      <c r="X1867" s="288">
        <v>0.2</v>
      </c>
      <c r="Y1867" s="288">
        <v>0.2</v>
      </c>
      <c r="Z1867" s="288">
        <v>3.4000000000000002E-4</v>
      </c>
      <c r="AA1867" s="288">
        <v>8.599999999999999E-5</v>
      </c>
      <c r="AB1867" s="288">
        <v>0</v>
      </c>
      <c r="AC1867" s="289">
        <v>0.20042600000000002</v>
      </c>
      <c r="AD1867" s="289">
        <v>0</v>
      </c>
    </row>
    <row r="1868" spans="1:30" ht="15" customHeight="1" x14ac:dyDescent="0.25">
      <c r="A1868" s="282" t="s">
        <v>2708</v>
      </c>
      <c r="B1868" s="282" t="s">
        <v>2748</v>
      </c>
      <c r="C1868" s="282" t="s">
        <v>2710</v>
      </c>
      <c r="D1868" s="283" t="s">
        <v>2764</v>
      </c>
      <c r="E1868" s="403">
        <v>45211</v>
      </c>
      <c r="F1868" s="403">
        <v>47037</v>
      </c>
      <c r="G1868" s="283" t="s">
        <v>193</v>
      </c>
      <c r="H1868" s="282" t="s">
        <v>2761</v>
      </c>
      <c r="I1868" s="285"/>
      <c r="J1868" s="282" t="s">
        <v>184</v>
      </c>
      <c r="K1868" s="283" t="s">
        <v>2762</v>
      </c>
      <c r="L1868" s="286" t="s">
        <v>158</v>
      </c>
      <c r="M1868" s="287" t="s">
        <v>159</v>
      </c>
      <c r="N1868" s="287" t="s">
        <v>159</v>
      </c>
      <c r="O1868" s="287" t="s">
        <v>159</v>
      </c>
      <c r="P1868" s="287" t="s">
        <v>159</v>
      </c>
      <c r="Q1868" s="288">
        <v>200</v>
      </c>
      <c r="R1868" s="288">
        <v>200</v>
      </c>
      <c r="S1868" s="288">
        <v>0.34</v>
      </c>
      <c r="T1868" s="288">
        <v>8.5999999999999993E-2</v>
      </c>
      <c r="U1868" s="288">
        <v>0</v>
      </c>
      <c r="V1868" s="289">
        <v>200.42600000000002</v>
      </c>
      <c r="W1868" s="289">
        <v>0</v>
      </c>
      <c r="X1868" s="288">
        <v>0.2</v>
      </c>
      <c r="Y1868" s="288">
        <v>0.2</v>
      </c>
      <c r="Z1868" s="288">
        <v>3.4000000000000002E-4</v>
      </c>
      <c r="AA1868" s="288">
        <v>8.599999999999999E-5</v>
      </c>
      <c r="AB1868" s="288">
        <v>0</v>
      </c>
      <c r="AC1868" s="289">
        <v>0.20042600000000002</v>
      </c>
      <c r="AD1868" s="289">
        <v>0</v>
      </c>
    </row>
    <row r="1869" spans="1:30" ht="15" customHeight="1" x14ac:dyDescent="0.25">
      <c r="A1869" s="282" t="s">
        <v>2708</v>
      </c>
      <c r="B1869" s="282" t="s">
        <v>2748</v>
      </c>
      <c r="C1869" s="282" t="s">
        <v>2710</v>
      </c>
      <c r="D1869" s="283" t="s">
        <v>2765</v>
      </c>
      <c r="E1869" s="403">
        <v>45211</v>
      </c>
      <c r="F1869" s="403">
        <v>47037</v>
      </c>
      <c r="G1869" s="283" t="s">
        <v>193</v>
      </c>
      <c r="H1869" s="282" t="s">
        <v>2761</v>
      </c>
      <c r="I1869" s="285"/>
      <c r="J1869" s="282" t="s">
        <v>184</v>
      </c>
      <c r="K1869" s="283" t="s">
        <v>2762</v>
      </c>
      <c r="L1869" s="286" t="s">
        <v>158</v>
      </c>
      <c r="M1869" s="287" t="s">
        <v>159</v>
      </c>
      <c r="N1869" s="287" t="s">
        <v>159</v>
      </c>
      <c r="O1869" s="287" t="s">
        <v>159</v>
      </c>
      <c r="P1869" s="287" t="s">
        <v>159</v>
      </c>
      <c r="Q1869" s="288">
        <v>200</v>
      </c>
      <c r="R1869" s="288">
        <v>200</v>
      </c>
      <c r="S1869" s="288">
        <v>0.34</v>
      </c>
      <c r="T1869" s="288">
        <v>8.5999999999999993E-2</v>
      </c>
      <c r="U1869" s="288">
        <v>0</v>
      </c>
      <c r="V1869" s="289">
        <v>200.42600000000002</v>
      </c>
      <c r="W1869" s="289">
        <v>0</v>
      </c>
      <c r="X1869" s="288">
        <v>0.2</v>
      </c>
      <c r="Y1869" s="288">
        <v>0.2</v>
      </c>
      <c r="Z1869" s="288">
        <v>3.4000000000000002E-4</v>
      </c>
      <c r="AA1869" s="288">
        <v>8.599999999999999E-5</v>
      </c>
      <c r="AB1869" s="288">
        <v>0</v>
      </c>
      <c r="AC1869" s="289">
        <v>0.20042600000000002</v>
      </c>
      <c r="AD1869" s="289">
        <v>0</v>
      </c>
    </row>
    <row r="1870" spans="1:30" ht="15" customHeight="1" x14ac:dyDescent="0.25">
      <c r="A1870" s="282" t="s">
        <v>2708</v>
      </c>
      <c r="B1870" s="282" t="s">
        <v>2748</v>
      </c>
      <c r="C1870" s="282" t="s">
        <v>2710</v>
      </c>
      <c r="D1870" s="283" t="s">
        <v>2766</v>
      </c>
      <c r="E1870" s="403">
        <v>45211</v>
      </c>
      <c r="F1870" s="403">
        <v>47037</v>
      </c>
      <c r="G1870" s="283" t="s">
        <v>193</v>
      </c>
      <c r="H1870" s="282" t="s">
        <v>2761</v>
      </c>
      <c r="I1870" s="285"/>
      <c r="J1870" s="282" t="s">
        <v>184</v>
      </c>
      <c r="K1870" s="283" t="s">
        <v>2762</v>
      </c>
      <c r="L1870" s="286" t="s">
        <v>158</v>
      </c>
      <c r="M1870" s="287" t="s">
        <v>159</v>
      </c>
      <c r="N1870" s="287" t="s">
        <v>159</v>
      </c>
      <c r="O1870" s="287" t="s">
        <v>159</v>
      </c>
      <c r="P1870" s="287" t="s">
        <v>159</v>
      </c>
      <c r="Q1870" s="288">
        <v>200</v>
      </c>
      <c r="R1870" s="288">
        <v>200</v>
      </c>
      <c r="S1870" s="288">
        <v>0.34</v>
      </c>
      <c r="T1870" s="288">
        <v>8.5999999999999993E-2</v>
      </c>
      <c r="U1870" s="288">
        <v>0</v>
      </c>
      <c r="V1870" s="289">
        <v>200.42600000000002</v>
      </c>
      <c r="W1870" s="289">
        <v>0</v>
      </c>
      <c r="X1870" s="288">
        <v>0.2</v>
      </c>
      <c r="Y1870" s="288">
        <v>0.2</v>
      </c>
      <c r="Z1870" s="288">
        <v>3.4000000000000002E-4</v>
      </c>
      <c r="AA1870" s="288">
        <v>8.599999999999999E-5</v>
      </c>
      <c r="AB1870" s="288">
        <v>0</v>
      </c>
      <c r="AC1870" s="289">
        <v>0.20042600000000002</v>
      </c>
      <c r="AD1870" s="289">
        <v>0</v>
      </c>
    </row>
    <row r="1871" spans="1:30" ht="15" customHeight="1" x14ac:dyDescent="0.25">
      <c r="A1871" s="282" t="s">
        <v>2708</v>
      </c>
      <c r="B1871" s="282" t="s">
        <v>2748</v>
      </c>
      <c r="C1871" s="282" t="s">
        <v>2710</v>
      </c>
      <c r="D1871" s="283" t="s">
        <v>2767</v>
      </c>
      <c r="E1871" s="403">
        <v>45211</v>
      </c>
      <c r="F1871" s="403">
        <v>47037</v>
      </c>
      <c r="G1871" s="283" t="s">
        <v>193</v>
      </c>
      <c r="H1871" s="282" t="s">
        <v>2761</v>
      </c>
      <c r="I1871" s="285"/>
      <c r="J1871" s="282" t="s">
        <v>184</v>
      </c>
      <c r="K1871" s="283" t="s">
        <v>2762</v>
      </c>
      <c r="L1871" s="286" t="s">
        <v>158</v>
      </c>
      <c r="M1871" s="287" t="s">
        <v>159</v>
      </c>
      <c r="N1871" s="287" t="s">
        <v>159</v>
      </c>
      <c r="O1871" s="287" t="s">
        <v>159</v>
      </c>
      <c r="P1871" s="287" t="s">
        <v>159</v>
      </c>
      <c r="Q1871" s="288">
        <v>200</v>
      </c>
      <c r="R1871" s="288">
        <v>200</v>
      </c>
      <c r="S1871" s="288">
        <v>0.34</v>
      </c>
      <c r="T1871" s="288">
        <v>8.5999999999999993E-2</v>
      </c>
      <c r="U1871" s="288">
        <v>0</v>
      </c>
      <c r="V1871" s="289">
        <v>200.42600000000002</v>
      </c>
      <c r="W1871" s="289">
        <v>0</v>
      </c>
      <c r="X1871" s="288">
        <v>0.2</v>
      </c>
      <c r="Y1871" s="288">
        <v>0.2</v>
      </c>
      <c r="Z1871" s="288">
        <v>3.4000000000000002E-4</v>
      </c>
      <c r="AA1871" s="288">
        <v>8.599999999999999E-5</v>
      </c>
      <c r="AB1871" s="288">
        <v>0</v>
      </c>
      <c r="AC1871" s="289">
        <v>0.20042600000000002</v>
      </c>
      <c r="AD1871" s="289">
        <v>0</v>
      </c>
    </row>
    <row r="1872" spans="1:30" ht="15" customHeight="1" x14ac:dyDescent="0.25">
      <c r="A1872" s="282" t="s">
        <v>2708</v>
      </c>
      <c r="B1872" s="282" t="s">
        <v>2748</v>
      </c>
      <c r="C1872" s="282" t="s">
        <v>2710</v>
      </c>
      <c r="D1872" s="283" t="s">
        <v>2768</v>
      </c>
      <c r="E1872" s="403">
        <v>45211</v>
      </c>
      <c r="F1872" s="403">
        <v>47037</v>
      </c>
      <c r="G1872" s="283" t="s">
        <v>193</v>
      </c>
      <c r="H1872" s="282" t="s">
        <v>2761</v>
      </c>
      <c r="I1872" s="285"/>
      <c r="J1872" s="282" t="s">
        <v>184</v>
      </c>
      <c r="K1872" s="283" t="s">
        <v>2762</v>
      </c>
      <c r="L1872" s="286" t="s">
        <v>158</v>
      </c>
      <c r="M1872" s="287" t="s">
        <v>159</v>
      </c>
      <c r="N1872" s="287" t="s">
        <v>159</v>
      </c>
      <c r="O1872" s="287" t="s">
        <v>159</v>
      </c>
      <c r="P1872" s="287" t="s">
        <v>159</v>
      </c>
      <c r="Q1872" s="288">
        <v>200</v>
      </c>
      <c r="R1872" s="288">
        <v>200</v>
      </c>
      <c r="S1872" s="288">
        <v>0.34</v>
      </c>
      <c r="T1872" s="288">
        <v>8.5999999999999993E-2</v>
      </c>
      <c r="U1872" s="288">
        <v>0</v>
      </c>
      <c r="V1872" s="289">
        <v>200.42600000000002</v>
      </c>
      <c r="W1872" s="289">
        <v>0</v>
      </c>
      <c r="X1872" s="288">
        <v>0.2</v>
      </c>
      <c r="Y1872" s="288">
        <v>0.2</v>
      </c>
      <c r="Z1872" s="288">
        <v>3.4000000000000002E-4</v>
      </c>
      <c r="AA1872" s="288">
        <v>8.599999999999999E-5</v>
      </c>
      <c r="AB1872" s="288">
        <v>0</v>
      </c>
      <c r="AC1872" s="289">
        <v>0.20042600000000002</v>
      </c>
      <c r="AD1872" s="289">
        <v>0</v>
      </c>
    </row>
    <row r="1873" spans="1:30" ht="15" customHeight="1" x14ac:dyDescent="0.25">
      <c r="A1873" s="282" t="s">
        <v>2708</v>
      </c>
      <c r="B1873" s="282" t="s">
        <v>2748</v>
      </c>
      <c r="C1873" s="282" t="s">
        <v>2710</v>
      </c>
      <c r="D1873" s="283" t="s">
        <v>2769</v>
      </c>
      <c r="E1873" s="403">
        <v>45211</v>
      </c>
      <c r="F1873" s="403">
        <v>47037</v>
      </c>
      <c r="G1873" s="283" t="s">
        <v>193</v>
      </c>
      <c r="H1873" s="282" t="s">
        <v>2770</v>
      </c>
      <c r="I1873" s="285"/>
      <c r="J1873" s="282" t="s">
        <v>184</v>
      </c>
      <c r="K1873" s="283" t="s">
        <v>2771</v>
      </c>
      <c r="L1873" s="286" t="s">
        <v>158</v>
      </c>
      <c r="M1873" s="287" t="s">
        <v>159</v>
      </c>
      <c r="N1873" s="287" t="s">
        <v>159</v>
      </c>
      <c r="O1873" s="287" t="s">
        <v>159</v>
      </c>
      <c r="P1873" s="287" t="s">
        <v>159</v>
      </c>
      <c r="Q1873" s="288">
        <v>380</v>
      </c>
      <c r="R1873" s="288">
        <v>380</v>
      </c>
      <c r="S1873" s="288">
        <v>0.39</v>
      </c>
      <c r="T1873" s="288">
        <v>7.0000000000000007E-2</v>
      </c>
      <c r="U1873" s="288">
        <v>0</v>
      </c>
      <c r="V1873" s="289">
        <v>380.46</v>
      </c>
      <c r="W1873" s="289">
        <v>0</v>
      </c>
      <c r="X1873" s="288">
        <v>0.38</v>
      </c>
      <c r="Y1873" s="288">
        <v>0.38</v>
      </c>
      <c r="Z1873" s="288">
        <v>3.8999999999999999E-4</v>
      </c>
      <c r="AA1873" s="288">
        <v>7.0000000000000007E-5</v>
      </c>
      <c r="AB1873" s="288">
        <v>0</v>
      </c>
      <c r="AC1873" s="289">
        <v>0.38046000000000002</v>
      </c>
      <c r="AD1873" s="289">
        <v>0</v>
      </c>
    </row>
    <row r="1874" spans="1:30" ht="15" customHeight="1" x14ac:dyDescent="0.25">
      <c r="A1874" s="282" t="s">
        <v>2708</v>
      </c>
      <c r="B1874" s="282" t="s">
        <v>2748</v>
      </c>
      <c r="C1874" s="282" t="s">
        <v>2710</v>
      </c>
      <c r="D1874" s="283" t="s">
        <v>2772</v>
      </c>
      <c r="E1874" s="403">
        <v>45211</v>
      </c>
      <c r="F1874" s="403">
        <v>47037</v>
      </c>
      <c r="G1874" s="283" t="s">
        <v>193</v>
      </c>
      <c r="H1874" s="282" t="s">
        <v>2770</v>
      </c>
      <c r="I1874" s="285"/>
      <c r="J1874" s="282" t="s">
        <v>184</v>
      </c>
      <c r="K1874" s="283" t="s">
        <v>2771</v>
      </c>
      <c r="L1874" s="286" t="s">
        <v>158</v>
      </c>
      <c r="M1874" s="287" t="s">
        <v>159</v>
      </c>
      <c r="N1874" s="287" t="s">
        <v>159</v>
      </c>
      <c r="O1874" s="287" t="s">
        <v>159</v>
      </c>
      <c r="P1874" s="287" t="s">
        <v>159</v>
      </c>
      <c r="Q1874" s="288">
        <v>380</v>
      </c>
      <c r="R1874" s="288">
        <v>380</v>
      </c>
      <c r="S1874" s="288">
        <v>0.39</v>
      </c>
      <c r="T1874" s="288">
        <v>7.0000000000000007E-2</v>
      </c>
      <c r="U1874" s="288">
        <v>0</v>
      </c>
      <c r="V1874" s="289">
        <v>380.46</v>
      </c>
      <c r="W1874" s="289">
        <v>0</v>
      </c>
      <c r="X1874" s="288">
        <v>0.38</v>
      </c>
      <c r="Y1874" s="288">
        <v>0.38</v>
      </c>
      <c r="Z1874" s="288">
        <v>3.8999999999999999E-4</v>
      </c>
      <c r="AA1874" s="288">
        <v>7.0000000000000007E-5</v>
      </c>
      <c r="AB1874" s="288">
        <v>0</v>
      </c>
      <c r="AC1874" s="289">
        <v>0.38046000000000002</v>
      </c>
      <c r="AD1874" s="289">
        <v>0</v>
      </c>
    </row>
    <row r="1875" spans="1:30" ht="15" customHeight="1" x14ac:dyDescent="0.25">
      <c r="A1875" s="282" t="s">
        <v>2708</v>
      </c>
      <c r="B1875" s="282" t="s">
        <v>2748</v>
      </c>
      <c r="C1875" s="282" t="s">
        <v>2710</v>
      </c>
      <c r="D1875" s="283" t="s">
        <v>2773</v>
      </c>
      <c r="E1875" s="403">
        <v>45211</v>
      </c>
      <c r="F1875" s="403">
        <v>47037</v>
      </c>
      <c r="G1875" s="283" t="s">
        <v>193</v>
      </c>
      <c r="H1875" s="282" t="s">
        <v>2770</v>
      </c>
      <c r="I1875" s="285"/>
      <c r="J1875" s="282" t="s">
        <v>184</v>
      </c>
      <c r="K1875" s="283" t="s">
        <v>2771</v>
      </c>
      <c r="L1875" s="286" t="s">
        <v>158</v>
      </c>
      <c r="M1875" s="287" t="s">
        <v>159</v>
      </c>
      <c r="N1875" s="287" t="s">
        <v>159</v>
      </c>
      <c r="O1875" s="287" t="s">
        <v>159</v>
      </c>
      <c r="P1875" s="287" t="s">
        <v>159</v>
      </c>
      <c r="Q1875" s="288">
        <v>380</v>
      </c>
      <c r="R1875" s="288">
        <v>380</v>
      </c>
      <c r="S1875" s="288">
        <v>0.39</v>
      </c>
      <c r="T1875" s="288">
        <v>7.0000000000000007E-2</v>
      </c>
      <c r="U1875" s="288">
        <v>0</v>
      </c>
      <c r="V1875" s="289">
        <v>380.46</v>
      </c>
      <c r="W1875" s="289">
        <v>0</v>
      </c>
      <c r="X1875" s="288">
        <v>0.38</v>
      </c>
      <c r="Y1875" s="288">
        <v>0.38</v>
      </c>
      <c r="Z1875" s="288">
        <v>3.8999999999999999E-4</v>
      </c>
      <c r="AA1875" s="288">
        <v>7.0000000000000007E-5</v>
      </c>
      <c r="AB1875" s="288">
        <v>0</v>
      </c>
      <c r="AC1875" s="289">
        <v>0.38046000000000002</v>
      </c>
      <c r="AD1875" s="289">
        <v>0</v>
      </c>
    </row>
    <row r="1876" spans="1:30" ht="15" customHeight="1" x14ac:dyDescent="0.25">
      <c r="A1876" s="282" t="s">
        <v>2708</v>
      </c>
      <c r="B1876" s="282" t="s">
        <v>2748</v>
      </c>
      <c r="C1876" s="282" t="s">
        <v>2710</v>
      </c>
      <c r="D1876" s="283" t="s">
        <v>2774</v>
      </c>
      <c r="E1876" s="403">
        <v>45211</v>
      </c>
      <c r="F1876" s="403">
        <v>47037</v>
      </c>
      <c r="G1876" s="283" t="s">
        <v>193</v>
      </c>
      <c r="H1876" s="282" t="s">
        <v>2775</v>
      </c>
      <c r="I1876" s="285"/>
      <c r="J1876" s="282" t="s">
        <v>184</v>
      </c>
      <c r="K1876" s="283" t="s">
        <v>2776</v>
      </c>
      <c r="L1876" s="286" t="s">
        <v>158</v>
      </c>
      <c r="M1876" s="287" t="s">
        <v>159</v>
      </c>
      <c r="N1876" s="287" t="s">
        <v>159</v>
      </c>
      <c r="O1876" s="287" t="s">
        <v>159</v>
      </c>
      <c r="P1876" s="287" t="s">
        <v>159</v>
      </c>
      <c r="Q1876" s="288">
        <v>310</v>
      </c>
      <c r="R1876" s="288">
        <v>310</v>
      </c>
      <c r="S1876" s="288">
        <v>3.7999999999999999E-2</v>
      </c>
      <c r="T1876" s="288">
        <v>8.3000000000000004E-2</v>
      </c>
      <c r="U1876" s="288">
        <v>0</v>
      </c>
      <c r="V1876" s="289">
        <v>310.12100000000004</v>
      </c>
      <c r="W1876" s="289">
        <v>0</v>
      </c>
      <c r="X1876" s="288">
        <v>0.31</v>
      </c>
      <c r="Y1876" s="288">
        <v>0.31</v>
      </c>
      <c r="Z1876" s="288">
        <v>3.8000000000000002E-5</v>
      </c>
      <c r="AA1876" s="288">
        <v>8.2999999999999998E-5</v>
      </c>
      <c r="AB1876" s="288">
        <v>0</v>
      </c>
      <c r="AC1876" s="289">
        <v>0.31012099999999998</v>
      </c>
      <c r="AD1876" s="289">
        <v>0</v>
      </c>
    </row>
    <row r="1877" spans="1:30" ht="15" customHeight="1" x14ac:dyDescent="0.25">
      <c r="A1877" s="282" t="s">
        <v>2708</v>
      </c>
      <c r="B1877" s="282" t="s">
        <v>2748</v>
      </c>
      <c r="C1877" s="282" t="s">
        <v>2710</v>
      </c>
      <c r="D1877" s="283" t="s">
        <v>2777</v>
      </c>
      <c r="E1877" s="403">
        <v>45211</v>
      </c>
      <c r="F1877" s="403">
        <v>47037</v>
      </c>
      <c r="G1877" s="283" t="s">
        <v>193</v>
      </c>
      <c r="H1877" s="282" t="s">
        <v>2775</v>
      </c>
      <c r="I1877" s="285"/>
      <c r="J1877" s="282" t="s">
        <v>184</v>
      </c>
      <c r="K1877" s="283" t="s">
        <v>2776</v>
      </c>
      <c r="L1877" s="286" t="s">
        <v>158</v>
      </c>
      <c r="M1877" s="287" t="s">
        <v>159</v>
      </c>
      <c r="N1877" s="287" t="s">
        <v>159</v>
      </c>
      <c r="O1877" s="287" t="s">
        <v>159</v>
      </c>
      <c r="P1877" s="287" t="s">
        <v>159</v>
      </c>
      <c r="Q1877" s="288">
        <v>310</v>
      </c>
      <c r="R1877" s="288">
        <v>310</v>
      </c>
      <c r="S1877" s="288">
        <v>3.7999999999999999E-2</v>
      </c>
      <c r="T1877" s="288">
        <v>8.3000000000000004E-2</v>
      </c>
      <c r="U1877" s="288">
        <v>0</v>
      </c>
      <c r="V1877" s="289">
        <v>310.12100000000004</v>
      </c>
      <c r="W1877" s="289">
        <v>0</v>
      </c>
      <c r="X1877" s="288">
        <v>0.31</v>
      </c>
      <c r="Y1877" s="288">
        <v>0.31</v>
      </c>
      <c r="Z1877" s="288">
        <v>3.8000000000000002E-5</v>
      </c>
      <c r="AA1877" s="288">
        <v>8.2999999999999998E-5</v>
      </c>
      <c r="AB1877" s="288">
        <v>0</v>
      </c>
      <c r="AC1877" s="289">
        <v>0.31012099999999998</v>
      </c>
      <c r="AD1877" s="289">
        <v>0</v>
      </c>
    </row>
    <row r="1878" spans="1:30" ht="15" customHeight="1" x14ac:dyDescent="0.25">
      <c r="A1878" s="282" t="s">
        <v>2708</v>
      </c>
      <c r="B1878" s="282" t="s">
        <v>2778</v>
      </c>
      <c r="C1878" s="282" t="s">
        <v>2779</v>
      </c>
      <c r="D1878" s="283" t="s">
        <v>2780</v>
      </c>
      <c r="E1878" s="403">
        <v>44466</v>
      </c>
      <c r="F1878" s="403">
        <v>46292</v>
      </c>
      <c r="G1878" s="283" t="s">
        <v>237</v>
      </c>
      <c r="H1878" s="282" t="s">
        <v>2781</v>
      </c>
      <c r="I1878" s="285"/>
      <c r="J1878" s="282" t="s">
        <v>184</v>
      </c>
      <c r="K1878" s="283" t="s">
        <v>2782</v>
      </c>
      <c r="L1878" s="286" t="s">
        <v>158</v>
      </c>
      <c r="M1878" s="287">
        <v>2700</v>
      </c>
      <c r="N1878" s="287" t="s">
        <v>159</v>
      </c>
      <c r="O1878" s="287" t="s">
        <v>159</v>
      </c>
      <c r="P1878" s="287" t="s">
        <v>159</v>
      </c>
      <c r="Q1878" s="288">
        <v>92</v>
      </c>
      <c r="R1878" s="288">
        <v>85.8</v>
      </c>
      <c r="S1878" s="288">
        <v>5.4</v>
      </c>
      <c r="T1878" s="288">
        <v>0.82099999999999995</v>
      </c>
      <c r="U1878" s="288">
        <v>0</v>
      </c>
      <c r="V1878" s="289">
        <v>92.021000000000001</v>
      </c>
      <c r="W1878" s="289">
        <v>0</v>
      </c>
      <c r="X1878" s="288">
        <v>9.1999999999999998E-2</v>
      </c>
      <c r="Y1878" s="288">
        <v>8.5800000000000001E-2</v>
      </c>
      <c r="Z1878" s="288">
        <v>5.4000000000000003E-3</v>
      </c>
      <c r="AA1878" s="288">
        <v>8.209999999999999E-4</v>
      </c>
      <c r="AB1878" s="288">
        <v>0</v>
      </c>
      <c r="AC1878" s="289">
        <v>9.2021000000000006E-2</v>
      </c>
      <c r="AD1878" s="289">
        <v>0</v>
      </c>
    </row>
    <row r="1879" spans="1:30" ht="15" customHeight="1" x14ac:dyDescent="0.25">
      <c r="A1879" s="282" t="s">
        <v>2708</v>
      </c>
      <c r="B1879" s="282" t="s">
        <v>2778</v>
      </c>
      <c r="C1879" s="282" t="s">
        <v>2779</v>
      </c>
      <c r="D1879" s="283" t="s">
        <v>2783</v>
      </c>
      <c r="E1879" s="403">
        <v>44466</v>
      </c>
      <c r="F1879" s="403">
        <v>46292</v>
      </c>
      <c r="G1879" s="283" t="s">
        <v>237</v>
      </c>
      <c r="H1879" s="282" t="s">
        <v>2781</v>
      </c>
      <c r="I1879" s="285"/>
      <c r="J1879" s="282" t="s">
        <v>184</v>
      </c>
      <c r="K1879" s="283" t="s">
        <v>2782</v>
      </c>
      <c r="L1879" s="286" t="s">
        <v>158</v>
      </c>
      <c r="M1879" s="287">
        <v>2700</v>
      </c>
      <c r="N1879" s="287" t="s">
        <v>159</v>
      </c>
      <c r="O1879" s="287" t="s">
        <v>159</v>
      </c>
      <c r="P1879" s="287" t="s">
        <v>159</v>
      </c>
      <c r="Q1879" s="288">
        <v>77.2</v>
      </c>
      <c r="R1879" s="288">
        <v>73.3</v>
      </c>
      <c r="S1879" s="288">
        <v>3.59</v>
      </c>
      <c r="T1879" s="288">
        <v>0.31900000000000001</v>
      </c>
      <c r="U1879" s="288">
        <v>0</v>
      </c>
      <c r="V1879" s="289">
        <v>77.209000000000003</v>
      </c>
      <c r="W1879" s="289">
        <v>0</v>
      </c>
      <c r="X1879" s="288">
        <v>7.7200000000000005E-2</v>
      </c>
      <c r="Y1879" s="288">
        <v>7.3300000000000004E-2</v>
      </c>
      <c r="Z1879" s="288">
        <v>3.5899999999999999E-3</v>
      </c>
      <c r="AA1879" s="288">
        <v>3.19E-4</v>
      </c>
      <c r="AB1879" s="288">
        <v>0</v>
      </c>
      <c r="AC1879" s="289">
        <v>7.7209E-2</v>
      </c>
      <c r="AD1879" s="289">
        <v>0</v>
      </c>
    </row>
    <row r="1880" spans="1:30" ht="15" customHeight="1" x14ac:dyDescent="0.25">
      <c r="A1880" s="282" t="s">
        <v>2708</v>
      </c>
      <c r="B1880" s="282" t="s">
        <v>2784</v>
      </c>
      <c r="C1880" s="282" t="s">
        <v>2784</v>
      </c>
      <c r="D1880" s="283" t="s">
        <v>2785</v>
      </c>
      <c r="E1880" s="405">
        <v>45016</v>
      </c>
      <c r="F1880" s="405">
        <v>46843</v>
      </c>
      <c r="G1880" s="286" t="s">
        <v>286</v>
      </c>
      <c r="H1880" s="282" t="s">
        <v>2786</v>
      </c>
      <c r="I1880" s="282" t="s">
        <v>590</v>
      </c>
      <c r="J1880" s="282" t="s">
        <v>156</v>
      </c>
      <c r="K1880" s="286" t="s">
        <v>2787</v>
      </c>
      <c r="L1880" s="286" t="s">
        <v>158</v>
      </c>
      <c r="M1880" s="287"/>
      <c r="N1880" s="287"/>
      <c r="O1880" s="287"/>
      <c r="P1880" s="287"/>
      <c r="Q1880" s="288">
        <v>111.67</v>
      </c>
      <c r="R1880" s="288"/>
      <c r="S1880" s="288"/>
      <c r="T1880" s="288"/>
      <c r="U1880" s="288">
        <v>0</v>
      </c>
      <c r="V1880" s="289">
        <v>111.67</v>
      </c>
      <c r="W1880" s="289">
        <v>0</v>
      </c>
      <c r="X1880" s="288">
        <v>0.11167000000000001</v>
      </c>
      <c r="Y1880" s="288">
        <v>0</v>
      </c>
      <c r="Z1880" s="288">
        <v>0</v>
      </c>
      <c r="AA1880" s="288">
        <v>0</v>
      </c>
      <c r="AB1880" s="288">
        <v>0</v>
      </c>
      <c r="AC1880" s="289">
        <v>0.11167000000000001</v>
      </c>
      <c r="AD1880" s="289">
        <v>0</v>
      </c>
    </row>
    <row r="1881" spans="1:30" ht="15" customHeight="1" x14ac:dyDescent="0.25">
      <c r="A1881" s="282" t="s">
        <v>2708</v>
      </c>
      <c r="B1881" s="282" t="s">
        <v>2784</v>
      </c>
      <c r="C1881" s="282" t="s">
        <v>2784</v>
      </c>
      <c r="D1881" s="283" t="s">
        <v>2788</v>
      </c>
      <c r="E1881" s="405">
        <v>45016</v>
      </c>
      <c r="F1881" s="405">
        <v>46843</v>
      </c>
      <c r="G1881" s="286" t="s">
        <v>283</v>
      </c>
      <c r="H1881" s="282" t="s">
        <v>2786</v>
      </c>
      <c r="I1881" s="282" t="s">
        <v>590</v>
      </c>
      <c r="J1881" s="282" t="s">
        <v>156</v>
      </c>
      <c r="K1881" s="286" t="s">
        <v>2787</v>
      </c>
      <c r="L1881" s="286" t="s">
        <v>158</v>
      </c>
      <c r="M1881" s="287"/>
      <c r="N1881" s="287"/>
      <c r="O1881" s="287"/>
      <c r="P1881" s="287"/>
      <c r="Q1881" s="288">
        <v>182.86</v>
      </c>
      <c r="R1881" s="288"/>
      <c r="S1881" s="288"/>
      <c r="T1881" s="288"/>
      <c r="U1881" s="288">
        <v>0</v>
      </c>
      <c r="V1881" s="289">
        <v>182.86</v>
      </c>
      <c r="W1881" s="289">
        <v>0</v>
      </c>
      <c r="X1881" s="288">
        <v>0.18286000000000002</v>
      </c>
      <c r="Y1881" s="288">
        <v>0</v>
      </c>
      <c r="Z1881" s="288">
        <v>0</v>
      </c>
      <c r="AA1881" s="288">
        <v>0</v>
      </c>
      <c r="AB1881" s="288">
        <v>0</v>
      </c>
      <c r="AC1881" s="289">
        <v>0.18286000000000002</v>
      </c>
      <c r="AD1881" s="289">
        <v>0</v>
      </c>
    </row>
    <row r="1882" spans="1:30" ht="15" customHeight="1" x14ac:dyDescent="0.25">
      <c r="A1882" s="282" t="s">
        <v>2708</v>
      </c>
      <c r="B1882" s="282" t="s">
        <v>2784</v>
      </c>
      <c r="C1882" s="282" t="s">
        <v>2784</v>
      </c>
      <c r="D1882" s="283" t="s">
        <v>2789</v>
      </c>
      <c r="E1882" s="405">
        <v>45016</v>
      </c>
      <c r="F1882" s="405">
        <v>46843</v>
      </c>
      <c r="G1882" s="286" t="s">
        <v>283</v>
      </c>
      <c r="H1882" s="282" t="s">
        <v>2786</v>
      </c>
      <c r="I1882" s="282" t="s">
        <v>590</v>
      </c>
      <c r="J1882" s="282" t="s">
        <v>156</v>
      </c>
      <c r="K1882" s="286" t="s">
        <v>2787</v>
      </c>
      <c r="L1882" s="286" t="s">
        <v>158</v>
      </c>
      <c r="M1882" s="287"/>
      <c r="N1882" s="287"/>
      <c r="O1882" s="287"/>
      <c r="P1882" s="287"/>
      <c r="Q1882" s="288">
        <v>140.59</v>
      </c>
      <c r="R1882" s="288"/>
      <c r="S1882" s="288"/>
      <c r="T1882" s="288"/>
      <c r="U1882" s="288">
        <v>0</v>
      </c>
      <c r="V1882" s="289">
        <v>140.59</v>
      </c>
      <c r="W1882" s="289">
        <v>0</v>
      </c>
      <c r="X1882" s="288">
        <v>0.14058999999999999</v>
      </c>
      <c r="Y1882" s="288">
        <v>0</v>
      </c>
      <c r="Z1882" s="288">
        <v>0</v>
      </c>
      <c r="AA1882" s="288">
        <v>0</v>
      </c>
      <c r="AB1882" s="288">
        <v>0</v>
      </c>
      <c r="AC1882" s="289">
        <v>0.14058999999999999</v>
      </c>
      <c r="AD1882" s="289">
        <v>0</v>
      </c>
    </row>
    <row r="1883" spans="1:30" ht="15" customHeight="1" x14ac:dyDescent="0.25">
      <c r="A1883" s="282" t="s">
        <v>2708</v>
      </c>
      <c r="B1883" s="282" t="s">
        <v>2784</v>
      </c>
      <c r="C1883" s="282" t="s">
        <v>2784</v>
      </c>
      <c r="D1883" s="283" t="s">
        <v>2790</v>
      </c>
      <c r="E1883" s="405">
        <v>45016</v>
      </c>
      <c r="F1883" s="405">
        <v>46843</v>
      </c>
      <c r="G1883" s="286" t="s">
        <v>281</v>
      </c>
      <c r="H1883" s="282" t="s">
        <v>2786</v>
      </c>
      <c r="I1883" s="282" t="s">
        <v>590</v>
      </c>
      <c r="J1883" s="282" t="s">
        <v>156</v>
      </c>
      <c r="K1883" s="286" t="s">
        <v>2787</v>
      </c>
      <c r="L1883" s="286" t="s">
        <v>158</v>
      </c>
      <c r="M1883" s="287"/>
      <c r="N1883" s="287"/>
      <c r="O1883" s="287"/>
      <c r="P1883" s="287"/>
      <c r="Q1883" s="288">
        <v>145.88999999999999</v>
      </c>
      <c r="R1883" s="288"/>
      <c r="S1883" s="288"/>
      <c r="T1883" s="288"/>
      <c r="U1883" s="288">
        <v>0</v>
      </c>
      <c r="V1883" s="289">
        <v>145.88999999999999</v>
      </c>
      <c r="W1883" s="289">
        <v>0</v>
      </c>
      <c r="X1883" s="288">
        <v>0.14588999999999999</v>
      </c>
      <c r="Y1883" s="288">
        <v>0</v>
      </c>
      <c r="Z1883" s="288">
        <v>0</v>
      </c>
      <c r="AA1883" s="288">
        <v>0</v>
      </c>
      <c r="AB1883" s="288">
        <v>0</v>
      </c>
      <c r="AC1883" s="289">
        <v>0.14588999999999999</v>
      </c>
      <c r="AD1883" s="289">
        <v>0</v>
      </c>
    </row>
    <row r="1884" spans="1:30" ht="15" customHeight="1" x14ac:dyDescent="0.25">
      <c r="A1884" s="282" t="s">
        <v>2708</v>
      </c>
      <c r="B1884" s="282" t="s">
        <v>2784</v>
      </c>
      <c r="C1884" s="282" t="s">
        <v>2784</v>
      </c>
      <c r="D1884" s="283" t="s">
        <v>2791</v>
      </c>
      <c r="E1884" s="405">
        <v>45016</v>
      </c>
      <c r="F1884" s="405">
        <v>46843</v>
      </c>
      <c r="G1884" s="286" t="s">
        <v>286</v>
      </c>
      <c r="H1884" s="282" t="s">
        <v>2786</v>
      </c>
      <c r="I1884" s="282" t="s">
        <v>590</v>
      </c>
      <c r="J1884" s="282" t="s">
        <v>156</v>
      </c>
      <c r="K1884" s="286" t="s">
        <v>2787</v>
      </c>
      <c r="L1884" s="286" t="s">
        <v>158</v>
      </c>
      <c r="M1884" s="287"/>
      <c r="N1884" s="287"/>
      <c r="O1884" s="287"/>
      <c r="P1884" s="287"/>
      <c r="Q1884" s="288">
        <v>113.56</v>
      </c>
      <c r="R1884" s="288"/>
      <c r="S1884" s="288"/>
      <c r="T1884" s="288"/>
      <c r="U1884" s="288">
        <v>0</v>
      </c>
      <c r="V1884" s="289">
        <v>113.56</v>
      </c>
      <c r="W1884" s="289">
        <v>0</v>
      </c>
      <c r="X1884" s="288">
        <v>0.11356000000000001</v>
      </c>
      <c r="Y1884" s="288">
        <v>0</v>
      </c>
      <c r="Z1884" s="288">
        <v>0</v>
      </c>
      <c r="AA1884" s="288">
        <v>0</v>
      </c>
      <c r="AB1884" s="288">
        <v>0</v>
      </c>
      <c r="AC1884" s="289">
        <v>0.11356000000000001</v>
      </c>
      <c r="AD1884" s="289">
        <v>0</v>
      </c>
    </row>
    <row r="1885" spans="1:30" ht="15" customHeight="1" x14ac:dyDescent="0.25">
      <c r="A1885" s="282" t="s">
        <v>2708</v>
      </c>
      <c r="B1885" s="282" t="s">
        <v>2784</v>
      </c>
      <c r="C1885" s="282" t="s">
        <v>2784</v>
      </c>
      <c r="D1885" s="283" t="s">
        <v>2792</v>
      </c>
      <c r="E1885" s="405">
        <v>45016</v>
      </c>
      <c r="F1885" s="405">
        <v>46843</v>
      </c>
      <c r="G1885" s="286" t="s">
        <v>286</v>
      </c>
      <c r="H1885" s="282" t="s">
        <v>2786</v>
      </c>
      <c r="I1885" s="282" t="s">
        <v>590</v>
      </c>
      <c r="J1885" s="282" t="s">
        <v>156</v>
      </c>
      <c r="K1885" s="286" t="s">
        <v>2787</v>
      </c>
      <c r="L1885" s="286" t="s">
        <v>158</v>
      </c>
      <c r="M1885" s="287"/>
      <c r="N1885" s="287"/>
      <c r="O1885" s="287"/>
      <c r="P1885" s="287"/>
      <c r="Q1885" s="288">
        <v>160.91999999999999</v>
      </c>
      <c r="R1885" s="288"/>
      <c r="S1885" s="288"/>
      <c r="T1885" s="288"/>
      <c r="U1885" s="288">
        <v>0</v>
      </c>
      <c r="V1885" s="289">
        <v>160.91999999999999</v>
      </c>
      <c r="W1885" s="289">
        <v>0</v>
      </c>
      <c r="X1885" s="288">
        <v>0.16091999999999998</v>
      </c>
      <c r="Y1885" s="288">
        <v>0</v>
      </c>
      <c r="Z1885" s="288">
        <v>0</v>
      </c>
      <c r="AA1885" s="288">
        <v>0</v>
      </c>
      <c r="AB1885" s="288">
        <v>0</v>
      </c>
      <c r="AC1885" s="289">
        <v>0.16091999999999998</v>
      </c>
      <c r="AD1885" s="289">
        <v>0</v>
      </c>
    </row>
    <row r="1886" spans="1:30" ht="15" customHeight="1" x14ac:dyDescent="0.25">
      <c r="A1886" s="282" t="s">
        <v>2708</v>
      </c>
      <c r="B1886" s="282" t="s">
        <v>2784</v>
      </c>
      <c r="C1886" s="282" t="s">
        <v>2784</v>
      </c>
      <c r="D1886" s="283" t="s">
        <v>2793</v>
      </c>
      <c r="E1886" s="405">
        <v>45016</v>
      </c>
      <c r="F1886" s="405">
        <v>46843</v>
      </c>
      <c r="G1886" s="286" t="s">
        <v>286</v>
      </c>
      <c r="H1886" s="282" t="s">
        <v>2786</v>
      </c>
      <c r="I1886" s="282" t="s">
        <v>590</v>
      </c>
      <c r="J1886" s="282" t="s">
        <v>156</v>
      </c>
      <c r="K1886" s="286" t="s">
        <v>2787</v>
      </c>
      <c r="L1886" s="286" t="s">
        <v>158</v>
      </c>
      <c r="M1886" s="287"/>
      <c r="N1886" s="287"/>
      <c r="O1886" s="287"/>
      <c r="P1886" s="287"/>
      <c r="Q1886" s="288">
        <v>138.43</v>
      </c>
      <c r="R1886" s="288"/>
      <c r="S1886" s="288"/>
      <c r="T1886" s="288"/>
      <c r="U1886" s="288">
        <v>0</v>
      </c>
      <c r="V1886" s="289">
        <v>138.43</v>
      </c>
      <c r="W1886" s="289">
        <v>0</v>
      </c>
      <c r="X1886" s="288">
        <v>0.13843</v>
      </c>
      <c r="Y1886" s="288">
        <v>0</v>
      </c>
      <c r="Z1886" s="288">
        <v>0</v>
      </c>
      <c r="AA1886" s="288">
        <v>0</v>
      </c>
      <c r="AB1886" s="288">
        <v>0</v>
      </c>
      <c r="AC1886" s="289">
        <v>0.13843</v>
      </c>
      <c r="AD1886" s="289">
        <v>0</v>
      </c>
    </row>
    <row r="1887" spans="1:30" ht="15" customHeight="1" x14ac:dyDescent="0.25">
      <c r="A1887" s="282" t="s">
        <v>2708</v>
      </c>
      <c r="B1887" s="282" t="s">
        <v>2784</v>
      </c>
      <c r="C1887" s="282" t="s">
        <v>2784</v>
      </c>
      <c r="D1887" s="283" t="s">
        <v>2794</v>
      </c>
      <c r="E1887" s="405">
        <v>45016</v>
      </c>
      <c r="F1887" s="405">
        <v>46843</v>
      </c>
      <c r="G1887" s="286" t="s">
        <v>286</v>
      </c>
      <c r="H1887" s="282" t="s">
        <v>2786</v>
      </c>
      <c r="I1887" s="282" t="s">
        <v>590</v>
      </c>
      <c r="J1887" s="282" t="s">
        <v>156</v>
      </c>
      <c r="K1887" s="286" t="s">
        <v>2787</v>
      </c>
      <c r="L1887" s="286" t="s">
        <v>158</v>
      </c>
      <c r="M1887" s="287"/>
      <c r="N1887" s="287"/>
      <c r="O1887" s="287"/>
      <c r="P1887" s="287"/>
      <c r="Q1887" s="288">
        <v>240.39</v>
      </c>
      <c r="R1887" s="288"/>
      <c r="S1887" s="288"/>
      <c r="T1887" s="288"/>
      <c r="U1887" s="288">
        <v>0</v>
      </c>
      <c r="V1887" s="289">
        <v>240.39</v>
      </c>
      <c r="W1887" s="289">
        <v>0</v>
      </c>
      <c r="X1887" s="288">
        <v>0.24038999999999999</v>
      </c>
      <c r="Y1887" s="288">
        <v>0</v>
      </c>
      <c r="Z1887" s="288">
        <v>0</v>
      </c>
      <c r="AA1887" s="288">
        <v>0</v>
      </c>
      <c r="AB1887" s="288">
        <v>0</v>
      </c>
      <c r="AC1887" s="289">
        <v>0.24038999999999999</v>
      </c>
      <c r="AD1887" s="289">
        <v>0</v>
      </c>
    </row>
    <row r="1888" spans="1:30" ht="15" customHeight="1" x14ac:dyDescent="0.25">
      <c r="A1888" s="282" t="s">
        <v>2708</v>
      </c>
      <c r="B1888" s="282" t="s">
        <v>2784</v>
      </c>
      <c r="C1888" s="282" t="s">
        <v>2784</v>
      </c>
      <c r="D1888" s="283" t="s">
        <v>2795</v>
      </c>
      <c r="E1888" s="405">
        <v>45016</v>
      </c>
      <c r="F1888" s="405">
        <v>46843</v>
      </c>
      <c r="G1888" s="286" t="s">
        <v>286</v>
      </c>
      <c r="H1888" s="282" t="s">
        <v>2786</v>
      </c>
      <c r="I1888" s="282" t="s">
        <v>590</v>
      </c>
      <c r="J1888" s="282" t="s">
        <v>156</v>
      </c>
      <c r="K1888" s="286" t="s">
        <v>2787</v>
      </c>
      <c r="L1888" s="286" t="s">
        <v>158</v>
      </c>
      <c r="M1888" s="287"/>
      <c r="N1888" s="287"/>
      <c r="O1888" s="287"/>
      <c r="P1888" s="287"/>
      <c r="Q1888" s="288">
        <v>152.26</v>
      </c>
      <c r="R1888" s="288"/>
      <c r="S1888" s="288"/>
      <c r="T1888" s="288"/>
      <c r="U1888" s="288">
        <v>0</v>
      </c>
      <c r="V1888" s="289">
        <v>152.26</v>
      </c>
      <c r="W1888" s="289">
        <v>0</v>
      </c>
      <c r="X1888" s="288">
        <v>0.15225999999999998</v>
      </c>
      <c r="Y1888" s="288">
        <v>0</v>
      </c>
      <c r="Z1888" s="288">
        <v>0</v>
      </c>
      <c r="AA1888" s="288">
        <v>0</v>
      </c>
      <c r="AB1888" s="288">
        <v>0</v>
      </c>
      <c r="AC1888" s="289">
        <v>0.15225999999999998</v>
      </c>
      <c r="AD1888" s="289">
        <v>0</v>
      </c>
    </row>
    <row r="1889" spans="1:30" ht="15" customHeight="1" x14ac:dyDescent="0.25">
      <c r="A1889" s="282" t="s">
        <v>2708</v>
      </c>
      <c r="B1889" s="282" t="s">
        <v>2784</v>
      </c>
      <c r="C1889" s="282" t="s">
        <v>2784</v>
      </c>
      <c r="D1889" s="283" t="s">
        <v>2796</v>
      </c>
      <c r="E1889" s="405">
        <v>45016</v>
      </c>
      <c r="F1889" s="405">
        <v>46843</v>
      </c>
      <c r="G1889" s="286" t="s">
        <v>283</v>
      </c>
      <c r="H1889" s="282" t="s">
        <v>2786</v>
      </c>
      <c r="I1889" s="282" t="s">
        <v>590</v>
      </c>
      <c r="J1889" s="282" t="s">
        <v>156</v>
      </c>
      <c r="K1889" s="286" t="s">
        <v>2787</v>
      </c>
      <c r="L1889" s="286" t="s">
        <v>158</v>
      </c>
      <c r="M1889" s="287"/>
      <c r="N1889" s="287"/>
      <c r="O1889" s="287"/>
      <c r="P1889" s="287"/>
      <c r="Q1889" s="288">
        <v>205.51</v>
      </c>
      <c r="R1889" s="288"/>
      <c r="S1889" s="288"/>
      <c r="T1889" s="288"/>
      <c r="U1889" s="288">
        <v>0</v>
      </c>
      <c r="V1889" s="289">
        <v>205.51</v>
      </c>
      <c r="W1889" s="289">
        <v>0</v>
      </c>
      <c r="X1889" s="288">
        <v>0.20551</v>
      </c>
      <c r="Y1889" s="288">
        <v>0</v>
      </c>
      <c r="Z1889" s="288">
        <v>0</v>
      </c>
      <c r="AA1889" s="288">
        <v>0</v>
      </c>
      <c r="AB1889" s="288">
        <v>0</v>
      </c>
      <c r="AC1889" s="289">
        <v>0.20551</v>
      </c>
      <c r="AD1889" s="289">
        <v>0</v>
      </c>
    </row>
    <row r="1890" spans="1:30" ht="15" customHeight="1" x14ac:dyDescent="0.25">
      <c r="A1890" s="282" t="s">
        <v>2708</v>
      </c>
      <c r="B1890" s="282" t="s">
        <v>2784</v>
      </c>
      <c r="C1890" s="282" t="s">
        <v>2784</v>
      </c>
      <c r="D1890" s="283" t="s">
        <v>2797</v>
      </c>
      <c r="E1890" s="405">
        <v>45016</v>
      </c>
      <c r="F1890" s="405">
        <v>46843</v>
      </c>
      <c r="G1890" s="286" t="s">
        <v>281</v>
      </c>
      <c r="H1890" s="282" t="s">
        <v>2786</v>
      </c>
      <c r="I1890" s="282" t="s">
        <v>590</v>
      </c>
      <c r="J1890" s="282" t="s">
        <v>156</v>
      </c>
      <c r="K1890" s="286" t="s">
        <v>2787</v>
      </c>
      <c r="L1890" s="286" t="s">
        <v>158</v>
      </c>
      <c r="M1890" s="287"/>
      <c r="N1890" s="287"/>
      <c r="O1890" s="287"/>
      <c r="P1890" s="287"/>
      <c r="Q1890" s="288">
        <v>139.84</v>
      </c>
      <c r="R1890" s="288"/>
      <c r="S1890" s="288"/>
      <c r="T1890" s="288"/>
      <c r="U1890" s="288">
        <v>0</v>
      </c>
      <c r="V1890" s="289">
        <v>139.84</v>
      </c>
      <c r="W1890" s="289">
        <v>0</v>
      </c>
      <c r="X1890" s="288">
        <v>0.13983999999999999</v>
      </c>
      <c r="Y1890" s="288">
        <v>0</v>
      </c>
      <c r="Z1890" s="288">
        <v>0</v>
      </c>
      <c r="AA1890" s="288">
        <v>0</v>
      </c>
      <c r="AB1890" s="288">
        <v>0</v>
      </c>
      <c r="AC1890" s="289">
        <v>0.13983999999999999</v>
      </c>
      <c r="AD1890" s="289">
        <v>0</v>
      </c>
    </row>
    <row r="1891" spans="1:30" ht="15" customHeight="1" x14ac:dyDescent="0.25">
      <c r="A1891" s="282" t="s">
        <v>2708</v>
      </c>
      <c r="B1891" s="282" t="s">
        <v>2784</v>
      </c>
      <c r="C1891" s="282" t="s">
        <v>2784</v>
      </c>
      <c r="D1891" s="283" t="s">
        <v>2798</v>
      </c>
      <c r="E1891" s="405">
        <v>44620</v>
      </c>
      <c r="F1891" s="405">
        <v>46446</v>
      </c>
      <c r="G1891" s="286" t="s">
        <v>154</v>
      </c>
      <c r="H1891" s="282" t="s">
        <v>2799</v>
      </c>
      <c r="I1891" s="282" t="s">
        <v>1600</v>
      </c>
      <c r="J1891" s="282" t="s">
        <v>156</v>
      </c>
      <c r="K1891" s="286" t="s">
        <v>2800</v>
      </c>
      <c r="L1891" s="286" t="s">
        <v>158</v>
      </c>
      <c r="M1891" s="287"/>
      <c r="N1891" s="287"/>
      <c r="O1891" s="287"/>
      <c r="P1891" s="287"/>
      <c r="Q1891" s="288">
        <v>147</v>
      </c>
      <c r="R1891" s="288"/>
      <c r="S1891" s="288"/>
      <c r="T1891" s="288"/>
      <c r="U1891" s="288">
        <v>0</v>
      </c>
      <c r="V1891" s="289">
        <v>147</v>
      </c>
      <c r="W1891" s="289">
        <v>0</v>
      </c>
      <c r="X1891" s="288">
        <v>0.14699999999999999</v>
      </c>
      <c r="Y1891" s="288">
        <v>0</v>
      </c>
      <c r="Z1891" s="288">
        <v>0</v>
      </c>
      <c r="AA1891" s="288">
        <v>0</v>
      </c>
      <c r="AB1891" s="288">
        <v>0</v>
      </c>
      <c r="AC1891" s="289">
        <v>0.14699999999999999</v>
      </c>
      <c r="AD1891" s="289">
        <v>0</v>
      </c>
    </row>
    <row r="1892" spans="1:30" ht="15" customHeight="1" x14ac:dyDescent="0.25">
      <c r="A1892" s="282" t="s">
        <v>2708</v>
      </c>
      <c r="B1892" s="282" t="s">
        <v>2784</v>
      </c>
      <c r="C1892" s="282" t="s">
        <v>2784</v>
      </c>
      <c r="D1892" s="283" t="s">
        <v>2801</v>
      </c>
      <c r="E1892" s="405">
        <v>44620</v>
      </c>
      <c r="F1892" s="405">
        <v>46446</v>
      </c>
      <c r="G1892" s="286" t="s">
        <v>154</v>
      </c>
      <c r="H1892" s="282" t="s">
        <v>2799</v>
      </c>
      <c r="I1892" s="282" t="s">
        <v>1600</v>
      </c>
      <c r="J1892" s="282" t="s">
        <v>156</v>
      </c>
      <c r="K1892" s="286" t="s">
        <v>2800</v>
      </c>
      <c r="L1892" s="286" t="s">
        <v>158</v>
      </c>
      <c r="M1892" s="287"/>
      <c r="N1892" s="287"/>
      <c r="O1892" s="287"/>
      <c r="P1892" s="287"/>
      <c r="Q1892" s="288">
        <v>160</v>
      </c>
      <c r="R1892" s="288"/>
      <c r="S1892" s="288"/>
      <c r="T1892" s="288"/>
      <c r="U1892" s="288">
        <v>0</v>
      </c>
      <c r="V1892" s="289">
        <v>160</v>
      </c>
      <c r="W1892" s="289">
        <v>0</v>
      </c>
      <c r="X1892" s="288">
        <v>0.16</v>
      </c>
      <c r="Y1892" s="288">
        <v>0</v>
      </c>
      <c r="Z1892" s="288">
        <v>0</v>
      </c>
      <c r="AA1892" s="288">
        <v>0</v>
      </c>
      <c r="AB1892" s="288">
        <v>0</v>
      </c>
      <c r="AC1892" s="289">
        <v>0.16</v>
      </c>
      <c r="AD1892" s="289">
        <v>0</v>
      </c>
    </row>
    <row r="1893" spans="1:30" ht="15" customHeight="1" x14ac:dyDescent="0.25">
      <c r="A1893" s="282" t="s">
        <v>2708</v>
      </c>
      <c r="B1893" s="282" t="s">
        <v>2784</v>
      </c>
      <c r="C1893" s="282" t="s">
        <v>2784</v>
      </c>
      <c r="D1893" s="283" t="s">
        <v>2802</v>
      </c>
      <c r="E1893" s="405">
        <v>44620</v>
      </c>
      <c r="F1893" s="405">
        <v>46446</v>
      </c>
      <c r="G1893" s="286" t="s">
        <v>154</v>
      </c>
      <c r="H1893" s="282" t="s">
        <v>2799</v>
      </c>
      <c r="I1893" s="282" t="s">
        <v>1600</v>
      </c>
      <c r="J1893" s="282" t="s">
        <v>156</v>
      </c>
      <c r="K1893" s="286" t="s">
        <v>2800</v>
      </c>
      <c r="L1893" s="286" t="s">
        <v>158</v>
      </c>
      <c r="M1893" s="287"/>
      <c r="N1893" s="287"/>
      <c r="O1893" s="287"/>
      <c r="P1893" s="287"/>
      <c r="Q1893" s="288">
        <v>160</v>
      </c>
      <c r="R1893" s="288"/>
      <c r="S1893" s="288"/>
      <c r="T1893" s="288"/>
      <c r="U1893" s="288">
        <v>0</v>
      </c>
      <c r="V1893" s="289">
        <v>160</v>
      </c>
      <c r="W1893" s="289">
        <v>0</v>
      </c>
      <c r="X1893" s="288">
        <v>0.16</v>
      </c>
      <c r="Y1893" s="288">
        <v>0</v>
      </c>
      <c r="Z1893" s="288">
        <v>0</v>
      </c>
      <c r="AA1893" s="288">
        <v>0</v>
      </c>
      <c r="AB1893" s="288">
        <v>0</v>
      </c>
      <c r="AC1893" s="289">
        <v>0.16</v>
      </c>
      <c r="AD1893" s="289">
        <v>0</v>
      </c>
    </row>
    <row r="1894" spans="1:30" ht="15" customHeight="1" x14ac:dyDescent="0.25">
      <c r="A1894" s="282" t="s">
        <v>2708</v>
      </c>
      <c r="B1894" s="282" t="s">
        <v>2784</v>
      </c>
      <c r="C1894" s="282" t="s">
        <v>2784</v>
      </c>
      <c r="D1894" s="283" t="s">
        <v>2803</v>
      </c>
      <c r="E1894" s="405">
        <v>44620</v>
      </c>
      <c r="F1894" s="405">
        <v>46446</v>
      </c>
      <c r="G1894" s="286" t="s">
        <v>154</v>
      </c>
      <c r="H1894" s="282" t="s">
        <v>2799</v>
      </c>
      <c r="I1894" s="282" t="s">
        <v>1600</v>
      </c>
      <c r="J1894" s="282" t="s">
        <v>156</v>
      </c>
      <c r="K1894" s="286" t="s">
        <v>2800</v>
      </c>
      <c r="L1894" s="286" t="s">
        <v>158</v>
      </c>
      <c r="M1894" s="287"/>
      <c r="N1894" s="287"/>
      <c r="O1894" s="287"/>
      <c r="P1894" s="287"/>
      <c r="Q1894" s="288">
        <v>170</v>
      </c>
      <c r="R1894" s="288"/>
      <c r="S1894" s="288"/>
      <c r="T1894" s="288"/>
      <c r="U1894" s="288">
        <v>0</v>
      </c>
      <c r="V1894" s="289">
        <v>170</v>
      </c>
      <c r="W1894" s="289">
        <v>0</v>
      </c>
      <c r="X1894" s="288">
        <v>0.17</v>
      </c>
      <c r="Y1894" s="288">
        <v>0</v>
      </c>
      <c r="Z1894" s="288">
        <v>0</v>
      </c>
      <c r="AA1894" s="288">
        <v>0</v>
      </c>
      <c r="AB1894" s="288">
        <v>0</v>
      </c>
      <c r="AC1894" s="289">
        <v>0.17</v>
      </c>
      <c r="AD1894" s="289">
        <v>0</v>
      </c>
    </row>
    <row r="1895" spans="1:30" ht="15" customHeight="1" x14ac:dyDescent="0.25">
      <c r="A1895" s="282" t="s">
        <v>2708</v>
      </c>
      <c r="B1895" s="282" t="s">
        <v>2784</v>
      </c>
      <c r="C1895" s="282" t="s">
        <v>2784</v>
      </c>
      <c r="D1895" s="283" t="s">
        <v>2804</v>
      </c>
      <c r="E1895" s="405">
        <v>44620</v>
      </c>
      <c r="F1895" s="405">
        <v>46446</v>
      </c>
      <c r="G1895" s="286" t="s">
        <v>154</v>
      </c>
      <c r="H1895" s="282" t="s">
        <v>2799</v>
      </c>
      <c r="I1895" s="282" t="s">
        <v>1600</v>
      </c>
      <c r="J1895" s="282" t="s">
        <v>156</v>
      </c>
      <c r="K1895" s="286" t="s">
        <v>2800</v>
      </c>
      <c r="L1895" s="286" t="s">
        <v>158</v>
      </c>
      <c r="M1895" s="287"/>
      <c r="N1895" s="287"/>
      <c r="O1895" s="287"/>
      <c r="P1895" s="287"/>
      <c r="Q1895" s="288">
        <v>162</v>
      </c>
      <c r="R1895" s="288"/>
      <c r="S1895" s="288"/>
      <c r="T1895" s="288"/>
      <c r="U1895" s="288">
        <v>0</v>
      </c>
      <c r="V1895" s="289">
        <v>162</v>
      </c>
      <c r="W1895" s="289">
        <v>0</v>
      </c>
      <c r="X1895" s="288">
        <v>0.16200000000000001</v>
      </c>
      <c r="Y1895" s="288">
        <v>0</v>
      </c>
      <c r="Z1895" s="288">
        <v>0</v>
      </c>
      <c r="AA1895" s="288">
        <v>0</v>
      </c>
      <c r="AB1895" s="288">
        <v>0</v>
      </c>
      <c r="AC1895" s="289">
        <v>0.16200000000000001</v>
      </c>
      <c r="AD1895" s="289">
        <v>0</v>
      </c>
    </row>
    <row r="1896" spans="1:30" ht="15" customHeight="1" x14ac:dyDescent="0.25">
      <c r="A1896" s="282" t="s">
        <v>2708</v>
      </c>
      <c r="B1896" s="282" t="s">
        <v>2784</v>
      </c>
      <c r="C1896" s="282" t="s">
        <v>2784</v>
      </c>
      <c r="D1896" s="283" t="s">
        <v>2805</v>
      </c>
      <c r="E1896" s="405">
        <v>44620</v>
      </c>
      <c r="F1896" s="405">
        <v>46446</v>
      </c>
      <c r="G1896" s="286" t="s">
        <v>154</v>
      </c>
      <c r="H1896" s="282" t="s">
        <v>2799</v>
      </c>
      <c r="I1896" s="282" t="s">
        <v>1600</v>
      </c>
      <c r="J1896" s="282" t="s">
        <v>156</v>
      </c>
      <c r="K1896" s="286" t="s">
        <v>2800</v>
      </c>
      <c r="L1896" s="286" t="s">
        <v>158</v>
      </c>
      <c r="M1896" s="287"/>
      <c r="N1896" s="287"/>
      <c r="O1896" s="287"/>
      <c r="P1896" s="287"/>
      <c r="Q1896" s="288">
        <v>168</v>
      </c>
      <c r="R1896" s="288"/>
      <c r="S1896" s="288"/>
      <c r="T1896" s="288"/>
      <c r="U1896" s="288">
        <v>0</v>
      </c>
      <c r="V1896" s="289">
        <v>168</v>
      </c>
      <c r="W1896" s="289">
        <v>0</v>
      </c>
      <c r="X1896" s="288">
        <v>0.16800000000000001</v>
      </c>
      <c r="Y1896" s="288">
        <v>0</v>
      </c>
      <c r="Z1896" s="288">
        <v>0</v>
      </c>
      <c r="AA1896" s="288">
        <v>0</v>
      </c>
      <c r="AB1896" s="288">
        <v>0</v>
      </c>
      <c r="AC1896" s="289">
        <v>0.16800000000000001</v>
      </c>
      <c r="AD1896" s="289">
        <v>0</v>
      </c>
    </row>
    <row r="1897" spans="1:30" ht="15" customHeight="1" x14ac:dyDescent="0.25">
      <c r="A1897" s="282" t="s">
        <v>2708</v>
      </c>
      <c r="B1897" s="282" t="s">
        <v>2784</v>
      </c>
      <c r="C1897" s="282" t="s">
        <v>2784</v>
      </c>
      <c r="D1897" s="283" t="s">
        <v>2806</v>
      </c>
      <c r="E1897" s="405">
        <v>44620</v>
      </c>
      <c r="F1897" s="405">
        <v>46446</v>
      </c>
      <c r="G1897" s="286" t="s">
        <v>154</v>
      </c>
      <c r="H1897" s="282" t="s">
        <v>2799</v>
      </c>
      <c r="I1897" s="282" t="s">
        <v>1600</v>
      </c>
      <c r="J1897" s="282" t="s">
        <v>156</v>
      </c>
      <c r="K1897" s="286" t="s">
        <v>2800</v>
      </c>
      <c r="L1897" s="286" t="s">
        <v>158</v>
      </c>
      <c r="M1897" s="287"/>
      <c r="N1897" s="287"/>
      <c r="O1897" s="287"/>
      <c r="P1897" s="287"/>
      <c r="Q1897" s="288">
        <v>160</v>
      </c>
      <c r="R1897" s="288"/>
      <c r="S1897" s="288"/>
      <c r="T1897" s="288"/>
      <c r="U1897" s="288">
        <v>0</v>
      </c>
      <c r="V1897" s="289">
        <v>160</v>
      </c>
      <c r="W1897" s="289">
        <v>0</v>
      </c>
      <c r="X1897" s="288">
        <v>0.16</v>
      </c>
      <c r="Y1897" s="288">
        <v>0</v>
      </c>
      <c r="Z1897" s="288">
        <v>0</v>
      </c>
      <c r="AA1897" s="288">
        <v>0</v>
      </c>
      <c r="AB1897" s="288">
        <v>0</v>
      </c>
      <c r="AC1897" s="289">
        <v>0.16</v>
      </c>
      <c r="AD1897" s="289">
        <v>0</v>
      </c>
    </row>
    <row r="1898" spans="1:30" ht="15" customHeight="1" x14ac:dyDescent="0.25">
      <c r="A1898" s="282" t="s">
        <v>2708</v>
      </c>
      <c r="B1898" s="282" t="s">
        <v>2784</v>
      </c>
      <c r="C1898" s="282" t="s">
        <v>2784</v>
      </c>
      <c r="D1898" s="283" t="s">
        <v>2807</v>
      </c>
      <c r="E1898" s="405">
        <v>44620</v>
      </c>
      <c r="F1898" s="405">
        <v>46446</v>
      </c>
      <c r="G1898" s="286" t="s">
        <v>154</v>
      </c>
      <c r="H1898" s="282" t="s">
        <v>2799</v>
      </c>
      <c r="I1898" s="282" t="s">
        <v>1600</v>
      </c>
      <c r="J1898" s="282" t="s">
        <v>156</v>
      </c>
      <c r="K1898" s="286" t="s">
        <v>2800</v>
      </c>
      <c r="L1898" s="286" t="s">
        <v>158</v>
      </c>
      <c r="M1898" s="287"/>
      <c r="N1898" s="287"/>
      <c r="O1898" s="287"/>
      <c r="P1898" s="287"/>
      <c r="Q1898" s="288">
        <v>163</v>
      </c>
      <c r="R1898" s="288"/>
      <c r="S1898" s="288"/>
      <c r="T1898" s="288"/>
      <c r="U1898" s="288">
        <v>0</v>
      </c>
      <c r="V1898" s="289">
        <v>163</v>
      </c>
      <c r="W1898" s="289">
        <v>0</v>
      </c>
      <c r="X1898" s="288">
        <v>0.16300000000000001</v>
      </c>
      <c r="Y1898" s="288">
        <v>0</v>
      </c>
      <c r="Z1898" s="288">
        <v>0</v>
      </c>
      <c r="AA1898" s="288">
        <v>0</v>
      </c>
      <c r="AB1898" s="288">
        <v>0</v>
      </c>
      <c r="AC1898" s="289">
        <v>0.16300000000000001</v>
      </c>
      <c r="AD1898" s="289">
        <v>0</v>
      </c>
    </row>
    <row r="1899" spans="1:30" ht="15" customHeight="1" x14ac:dyDescent="0.25">
      <c r="A1899" s="282" t="s">
        <v>2708</v>
      </c>
      <c r="B1899" s="282" t="s">
        <v>2784</v>
      </c>
      <c r="C1899" s="282" t="s">
        <v>2784</v>
      </c>
      <c r="D1899" s="283" t="s">
        <v>2808</v>
      </c>
      <c r="E1899" s="405">
        <v>44620</v>
      </c>
      <c r="F1899" s="405">
        <v>46446</v>
      </c>
      <c r="G1899" s="286" t="s">
        <v>154</v>
      </c>
      <c r="H1899" s="282" t="s">
        <v>2799</v>
      </c>
      <c r="I1899" s="282" t="s">
        <v>1600</v>
      </c>
      <c r="J1899" s="282" t="s">
        <v>156</v>
      </c>
      <c r="K1899" s="286" t="s">
        <v>2800</v>
      </c>
      <c r="L1899" s="286" t="s">
        <v>158</v>
      </c>
      <c r="M1899" s="287"/>
      <c r="N1899" s="287"/>
      <c r="O1899" s="287"/>
      <c r="P1899" s="287"/>
      <c r="Q1899" s="288">
        <v>168</v>
      </c>
      <c r="R1899" s="288"/>
      <c r="S1899" s="288"/>
      <c r="T1899" s="288"/>
      <c r="U1899" s="288">
        <v>0</v>
      </c>
      <c r="V1899" s="289">
        <v>168</v>
      </c>
      <c r="W1899" s="289">
        <v>0</v>
      </c>
      <c r="X1899" s="288">
        <v>0.16800000000000001</v>
      </c>
      <c r="Y1899" s="288">
        <v>0</v>
      </c>
      <c r="Z1899" s="288">
        <v>0</v>
      </c>
      <c r="AA1899" s="288">
        <v>0</v>
      </c>
      <c r="AB1899" s="288">
        <v>0</v>
      </c>
      <c r="AC1899" s="289">
        <v>0.16800000000000001</v>
      </c>
      <c r="AD1899" s="289">
        <v>0</v>
      </c>
    </row>
    <row r="1900" spans="1:30" ht="15" customHeight="1" x14ac:dyDescent="0.25">
      <c r="A1900" s="282" t="s">
        <v>2708</v>
      </c>
      <c r="B1900" s="282" t="s">
        <v>2784</v>
      </c>
      <c r="C1900" s="282" t="s">
        <v>2784</v>
      </c>
      <c r="D1900" s="283" t="s">
        <v>2809</v>
      </c>
      <c r="E1900" s="405">
        <v>44620</v>
      </c>
      <c r="F1900" s="405">
        <v>46446</v>
      </c>
      <c r="G1900" s="286" t="s">
        <v>154</v>
      </c>
      <c r="H1900" s="282" t="s">
        <v>2799</v>
      </c>
      <c r="I1900" s="282" t="s">
        <v>1600</v>
      </c>
      <c r="J1900" s="282" t="s">
        <v>156</v>
      </c>
      <c r="K1900" s="286" t="s">
        <v>2800</v>
      </c>
      <c r="L1900" s="286" t="s">
        <v>158</v>
      </c>
      <c r="M1900" s="287"/>
      <c r="N1900" s="287"/>
      <c r="O1900" s="287"/>
      <c r="P1900" s="287"/>
      <c r="Q1900" s="288">
        <v>174</v>
      </c>
      <c r="R1900" s="288"/>
      <c r="S1900" s="288"/>
      <c r="T1900" s="288"/>
      <c r="U1900" s="288">
        <v>0</v>
      </c>
      <c r="V1900" s="289">
        <v>174</v>
      </c>
      <c r="W1900" s="289">
        <v>0</v>
      </c>
      <c r="X1900" s="288">
        <v>0.17399999999999999</v>
      </c>
      <c r="Y1900" s="288">
        <v>0</v>
      </c>
      <c r="Z1900" s="288">
        <v>0</v>
      </c>
      <c r="AA1900" s="288">
        <v>0</v>
      </c>
      <c r="AB1900" s="288">
        <v>0</v>
      </c>
      <c r="AC1900" s="289">
        <v>0.17399999999999999</v>
      </c>
      <c r="AD1900" s="289">
        <v>0</v>
      </c>
    </row>
    <row r="1901" spans="1:30" ht="15" customHeight="1" x14ac:dyDescent="0.25">
      <c r="A1901" s="282" t="s">
        <v>2708</v>
      </c>
      <c r="B1901" s="282" t="s">
        <v>2784</v>
      </c>
      <c r="C1901" s="282" t="s">
        <v>2784</v>
      </c>
      <c r="D1901" s="283" t="s">
        <v>2810</v>
      </c>
      <c r="E1901" s="405">
        <v>44620</v>
      </c>
      <c r="F1901" s="405">
        <v>46446</v>
      </c>
      <c r="G1901" s="286" t="s">
        <v>154</v>
      </c>
      <c r="H1901" s="282" t="s">
        <v>2799</v>
      </c>
      <c r="I1901" s="282" t="s">
        <v>1600</v>
      </c>
      <c r="J1901" s="282" t="s">
        <v>156</v>
      </c>
      <c r="K1901" s="286" t="s">
        <v>2800</v>
      </c>
      <c r="L1901" s="286" t="s">
        <v>158</v>
      </c>
      <c r="M1901" s="287"/>
      <c r="N1901" s="287"/>
      <c r="O1901" s="287"/>
      <c r="P1901" s="287"/>
      <c r="Q1901" s="288">
        <v>172</v>
      </c>
      <c r="R1901" s="288"/>
      <c r="S1901" s="288"/>
      <c r="T1901" s="288"/>
      <c r="U1901" s="288">
        <v>0</v>
      </c>
      <c r="V1901" s="289">
        <v>172</v>
      </c>
      <c r="W1901" s="289">
        <v>0</v>
      </c>
      <c r="X1901" s="288">
        <v>0.17199999999999999</v>
      </c>
      <c r="Y1901" s="288">
        <v>0</v>
      </c>
      <c r="Z1901" s="288">
        <v>0</v>
      </c>
      <c r="AA1901" s="288">
        <v>0</v>
      </c>
      <c r="AB1901" s="288">
        <v>0</v>
      </c>
      <c r="AC1901" s="289">
        <v>0.17199999999999999</v>
      </c>
      <c r="AD1901" s="289">
        <v>0</v>
      </c>
    </row>
    <row r="1902" spans="1:30" ht="15" customHeight="1" x14ac:dyDescent="0.25">
      <c r="A1902" s="282" t="s">
        <v>2708</v>
      </c>
      <c r="B1902" s="282" t="s">
        <v>2784</v>
      </c>
      <c r="C1902" s="282" t="s">
        <v>2784</v>
      </c>
      <c r="D1902" s="283" t="s">
        <v>2811</v>
      </c>
      <c r="E1902" s="405">
        <v>44620</v>
      </c>
      <c r="F1902" s="405">
        <v>46446</v>
      </c>
      <c r="G1902" s="286" t="s">
        <v>154</v>
      </c>
      <c r="H1902" s="282" t="s">
        <v>2799</v>
      </c>
      <c r="I1902" s="282" t="s">
        <v>1600</v>
      </c>
      <c r="J1902" s="282" t="s">
        <v>156</v>
      </c>
      <c r="K1902" s="286" t="s">
        <v>2800</v>
      </c>
      <c r="L1902" s="286" t="s">
        <v>158</v>
      </c>
      <c r="M1902" s="287"/>
      <c r="N1902" s="287"/>
      <c r="O1902" s="287"/>
      <c r="P1902" s="287"/>
      <c r="Q1902" s="288">
        <v>164</v>
      </c>
      <c r="R1902" s="288"/>
      <c r="S1902" s="288"/>
      <c r="T1902" s="288"/>
      <c r="U1902" s="288">
        <v>0</v>
      </c>
      <c r="V1902" s="289">
        <v>164</v>
      </c>
      <c r="W1902" s="289">
        <v>0</v>
      </c>
      <c r="X1902" s="288">
        <v>0.16400000000000001</v>
      </c>
      <c r="Y1902" s="288">
        <v>0</v>
      </c>
      <c r="Z1902" s="288">
        <v>0</v>
      </c>
      <c r="AA1902" s="288">
        <v>0</v>
      </c>
      <c r="AB1902" s="288">
        <v>0</v>
      </c>
      <c r="AC1902" s="289">
        <v>0.16400000000000001</v>
      </c>
      <c r="AD1902" s="289">
        <v>0</v>
      </c>
    </row>
    <row r="1903" spans="1:30" ht="15" customHeight="1" x14ac:dyDescent="0.25">
      <c r="A1903" s="282" t="s">
        <v>2708</v>
      </c>
      <c r="B1903" s="282" t="s">
        <v>2784</v>
      </c>
      <c r="C1903" s="282" t="s">
        <v>2784</v>
      </c>
      <c r="D1903" s="283" t="s">
        <v>2812</v>
      </c>
      <c r="E1903" s="405">
        <v>44620</v>
      </c>
      <c r="F1903" s="405">
        <v>46446</v>
      </c>
      <c r="G1903" s="286" t="s">
        <v>154</v>
      </c>
      <c r="H1903" s="282" t="s">
        <v>2799</v>
      </c>
      <c r="I1903" s="282" t="s">
        <v>1600</v>
      </c>
      <c r="J1903" s="282" t="s">
        <v>156</v>
      </c>
      <c r="K1903" s="286" t="s">
        <v>2800</v>
      </c>
      <c r="L1903" s="286" t="s">
        <v>158</v>
      </c>
      <c r="M1903" s="287"/>
      <c r="N1903" s="287"/>
      <c r="O1903" s="287"/>
      <c r="P1903" s="287"/>
      <c r="Q1903" s="288">
        <v>142</v>
      </c>
      <c r="R1903" s="288"/>
      <c r="S1903" s="288"/>
      <c r="T1903" s="288"/>
      <c r="U1903" s="288">
        <v>0</v>
      </c>
      <c r="V1903" s="289">
        <v>142</v>
      </c>
      <c r="W1903" s="289">
        <v>0</v>
      </c>
      <c r="X1903" s="288">
        <v>0.14199999999999999</v>
      </c>
      <c r="Y1903" s="288">
        <v>0</v>
      </c>
      <c r="Z1903" s="288">
        <v>0</v>
      </c>
      <c r="AA1903" s="288">
        <v>0</v>
      </c>
      <c r="AB1903" s="288">
        <v>0</v>
      </c>
      <c r="AC1903" s="289">
        <v>0.14199999999999999</v>
      </c>
      <c r="AD1903" s="289">
        <v>0</v>
      </c>
    </row>
    <row r="1904" spans="1:30" ht="15" customHeight="1" x14ac:dyDescent="0.25">
      <c r="A1904" s="282" t="s">
        <v>2708</v>
      </c>
      <c r="B1904" s="282" t="s">
        <v>2784</v>
      </c>
      <c r="C1904" s="282" t="s">
        <v>2784</v>
      </c>
      <c r="D1904" s="283" t="s">
        <v>2813</v>
      </c>
      <c r="E1904" s="405">
        <v>44620</v>
      </c>
      <c r="F1904" s="405">
        <v>46446</v>
      </c>
      <c r="G1904" s="286" t="s">
        <v>154</v>
      </c>
      <c r="H1904" s="282" t="s">
        <v>2799</v>
      </c>
      <c r="I1904" s="282" t="s">
        <v>1600</v>
      </c>
      <c r="J1904" s="282" t="s">
        <v>156</v>
      </c>
      <c r="K1904" s="286" t="s">
        <v>2800</v>
      </c>
      <c r="L1904" s="286" t="s">
        <v>158</v>
      </c>
      <c r="M1904" s="287"/>
      <c r="N1904" s="287"/>
      <c r="O1904" s="287"/>
      <c r="P1904" s="287"/>
      <c r="Q1904" s="288">
        <v>142</v>
      </c>
      <c r="R1904" s="288"/>
      <c r="S1904" s="288"/>
      <c r="T1904" s="288"/>
      <c r="U1904" s="288">
        <v>0</v>
      </c>
      <c r="V1904" s="289">
        <v>142</v>
      </c>
      <c r="W1904" s="289">
        <v>0</v>
      </c>
      <c r="X1904" s="288">
        <v>0.14199999999999999</v>
      </c>
      <c r="Y1904" s="288">
        <v>0</v>
      </c>
      <c r="Z1904" s="288">
        <v>0</v>
      </c>
      <c r="AA1904" s="288">
        <v>0</v>
      </c>
      <c r="AB1904" s="288">
        <v>0</v>
      </c>
      <c r="AC1904" s="289">
        <v>0.14199999999999999</v>
      </c>
      <c r="AD1904" s="289">
        <v>0</v>
      </c>
    </row>
    <row r="1905" spans="1:30" ht="15" customHeight="1" x14ac:dyDescent="0.25">
      <c r="A1905" s="282" t="s">
        <v>2708</v>
      </c>
      <c r="B1905" s="282" t="s">
        <v>2784</v>
      </c>
      <c r="C1905" s="282" t="s">
        <v>2784</v>
      </c>
      <c r="D1905" s="283" t="s">
        <v>2814</v>
      </c>
      <c r="E1905" s="405">
        <v>44620</v>
      </c>
      <c r="F1905" s="405">
        <v>46446</v>
      </c>
      <c r="G1905" s="286" t="s">
        <v>154</v>
      </c>
      <c r="H1905" s="282" t="s">
        <v>2799</v>
      </c>
      <c r="I1905" s="282" t="s">
        <v>1600</v>
      </c>
      <c r="J1905" s="282" t="s">
        <v>156</v>
      </c>
      <c r="K1905" s="286" t="s">
        <v>2800</v>
      </c>
      <c r="L1905" s="286" t="s">
        <v>158</v>
      </c>
      <c r="M1905" s="287"/>
      <c r="N1905" s="287"/>
      <c r="O1905" s="287"/>
      <c r="P1905" s="287"/>
      <c r="Q1905" s="288">
        <v>142</v>
      </c>
      <c r="R1905" s="288"/>
      <c r="S1905" s="288"/>
      <c r="T1905" s="288"/>
      <c r="U1905" s="288">
        <v>0</v>
      </c>
      <c r="V1905" s="289">
        <v>142</v>
      </c>
      <c r="W1905" s="289">
        <v>0</v>
      </c>
      <c r="X1905" s="288">
        <v>0.14199999999999999</v>
      </c>
      <c r="Y1905" s="288">
        <v>0</v>
      </c>
      <c r="Z1905" s="288">
        <v>0</v>
      </c>
      <c r="AA1905" s="288">
        <v>0</v>
      </c>
      <c r="AB1905" s="288">
        <v>0</v>
      </c>
      <c r="AC1905" s="289">
        <v>0.14199999999999999</v>
      </c>
      <c r="AD1905" s="289">
        <v>0</v>
      </c>
    </row>
    <row r="1906" spans="1:30" ht="15" customHeight="1" x14ac:dyDescent="0.25">
      <c r="A1906" s="282" t="s">
        <v>2708</v>
      </c>
      <c r="B1906" s="282" t="s">
        <v>2709</v>
      </c>
      <c r="C1906" s="282" t="s">
        <v>2710</v>
      </c>
      <c r="D1906" s="283" t="s">
        <v>2815</v>
      </c>
      <c r="E1906" s="403">
        <v>44378</v>
      </c>
      <c r="F1906" s="403">
        <v>44742</v>
      </c>
      <c r="G1906" s="283" t="s">
        <v>154</v>
      </c>
      <c r="H1906" s="282">
        <v>0</v>
      </c>
      <c r="I1906" s="285"/>
      <c r="J1906" s="282" t="s">
        <v>2816</v>
      </c>
      <c r="K1906" s="283" t="s">
        <v>2817</v>
      </c>
      <c r="L1906" s="286" t="s">
        <v>158</v>
      </c>
      <c r="M1906" s="287" t="s">
        <v>159</v>
      </c>
      <c r="N1906" s="287" t="s">
        <v>159</v>
      </c>
      <c r="O1906" s="287" t="s">
        <v>159</v>
      </c>
      <c r="P1906" s="287" t="s">
        <v>159</v>
      </c>
      <c r="Q1906" s="288">
        <v>214.2</v>
      </c>
      <c r="R1906" s="288"/>
      <c r="S1906" s="288"/>
      <c r="T1906" s="288"/>
      <c r="U1906" s="288">
        <v>0</v>
      </c>
      <c r="V1906" s="289">
        <v>214.2</v>
      </c>
      <c r="W1906" s="289">
        <v>0</v>
      </c>
      <c r="X1906" s="288">
        <v>0.2142</v>
      </c>
      <c r="Y1906" s="288">
        <v>0</v>
      </c>
      <c r="Z1906" s="288">
        <v>0</v>
      </c>
      <c r="AA1906" s="288">
        <v>0</v>
      </c>
      <c r="AB1906" s="288">
        <v>0</v>
      </c>
      <c r="AC1906" s="289">
        <v>0.2142</v>
      </c>
      <c r="AD1906" s="289">
        <v>0</v>
      </c>
    </row>
    <row r="1907" spans="1:30" ht="15" customHeight="1" x14ac:dyDescent="0.25">
      <c r="A1907" s="282" t="s">
        <v>2708</v>
      </c>
      <c r="B1907" s="282" t="s">
        <v>2709</v>
      </c>
      <c r="C1907" s="282" t="s">
        <v>2710</v>
      </c>
      <c r="D1907" s="283" t="s">
        <v>2818</v>
      </c>
      <c r="E1907" s="403">
        <v>44378</v>
      </c>
      <c r="F1907" s="403">
        <v>44742</v>
      </c>
      <c r="G1907" s="283" t="s">
        <v>154</v>
      </c>
      <c r="H1907" s="282">
        <v>0</v>
      </c>
      <c r="I1907" s="285"/>
      <c r="J1907" s="282" t="s">
        <v>2816</v>
      </c>
      <c r="K1907" s="283" t="s">
        <v>2817</v>
      </c>
      <c r="L1907" s="286" t="s">
        <v>158</v>
      </c>
      <c r="M1907" s="287" t="s">
        <v>159</v>
      </c>
      <c r="N1907" s="287" t="s">
        <v>159</v>
      </c>
      <c r="O1907" s="287" t="s">
        <v>159</v>
      </c>
      <c r="P1907" s="287" t="s">
        <v>159</v>
      </c>
      <c r="Q1907" s="288">
        <v>101.1</v>
      </c>
      <c r="R1907" s="288"/>
      <c r="S1907" s="288"/>
      <c r="T1907" s="288"/>
      <c r="U1907" s="288">
        <v>0</v>
      </c>
      <c r="V1907" s="289">
        <v>101.1</v>
      </c>
      <c r="W1907" s="289">
        <v>0</v>
      </c>
      <c r="X1907" s="288">
        <v>0.1011</v>
      </c>
      <c r="Y1907" s="288">
        <v>0</v>
      </c>
      <c r="Z1907" s="288">
        <v>0</v>
      </c>
      <c r="AA1907" s="288">
        <v>0</v>
      </c>
      <c r="AB1907" s="288">
        <v>0</v>
      </c>
      <c r="AC1907" s="289">
        <v>0.1011</v>
      </c>
      <c r="AD1907" s="289">
        <v>0</v>
      </c>
    </row>
    <row r="1908" spans="1:30" ht="15" customHeight="1" x14ac:dyDescent="0.25">
      <c r="A1908" s="282" t="s">
        <v>2708</v>
      </c>
      <c r="B1908" s="282" t="s">
        <v>2709</v>
      </c>
      <c r="C1908" s="282" t="s">
        <v>2710</v>
      </c>
      <c r="D1908" s="283" t="s">
        <v>2819</v>
      </c>
      <c r="E1908" s="403">
        <v>44378</v>
      </c>
      <c r="F1908" s="403">
        <v>44742</v>
      </c>
      <c r="G1908" s="283" t="s">
        <v>154</v>
      </c>
      <c r="H1908" s="282">
        <v>0</v>
      </c>
      <c r="I1908" s="285"/>
      <c r="J1908" s="282" t="s">
        <v>2816</v>
      </c>
      <c r="K1908" s="283" t="s">
        <v>2817</v>
      </c>
      <c r="L1908" s="286" t="s">
        <v>158</v>
      </c>
      <c r="M1908" s="287" t="s">
        <v>159</v>
      </c>
      <c r="N1908" s="287" t="s">
        <v>159</v>
      </c>
      <c r="O1908" s="287" t="s">
        <v>159</v>
      </c>
      <c r="P1908" s="287" t="s">
        <v>159</v>
      </c>
      <c r="Q1908" s="288">
        <v>172</v>
      </c>
      <c r="R1908" s="288"/>
      <c r="S1908" s="288"/>
      <c r="T1908" s="288"/>
      <c r="U1908" s="288">
        <v>0</v>
      </c>
      <c r="V1908" s="289">
        <v>172</v>
      </c>
      <c r="W1908" s="289">
        <v>0</v>
      </c>
      <c r="X1908" s="288">
        <v>0.17199999999999999</v>
      </c>
      <c r="Y1908" s="288">
        <v>0</v>
      </c>
      <c r="Z1908" s="288">
        <v>0</v>
      </c>
      <c r="AA1908" s="288">
        <v>0</v>
      </c>
      <c r="AB1908" s="288">
        <v>0</v>
      </c>
      <c r="AC1908" s="289">
        <v>0.17199999999999999</v>
      </c>
      <c r="AD1908" s="289">
        <v>0</v>
      </c>
    </row>
    <row r="1909" spans="1:30" ht="15" customHeight="1" x14ac:dyDescent="0.25">
      <c r="A1909" s="282" t="s">
        <v>2708</v>
      </c>
      <c r="B1909" s="282" t="s">
        <v>2709</v>
      </c>
      <c r="C1909" s="282" t="s">
        <v>2710</v>
      </c>
      <c r="D1909" s="283" t="s">
        <v>2820</v>
      </c>
      <c r="E1909" s="403">
        <v>44378</v>
      </c>
      <c r="F1909" s="403">
        <v>44742</v>
      </c>
      <c r="G1909" s="283" t="s">
        <v>154</v>
      </c>
      <c r="H1909" s="282">
        <v>0</v>
      </c>
      <c r="I1909" s="285"/>
      <c r="J1909" s="282" t="s">
        <v>2816</v>
      </c>
      <c r="K1909" s="283" t="s">
        <v>2817</v>
      </c>
      <c r="L1909" s="286" t="s">
        <v>158</v>
      </c>
      <c r="M1909" s="287" t="s">
        <v>159</v>
      </c>
      <c r="N1909" s="287" t="s">
        <v>159</v>
      </c>
      <c r="O1909" s="287" t="s">
        <v>159</v>
      </c>
      <c r="P1909" s="287" t="s">
        <v>159</v>
      </c>
      <c r="Q1909" s="288">
        <v>203.7</v>
      </c>
      <c r="R1909" s="288"/>
      <c r="S1909" s="288"/>
      <c r="T1909" s="288"/>
      <c r="U1909" s="288">
        <v>0</v>
      </c>
      <c r="V1909" s="289">
        <v>203.7</v>
      </c>
      <c r="W1909" s="289">
        <v>0</v>
      </c>
      <c r="X1909" s="288">
        <v>0.20369999999999999</v>
      </c>
      <c r="Y1909" s="288">
        <v>0</v>
      </c>
      <c r="Z1909" s="288">
        <v>0</v>
      </c>
      <c r="AA1909" s="288">
        <v>0</v>
      </c>
      <c r="AB1909" s="288">
        <v>0</v>
      </c>
      <c r="AC1909" s="289">
        <v>0.20369999999999999</v>
      </c>
      <c r="AD1909" s="289">
        <v>0</v>
      </c>
    </row>
    <row r="1910" spans="1:30" ht="15" customHeight="1" x14ac:dyDescent="0.25">
      <c r="A1910" s="282" t="s">
        <v>2708</v>
      </c>
      <c r="B1910" s="282" t="s">
        <v>2709</v>
      </c>
      <c r="C1910" s="282" t="s">
        <v>2710</v>
      </c>
      <c r="D1910" s="283" t="s">
        <v>2821</v>
      </c>
      <c r="E1910" s="403">
        <v>44378</v>
      </c>
      <c r="F1910" s="403">
        <v>44742</v>
      </c>
      <c r="G1910" s="283" t="s">
        <v>154</v>
      </c>
      <c r="H1910" s="282">
        <v>0</v>
      </c>
      <c r="I1910" s="285"/>
      <c r="J1910" s="282" t="s">
        <v>2816</v>
      </c>
      <c r="K1910" s="283" t="s">
        <v>2817</v>
      </c>
      <c r="L1910" s="286" t="s">
        <v>158</v>
      </c>
      <c r="M1910" s="287" t="s">
        <v>159</v>
      </c>
      <c r="N1910" s="287" t="s">
        <v>159</v>
      </c>
      <c r="O1910" s="287" t="s">
        <v>159</v>
      </c>
      <c r="P1910" s="287" t="s">
        <v>159</v>
      </c>
      <c r="Q1910" s="288">
        <v>408.4</v>
      </c>
      <c r="R1910" s="288"/>
      <c r="S1910" s="288"/>
      <c r="T1910" s="288"/>
      <c r="U1910" s="288">
        <v>0</v>
      </c>
      <c r="V1910" s="289">
        <v>408.4</v>
      </c>
      <c r="W1910" s="289">
        <v>0</v>
      </c>
      <c r="X1910" s="288">
        <v>0.40839999999999999</v>
      </c>
      <c r="Y1910" s="288">
        <v>0</v>
      </c>
      <c r="Z1910" s="288">
        <v>0</v>
      </c>
      <c r="AA1910" s="288">
        <v>0</v>
      </c>
      <c r="AB1910" s="288">
        <v>0</v>
      </c>
      <c r="AC1910" s="289">
        <v>0.40839999999999999</v>
      </c>
      <c r="AD1910" s="289">
        <v>0</v>
      </c>
    </row>
    <row r="1911" spans="1:30" ht="15" customHeight="1" x14ac:dyDescent="0.25">
      <c r="A1911" s="282" t="s">
        <v>2708</v>
      </c>
      <c r="B1911" s="282" t="s">
        <v>2709</v>
      </c>
      <c r="C1911" s="282" t="s">
        <v>2710</v>
      </c>
      <c r="D1911" s="283" t="s">
        <v>2822</v>
      </c>
      <c r="E1911" s="403">
        <v>44378</v>
      </c>
      <c r="F1911" s="403">
        <v>44742</v>
      </c>
      <c r="G1911" s="283" t="s">
        <v>154</v>
      </c>
      <c r="H1911" s="282">
        <v>0</v>
      </c>
      <c r="I1911" s="285"/>
      <c r="J1911" s="282" t="s">
        <v>2816</v>
      </c>
      <c r="K1911" s="283" t="s">
        <v>2817</v>
      </c>
      <c r="L1911" s="286" t="s">
        <v>158</v>
      </c>
      <c r="M1911" s="287" t="s">
        <v>159</v>
      </c>
      <c r="N1911" s="287" t="s">
        <v>159</v>
      </c>
      <c r="O1911" s="287" t="s">
        <v>159</v>
      </c>
      <c r="P1911" s="287" t="s">
        <v>159</v>
      </c>
      <c r="Q1911" s="288">
        <v>179.1</v>
      </c>
      <c r="R1911" s="288"/>
      <c r="S1911" s="288"/>
      <c r="T1911" s="288"/>
      <c r="U1911" s="288">
        <v>0</v>
      </c>
      <c r="V1911" s="289">
        <v>179.1</v>
      </c>
      <c r="W1911" s="289">
        <v>0</v>
      </c>
      <c r="X1911" s="288">
        <v>0.17909999999999998</v>
      </c>
      <c r="Y1911" s="288">
        <v>0</v>
      </c>
      <c r="Z1911" s="288">
        <v>0</v>
      </c>
      <c r="AA1911" s="288">
        <v>0</v>
      </c>
      <c r="AB1911" s="288">
        <v>0</v>
      </c>
      <c r="AC1911" s="289">
        <v>0.17909999999999998</v>
      </c>
      <c r="AD1911" s="289">
        <v>0</v>
      </c>
    </row>
    <row r="1912" spans="1:30" ht="15" customHeight="1" x14ac:dyDescent="0.25">
      <c r="A1912" s="282" t="s">
        <v>2708</v>
      </c>
      <c r="B1912" s="282" t="s">
        <v>2709</v>
      </c>
      <c r="C1912" s="282" t="s">
        <v>2710</v>
      </c>
      <c r="D1912" s="283" t="s">
        <v>2823</v>
      </c>
      <c r="E1912" s="403">
        <v>44378</v>
      </c>
      <c r="F1912" s="403">
        <v>44742</v>
      </c>
      <c r="G1912" s="283" t="s">
        <v>154</v>
      </c>
      <c r="H1912" s="282">
        <v>0</v>
      </c>
      <c r="I1912" s="285"/>
      <c r="J1912" s="282" t="s">
        <v>2816</v>
      </c>
      <c r="K1912" s="283" t="s">
        <v>2817</v>
      </c>
      <c r="L1912" s="286" t="s">
        <v>158</v>
      </c>
      <c r="M1912" s="287" t="s">
        <v>159</v>
      </c>
      <c r="N1912" s="287" t="s">
        <v>159</v>
      </c>
      <c r="O1912" s="287" t="s">
        <v>159</v>
      </c>
      <c r="P1912" s="287" t="s">
        <v>159</v>
      </c>
      <c r="Q1912" s="288">
        <v>279.39999999999998</v>
      </c>
      <c r="R1912" s="288"/>
      <c r="S1912" s="288"/>
      <c r="T1912" s="288"/>
      <c r="U1912" s="288">
        <v>0</v>
      </c>
      <c r="V1912" s="289">
        <v>279.39999999999998</v>
      </c>
      <c r="W1912" s="289">
        <v>0</v>
      </c>
      <c r="X1912" s="288">
        <v>0.27939999999999998</v>
      </c>
      <c r="Y1912" s="288">
        <v>0</v>
      </c>
      <c r="Z1912" s="288">
        <v>0</v>
      </c>
      <c r="AA1912" s="288">
        <v>0</v>
      </c>
      <c r="AB1912" s="288">
        <v>0</v>
      </c>
      <c r="AC1912" s="289">
        <v>0.27939999999999998</v>
      </c>
      <c r="AD1912" s="289">
        <v>0</v>
      </c>
    </row>
    <row r="1913" spans="1:30" ht="15" customHeight="1" x14ac:dyDescent="0.25">
      <c r="A1913" s="282" t="s">
        <v>2708</v>
      </c>
      <c r="B1913" s="282" t="s">
        <v>2709</v>
      </c>
      <c r="C1913" s="282" t="s">
        <v>2710</v>
      </c>
      <c r="D1913" s="283" t="s">
        <v>2824</v>
      </c>
      <c r="E1913" s="403">
        <v>44378</v>
      </c>
      <c r="F1913" s="403">
        <v>44742</v>
      </c>
      <c r="G1913" s="283" t="s">
        <v>154</v>
      </c>
      <c r="H1913" s="282">
        <v>0</v>
      </c>
      <c r="I1913" s="285"/>
      <c r="J1913" s="282" t="s">
        <v>2816</v>
      </c>
      <c r="K1913" s="283" t="s">
        <v>2817</v>
      </c>
      <c r="L1913" s="286" t="s">
        <v>158</v>
      </c>
      <c r="M1913" s="287" t="s">
        <v>159</v>
      </c>
      <c r="N1913" s="287" t="s">
        <v>159</v>
      </c>
      <c r="O1913" s="287" t="s">
        <v>159</v>
      </c>
      <c r="P1913" s="287" t="s">
        <v>159</v>
      </c>
      <c r="Q1913" s="288">
        <v>269.60000000000002</v>
      </c>
      <c r="R1913" s="288"/>
      <c r="S1913" s="288"/>
      <c r="T1913" s="288"/>
      <c r="U1913" s="288">
        <v>0</v>
      </c>
      <c r="V1913" s="289">
        <v>269.60000000000002</v>
      </c>
      <c r="W1913" s="289">
        <v>0</v>
      </c>
      <c r="X1913" s="288">
        <v>0.26960000000000001</v>
      </c>
      <c r="Y1913" s="288">
        <v>0</v>
      </c>
      <c r="Z1913" s="288">
        <v>0</v>
      </c>
      <c r="AA1913" s="288">
        <v>0</v>
      </c>
      <c r="AB1913" s="288">
        <v>0</v>
      </c>
      <c r="AC1913" s="289">
        <v>0.26960000000000001</v>
      </c>
      <c r="AD1913" s="289">
        <v>0</v>
      </c>
    </row>
    <row r="1914" spans="1:30" ht="15" customHeight="1" x14ac:dyDescent="0.25">
      <c r="A1914" s="282" t="s">
        <v>2708</v>
      </c>
      <c r="B1914" s="282" t="s">
        <v>2709</v>
      </c>
      <c r="C1914" s="282" t="s">
        <v>2710</v>
      </c>
      <c r="D1914" s="283" t="s">
        <v>2825</v>
      </c>
      <c r="E1914" s="403">
        <v>44378</v>
      </c>
      <c r="F1914" s="403">
        <v>44742</v>
      </c>
      <c r="G1914" s="283" t="s">
        <v>154</v>
      </c>
      <c r="H1914" s="282">
        <v>0</v>
      </c>
      <c r="I1914" s="285"/>
      <c r="J1914" s="282" t="s">
        <v>2816</v>
      </c>
      <c r="K1914" s="283" t="s">
        <v>2817</v>
      </c>
      <c r="L1914" s="286" t="s">
        <v>158</v>
      </c>
      <c r="M1914" s="287" t="s">
        <v>159</v>
      </c>
      <c r="N1914" s="287" t="s">
        <v>159</v>
      </c>
      <c r="O1914" s="287" t="s">
        <v>159</v>
      </c>
      <c r="P1914" s="287" t="s">
        <v>159</v>
      </c>
      <c r="Q1914" s="288">
        <v>205.4</v>
      </c>
      <c r="R1914" s="288"/>
      <c r="S1914" s="288"/>
      <c r="T1914" s="288"/>
      <c r="U1914" s="288">
        <v>0</v>
      </c>
      <c r="V1914" s="289">
        <v>205.4</v>
      </c>
      <c r="W1914" s="289">
        <v>0</v>
      </c>
      <c r="X1914" s="288">
        <v>0.2054</v>
      </c>
      <c r="Y1914" s="288">
        <v>0</v>
      </c>
      <c r="Z1914" s="288">
        <v>0</v>
      </c>
      <c r="AA1914" s="288">
        <v>0</v>
      </c>
      <c r="AB1914" s="288">
        <v>0</v>
      </c>
      <c r="AC1914" s="289">
        <v>0.2054</v>
      </c>
      <c r="AD1914" s="289">
        <v>0</v>
      </c>
    </row>
    <row r="1915" spans="1:30" ht="15" customHeight="1" x14ac:dyDescent="0.25">
      <c r="A1915" s="282" t="s">
        <v>2708</v>
      </c>
      <c r="B1915" s="282" t="s">
        <v>2709</v>
      </c>
      <c r="C1915" s="282" t="s">
        <v>2710</v>
      </c>
      <c r="D1915" s="283" t="s">
        <v>2826</v>
      </c>
      <c r="E1915" s="403">
        <v>44378</v>
      </c>
      <c r="F1915" s="403">
        <v>44742</v>
      </c>
      <c r="G1915" s="283" t="s">
        <v>154</v>
      </c>
      <c r="H1915" s="282">
        <v>0</v>
      </c>
      <c r="I1915" s="285"/>
      <c r="J1915" s="282" t="s">
        <v>2816</v>
      </c>
      <c r="K1915" s="283" t="s">
        <v>2817</v>
      </c>
      <c r="L1915" s="286" t="s">
        <v>158</v>
      </c>
      <c r="M1915" s="287" t="s">
        <v>159</v>
      </c>
      <c r="N1915" s="287" t="s">
        <v>159</v>
      </c>
      <c r="O1915" s="287" t="s">
        <v>159</v>
      </c>
      <c r="P1915" s="287" t="s">
        <v>159</v>
      </c>
      <c r="Q1915" s="288">
        <v>320</v>
      </c>
      <c r="R1915" s="288"/>
      <c r="S1915" s="288"/>
      <c r="T1915" s="288"/>
      <c r="U1915" s="288">
        <v>0</v>
      </c>
      <c r="V1915" s="289">
        <v>320</v>
      </c>
      <c r="W1915" s="289">
        <v>0</v>
      </c>
      <c r="X1915" s="288">
        <v>0.32</v>
      </c>
      <c r="Y1915" s="288">
        <v>0</v>
      </c>
      <c r="Z1915" s="288">
        <v>0</v>
      </c>
      <c r="AA1915" s="288">
        <v>0</v>
      </c>
      <c r="AB1915" s="288">
        <v>0</v>
      </c>
      <c r="AC1915" s="289">
        <v>0.32</v>
      </c>
      <c r="AD1915" s="289">
        <v>0</v>
      </c>
    </row>
    <row r="1916" spans="1:30" ht="15" customHeight="1" x14ac:dyDescent="0.25">
      <c r="A1916" s="282" t="s">
        <v>2708</v>
      </c>
      <c r="B1916" s="282" t="s">
        <v>2709</v>
      </c>
      <c r="C1916" s="282" t="s">
        <v>2710</v>
      </c>
      <c r="D1916" s="283" t="s">
        <v>2827</v>
      </c>
      <c r="E1916" s="403">
        <v>44378</v>
      </c>
      <c r="F1916" s="403">
        <v>44742</v>
      </c>
      <c r="G1916" s="283" t="s">
        <v>154</v>
      </c>
      <c r="H1916" s="282">
        <v>0</v>
      </c>
      <c r="I1916" s="285"/>
      <c r="J1916" s="282" t="s">
        <v>2816</v>
      </c>
      <c r="K1916" s="283" t="s">
        <v>2817</v>
      </c>
      <c r="L1916" s="286" t="s">
        <v>158</v>
      </c>
      <c r="M1916" s="287" t="s">
        <v>159</v>
      </c>
      <c r="N1916" s="287" t="s">
        <v>159</v>
      </c>
      <c r="O1916" s="287" t="s">
        <v>159</v>
      </c>
      <c r="P1916" s="287" t="s">
        <v>159</v>
      </c>
      <c r="Q1916" s="288">
        <v>210.6</v>
      </c>
      <c r="R1916" s="288"/>
      <c r="S1916" s="288"/>
      <c r="T1916" s="288"/>
      <c r="U1916" s="288">
        <v>0</v>
      </c>
      <c r="V1916" s="289">
        <v>210.6</v>
      </c>
      <c r="W1916" s="289">
        <v>0</v>
      </c>
      <c r="X1916" s="288">
        <v>0.21059999999999998</v>
      </c>
      <c r="Y1916" s="288">
        <v>0</v>
      </c>
      <c r="Z1916" s="288">
        <v>0</v>
      </c>
      <c r="AA1916" s="288">
        <v>0</v>
      </c>
      <c r="AB1916" s="288">
        <v>0</v>
      </c>
      <c r="AC1916" s="289">
        <v>0.21059999999999998</v>
      </c>
      <c r="AD1916" s="289">
        <v>0</v>
      </c>
    </row>
    <row r="1917" spans="1:30" ht="15" customHeight="1" x14ac:dyDescent="0.25">
      <c r="A1917" s="282" t="s">
        <v>2708</v>
      </c>
      <c r="B1917" s="282" t="s">
        <v>2778</v>
      </c>
      <c r="C1917" s="282" t="s">
        <v>2779</v>
      </c>
      <c r="D1917" s="283" t="s">
        <v>2828</v>
      </c>
      <c r="E1917" s="403">
        <v>44183</v>
      </c>
      <c r="F1917" s="403">
        <v>45978</v>
      </c>
      <c r="G1917" s="283" t="s">
        <v>237</v>
      </c>
      <c r="H1917" s="282" t="s">
        <v>2829</v>
      </c>
      <c r="I1917" s="285"/>
      <c r="J1917" s="282" t="s">
        <v>184</v>
      </c>
      <c r="K1917" s="283" t="s">
        <v>2830</v>
      </c>
      <c r="L1917" s="286" t="s">
        <v>158</v>
      </c>
      <c r="M1917" s="287">
        <v>2700</v>
      </c>
      <c r="N1917" s="287">
        <v>27</v>
      </c>
      <c r="O1917" s="287" t="s">
        <v>159</v>
      </c>
      <c r="P1917" s="287" t="s">
        <v>159</v>
      </c>
      <c r="Q1917" s="288">
        <v>451.85185185185185</v>
      </c>
      <c r="R1917" s="288"/>
      <c r="S1917" s="288"/>
      <c r="T1917" s="288"/>
      <c r="U1917" s="288">
        <v>0</v>
      </c>
      <c r="V1917" s="289">
        <v>451.85185185185185</v>
      </c>
      <c r="W1917" s="289">
        <v>0</v>
      </c>
      <c r="X1917" s="288">
        <v>0.45185185185185184</v>
      </c>
      <c r="Y1917" s="288">
        <v>0</v>
      </c>
      <c r="Z1917" s="288">
        <v>0</v>
      </c>
      <c r="AA1917" s="288">
        <v>0</v>
      </c>
      <c r="AB1917" s="288">
        <v>0</v>
      </c>
      <c r="AC1917" s="289">
        <v>0.45185185185185184</v>
      </c>
      <c r="AD1917" s="289">
        <v>0</v>
      </c>
    </row>
    <row r="1918" spans="1:30" ht="15" customHeight="1" x14ac:dyDescent="0.25">
      <c r="A1918" s="282" t="s">
        <v>2708</v>
      </c>
      <c r="B1918" s="282" t="s">
        <v>2778</v>
      </c>
      <c r="C1918" s="282" t="s">
        <v>2779</v>
      </c>
      <c r="D1918" s="283" t="s">
        <v>2831</v>
      </c>
      <c r="E1918" s="403">
        <v>44183</v>
      </c>
      <c r="F1918" s="403">
        <v>45978</v>
      </c>
      <c r="G1918" s="283" t="s">
        <v>237</v>
      </c>
      <c r="H1918" s="282" t="s">
        <v>2829</v>
      </c>
      <c r="I1918" s="285"/>
      <c r="J1918" s="282" t="s">
        <v>184</v>
      </c>
      <c r="K1918" s="283" t="s">
        <v>2830</v>
      </c>
      <c r="L1918" s="286" t="s">
        <v>158</v>
      </c>
      <c r="M1918" s="287">
        <v>2700</v>
      </c>
      <c r="N1918" s="287">
        <v>54</v>
      </c>
      <c r="O1918" s="287" t="s">
        <v>159</v>
      </c>
      <c r="P1918" s="287" t="s">
        <v>159</v>
      </c>
      <c r="Q1918" s="288">
        <v>416.66666666666669</v>
      </c>
      <c r="R1918" s="288"/>
      <c r="S1918" s="288"/>
      <c r="T1918" s="288"/>
      <c r="U1918" s="288">
        <v>0</v>
      </c>
      <c r="V1918" s="289">
        <v>416.66666666666669</v>
      </c>
      <c r="W1918" s="289">
        <v>0</v>
      </c>
      <c r="X1918" s="288">
        <v>0.41666666666666669</v>
      </c>
      <c r="Y1918" s="288">
        <v>0</v>
      </c>
      <c r="Z1918" s="288">
        <v>0</v>
      </c>
      <c r="AA1918" s="288">
        <v>0</v>
      </c>
      <c r="AB1918" s="288">
        <v>0</v>
      </c>
      <c r="AC1918" s="289">
        <v>0.41666666666666669</v>
      </c>
      <c r="AD1918" s="289">
        <v>0</v>
      </c>
    </row>
    <row r="1919" spans="1:30" ht="15" customHeight="1" x14ac:dyDescent="0.25">
      <c r="A1919" s="282" t="s">
        <v>2708</v>
      </c>
      <c r="B1919" s="282" t="s">
        <v>2778</v>
      </c>
      <c r="C1919" s="282" t="s">
        <v>2779</v>
      </c>
      <c r="D1919" s="283" t="s">
        <v>2832</v>
      </c>
      <c r="E1919" s="403">
        <v>44183</v>
      </c>
      <c r="F1919" s="403">
        <v>45978</v>
      </c>
      <c r="G1919" s="283" t="s">
        <v>237</v>
      </c>
      <c r="H1919" s="282" t="s">
        <v>2829</v>
      </c>
      <c r="I1919" s="285"/>
      <c r="J1919" s="282" t="s">
        <v>184</v>
      </c>
      <c r="K1919" s="283" t="s">
        <v>2830</v>
      </c>
      <c r="L1919" s="286" t="s">
        <v>158</v>
      </c>
      <c r="M1919" s="287">
        <v>2700</v>
      </c>
      <c r="N1919" s="287">
        <v>81</v>
      </c>
      <c r="O1919" s="287" t="s">
        <v>159</v>
      </c>
      <c r="P1919" s="287" t="s">
        <v>159</v>
      </c>
      <c r="Q1919" s="288">
        <v>403.70370370370375</v>
      </c>
      <c r="R1919" s="288"/>
      <c r="S1919" s="288"/>
      <c r="T1919" s="288"/>
      <c r="U1919" s="288">
        <v>0</v>
      </c>
      <c r="V1919" s="289">
        <v>403.70370370370375</v>
      </c>
      <c r="W1919" s="289">
        <v>0</v>
      </c>
      <c r="X1919" s="288">
        <v>0.40370370370370373</v>
      </c>
      <c r="Y1919" s="288">
        <v>0</v>
      </c>
      <c r="Z1919" s="288">
        <v>0</v>
      </c>
      <c r="AA1919" s="288">
        <v>0</v>
      </c>
      <c r="AB1919" s="288">
        <v>0</v>
      </c>
      <c r="AC1919" s="289">
        <v>0.40370370370370373</v>
      </c>
      <c r="AD1919" s="289">
        <v>0</v>
      </c>
    </row>
    <row r="1920" spans="1:30" ht="15" customHeight="1" x14ac:dyDescent="0.25">
      <c r="A1920" s="282" t="s">
        <v>2708</v>
      </c>
      <c r="B1920" s="282" t="s">
        <v>2778</v>
      </c>
      <c r="C1920" s="282" t="s">
        <v>2779</v>
      </c>
      <c r="D1920" s="283" t="s">
        <v>2833</v>
      </c>
      <c r="E1920" s="403">
        <v>44183</v>
      </c>
      <c r="F1920" s="403">
        <v>45978</v>
      </c>
      <c r="G1920" s="283" t="s">
        <v>237</v>
      </c>
      <c r="H1920" s="282" t="s">
        <v>2829</v>
      </c>
      <c r="I1920" s="285"/>
      <c r="J1920" s="282" t="s">
        <v>184</v>
      </c>
      <c r="K1920" s="283" t="s">
        <v>2830</v>
      </c>
      <c r="L1920" s="286" t="s">
        <v>158</v>
      </c>
      <c r="M1920" s="287">
        <v>2700</v>
      </c>
      <c r="N1920" s="287">
        <v>108</v>
      </c>
      <c r="O1920" s="287" t="s">
        <v>159</v>
      </c>
      <c r="P1920" s="287" t="s">
        <v>159</v>
      </c>
      <c r="Q1920" s="288">
        <v>399.07407407407408</v>
      </c>
      <c r="R1920" s="288"/>
      <c r="S1920" s="288"/>
      <c r="T1920" s="288"/>
      <c r="U1920" s="288">
        <v>0</v>
      </c>
      <c r="V1920" s="289">
        <v>399.07407407407408</v>
      </c>
      <c r="W1920" s="289">
        <v>0</v>
      </c>
      <c r="X1920" s="288">
        <v>0.39907407407407408</v>
      </c>
      <c r="Y1920" s="288">
        <v>0</v>
      </c>
      <c r="Z1920" s="288">
        <v>0</v>
      </c>
      <c r="AA1920" s="288">
        <v>0</v>
      </c>
      <c r="AB1920" s="288">
        <v>0</v>
      </c>
      <c r="AC1920" s="289">
        <v>0.39907407407407408</v>
      </c>
      <c r="AD1920" s="289">
        <v>0</v>
      </c>
    </row>
    <row r="1921" spans="1:30" ht="15" customHeight="1" x14ac:dyDescent="0.25">
      <c r="A1921" s="282" t="s">
        <v>2708</v>
      </c>
      <c r="B1921" s="282" t="s">
        <v>2778</v>
      </c>
      <c r="C1921" s="282" t="s">
        <v>2779</v>
      </c>
      <c r="D1921" s="283" t="s">
        <v>2834</v>
      </c>
      <c r="E1921" s="403">
        <v>44183</v>
      </c>
      <c r="F1921" s="403">
        <v>45978</v>
      </c>
      <c r="G1921" s="283" t="s">
        <v>237</v>
      </c>
      <c r="H1921" s="282" t="s">
        <v>2829</v>
      </c>
      <c r="I1921" s="285"/>
      <c r="J1921" s="282" t="s">
        <v>184</v>
      </c>
      <c r="K1921" s="283" t="s">
        <v>2830</v>
      </c>
      <c r="L1921" s="286" t="s">
        <v>158</v>
      </c>
      <c r="M1921" s="287">
        <v>2700</v>
      </c>
      <c r="N1921" s="287">
        <v>135</v>
      </c>
      <c r="O1921" s="287" t="s">
        <v>159</v>
      </c>
      <c r="P1921" s="287" t="s">
        <v>159</v>
      </c>
      <c r="Q1921" s="288">
        <v>396.2962962962963</v>
      </c>
      <c r="R1921" s="288"/>
      <c r="S1921" s="288"/>
      <c r="T1921" s="288"/>
      <c r="U1921" s="288">
        <v>0</v>
      </c>
      <c r="V1921" s="289">
        <v>396.2962962962963</v>
      </c>
      <c r="W1921" s="289">
        <v>0</v>
      </c>
      <c r="X1921" s="288">
        <v>0.39629629629629631</v>
      </c>
      <c r="Y1921" s="288">
        <v>0</v>
      </c>
      <c r="Z1921" s="288">
        <v>0</v>
      </c>
      <c r="AA1921" s="288">
        <v>0</v>
      </c>
      <c r="AB1921" s="288">
        <v>0</v>
      </c>
      <c r="AC1921" s="289">
        <v>0.39629629629629631</v>
      </c>
      <c r="AD1921" s="289">
        <v>0</v>
      </c>
    </row>
    <row r="1922" spans="1:30" ht="15" customHeight="1" x14ac:dyDescent="0.25">
      <c r="A1922" s="282" t="s">
        <v>2708</v>
      </c>
      <c r="B1922" s="282" t="s">
        <v>2709</v>
      </c>
      <c r="C1922" s="282" t="s">
        <v>2710</v>
      </c>
      <c r="D1922" s="283" t="s">
        <v>2835</v>
      </c>
      <c r="E1922" s="403">
        <v>42898</v>
      </c>
      <c r="F1922" s="403">
        <v>45443</v>
      </c>
      <c r="G1922" s="283" t="s">
        <v>237</v>
      </c>
      <c r="H1922" s="282" t="s">
        <v>2836</v>
      </c>
      <c r="I1922" s="285"/>
      <c r="J1922" s="282" t="s">
        <v>2837</v>
      </c>
      <c r="K1922" s="283" t="s">
        <v>2838</v>
      </c>
      <c r="L1922" s="286" t="s">
        <v>158</v>
      </c>
      <c r="M1922" s="287">
        <v>780</v>
      </c>
      <c r="N1922" s="287" t="s">
        <v>159</v>
      </c>
      <c r="O1922" s="287" t="s">
        <v>159</v>
      </c>
      <c r="P1922" s="287" t="s">
        <v>159</v>
      </c>
      <c r="Q1922" s="288">
        <v>256</v>
      </c>
      <c r="R1922" s="288"/>
      <c r="S1922" s="288"/>
      <c r="T1922" s="288"/>
      <c r="U1922" s="288">
        <v>0</v>
      </c>
      <c r="V1922" s="289">
        <v>256</v>
      </c>
      <c r="W1922" s="289">
        <v>0</v>
      </c>
      <c r="X1922" s="288">
        <v>0.25600000000000001</v>
      </c>
      <c r="Y1922" s="288">
        <v>0</v>
      </c>
      <c r="Z1922" s="288">
        <v>0</v>
      </c>
      <c r="AA1922" s="288">
        <v>0</v>
      </c>
      <c r="AB1922" s="288">
        <v>0</v>
      </c>
      <c r="AC1922" s="289">
        <v>0.25600000000000001</v>
      </c>
      <c r="AD1922" s="289">
        <v>0</v>
      </c>
    </row>
    <row r="1923" spans="1:30" ht="15" customHeight="1" x14ac:dyDescent="0.25">
      <c r="A1923" s="282" t="s">
        <v>2708</v>
      </c>
      <c r="B1923" s="282" t="s">
        <v>2709</v>
      </c>
      <c r="C1923" s="282" t="s">
        <v>2710</v>
      </c>
      <c r="D1923" s="283" t="s">
        <v>2839</v>
      </c>
      <c r="E1923" s="403">
        <v>42898</v>
      </c>
      <c r="F1923" s="403">
        <v>45443</v>
      </c>
      <c r="G1923" s="283" t="s">
        <v>237</v>
      </c>
      <c r="H1923" s="282" t="s">
        <v>2836</v>
      </c>
      <c r="I1923" s="285"/>
      <c r="J1923" s="282" t="s">
        <v>2837</v>
      </c>
      <c r="K1923" s="283" t="s">
        <v>2838</v>
      </c>
      <c r="L1923" s="286" t="s">
        <v>158</v>
      </c>
      <c r="M1923" s="287">
        <v>2300</v>
      </c>
      <c r="N1923" s="287" t="s">
        <v>159</v>
      </c>
      <c r="O1923" s="287" t="s">
        <v>159</v>
      </c>
      <c r="P1923" s="287" t="s">
        <v>159</v>
      </c>
      <c r="Q1923" s="288">
        <v>256</v>
      </c>
      <c r="R1923" s="288"/>
      <c r="S1923" s="288"/>
      <c r="T1923" s="288"/>
      <c r="U1923" s="288">
        <v>0</v>
      </c>
      <c r="V1923" s="289">
        <v>256</v>
      </c>
      <c r="W1923" s="289">
        <v>0</v>
      </c>
      <c r="X1923" s="288">
        <v>0.25600000000000001</v>
      </c>
      <c r="Y1923" s="288">
        <v>0</v>
      </c>
      <c r="Z1923" s="288">
        <v>0</v>
      </c>
      <c r="AA1923" s="288">
        <v>0</v>
      </c>
      <c r="AB1923" s="288">
        <v>0</v>
      </c>
      <c r="AC1923" s="289">
        <v>0.25600000000000001</v>
      </c>
      <c r="AD1923" s="289">
        <v>0</v>
      </c>
    </row>
    <row r="1924" spans="1:30" ht="15" customHeight="1" x14ac:dyDescent="0.25">
      <c r="A1924" s="282" t="s">
        <v>2708</v>
      </c>
      <c r="B1924" s="282" t="s">
        <v>2778</v>
      </c>
      <c r="C1924" s="282" t="s">
        <v>2779</v>
      </c>
      <c r="D1924" s="283" t="s">
        <v>2840</v>
      </c>
      <c r="E1924" s="403">
        <v>44466</v>
      </c>
      <c r="F1924" s="403">
        <v>46292</v>
      </c>
      <c r="G1924" s="283" t="s">
        <v>237</v>
      </c>
      <c r="H1924" s="282" t="s">
        <v>2781</v>
      </c>
      <c r="I1924" s="285"/>
      <c r="J1924" s="282" t="s">
        <v>184</v>
      </c>
      <c r="K1924" s="283" t="s">
        <v>2782</v>
      </c>
      <c r="L1924" s="286" t="s">
        <v>158</v>
      </c>
      <c r="M1924" s="287">
        <v>2700</v>
      </c>
      <c r="N1924" s="287" t="s">
        <v>159</v>
      </c>
      <c r="O1924" s="287" t="s">
        <v>159</v>
      </c>
      <c r="P1924" s="287" t="s">
        <v>159</v>
      </c>
      <c r="Q1924" s="288">
        <v>75.8</v>
      </c>
      <c r="R1924" s="288">
        <v>70.5</v>
      </c>
      <c r="S1924" s="288">
        <v>4.97</v>
      </c>
      <c r="T1924" s="288">
        <v>0.25700000000000001</v>
      </c>
      <c r="U1924" s="288">
        <v>0</v>
      </c>
      <c r="V1924" s="289">
        <v>75.727000000000004</v>
      </c>
      <c r="W1924" s="289">
        <v>0</v>
      </c>
      <c r="X1924" s="288">
        <v>7.5799999999999992E-2</v>
      </c>
      <c r="Y1924" s="288">
        <v>7.0499999999999993E-2</v>
      </c>
      <c r="Z1924" s="288">
        <v>4.9699999999999996E-3</v>
      </c>
      <c r="AA1924" s="288">
        <v>2.5700000000000001E-4</v>
      </c>
      <c r="AB1924" s="288">
        <v>0</v>
      </c>
      <c r="AC1924" s="289">
        <v>7.5726999999999989E-2</v>
      </c>
      <c r="AD1924" s="289">
        <v>0</v>
      </c>
    </row>
    <row r="1925" spans="1:30" ht="15" customHeight="1" x14ac:dyDescent="0.25">
      <c r="A1925" s="282" t="s">
        <v>2708</v>
      </c>
      <c r="B1925" s="282" t="s">
        <v>2709</v>
      </c>
      <c r="C1925" s="282" t="s">
        <v>2710</v>
      </c>
      <c r="D1925" s="283" t="s">
        <v>2841</v>
      </c>
      <c r="E1925" s="403">
        <v>44960</v>
      </c>
      <c r="F1925" s="403">
        <v>46785</v>
      </c>
      <c r="G1925" s="283" t="s">
        <v>237</v>
      </c>
      <c r="H1925" s="282" t="s">
        <v>2842</v>
      </c>
      <c r="I1925" s="285"/>
      <c r="J1925" s="282" t="s">
        <v>184</v>
      </c>
      <c r="K1925" s="283" t="s">
        <v>2843</v>
      </c>
      <c r="L1925" s="286" t="s">
        <v>158</v>
      </c>
      <c r="M1925" s="287" t="s">
        <v>159</v>
      </c>
      <c r="N1925" s="287" t="s">
        <v>159</v>
      </c>
      <c r="O1925" s="287" t="s">
        <v>159</v>
      </c>
      <c r="P1925" s="287" t="s">
        <v>159</v>
      </c>
      <c r="Q1925" s="288">
        <v>47.9</v>
      </c>
      <c r="R1925" s="288">
        <v>47.4</v>
      </c>
      <c r="S1925" s="288">
        <v>0.42399999999999999</v>
      </c>
      <c r="T1925" s="288">
        <v>8.09E-3</v>
      </c>
      <c r="U1925" s="288">
        <v>0</v>
      </c>
      <c r="V1925" s="289">
        <v>47.832090000000001</v>
      </c>
      <c r="W1925" s="289">
        <v>0</v>
      </c>
      <c r="X1925" s="288">
        <v>4.7899999999999998E-2</v>
      </c>
      <c r="Y1925" s="288">
        <v>4.7399999999999998E-2</v>
      </c>
      <c r="Z1925" s="288">
        <v>4.2400000000000001E-4</v>
      </c>
      <c r="AA1925" s="288">
        <v>8.0900000000000005E-6</v>
      </c>
      <c r="AB1925" s="288">
        <v>0</v>
      </c>
      <c r="AC1925" s="289">
        <v>4.7832090000000001E-2</v>
      </c>
      <c r="AD1925" s="289">
        <v>0</v>
      </c>
    </row>
    <row r="1926" spans="1:30" ht="15" customHeight="1" x14ac:dyDescent="0.25">
      <c r="A1926" s="282" t="s">
        <v>2708</v>
      </c>
      <c r="B1926" s="282" t="s">
        <v>2709</v>
      </c>
      <c r="C1926" s="282" t="s">
        <v>2710</v>
      </c>
      <c r="D1926" s="283" t="s">
        <v>2844</v>
      </c>
      <c r="E1926" s="403">
        <v>44960</v>
      </c>
      <c r="F1926" s="403">
        <v>46785</v>
      </c>
      <c r="G1926" s="283" t="s">
        <v>237</v>
      </c>
      <c r="H1926" s="282" t="s">
        <v>2842</v>
      </c>
      <c r="I1926" s="285"/>
      <c r="J1926" s="282" t="s">
        <v>184</v>
      </c>
      <c r="K1926" s="283" t="s">
        <v>2843</v>
      </c>
      <c r="L1926" s="286" t="s">
        <v>158</v>
      </c>
      <c r="M1926" s="287" t="s">
        <v>159</v>
      </c>
      <c r="N1926" s="287" t="s">
        <v>159</v>
      </c>
      <c r="O1926" s="287" t="s">
        <v>159</v>
      </c>
      <c r="P1926" s="287" t="s">
        <v>159</v>
      </c>
      <c r="Q1926" s="288">
        <v>47.9</v>
      </c>
      <c r="R1926" s="288">
        <v>47.4</v>
      </c>
      <c r="S1926" s="288">
        <v>0.42399999999999999</v>
      </c>
      <c r="T1926" s="288">
        <v>8.09E-3</v>
      </c>
      <c r="U1926" s="288">
        <v>0</v>
      </c>
      <c r="V1926" s="289">
        <v>47.832090000000001</v>
      </c>
      <c r="W1926" s="289">
        <v>0</v>
      </c>
      <c r="X1926" s="288">
        <v>4.7899999999999998E-2</v>
      </c>
      <c r="Y1926" s="288">
        <v>4.7399999999999998E-2</v>
      </c>
      <c r="Z1926" s="288">
        <v>4.2400000000000001E-4</v>
      </c>
      <c r="AA1926" s="288">
        <v>8.0900000000000005E-6</v>
      </c>
      <c r="AB1926" s="288">
        <v>0</v>
      </c>
      <c r="AC1926" s="289">
        <v>4.7832090000000001E-2</v>
      </c>
      <c r="AD1926" s="289">
        <v>0</v>
      </c>
    </row>
    <row r="1927" spans="1:30" ht="15" customHeight="1" x14ac:dyDescent="0.25">
      <c r="A1927" s="282" t="s">
        <v>2708</v>
      </c>
      <c r="B1927" s="282" t="s">
        <v>2709</v>
      </c>
      <c r="C1927" s="282" t="s">
        <v>2710</v>
      </c>
      <c r="D1927" s="283" t="s">
        <v>2845</v>
      </c>
      <c r="E1927" s="403">
        <v>44960</v>
      </c>
      <c r="F1927" s="403">
        <v>46785</v>
      </c>
      <c r="G1927" s="283" t="s">
        <v>237</v>
      </c>
      <c r="H1927" s="282" t="s">
        <v>2842</v>
      </c>
      <c r="I1927" s="285"/>
      <c r="J1927" s="282" t="s">
        <v>184</v>
      </c>
      <c r="K1927" s="283" t="s">
        <v>2843</v>
      </c>
      <c r="L1927" s="286" t="s">
        <v>158</v>
      </c>
      <c r="M1927" s="287" t="s">
        <v>159</v>
      </c>
      <c r="N1927" s="287" t="s">
        <v>159</v>
      </c>
      <c r="O1927" s="287" t="s">
        <v>159</v>
      </c>
      <c r="P1927" s="287" t="s">
        <v>159</v>
      </c>
      <c r="Q1927" s="288">
        <v>47.9</v>
      </c>
      <c r="R1927" s="288">
        <v>47.4</v>
      </c>
      <c r="S1927" s="288">
        <v>0.42399999999999999</v>
      </c>
      <c r="T1927" s="288">
        <v>8.09E-3</v>
      </c>
      <c r="U1927" s="288">
        <v>0</v>
      </c>
      <c r="V1927" s="289">
        <v>47.832090000000001</v>
      </c>
      <c r="W1927" s="289">
        <v>0</v>
      </c>
      <c r="X1927" s="288">
        <v>4.7899999999999998E-2</v>
      </c>
      <c r="Y1927" s="288">
        <v>4.7399999999999998E-2</v>
      </c>
      <c r="Z1927" s="288">
        <v>4.2400000000000001E-4</v>
      </c>
      <c r="AA1927" s="288">
        <v>8.0900000000000005E-6</v>
      </c>
      <c r="AB1927" s="288">
        <v>0</v>
      </c>
      <c r="AC1927" s="289">
        <v>4.7832090000000001E-2</v>
      </c>
      <c r="AD1927" s="289">
        <v>0</v>
      </c>
    </row>
    <row r="1928" spans="1:30" ht="15" customHeight="1" x14ac:dyDescent="0.25">
      <c r="A1928" s="282" t="s">
        <v>2708</v>
      </c>
      <c r="B1928" s="282" t="s">
        <v>2778</v>
      </c>
      <c r="C1928" s="282" t="s">
        <v>2779</v>
      </c>
      <c r="D1928" s="283" t="s">
        <v>2846</v>
      </c>
      <c r="E1928" s="403">
        <v>44466</v>
      </c>
      <c r="F1928" s="403">
        <v>46292</v>
      </c>
      <c r="G1928" s="283" t="s">
        <v>237</v>
      </c>
      <c r="H1928" s="282" t="s">
        <v>2781</v>
      </c>
      <c r="I1928" s="285"/>
      <c r="J1928" s="282" t="s">
        <v>184</v>
      </c>
      <c r="K1928" s="283" t="s">
        <v>2782</v>
      </c>
      <c r="L1928" s="286" t="s">
        <v>158</v>
      </c>
      <c r="M1928" s="287">
        <v>2700</v>
      </c>
      <c r="N1928" s="287" t="s">
        <v>159</v>
      </c>
      <c r="O1928" s="287" t="s">
        <v>159</v>
      </c>
      <c r="P1928" s="287" t="s">
        <v>159</v>
      </c>
      <c r="Q1928" s="288">
        <v>120</v>
      </c>
      <c r="R1928" s="288">
        <v>110</v>
      </c>
      <c r="S1928" s="288">
        <v>8.14</v>
      </c>
      <c r="T1928" s="288">
        <v>1.54</v>
      </c>
      <c r="U1928" s="288">
        <v>0</v>
      </c>
      <c r="V1928" s="289">
        <v>119.68</v>
      </c>
      <c r="W1928" s="289">
        <v>0</v>
      </c>
      <c r="X1928" s="288">
        <v>0.12</v>
      </c>
      <c r="Y1928" s="288">
        <v>0.11</v>
      </c>
      <c r="Z1928" s="288">
        <v>8.1400000000000014E-3</v>
      </c>
      <c r="AA1928" s="288">
        <v>1.5400000000000001E-3</v>
      </c>
      <c r="AB1928" s="288">
        <v>0</v>
      </c>
      <c r="AC1928" s="289">
        <v>0.11967999999999999</v>
      </c>
      <c r="AD1928" s="289">
        <v>0</v>
      </c>
    </row>
    <row r="1929" spans="1:30" ht="15" customHeight="1" x14ac:dyDescent="0.25">
      <c r="A1929" s="282" t="s">
        <v>2708</v>
      </c>
      <c r="B1929" s="282" t="s">
        <v>2778</v>
      </c>
      <c r="C1929" s="282" t="s">
        <v>2779</v>
      </c>
      <c r="D1929" s="283" t="s">
        <v>2847</v>
      </c>
      <c r="E1929" s="403">
        <v>44466</v>
      </c>
      <c r="F1929" s="403">
        <v>46292</v>
      </c>
      <c r="G1929" s="283" t="s">
        <v>237</v>
      </c>
      <c r="H1929" s="282" t="s">
        <v>2781</v>
      </c>
      <c r="I1929" s="285"/>
      <c r="J1929" s="282" t="s">
        <v>184</v>
      </c>
      <c r="K1929" s="283" t="s">
        <v>2782</v>
      </c>
      <c r="L1929" s="286" t="s">
        <v>158</v>
      </c>
      <c r="M1929" s="287">
        <v>2700</v>
      </c>
      <c r="N1929" s="287" t="s">
        <v>159</v>
      </c>
      <c r="O1929" s="287" t="s">
        <v>159</v>
      </c>
      <c r="P1929" s="287" t="s">
        <v>159</v>
      </c>
      <c r="Q1929" s="288">
        <v>130</v>
      </c>
      <c r="R1929" s="288">
        <v>119</v>
      </c>
      <c r="S1929" s="288">
        <v>8.83</v>
      </c>
      <c r="T1929" s="288">
        <v>1.65</v>
      </c>
      <c r="U1929" s="288">
        <v>0</v>
      </c>
      <c r="V1929" s="289">
        <v>129.47999999999999</v>
      </c>
      <c r="W1929" s="289">
        <v>0</v>
      </c>
      <c r="X1929" s="288">
        <v>0.13</v>
      </c>
      <c r="Y1929" s="288">
        <v>0.11899999999999999</v>
      </c>
      <c r="Z1929" s="288">
        <v>8.8299999999999993E-3</v>
      </c>
      <c r="AA1929" s="288">
        <v>1.65E-3</v>
      </c>
      <c r="AB1929" s="288">
        <v>0</v>
      </c>
      <c r="AC1929" s="289">
        <v>0.12948000000000001</v>
      </c>
      <c r="AD1929" s="289">
        <v>0</v>
      </c>
    </row>
    <row r="1930" spans="1:30" ht="15" customHeight="1" x14ac:dyDescent="0.25">
      <c r="A1930" s="282" t="s">
        <v>2848</v>
      </c>
      <c r="B1930" s="282" t="s">
        <v>2849</v>
      </c>
      <c r="C1930" s="282" t="s">
        <v>260</v>
      </c>
      <c r="D1930" s="283" t="s">
        <v>2850</v>
      </c>
      <c r="E1930" s="403">
        <v>43353</v>
      </c>
      <c r="F1930" s="403">
        <v>45179</v>
      </c>
      <c r="G1930" s="283" t="s">
        <v>237</v>
      </c>
      <c r="H1930" s="282" t="s">
        <v>2851</v>
      </c>
      <c r="I1930" s="285"/>
      <c r="J1930" s="282" t="s">
        <v>184</v>
      </c>
      <c r="K1930" s="283" t="s">
        <v>2852</v>
      </c>
      <c r="L1930" s="286" t="s">
        <v>321</v>
      </c>
      <c r="M1930" s="287" t="s">
        <v>159</v>
      </c>
      <c r="N1930" s="287" t="s">
        <v>159</v>
      </c>
      <c r="O1930" s="287" t="s">
        <v>159</v>
      </c>
      <c r="P1930" s="287" t="s">
        <v>159</v>
      </c>
      <c r="Q1930" s="288">
        <v>1.1299999999999999</v>
      </c>
      <c r="R1930" s="288"/>
      <c r="S1930" s="288"/>
      <c r="T1930" s="288"/>
      <c r="U1930" s="288">
        <v>0</v>
      </c>
      <c r="V1930" s="289">
        <v>1.1299999999999999</v>
      </c>
      <c r="W1930" s="289">
        <v>0</v>
      </c>
      <c r="X1930" s="288" t="s">
        <v>159</v>
      </c>
      <c r="Y1930" s="288" t="s">
        <v>159</v>
      </c>
      <c r="Z1930" s="288" t="s">
        <v>159</v>
      </c>
      <c r="AA1930" s="288" t="s">
        <v>159</v>
      </c>
      <c r="AB1930" s="288" t="s">
        <v>159</v>
      </c>
      <c r="AC1930" s="289">
        <v>0</v>
      </c>
      <c r="AD1930" s="289">
        <v>0</v>
      </c>
    </row>
    <row r="1931" spans="1:30" ht="15" customHeight="1" x14ac:dyDescent="0.25">
      <c r="A1931" s="282" t="s">
        <v>2848</v>
      </c>
      <c r="B1931" s="282"/>
      <c r="C1931" s="282">
        <v>0</v>
      </c>
      <c r="D1931" s="283" t="s">
        <v>2853</v>
      </c>
      <c r="E1931" s="403">
        <v>0</v>
      </c>
      <c r="F1931" s="403">
        <v>0</v>
      </c>
      <c r="G1931" s="283" t="s">
        <v>237</v>
      </c>
      <c r="H1931" s="282">
        <v>0</v>
      </c>
      <c r="I1931" s="285"/>
      <c r="J1931" s="282" t="s">
        <v>2214</v>
      </c>
      <c r="K1931" s="283" t="s">
        <v>2854</v>
      </c>
      <c r="L1931" s="286" t="s">
        <v>219</v>
      </c>
      <c r="M1931" s="287" t="s">
        <v>159</v>
      </c>
      <c r="N1931" s="287" t="s">
        <v>159</v>
      </c>
      <c r="O1931" s="287" t="s">
        <v>159</v>
      </c>
      <c r="P1931" s="287" t="s">
        <v>159</v>
      </c>
      <c r="Q1931" s="288">
        <v>0.83</v>
      </c>
      <c r="R1931" s="288"/>
      <c r="S1931" s="288"/>
      <c r="T1931" s="288"/>
      <c r="U1931" s="288">
        <v>0</v>
      </c>
      <c r="V1931" s="289">
        <v>0.83</v>
      </c>
      <c r="W1931" s="289">
        <v>0</v>
      </c>
      <c r="X1931" s="288">
        <v>0.83</v>
      </c>
      <c r="Y1931" s="288">
        <v>0</v>
      </c>
      <c r="Z1931" s="288">
        <v>0</v>
      </c>
      <c r="AA1931" s="288">
        <v>0</v>
      </c>
      <c r="AB1931" s="288">
        <v>0</v>
      </c>
      <c r="AC1931" s="289">
        <v>0.83</v>
      </c>
      <c r="AD1931" s="289">
        <v>0</v>
      </c>
    </row>
    <row r="1932" spans="1:30" ht="15" customHeight="1" x14ac:dyDescent="0.25">
      <c r="A1932" s="282" t="s">
        <v>2848</v>
      </c>
      <c r="B1932" s="282"/>
      <c r="C1932" s="282">
        <v>0</v>
      </c>
      <c r="D1932" s="283" t="s">
        <v>2855</v>
      </c>
      <c r="E1932" s="403">
        <v>0</v>
      </c>
      <c r="F1932" s="403">
        <v>0</v>
      </c>
      <c r="G1932" s="283" t="s">
        <v>237</v>
      </c>
      <c r="H1932" s="282">
        <v>0</v>
      </c>
      <c r="I1932" s="285"/>
      <c r="J1932" s="282" t="s">
        <v>2214</v>
      </c>
      <c r="K1932" s="283" t="s">
        <v>2854</v>
      </c>
      <c r="L1932" s="286" t="s">
        <v>219</v>
      </c>
      <c r="M1932" s="287" t="s">
        <v>159</v>
      </c>
      <c r="N1932" s="287" t="s">
        <v>159</v>
      </c>
      <c r="O1932" s="287" t="s">
        <v>159</v>
      </c>
      <c r="P1932" s="287" t="s">
        <v>159</v>
      </c>
      <c r="Q1932" s="288">
        <v>1.9</v>
      </c>
      <c r="R1932" s="288"/>
      <c r="S1932" s="288"/>
      <c r="T1932" s="288"/>
      <c r="U1932" s="288">
        <v>0</v>
      </c>
      <c r="V1932" s="289">
        <v>1.9</v>
      </c>
      <c r="W1932" s="289">
        <v>0</v>
      </c>
      <c r="X1932" s="288">
        <v>1.9</v>
      </c>
      <c r="Y1932" s="288">
        <v>0</v>
      </c>
      <c r="Z1932" s="288">
        <v>0</v>
      </c>
      <c r="AA1932" s="288">
        <v>0</v>
      </c>
      <c r="AB1932" s="288">
        <v>0</v>
      </c>
      <c r="AC1932" s="289">
        <v>1.9</v>
      </c>
      <c r="AD1932" s="289">
        <v>0</v>
      </c>
    </row>
    <row r="1933" spans="1:30" ht="15" customHeight="1" x14ac:dyDescent="0.25">
      <c r="A1933" s="282" t="s">
        <v>2856</v>
      </c>
      <c r="B1933" s="282"/>
      <c r="C1933" s="282" t="s">
        <v>260</v>
      </c>
      <c r="D1933" s="283" t="s">
        <v>2857</v>
      </c>
      <c r="E1933" s="403">
        <v>45029</v>
      </c>
      <c r="F1933" s="403">
        <v>46855</v>
      </c>
      <c r="G1933" s="283" t="s">
        <v>237</v>
      </c>
      <c r="H1933" s="282" t="s">
        <v>2858</v>
      </c>
      <c r="I1933" s="285"/>
      <c r="J1933" s="282" t="s">
        <v>184</v>
      </c>
      <c r="K1933" s="283" t="s">
        <v>2859</v>
      </c>
      <c r="L1933" s="286" t="s">
        <v>219</v>
      </c>
      <c r="M1933" s="287" t="s">
        <v>159</v>
      </c>
      <c r="N1933" s="287" t="s">
        <v>159</v>
      </c>
      <c r="O1933" s="287" t="s">
        <v>159</v>
      </c>
      <c r="P1933" s="287" t="s">
        <v>159</v>
      </c>
      <c r="Q1933" s="288">
        <v>0.89800000000000002</v>
      </c>
      <c r="R1933" s="288">
        <v>0.99199999999999999</v>
      </c>
      <c r="S1933" s="288">
        <v>6.1700000000000001E-3</v>
      </c>
      <c r="T1933" s="288">
        <v>1.9699999999999999E-4</v>
      </c>
      <c r="U1933" s="288">
        <v>0</v>
      </c>
      <c r="V1933" s="289">
        <v>0.998367</v>
      </c>
      <c r="W1933" s="289">
        <v>0</v>
      </c>
      <c r="X1933" s="288">
        <v>0.89800000000000002</v>
      </c>
      <c r="Y1933" s="288">
        <v>0.99199999999999999</v>
      </c>
      <c r="Z1933" s="288">
        <v>6.1700000000000001E-3</v>
      </c>
      <c r="AA1933" s="288">
        <v>1.9699999999999999E-4</v>
      </c>
      <c r="AB1933" s="288">
        <v>0</v>
      </c>
      <c r="AC1933" s="289">
        <v>0.998367</v>
      </c>
      <c r="AD1933" s="289">
        <v>0</v>
      </c>
    </row>
    <row r="1934" spans="1:30" ht="15" customHeight="1" x14ac:dyDescent="0.25">
      <c r="A1934" s="282" t="s">
        <v>2856</v>
      </c>
      <c r="B1934" s="282"/>
      <c r="C1934" s="282" t="s">
        <v>260</v>
      </c>
      <c r="D1934" s="283" t="s">
        <v>2860</v>
      </c>
      <c r="E1934" s="403">
        <v>45012</v>
      </c>
      <c r="F1934" s="403">
        <v>46838</v>
      </c>
      <c r="G1934" s="283" t="s">
        <v>231</v>
      </c>
      <c r="H1934" s="282" t="s">
        <v>2861</v>
      </c>
      <c r="I1934" s="285"/>
      <c r="J1934" s="282" t="s">
        <v>184</v>
      </c>
      <c r="K1934" s="283" t="s">
        <v>2862</v>
      </c>
      <c r="L1934" s="286" t="s">
        <v>219</v>
      </c>
      <c r="M1934" s="287">
        <v>1500</v>
      </c>
      <c r="N1934" s="287" t="s">
        <v>159</v>
      </c>
      <c r="O1934" s="287" t="s">
        <v>159</v>
      </c>
      <c r="P1934" s="287" t="s">
        <v>159</v>
      </c>
      <c r="Q1934" s="288">
        <v>0.24199999999999999</v>
      </c>
      <c r="R1934" s="288">
        <v>0.26200000000000001</v>
      </c>
      <c r="S1934" s="288">
        <v>-1.9699999999999999E-2</v>
      </c>
      <c r="T1934" s="288">
        <v>2.0000000000000001E-4</v>
      </c>
      <c r="U1934" s="288">
        <v>0</v>
      </c>
      <c r="V1934" s="289">
        <v>0.26220000000000004</v>
      </c>
      <c r="W1934" s="289">
        <v>0</v>
      </c>
      <c r="X1934" s="288">
        <v>0.24199999999999999</v>
      </c>
      <c r="Y1934" s="288">
        <v>0.26200000000000001</v>
      </c>
      <c r="Z1934" s="288">
        <v>-1.9699999999999999E-2</v>
      </c>
      <c r="AA1934" s="288">
        <v>2.0000000000000001E-4</v>
      </c>
      <c r="AB1934" s="288">
        <v>0</v>
      </c>
      <c r="AC1934" s="289">
        <v>0.26220000000000004</v>
      </c>
      <c r="AD1934" s="289">
        <v>0</v>
      </c>
    </row>
    <row r="1935" spans="1:30" ht="15" customHeight="1" x14ac:dyDescent="0.25">
      <c r="A1935" s="282" t="s">
        <v>2856</v>
      </c>
      <c r="B1935" s="282"/>
      <c r="C1935" s="282" t="s">
        <v>260</v>
      </c>
      <c r="D1935" s="283" t="s">
        <v>2863</v>
      </c>
      <c r="E1935" s="403">
        <v>45075</v>
      </c>
      <c r="F1935" s="403">
        <v>46901</v>
      </c>
      <c r="G1935" s="283" t="s">
        <v>237</v>
      </c>
      <c r="H1935" s="282" t="s">
        <v>2864</v>
      </c>
      <c r="I1935" s="285"/>
      <c r="J1935" s="282" t="s">
        <v>184</v>
      </c>
      <c r="K1935" s="283" t="s">
        <v>2865</v>
      </c>
      <c r="L1935" s="286" t="s">
        <v>219</v>
      </c>
      <c r="M1935" s="287" t="s">
        <v>159</v>
      </c>
      <c r="N1935" s="287" t="s">
        <v>159</v>
      </c>
      <c r="O1935" s="287" t="s">
        <v>159</v>
      </c>
      <c r="P1935" s="287" t="s">
        <v>159</v>
      </c>
      <c r="Q1935" s="288">
        <v>0.56999999999999995</v>
      </c>
      <c r="R1935" s="288">
        <v>0.56699999999999995</v>
      </c>
      <c r="S1935" s="288">
        <v>2.8600000000000001E-3</v>
      </c>
      <c r="T1935" s="288">
        <v>3.0400000000000002E-4</v>
      </c>
      <c r="U1935" s="288">
        <v>0</v>
      </c>
      <c r="V1935" s="289">
        <v>0.57016399999999989</v>
      </c>
      <c r="W1935" s="289">
        <v>0</v>
      </c>
      <c r="X1935" s="288">
        <v>0.56999999999999995</v>
      </c>
      <c r="Y1935" s="288">
        <v>0.56699999999999995</v>
      </c>
      <c r="Z1935" s="288">
        <v>2.8600000000000001E-3</v>
      </c>
      <c r="AA1935" s="288">
        <v>3.0400000000000002E-4</v>
      </c>
      <c r="AB1935" s="288">
        <v>0</v>
      </c>
      <c r="AC1935" s="289">
        <v>0.57016399999999989</v>
      </c>
      <c r="AD1935" s="289">
        <v>0</v>
      </c>
    </row>
    <row r="1936" spans="1:30" ht="15" customHeight="1" x14ac:dyDescent="0.25">
      <c r="A1936" s="282" t="s">
        <v>2856</v>
      </c>
      <c r="B1936" s="282"/>
      <c r="C1936" s="282" t="s">
        <v>260</v>
      </c>
      <c r="D1936" s="283" t="s">
        <v>2866</v>
      </c>
      <c r="E1936" s="403">
        <v>44762</v>
      </c>
      <c r="F1936" s="403">
        <v>46587</v>
      </c>
      <c r="G1936" s="283" t="s">
        <v>193</v>
      </c>
      <c r="H1936" s="282" t="s">
        <v>2867</v>
      </c>
      <c r="I1936" s="285"/>
      <c r="J1936" s="282" t="s">
        <v>184</v>
      </c>
      <c r="K1936" s="283" t="s">
        <v>2868</v>
      </c>
      <c r="L1936" s="286" t="s">
        <v>219</v>
      </c>
      <c r="M1936" s="287">
        <v>2100</v>
      </c>
      <c r="N1936" s="287" t="s">
        <v>159</v>
      </c>
      <c r="O1936" s="287" t="s">
        <v>159</v>
      </c>
      <c r="P1936" s="287" t="s">
        <v>159</v>
      </c>
      <c r="Q1936" s="288">
        <v>0.57499999999999996</v>
      </c>
      <c r="R1936" s="288">
        <v>0.57399999999999995</v>
      </c>
      <c r="S1936" s="288">
        <v>5.4500000000000002E-4</v>
      </c>
      <c r="T1936" s="288">
        <v>2.3499999999999999E-4</v>
      </c>
      <c r="U1936" s="288">
        <v>0</v>
      </c>
      <c r="V1936" s="289">
        <v>0.57477999999999996</v>
      </c>
      <c r="W1936" s="289">
        <v>0</v>
      </c>
      <c r="X1936" s="288">
        <v>0.57499999999999996</v>
      </c>
      <c r="Y1936" s="288">
        <v>0.57399999999999995</v>
      </c>
      <c r="Z1936" s="288">
        <v>5.4500000000000002E-4</v>
      </c>
      <c r="AA1936" s="288">
        <v>2.3499999999999999E-4</v>
      </c>
      <c r="AB1936" s="288">
        <v>0</v>
      </c>
      <c r="AC1936" s="289">
        <v>0.57477999999999996</v>
      </c>
      <c r="AD1936" s="289">
        <v>0</v>
      </c>
    </row>
    <row r="1937" spans="1:30" ht="15" customHeight="1" x14ac:dyDescent="0.25">
      <c r="A1937" s="282" t="s">
        <v>2856</v>
      </c>
      <c r="B1937" s="282"/>
      <c r="C1937" s="282" t="s">
        <v>260</v>
      </c>
      <c r="D1937" s="283" t="s">
        <v>2869</v>
      </c>
      <c r="E1937" s="403">
        <v>44921</v>
      </c>
      <c r="F1937" s="403">
        <v>46746</v>
      </c>
      <c r="G1937" s="283" t="s">
        <v>2870</v>
      </c>
      <c r="H1937" s="282" t="s">
        <v>2871</v>
      </c>
      <c r="I1937" s="285"/>
      <c r="J1937" s="282" t="s">
        <v>184</v>
      </c>
      <c r="K1937" s="283" t="s">
        <v>2872</v>
      </c>
      <c r="L1937" s="286" t="s">
        <v>574</v>
      </c>
      <c r="M1937" s="287">
        <v>1664</v>
      </c>
      <c r="N1937" s="287" t="s">
        <v>159</v>
      </c>
      <c r="O1937" s="287" t="s">
        <v>159</v>
      </c>
      <c r="P1937" s="287" t="s">
        <v>159</v>
      </c>
      <c r="Q1937" s="288">
        <v>205</v>
      </c>
      <c r="R1937" s="288">
        <v>201</v>
      </c>
      <c r="S1937" s="288">
        <v>3.51</v>
      </c>
      <c r="T1937" s="288">
        <v>0.38200000000000001</v>
      </c>
      <c r="U1937" s="288">
        <v>0</v>
      </c>
      <c r="V1937" s="289">
        <v>204.892</v>
      </c>
      <c r="W1937" s="289">
        <v>0</v>
      </c>
      <c r="X1937" s="288">
        <v>0.12319711538461539</v>
      </c>
      <c r="Y1937" s="288">
        <v>0.12079326923076923</v>
      </c>
      <c r="Z1937" s="288">
        <v>2.1093749999999997E-3</v>
      </c>
      <c r="AA1937" s="288">
        <v>2.2956730769230769E-4</v>
      </c>
      <c r="AB1937" s="288">
        <v>0</v>
      </c>
      <c r="AC1937" s="289">
        <v>0.12313221153846153</v>
      </c>
      <c r="AD1937" s="289">
        <v>0</v>
      </c>
    </row>
    <row r="1938" spans="1:30" ht="15" customHeight="1" x14ac:dyDescent="0.25">
      <c r="A1938" s="282" t="s">
        <v>2856</v>
      </c>
      <c r="B1938" s="282"/>
      <c r="C1938" s="282" t="s">
        <v>260</v>
      </c>
      <c r="D1938" s="283" t="s">
        <v>2873</v>
      </c>
      <c r="E1938" s="403">
        <v>44921</v>
      </c>
      <c r="F1938" s="403">
        <v>46746</v>
      </c>
      <c r="G1938" s="283" t="s">
        <v>2870</v>
      </c>
      <c r="H1938" s="282" t="s">
        <v>2874</v>
      </c>
      <c r="I1938" s="285"/>
      <c r="J1938" s="282" t="s">
        <v>184</v>
      </c>
      <c r="K1938" s="283" t="s">
        <v>2875</v>
      </c>
      <c r="L1938" s="286" t="s">
        <v>219</v>
      </c>
      <c r="M1938" s="287">
        <v>1356</v>
      </c>
      <c r="N1938" s="287" t="s">
        <v>159</v>
      </c>
      <c r="O1938" s="287" t="s">
        <v>159</v>
      </c>
      <c r="P1938" s="287" t="s">
        <v>159</v>
      </c>
      <c r="Q1938" s="288">
        <v>0.17182890855457228</v>
      </c>
      <c r="R1938" s="288">
        <v>0.1696165191740413</v>
      </c>
      <c r="S1938" s="288">
        <v>1.8436578171091445E-3</v>
      </c>
      <c r="T1938" s="288">
        <v>4.424778761061947E-5</v>
      </c>
      <c r="U1938" s="288">
        <v>0</v>
      </c>
      <c r="V1938" s="289">
        <v>0.17150442477876107</v>
      </c>
      <c r="W1938" s="289">
        <v>0</v>
      </c>
      <c r="X1938" s="288">
        <v>0.17182890855457228</v>
      </c>
      <c r="Y1938" s="288">
        <v>0.1696165191740413</v>
      </c>
      <c r="Z1938" s="288">
        <v>1.8436578171091445E-3</v>
      </c>
      <c r="AA1938" s="288">
        <v>4.424778761061947E-5</v>
      </c>
      <c r="AB1938" s="288">
        <v>0</v>
      </c>
      <c r="AC1938" s="289">
        <v>0.17150442477876107</v>
      </c>
      <c r="AD1938" s="289">
        <v>0</v>
      </c>
    </row>
    <row r="1939" spans="1:30" ht="15" customHeight="1" x14ac:dyDescent="0.25">
      <c r="A1939" s="282" t="s">
        <v>2856</v>
      </c>
      <c r="B1939" s="282"/>
      <c r="C1939" s="282" t="s">
        <v>260</v>
      </c>
      <c r="D1939" s="283" t="s">
        <v>2876</v>
      </c>
      <c r="E1939" s="403">
        <v>44761</v>
      </c>
      <c r="F1939" s="403">
        <v>46581</v>
      </c>
      <c r="G1939" s="283" t="s">
        <v>237</v>
      </c>
      <c r="H1939" s="282" t="s">
        <v>2877</v>
      </c>
      <c r="I1939" s="285"/>
      <c r="J1939" s="282" t="s">
        <v>184</v>
      </c>
      <c r="K1939" s="283" t="s">
        <v>2878</v>
      </c>
      <c r="L1939" s="286" t="s">
        <v>219</v>
      </c>
      <c r="M1939" s="287" t="s">
        <v>159</v>
      </c>
      <c r="N1939" s="287">
        <v>2.64</v>
      </c>
      <c r="O1939" s="287" t="s">
        <v>159</v>
      </c>
      <c r="P1939" s="287" t="s">
        <v>159</v>
      </c>
      <c r="Q1939" s="288">
        <v>0.59848484848484851</v>
      </c>
      <c r="R1939" s="288">
        <v>0.59469696969696972</v>
      </c>
      <c r="S1939" s="288">
        <v>1.0492424242424241E-3</v>
      </c>
      <c r="T1939" s="288">
        <v>7.9924242424242421E-4</v>
      </c>
      <c r="U1939" s="288">
        <v>0</v>
      </c>
      <c r="V1939" s="289">
        <v>0.5965454545454546</v>
      </c>
      <c r="W1939" s="289">
        <v>0</v>
      </c>
      <c r="X1939" s="288">
        <v>0.59848484848484851</v>
      </c>
      <c r="Y1939" s="288">
        <v>0.59469696969696972</v>
      </c>
      <c r="Z1939" s="288">
        <v>1.0492424242424241E-3</v>
      </c>
      <c r="AA1939" s="288">
        <v>7.9924242424242421E-4</v>
      </c>
      <c r="AB1939" s="288">
        <v>0</v>
      </c>
      <c r="AC1939" s="289">
        <v>0.5965454545454546</v>
      </c>
      <c r="AD1939" s="289">
        <v>0</v>
      </c>
    </row>
    <row r="1940" spans="1:30" ht="15" customHeight="1" x14ac:dyDescent="0.25">
      <c r="A1940" s="282" t="s">
        <v>2879</v>
      </c>
      <c r="B1940" s="282"/>
      <c r="C1940" s="282" t="s">
        <v>260</v>
      </c>
      <c r="D1940" s="283" t="s">
        <v>2880</v>
      </c>
      <c r="E1940" s="403">
        <v>44888</v>
      </c>
      <c r="F1940" s="403">
        <v>46714</v>
      </c>
      <c r="G1940" s="283" t="s">
        <v>154</v>
      </c>
      <c r="H1940" s="282" t="s">
        <v>2881</v>
      </c>
      <c r="I1940" s="285"/>
      <c r="J1940" s="282" t="s">
        <v>156</v>
      </c>
      <c r="K1940" s="283" t="s">
        <v>2882</v>
      </c>
      <c r="L1940" s="286" t="s">
        <v>219</v>
      </c>
      <c r="M1940" s="287">
        <v>955</v>
      </c>
      <c r="N1940" s="287" t="s">
        <v>159</v>
      </c>
      <c r="O1940" s="287" t="s">
        <v>159</v>
      </c>
      <c r="P1940" s="287" t="s">
        <v>159</v>
      </c>
      <c r="Q1940" s="288">
        <v>332</v>
      </c>
      <c r="R1940" s="288">
        <v>333</v>
      </c>
      <c r="S1940" s="288">
        <v>-1.2999999999999999E-2</v>
      </c>
      <c r="T1940" s="288">
        <v>1.2700000000000001E-3</v>
      </c>
      <c r="U1940" s="288">
        <v>0</v>
      </c>
      <c r="V1940" s="289">
        <v>333.00126999999998</v>
      </c>
      <c r="W1940" s="289">
        <v>0</v>
      </c>
      <c r="X1940" s="288">
        <v>332</v>
      </c>
      <c r="Y1940" s="288">
        <v>333</v>
      </c>
      <c r="Z1940" s="288">
        <v>-1.2999999999999999E-2</v>
      </c>
      <c r="AA1940" s="288">
        <v>1.2700000000000001E-3</v>
      </c>
      <c r="AB1940" s="288">
        <v>0</v>
      </c>
      <c r="AC1940" s="289">
        <v>333.00126999999998</v>
      </c>
      <c r="AD1940" s="289">
        <v>0</v>
      </c>
    </row>
    <row r="1941" spans="1:30" ht="15" customHeight="1" x14ac:dyDescent="0.25">
      <c r="A1941" s="282" t="s">
        <v>2879</v>
      </c>
      <c r="B1941" s="282"/>
      <c r="C1941" s="282" t="s">
        <v>260</v>
      </c>
      <c r="D1941" s="283" t="s">
        <v>2883</v>
      </c>
      <c r="E1941" s="403">
        <v>44888</v>
      </c>
      <c r="F1941" s="403">
        <v>46714</v>
      </c>
      <c r="G1941" s="283" t="s">
        <v>154</v>
      </c>
      <c r="H1941" s="282" t="s">
        <v>2884</v>
      </c>
      <c r="I1941" s="285"/>
      <c r="J1941" s="282" t="s">
        <v>156</v>
      </c>
      <c r="K1941" s="283" t="s">
        <v>191</v>
      </c>
      <c r="L1941" s="286" t="s">
        <v>219</v>
      </c>
      <c r="M1941" s="287">
        <v>1530</v>
      </c>
      <c r="N1941" s="287" t="s">
        <v>159</v>
      </c>
      <c r="O1941" s="287" t="s">
        <v>159</v>
      </c>
      <c r="P1941" s="287" t="s">
        <v>159</v>
      </c>
      <c r="Q1941" s="288">
        <v>3.19</v>
      </c>
      <c r="R1941" s="288">
        <v>3.2</v>
      </c>
      <c r="S1941" s="288">
        <v>-0.02</v>
      </c>
      <c r="T1941" s="288">
        <v>2.0999999999999999E-3</v>
      </c>
      <c r="U1941" s="288">
        <v>0</v>
      </c>
      <c r="V1941" s="289">
        <v>3.2021000000000002</v>
      </c>
      <c r="W1941" s="289">
        <v>0</v>
      </c>
      <c r="X1941" s="288">
        <v>3.19</v>
      </c>
      <c r="Y1941" s="288">
        <v>3.2</v>
      </c>
      <c r="Z1941" s="288">
        <v>-0.02</v>
      </c>
      <c r="AA1941" s="288">
        <v>2.0999999999999999E-3</v>
      </c>
      <c r="AB1941" s="288">
        <v>0</v>
      </c>
      <c r="AC1941" s="289">
        <v>3.2021000000000002</v>
      </c>
      <c r="AD1941" s="289">
        <v>0</v>
      </c>
    </row>
    <row r="1942" spans="1:30" ht="15" customHeight="1" x14ac:dyDescent="0.25">
      <c r="A1942" s="282" t="s">
        <v>2879</v>
      </c>
      <c r="B1942" s="282"/>
      <c r="C1942" s="282" t="s">
        <v>260</v>
      </c>
      <c r="D1942" s="283" t="s">
        <v>2885</v>
      </c>
      <c r="E1942" s="403">
        <v>44820</v>
      </c>
      <c r="F1942" s="403">
        <v>46646</v>
      </c>
      <c r="G1942" s="283" t="s">
        <v>154</v>
      </c>
      <c r="H1942" s="282" t="s">
        <v>2886</v>
      </c>
      <c r="I1942" s="285"/>
      <c r="J1942" s="282" t="s">
        <v>156</v>
      </c>
      <c r="K1942" s="283" t="s">
        <v>2887</v>
      </c>
      <c r="L1942" s="286" t="s">
        <v>219</v>
      </c>
      <c r="M1942" s="287">
        <v>960</v>
      </c>
      <c r="N1942" s="287" t="s">
        <v>159</v>
      </c>
      <c r="O1942" s="287" t="s">
        <v>159</v>
      </c>
      <c r="P1942" s="287" t="s">
        <v>159</v>
      </c>
      <c r="Q1942" s="288">
        <v>3.07</v>
      </c>
      <c r="R1942" s="288">
        <v>3.08</v>
      </c>
      <c r="S1942" s="288">
        <v>-7.5199999999999998E-3</v>
      </c>
      <c r="T1942" s="288">
        <v>1.25E-3</v>
      </c>
      <c r="U1942" s="288">
        <v>0</v>
      </c>
      <c r="V1942" s="289">
        <v>3.0812500000000003</v>
      </c>
      <c r="W1942" s="289">
        <v>0</v>
      </c>
      <c r="X1942" s="288">
        <v>3.07</v>
      </c>
      <c r="Y1942" s="288">
        <v>3.08</v>
      </c>
      <c r="Z1942" s="288">
        <v>-7.5199999999999998E-3</v>
      </c>
      <c r="AA1942" s="288">
        <v>1.25E-3</v>
      </c>
      <c r="AB1942" s="288">
        <v>0</v>
      </c>
      <c r="AC1942" s="289">
        <v>3.0812500000000003</v>
      </c>
      <c r="AD1942" s="289">
        <v>0</v>
      </c>
    </row>
    <row r="1943" spans="1:30" ht="15" customHeight="1" x14ac:dyDescent="0.25">
      <c r="A1943" s="282" t="s">
        <v>2879</v>
      </c>
      <c r="B1943" s="282"/>
      <c r="C1943" s="282" t="s">
        <v>260</v>
      </c>
      <c r="D1943" s="283" t="s">
        <v>2888</v>
      </c>
      <c r="E1943" s="403">
        <v>44888</v>
      </c>
      <c r="F1943" s="403">
        <v>46714</v>
      </c>
      <c r="G1943" s="283" t="s">
        <v>154</v>
      </c>
      <c r="H1943" s="282" t="s">
        <v>2884</v>
      </c>
      <c r="I1943" s="285"/>
      <c r="J1943" s="282" t="s">
        <v>156</v>
      </c>
      <c r="K1943" s="283" t="s">
        <v>191</v>
      </c>
      <c r="L1943" s="286" t="s">
        <v>219</v>
      </c>
      <c r="M1943" s="287">
        <v>1530</v>
      </c>
      <c r="N1943" s="287" t="s">
        <v>159</v>
      </c>
      <c r="O1943" s="287" t="s">
        <v>159</v>
      </c>
      <c r="P1943" s="287" t="s">
        <v>159</v>
      </c>
      <c r="Q1943" s="288">
        <v>3.37</v>
      </c>
      <c r="R1943" s="288">
        <v>3.38</v>
      </c>
      <c r="S1943" s="288">
        <v>-0.01</v>
      </c>
      <c r="T1943" s="288">
        <v>2.2699999999999999E-3</v>
      </c>
      <c r="U1943" s="288">
        <v>0</v>
      </c>
      <c r="V1943" s="289">
        <v>3.3822700000000001</v>
      </c>
      <c r="W1943" s="289">
        <v>0</v>
      </c>
      <c r="X1943" s="288">
        <v>3.37</v>
      </c>
      <c r="Y1943" s="288">
        <v>3.38</v>
      </c>
      <c r="Z1943" s="288">
        <v>-0.01</v>
      </c>
      <c r="AA1943" s="288">
        <v>2.2699999999999999E-3</v>
      </c>
      <c r="AB1943" s="288">
        <v>0</v>
      </c>
      <c r="AC1943" s="289">
        <v>3.3822700000000001</v>
      </c>
      <c r="AD1943" s="289">
        <v>0</v>
      </c>
    </row>
    <row r="1944" spans="1:30" ht="15" customHeight="1" x14ac:dyDescent="0.25">
      <c r="A1944" s="282" t="s">
        <v>2879</v>
      </c>
      <c r="B1944" s="282"/>
      <c r="C1944" s="282" t="s">
        <v>260</v>
      </c>
      <c r="D1944" s="283" t="s">
        <v>2889</v>
      </c>
      <c r="E1944" s="403">
        <v>44820</v>
      </c>
      <c r="F1944" s="403">
        <v>46646</v>
      </c>
      <c r="G1944" s="283" t="s">
        <v>154</v>
      </c>
      <c r="H1944" s="282" t="s">
        <v>2890</v>
      </c>
      <c r="I1944" s="285"/>
      <c r="J1944" s="282" t="s">
        <v>156</v>
      </c>
      <c r="K1944" s="283" t="s">
        <v>2891</v>
      </c>
      <c r="L1944" s="286" t="s">
        <v>219</v>
      </c>
      <c r="M1944" s="287">
        <v>1480</v>
      </c>
      <c r="N1944" s="287" t="s">
        <v>159</v>
      </c>
      <c r="O1944" s="287" t="s">
        <v>159</v>
      </c>
      <c r="P1944" s="287" t="s">
        <v>159</v>
      </c>
      <c r="Q1944" s="288">
        <v>3.62</v>
      </c>
      <c r="R1944" s="288">
        <v>3.63</v>
      </c>
      <c r="S1944" s="288">
        <v>-8.2100000000000003E-3</v>
      </c>
      <c r="T1944" s="288">
        <v>2.3500000000000001E-3</v>
      </c>
      <c r="U1944" s="288">
        <v>0</v>
      </c>
      <c r="V1944" s="289">
        <v>3.6323499999999997</v>
      </c>
      <c r="W1944" s="289">
        <v>0</v>
      </c>
      <c r="X1944" s="288">
        <v>3.62</v>
      </c>
      <c r="Y1944" s="288">
        <v>3.63</v>
      </c>
      <c r="Z1944" s="288">
        <v>-8.2100000000000003E-3</v>
      </c>
      <c r="AA1944" s="288">
        <v>2.3500000000000001E-3</v>
      </c>
      <c r="AB1944" s="288">
        <v>0</v>
      </c>
      <c r="AC1944" s="289">
        <v>3.6323499999999997</v>
      </c>
      <c r="AD1944" s="289">
        <v>0</v>
      </c>
    </row>
    <row r="1945" spans="1:30" ht="15" customHeight="1" x14ac:dyDescent="0.25">
      <c r="A1945" s="282" t="s">
        <v>2879</v>
      </c>
      <c r="B1945" s="282"/>
      <c r="C1945" s="282" t="s">
        <v>260</v>
      </c>
      <c r="D1945" s="283" t="s">
        <v>2892</v>
      </c>
      <c r="E1945" s="403">
        <v>44820</v>
      </c>
      <c r="F1945" s="403">
        <v>46646</v>
      </c>
      <c r="G1945" s="283" t="s">
        <v>154</v>
      </c>
      <c r="H1945" s="282" t="s">
        <v>2890</v>
      </c>
      <c r="I1945" s="285"/>
      <c r="J1945" s="282" t="s">
        <v>156</v>
      </c>
      <c r="K1945" s="283" t="s">
        <v>2891</v>
      </c>
      <c r="L1945" s="286" t="s">
        <v>219</v>
      </c>
      <c r="M1945" s="287">
        <v>1480</v>
      </c>
      <c r="N1945" s="287" t="s">
        <v>159</v>
      </c>
      <c r="O1945" s="287" t="s">
        <v>159</v>
      </c>
      <c r="P1945" s="287" t="s">
        <v>159</v>
      </c>
      <c r="Q1945" s="288">
        <v>3.46</v>
      </c>
      <c r="R1945" s="288">
        <v>3.46</v>
      </c>
      <c r="S1945" s="288">
        <v>-6.8399999999999997E-3</v>
      </c>
      <c r="T1945" s="288">
        <v>2.2899999999999999E-3</v>
      </c>
      <c r="U1945" s="288">
        <v>0</v>
      </c>
      <c r="V1945" s="289">
        <v>3.4622899999999999</v>
      </c>
      <c r="W1945" s="289">
        <v>0</v>
      </c>
      <c r="X1945" s="288">
        <v>3.46</v>
      </c>
      <c r="Y1945" s="288">
        <v>3.46</v>
      </c>
      <c r="Z1945" s="288">
        <v>-6.8399999999999997E-3</v>
      </c>
      <c r="AA1945" s="288">
        <v>2.2899999999999999E-3</v>
      </c>
      <c r="AB1945" s="288">
        <v>0</v>
      </c>
      <c r="AC1945" s="289">
        <v>3.4622899999999999</v>
      </c>
      <c r="AD1945" s="289">
        <v>0</v>
      </c>
    </row>
    <row r="1946" spans="1:30" ht="15" customHeight="1" x14ac:dyDescent="0.25">
      <c r="A1946" s="282" t="s">
        <v>2879</v>
      </c>
      <c r="B1946" s="282"/>
      <c r="C1946" s="282" t="s">
        <v>260</v>
      </c>
      <c r="D1946" s="283" t="s">
        <v>2893</v>
      </c>
      <c r="E1946" s="403">
        <v>44820</v>
      </c>
      <c r="F1946" s="403">
        <v>46646</v>
      </c>
      <c r="G1946" s="283" t="s">
        <v>154</v>
      </c>
      <c r="H1946" s="282" t="s">
        <v>2890</v>
      </c>
      <c r="I1946" s="285"/>
      <c r="J1946" s="282" t="s">
        <v>156</v>
      </c>
      <c r="K1946" s="283" t="s">
        <v>2891</v>
      </c>
      <c r="L1946" s="286" t="s">
        <v>219</v>
      </c>
      <c r="M1946" s="287">
        <v>1480</v>
      </c>
      <c r="N1946" s="287" t="s">
        <v>159</v>
      </c>
      <c r="O1946" s="287" t="s">
        <v>159</v>
      </c>
      <c r="P1946" s="287" t="s">
        <v>159</v>
      </c>
      <c r="Q1946" s="288">
        <v>3.55</v>
      </c>
      <c r="R1946" s="288">
        <v>3.55</v>
      </c>
      <c r="S1946" s="288">
        <v>-8.0400000000000003E-3</v>
      </c>
      <c r="T1946" s="288">
        <v>2.2899999999999999E-3</v>
      </c>
      <c r="U1946" s="288">
        <v>0</v>
      </c>
      <c r="V1946" s="289">
        <v>3.5522899999999997</v>
      </c>
      <c r="W1946" s="289">
        <v>0</v>
      </c>
      <c r="X1946" s="288">
        <v>3.55</v>
      </c>
      <c r="Y1946" s="288">
        <v>3.55</v>
      </c>
      <c r="Z1946" s="288">
        <v>-8.0400000000000003E-3</v>
      </c>
      <c r="AA1946" s="288">
        <v>2.2899999999999999E-3</v>
      </c>
      <c r="AB1946" s="288">
        <v>0</v>
      </c>
      <c r="AC1946" s="289">
        <v>3.5522899999999997</v>
      </c>
      <c r="AD1946" s="289">
        <v>0</v>
      </c>
    </row>
    <row r="1947" spans="1:30" ht="15" customHeight="1" x14ac:dyDescent="0.25">
      <c r="A1947" s="282" t="s">
        <v>2879</v>
      </c>
      <c r="B1947" s="282"/>
      <c r="C1947" s="282" t="s">
        <v>260</v>
      </c>
      <c r="D1947" s="283" t="s">
        <v>2894</v>
      </c>
      <c r="E1947" s="403">
        <v>42431</v>
      </c>
      <c r="F1947" s="403">
        <v>44256</v>
      </c>
      <c r="G1947" s="283" t="s">
        <v>154</v>
      </c>
      <c r="H1947" s="282" t="s">
        <v>2895</v>
      </c>
      <c r="I1947" s="285"/>
      <c r="J1947" s="282" t="s">
        <v>156</v>
      </c>
      <c r="K1947" s="283" t="s">
        <v>2896</v>
      </c>
      <c r="L1947" s="286" t="s">
        <v>219</v>
      </c>
      <c r="M1947" s="287">
        <v>1480</v>
      </c>
      <c r="N1947" s="287" t="s">
        <v>159</v>
      </c>
      <c r="O1947" s="287" t="s">
        <v>159</v>
      </c>
      <c r="P1947" s="287" t="s">
        <v>159</v>
      </c>
      <c r="Q1947" s="288">
        <v>3.6080000000000001</v>
      </c>
      <c r="R1947" s="288"/>
      <c r="S1947" s="288"/>
      <c r="T1947" s="288"/>
      <c r="U1947" s="288">
        <v>0</v>
      </c>
      <c r="V1947" s="289">
        <v>3.6080000000000001</v>
      </c>
      <c r="W1947" s="289">
        <v>0</v>
      </c>
      <c r="X1947" s="288">
        <v>3.6080000000000001</v>
      </c>
      <c r="Y1947" s="288">
        <v>0</v>
      </c>
      <c r="Z1947" s="288">
        <v>0</v>
      </c>
      <c r="AA1947" s="288">
        <v>0</v>
      </c>
      <c r="AB1947" s="288">
        <v>0</v>
      </c>
      <c r="AC1947" s="289">
        <v>3.6080000000000001</v>
      </c>
      <c r="AD1947" s="289">
        <v>0</v>
      </c>
    </row>
    <row r="1948" spans="1:30" ht="15" customHeight="1" x14ac:dyDescent="0.25">
      <c r="A1948" s="282" t="s">
        <v>2897</v>
      </c>
      <c r="B1948" s="282" t="s">
        <v>2897</v>
      </c>
      <c r="C1948" s="282" t="s">
        <v>2897</v>
      </c>
      <c r="D1948" s="283" t="s">
        <v>2898</v>
      </c>
      <c r="E1948" s="403">
        <v>45062</v>
      </c>
      <c r="F1948" s="403">
        <v>46889</v>
      </c>
      <c r="G1948" s="283" t="s">
        <v>154</v>
      </c>
      <c r="H1948" s="282" t="s">
        <v>2899</v>
      </c>
      <c r="I1948" s="282" t="s">
        <v>590</v>
      </c>
      <c r="J1948" s="282" t="s">
        <v>156</v>
      </c>
      <c r="K1948" s="294" t="s">
        <v>2900</v>
      </c>
      <c r="L1948" s="286" t="s">
        <v>321</v>
      </c>
      <c r="M1948" s="287">
        <v>840</v>
      </c>
      <c r="N1948" s="287">
        <v>8.4</v>
      </c>
      <c r="O1948" s="287"/>
      <c r="P1948" s="287"/>
      <c r="Q1948" s="288">
        <v>1.8</v>
      </c>
      <c r="R1948" s="288">
        <v>2.69</v>
      </c>
      <c r="S1948" s="288">
        <v>-0.82899999999999996</v>
      </c>
      <c r="T1948" s="288">
        <v>3.0500000000000002E-3</v>
      </c>
      <c r="U1948" s="288">
        <v>0.86899999999999988</v>
      </c>
      <c r="V1948" s="289">
        <v>2.73305</v>
      </c>
      <c r="W1948" s="289">
        <v>0.86899999999999988</v>
      </c>
      <c r="X1948" s="288">
        <v>0.21428571428571427</v>
      </c>
      <c r="Y1948" s="288">
        <v>0.32023809523809521</v>
      </c>
      <c r="Z1948" s="288">
        <v>-9.8690476190476176E-2</v>
      </c>
      <c r="AA1948" s="288">
        <v>3.630952380952381E-4</v>
      </c>
      <c r="AB1948" s="288">
        <v>0.10345238095238093</v>
      </c>
      <c r="AC1948" s="289">
        <v>0.32536309523809526</v>
      </c>
      <c r="AD1948" s="289">
        <v>0.10345238095238093</v>
      </c>
    </row>
    <row r="1949" spans="1:30" ht="15" customHeight="1" x14ac:dyDescent="0.25">
      <c r="A1949" s="282" t="s">
        <v>2897</v>
      </c>
      <c r="B1949" s="282" t="s">
        <v>2897</v>
      </c>
      <c r="C1949" s="282" t="s">
        <v>2897</v>
      </c>
      <c r="D1949" s="283" t="s">
        <v>2901</v>
      </c>
      <c r="E1949" s="403">
        <v>45062</v>
      </c>
      <c r="F1949" s="403">
        <v>46889</v>
      </c>
      <c r="G1949" s="283" t="s">
        <v>154</v>
      </c>
      <c r="H1949" s="282" t="s">
        <v>2899</v>
      </c>
      <c r="I1949" s="282" t="s">
        <v>590</v>
      </c>
      <c r="J1949" s="282" t="s">
        <v>156</v>
      </c>
      <c r="K1949" s="294" t="s">
        <v>2900</v>
      </c>
      <c r="L1949" s="286" t="s">
        <v>321</v>
      </c>
      <c r="M1949" s="287">
        <v>953.84615384615392</v>
      </c>
      <c r="N1949" s="287">
        <v>12.4</v>
      </c>
      <c r="O1949" s="287"/>
      <c r="P1949" s="287"/>
      <c r="Q1949" s="288">
        <v>3.22</v>
      </c>
      <c r="R1949" s="288">
        <v>4.1399999999999997</v>
      </c>
      <c r="S1949" s="288">
        <v>-0.92300000000000004</v>
      </c>
      <c r="T1949" s="288">
        <v>3.0200000000000001E-3</v>
      </c>
      <c r="U1949" s="288">
        <v>0.89100000000000001</v>
      </c>
      <c r="V1949" s="289">
        <v>4.1430199999999999</v>
      </c>
      <c r="W1949" s="289">
        <v>0.89100000000000001</v>
      </c>
      <c r="X1949" s="288">
        <v>0.25967741935483873</v>
      </c>
      <c r="Y1949" s="288">
        <v>0.33387096774193548</v>
      </c>
      <c r="Z1949" s="288">
        <v>-7.4435483870967739E-2</v>
      </c>
      <c r="AA1949" s="288">
        <v>2.4354838709677418E-4</v>
      </c>
      <c r="AB1949" s="288">
        <v>7.1854838709677418E-2</v>
      </c>
      <c r="AC1949" s="289">
        <v>0.3341145161290322</v>
      </c>
      <c r="AD1949" s="289">
        <v>7.1854838709677418E-2</v>
      </c>
    </row>
    <row r="1950" spans="1:30" ht="15" customHeight="1" x14ac:dyDescent="0.25">
      <c r="A1950" s="282" t="s">
        <v>2897</v>
      </c>
      <c r="B1950" s="282" t="s">
        <v>2897</v>
      </c>
      <c r="C1950" s="282" t="s">
        <v>2897</v>
      </c>
      <c r="D1950" s="283" t="s">
        <v>2902</v>
      </c>
      <c r="E1950" s="403">
        <v>45062</v>
      </c>
      <c r="F1950" s="403">
        <v>46889</v>
      </c>
      <c r="G1950" s="283" t="s">
        <v>154</v>
      </c>
      <c r="H1950" s="282" t="s">
        <v>2899</v>
      </c>
      <c r="I1950" s="282" t="s">
        <v>590</v>
      </c>
      <c r="J1950" s="282" t="s">
        <v>156</v>
      </c>
      <c r="K1950" s="294" t="s">
        <v>2900</v>
      </c>
      <c r="L1950" s="286" t="s">
        <v>321</v>
      </c>
      <c r="M1950" s="287">
        <v>823.07692307692309</v>
      </c>
      <c r="N1950" s="287">
        <v>10.7</v>
      </c>
      <c r="O1950" s="287"/>
      <c r="P1950" s="287"/>
      <c r="Q1950" s="288">
        <v>2.61</v>
      </c>
      <c r="R1950" s="288">
        <v>3.35</v>
      </c>
      <c r="S1950" s="288">
        <v>-0.74399999999999999</v>
      </c>
      <c r="T1950" s="288">
        <v>3.6800000000000001E-3</v>
      </c>
      <c r="U1950" s="288">
        <v>0.69666666666666666</v>
      </c>
      <c r="V1950" s="289">
        <v>3.3536799999999998</v>
      </c>
      <c r="W1950" s="289">
        <v>0.69666666666666666</v>
      </c>
      <c r="X1950" s="288">
        <v>0.24392523364485982</v>
      </c>
      <c r="Y1950" s="288">
        <v>0.31308411214953275</v>
      </c>
      <c r="Z1950" s="288">
        <v>-6.9532710280373833E-2</v>
      </c>
      <c r="AA1950" s="288">
        <v>3.4392523364485983E-4</v>
      </c>
      <c r="AB1950" s="288">
        <v>6.5109034267912771E-2</v>
      </c>
      <c r="AC1950" s="289">
        <v>0.31342803738317759</v>
      </c>
      <c r="AD1950" s="289">
        <v>6.5109034267912771E-2</v>
      </c>
    </row>
    <row r="1951" spans="1:30" ht="15" customHeight="1" x14ac:dyDescent="0.25">
      <c r="A1951" s="282" t="s">
        <v>2897</v>
      </c>
      <c r="B1951" s="282" t="s">
        <v>2897</v>
      </c>
      <c r="C1951" s="282" t="s">
        <v>2897</v>
      </c>
      <c r="D1951" s="283" t="s">
        <v>2903</v>
      </c>
      <c r="E1951" s="403">
        <v>45062</v>
      </c>
      <c r="F1951" s="403">
        <v>46889</v>
      </c>
      <c r="G1951" s="283" t="s">
        <v>154</v>
      </c>
      <c r="H1951" s="282" t="s">
        <v>2899</v>
      </c>
      <c r="I1951" s="282" t="s">
        <v>590</v>
      </c>
      <c r="J1951" s="282" t="s">
        <v>156</v>
      </c>
      <c r="K1951" s="294" t="s">
        <v>2900</v>
      </c>
      <c r="L1951" s="286" t="s">
        <v>321</v>
      </c>
      <c r="M1951" s="287">
        <v>946.1538461538463</v>
      </c>
      <c r="N1951" s="287">
        <v>12.3</v>
      </c>
      <c r="O1951" s="287"/>
      <c r="P1951" s="287"/>
      <c r="Q1951" s="288">
        <v>2.95</v>
      </c>
      <c r="R1951" s="288">
        <v>3.75</v>
      </c>
      <c r="S1951" s="288">
        <v>-0.79300000000000004</v>
      </c>
      <c r="T1951" s="288">
        <v>3.3600000000000001E-3</v>
      </c>
      <c r="U1951" s="288">
        <v>0.7406666666666667</v>
      </c>
      <c r="V1951" s="289">
        <v>3.7533599999999998</v>
      </c>
      <c r="W1951" s="289">
        <v>0.7406666666666667</v>
      </c>
      <c r="X1951" s="288">
        <v>0.23983739837398374</v>
      </c>
      <c r="Y1951" s="288">
        <v>0.3048780487804878</v>
      </c>
      <c r="Z1951" s="288">
        <v>-6.4471544715447152E-2</v>
      </c>
      <c r="AA1951" s="288">
        <v>2.7317073170731707E-4</v>
      </c>
      <c r="AB1951" s="288">
        <v>6.021680216802168E-2</v>
      </c>
      <c r="AC1951" s="289">
        <v>0.30515121951219515</v>
      </c>
      <c r="AD1951" s="289">
        <v>6.021680216802168E-2</v>
      </c>
    </row>
    <row r="1952" spans="1:30" ht="15" customHeight="1" x14ac:dyDescent="0.25">
      <c r="A1952" s="282" t="s">
        <v>2897</v>
      </c>
      <c r="B1952" s="282" t="s">
        <v>2897</v>
      </c>
      <c r="C1952" s="282" t="s">
        <v>2897</v>
      </c>
      <c r="D1952" s="283" t="s">
        <v>2904</v>
      </c>
      <c r="E1952" s="403">
        <v>45062</v>
      </c>
      <c r="F1952" s="403">
        <v>46889</v>
      </c>
      <c r="G1952" s="283" t="s">
        <v>154</v>
      </c>
      <c r="H1952" s="282" t="s">
        <v>2899</v>
      </c>
      <c r="I1952" s="282" t="s">
        <v>590</v>
      </c>
      <c r="J1952" s="282" t="s">
        <v>156</v>
      </c>
      <c r="K1952" s="294" t="s">
        <v>2900</v>
      </c>
      <c r="L1952" s="286" t="s">
        <v>321</v>
      </c>
      <c r="M1952" s="287">
        <v>923.07692307692309</v>
      </c>
      <c r="N1952" s="287">
        <v>12</v>
      </c>
      <c r="O1952" s="287"/>
      <c r="P1952" s="287"/>
      <c r="Q1952" s="288">
        <v>2.88</v>
      </c>
      <c r="R1952" s="288">
        <v>3.62</v>
      </c>
      <c r="S1952" s="288">
        <v>-0.73599999999999999</v>
      </c>
      <c r="T1952" s="288">
        <v>3.3899999999999998E-3</v>
      </c>
      <c r="U1952" s="288">
        <v>0.68199999999999994</v>
      </c>
      <c r="V1952" s="289">
        <v>3.6233900000000006</v>
      </c>
      <c r="W1952" s="289">
        <v>0.68199999999999994</v>
      </c>
      <c r="X1952" s="288">
        <v>0.24</v>
      </c>
      <c r="Y1952" s="288">
        <v>0.30166666666666669</v>
      </c>
      <c r="Z1952" s="288">
        <v>-6.133333333333333E-2</v>
      </c>
      <c r="AA1952" s="288">
        <v>2.8249999999999998E-4</v>
      </c>
      <c r="AB1952" s="288">
        <v>5.6833333333333326E-2</v>
      </c>
      <c r="AC1952" s="289">
        <v>0.30194916666666671</v>
      </c>
      <c r="AD1952" s="289">
        <v>5.6833333333333326E-2</v>
      </c>
    </row>
    <row r="1953" spans="1:30" ht="15" customHeight="1" x14ac:dyDescent="0.25">
      <c r="A1953" s="282" t="s">
        <v>2897</v>
      </c>
      <c r="B1953" s="282" t="s">
        <v>2897</v>
      </c>
      <c r="C1953" s="282" t="s">
        <v>2897</v>
      </c>
      <c r="D1953" s="283" t="s">
        <v>2905</v>
      </c>
      <c r="E1953" s="403">
        <v>45062</v>
      </c>
      <c r="F1953" s="403">
        <v>46889</v>
      </c>
      <c r="G1953" s="283" t="s">
        <v>154</v>
      </c>
      <c r="H1953" s="282" t="s">
        <v>2899</v>
      </c>
      <c r="I1953" s="282" t="s">
        <v>590</v>
      </c>
      <c r="J1953" s="282" t="s">
        <v>156</v>
      </c>
      <c r="K1953" s="294" t="s">
        <v>2900</v>
      </c>
      <c r="L1953" s="286" t="s">
        <v>321</v>
      </c>
      <c r="M1953" s="287">
        <v>818.75</v>
      </c>
      <c r="N1953" s="287">
        <v>13.1</v>
      </c>
      <c r="O1953" s="287"/>
      <c r="P1953" s="287"/>
      <c r="Q1953" s="288">
        <v>3.29</v>
      </c>
      <c r="R1953" s="288">
        <v>4.05</v>
      </c>
      <c r="S1953" s="288">
        <v>-0.76</v>
      </c>
      <c r="T1953" s="288">
        <v>4.2500000000000003E-3</v>
      </c>
      <c r="U1953" s="288">
        <v>0.70033333333333336</v>
      </c>
      <c r="V1953" s="289">
        <v>4.0542499999999997</v>
      </c>
      <c r="W1953" s="289">
        <v>0.70033333333333336</v>
      </c>
      <c r="X1953" s="288">
        <v>0.25114503816793893</v>
      </c>
      <c r="Y1953" s="288">
        <v>0.30916030534351147</v>
      </c>
      <c r="Z1953" s="288">
        <v>-5.8015267175572524E-2</v>
      </c>
      <c r="AA1953" s="288">
        <v>3.2442748091603059E-4</v>
      </c>
      <c r="AB1953" s="288">
        <v>5.3460559796437664E-2</v>
      </c>
      <c r="AC1953" s="289">
        <v>0.30948473282442751</v>
      </c>
      <c r="AD1953" s="289">
        <v>5.3460559796437664E-2</v>
      </c>
    </row>
    <row r="1954" spans="1:30" ht="15" customHeight="1" x14ac:dyDescent="0.25">
      <c r="A1954" s="282" t="s">
        <v>2897</v>
      </c>
      <c r="B1954" s="282" t="s">
        <v>2897</v>
      </c>
      <c r="C1954" s="282" t="s">
        <v>2897</v>
      </c>
      <c r="D1954" s="283" t="s">
        <v>2906</v>
      </c>
      <c r="E1954" s="403">
        <v>45106</v>
      </c>
      <c r="F1954" s="403">
        <v>46933</v>
      </c>
      <c r="G1954" s="283" t="s">
        <v>2870</v>
      </c>
      <c r="H1954" s="282" t="s">
        <v>2907</v>
      </c>
      <c r="I1954" s="285"/>
      <c r="J1954" s="282" t="s">
        <v>184</v>
      </c>
      <c r="K1954" s="283" t="s">
        <v>2908</v>
      </c>
      <c r="L1954" s="286" t="s">
        <v>321</v>
      </c>
      <c r="M1954" s="287" t="s">
        <v>159</v>
      </c>
      <c r="N1954" s="287">
        <v>8</v>
      </c>
      <c r="O1954" s="287" t="s">
        <v>159</v>
      </c>
      <c r="P1954" s="287" t="s">
        <v>159</v>
      </c>
      <c r="Q1954" s="288">
        <v>1.32</v>
      </c>
      <c r="R1954" s="288">
        <v>1.49</v>
      </c>
      <c r="S1954" s="288">
        <v>-0.184</v>
      </c>
      <c r="T1954" s="288"/>
      <c r="U1954" s="288">
        <v>0</v>
      </c>
      <c r="V1954" s="289">
        <v>1.49</v>
      </c>
      <c r="W1954" s="289">
        <v>0</v>
      </c>
      <c r="X1954" s="288">
        <v>0.16500000000000001</v>
      </c>
      <c r="Y1954" s="288">
        <v>0.18625</v>
      </c>
      <c r="Z1954" s="288">
        <v>-2.3E-2</v>
      </c>
      <c r="AA1954" s="288">
        <v>0</v>
      </c>
      <c r="AB1954" s="288">
        <v>0</v>
      </c>
      <c r="AC1954" s="289">
        <v>0.18625</v>
      </c>
      <c r="AD1954" s="289">
        <v>0</v>
      </c>
    </row>
    <row r="1955" spans="1:30" ht="15" customHeight="1" x14ac:dyDescent="0.25">
      <c r="A1955" s="282" t="s">
        <v>2897</v>
      </c>
      <c r="B1955" s="282" t="s">
        <v>2897</v>
      </c>
      <c r="C1955" s="282" t="s">
        <v>2897</v>
      </c>
      <c r="D1955" s="283" t="s">
        <v>2909</v>
      </c>
      <c r="E1955" s="403">
        <v>45106</v>
      </c>
      <c r="F1955" s="403">
        <v>46933</v>
      </c>
      <c r="G1955" s="283" t="s">
        <v>2870</v>
      </c>
      <c r="H1955" s="282" t="s">
        <v>2910</v>
      </c>
      <c r="I1955" s="285"/>
      <c r="J1955" s="282" t="s">
        <v>184</v>
      </c>
      <c r="K1955" s="283" t="s">
        <v>2911</v>
      </c>
      <c r="L1955" s="286" t="s">
        <v>321</v>
      </c>
      <c r="M1955" s="287" t="s">
        <v>159</v>
      </c>
      <c r="N1955" s="287">
        <v>17</v>
      </c>
      <c r="O1955" s="287" t="s">
        <v>159</v>
      </c>
      <c r="P1955" s="287" t="s">
        <v>159</v>
      </c>
      <c r="Q1955" s="288">
        <v>2.7</v>
      </c>
      <c r="R1955" s="288">
        <v>3.02</v>
      </c>
      <c r="S1955" s="288">
        <v>-0.33800000000000002</v>
      </c>
      <c r="T1955" s="288"/>
      <c r="U1955" s="288">
        <v>0</v>
      </c>
      <c r="V1955" s="289">
        <v>3.02</v>
      </c>
      <c r="W1955" s="289">
        <v>0</v>
      </c>
      <c r="X1955" s="288">
        <v>0.15882352941176472</v>
      </c>
      <c r="Y1955" s="288">
        <v>0.17764705882352941</v>
      </c>
      <c r="Z1955" s="288">
        <v>-1.9882352941176473E-2</v>
      </c>
      <c r="AA1955" s="288">
        <v>0</v>
      </c>
      <c r="AB1955" s="288">
        <v>0</v>
      </c>
      <c r="AC1955" s="289">
        <v>0.17764705882352941</v>
      </c>
      <c r="AD1955" s="289">
        <v>0</v>
      </c>
    </row>
    <row r="1956" spans="1:30" ht="15" customHeight="1" x14ac:dyDescent="0.25">
      <c r="A1956" s="282" t="s">
        <v>2897</v>
      </c>
      <c r="B1956" s="282" t="s">
        <v>2897</v>
      </c>
      <c r="C1956" s="282" t="s">
        <v>2897</v>
      </c>
      <c r="D1956" s="283" t="s">
        <v>2912</v>
      </c>
      <c r="E1956" s="403">
        <v>45106</v>
      </c>
      <c r="F1956" s="403">
        <v>46933</v>
      </c>
      <c r="G1956" s="283" t="s">
        <v>2870</v>
      </c>
      <c r="H1956" s="282" t="s">
        <v>2913</v>
      </c>
      <c r="I1956" s="285"/>
      <c r="J1956" s="282" t="s">
        <v>184</v>
      </c>
      <c r="K1956" s="283" t="s">
        <v>2914</v>
      </c>
      <c r="L1956" s="286" t="s">
        <v>321</v>
      </c>
      <c r="M1956" s="287" t="s">
        <v>159</v>
      </c>
      <c r="N1956" s="287">
        <v>12.5</v>
      </c>
      <c r="O1956" s="287" t="s">
        <v>159</v>
      </c>
      <c r="P1956" s="287" t="s">
        <v>159</v>
      </c>
      <c r="Q1956" s="288">
        <v>1.96</v>
      </c>
      <c r="R1956" s="288">
        <v>2.19</v>
      </c>
      <c r="S1956" s="288">
        <v>-0.25</v>
      </c>
      <c r="T1956" s="288"/>
      <c r="U1956" s="288">
        <v>0</v>
      </c>
      <c r="V1956" s="289">
        <v>2.19</v>
      </c>
      <c r="W1956" s="289">
        <v>0</v>
      </c>
      <c r="X1956" s="288">
        <v>0.15679999999999999</v>
      </c>
      <c r="Y1956" s="288">
        <v>0.17519999999999999</v>
      </c>
      <c r="Z1956" s="288">
        <v>-0.02</v>
      </c>
      <c r="AA1956" s="288">
        <v>0</v>
      </c>
      <c r="AB1956" s="288">
        <v>0</v>
      </c>
      <c r="AC1956" s="289">
        <v>0.17519999999999999</v>
      </c>
      <c r="AD1956" s="289">
        <v>0</v>
      </c>
    </row>
    <row r="1957" spans="1:30" ht="15" customHeight="1" x14ac:dyDescent="0.25">
      <c r="A1957" s="282" t="s">
        <v>2897</v>
      </c>
      <c r="B1957" s="282" t="s">
        <v>2897</v>
      </c>
      <c r="C1957" s="282" t="s">
        <v>2897</v>
      </c>
      <c r="D1957" s="283" t="s">
        <v>2915</v>
      </c>
      <c r="E1957" s="403">
        <v>45106</v>
      </c>
      <c r="F1957" s="403">
        <v>46933</v>
      </c>
      <c r="G1957" s="283" t="s">
        <v>2870</v>
      </c>
      <c r="H1957" s="282" t="s">
        <v>2916</v>
      </c>
      <c r="I1957" s="285"/>
      <c r="J1957" s="282" t="s">
        <v>184</v>
      </c>
      <c r="K1957" s="283" t="s">
        <v>2917</v>
      </c>
      <c r="L1957" s="286" t="s">
        <v>321</v>
      </c>
      <c r="M1957" s="287" t="s">
        <v>159</v>
      </c>
      <c r="N1957" s="287">
        <v>12</v>
      </c>
      <c r="O1957" s="287" t="s">
        <v>159</v>
      </c>
      <c r="P1957" s="287" t="s">
        <v>159</v>
      </c>
      <c r="Q1957" s="288">
        <v>2.0099999999999998</v>
      </c>
      <c r="R1957" s="288">
        <v>2.2400000000000002</v>
      </c>
      <c r="S1957" s="288">
        <v>-0.24</v>
      </c>
      <c r="T1957" s="288"/>
      <c r="U1957" s="288">
        <v>0</v>
      </c>
      <c r="V1957" s="289">
        <v>2.2400000000000002</v>
      </c>
      <c r="W1957" s="289">
        <v>0</v>
      </c>
      <c r="X1957" s="288">
        <v>0.16749999999999998</v>
      </c>
      <c r="Y1957" s="288">
        <v>0.18666666666666668</v>
      </c>
      <c r="Z1957" s="288">
        <v>-0.02</v>
      </c>
      <c r="AA1957" s="288">
        <v>0</v>
      </c>
      <c r="AB1957" s="288">
        <v>0</v>
      </c>
      <c r="AC1957" s="289">
        <v>0.18666666666666668</v>
      </c>
      <c r="AD1957" s="289">
        <v>0</v>
      </c>
    </row>
    <row r="1958" spans="1:30" ht="15" customHeight="1" x14ac:dyDescent="0.25">
      <c r="A1958" s="282" t="s">
        <v>2897</v>
      </c>
      <c r="B1958" s="282" t="s">
        <v>2897</v>
      </c>
      <c r="C1958" s="282" t="s">
        <v>2897</v>
      </c>
      <c r="D1958" s="283" t="s">
        <v>2918</v>
      </c>
      <c r="E1958" s="403">
        <v>45106</v>
      </c>
      <c r="F1958" s="403">
        <v>46933</v>
      </c>
      <c r="G1958" s="283" t="s">
        <v>2870</v>
      </c>
      <c r="H1958" s="282" t="s">
        <v>2919</v>
      </c>
      <c r="I1958" s="285"/>
      <c r="J1958" s="282" t="s">
        <v>184</v>
      </c>
      <c r="K1958" s="283" t="s">
        <v>2920</v>
      </c>
      <c r="L1958" s="286" t="s">
        <v>321</v>
      </c>
      <c r="M1958" s="287" t="s">
        <v>159</v>
      </c>
      <c r="N1958" s="287">
        <v>9.5</v>
      </c>
      <c r="O1958" s="287" t="s">
        <v>159</v>
      </c>
      <c r="P1958" s="287" t="s">
        <v>159</v>
      </c>
      <c r="Q1958" s="288">
        <v>1.51</v>
      </c>
      <c r="R1958" s="288">
        <v>1.68</v>
      </c>
      <c r="S1958" s="288">
        <v>-0.187</v>
      </c>
      <c r="T1958" s="288"/>
      <c r="U1958" s="288">
        <v>0</v>
      </c>
      <c r="V1958" s="289">
        <v>1.68</v>
      </c>
      <c r="W1958" s="289">
        <v>0</v>
      </c>
      <c r="X1958" s="288">
        <v>0.15894736842105264</v>
      </c>
      <c r="Y1958" s="288">
        <v>0.17684210526315788</v>
      </c>
      <c r="Z1958" s="288">
        <v>-1.968421052631579E-2</v>
      </c>
      <c r="AA1958" s="288">
        <v>0</v>
      </c>
      <c r="AB1958" s="288">
        <v>0</v>
      </c>
      <c r="AC1958" s="289">
        <v>0.17684210526315791</v>
      </c>
      <c r="AD1958" s="289">
        <v>0</v>
      </c>
    </row>
    <row r="1959" spans="1:30" ht="15" customHeight="1" x14ac:dyDescent="0.25">
      <c r="A1959" s="282" t="s">
        <v>2897</v>
      </c>
      <c r="B1959" s="282" t="s">
        <v>2897</v>
      </c>
      <c r="C1959" s="282" t="s">
        <v>2897</v>
      </c>
      <c r="D1959" s="283" t="s">
        <v>2921</v>
      </c>
      <c r="E1959" s="403">
        <v>45106</v>
      </c>
      <c r="F1959" s="403">
        <v>46933</v>
      </c>
      <c r="G1959" s="283" t="s">
        <v>2870</v>
      </c>
      <c r="H1959" s="282" t="s">
        <v>2922</v>
      </c>
      <c r="I1959" s="285"/>
      <c r="J1959" s="282" t="s">
        <v>184</v>
      </c>
      <c r="K1959" s="283" t="s">
        <v>2920</v>
      </c>
      <c r="L1959" s="286" t="s">
        <v>321</v>
      </c>
      <c r="M1959" s="287" t="s">
        <v>159</v>
      </c>
      <c r="N1959" s="287">
        <v>9.1999999999999993</v>
      </c>
      <c r="O1959" s="287" t="s">
        <v>159</v>
      </c>
      <c r="P1959" s="287" t="s">
        <v>159</v>
      </c>
      <c r="Q1959" s="288">
        <v>1.51</v>
      </c>
      <c r="R1959" s="288">
        <v>1.68</v>
      </c>
      <c r="S1959" s="288">
        <v>-0.187</v>
      </c>
      <c r="T1959" s="288"/>
      <c r="U1959" s="288">
        <v>0</v>
      </c>
      <c r="V1959" s="289">
        <v>1.68</v>
      </c>
      <c r="W1959" s="289">
        <v>0</v>
      </c>
      <c r="X1959" s="288">
        <v>0.16413043478260872</v>
      </c>
      <c r="Y1959" s="288">
        <v>0.18260869565217391</v>
      </c>
      <c r="Z1959" s="288">
        <v>-2.032608695652174E-2</v>
      </c>
      <c r="AA1959" s="288">
        <v>0</v>
      </c>
      <c r="AB1959" s="288">
        <v>0</v>
      </c>
      <c r="AC1959" s="289">
        <v>0.18260869565217391</v>
      </c>
      <c r="AD1959" s="289">
        <v>0</v>
      </c>
    </row>
    <row r="1960" spans="1:30" ht="15" customHeight="1" x14ac:dyDescent="0.25">
      <c r="A1960" s="282" t="s">
        <v>2897</v>
      </c>
      <c r="B1960" s="282" t="s">
        <v>2897</v>
      </c>
      <c r="C1960" s="282" t="s">
        <v>2897</v>
      </c>
      <c r="D1960" s="283" t="s">
        <v>2923</v>
      </c>
      <c r="E1960" s="403">
        <v>45062</v>
      </c>
      <c r="F1960" s="403">
        <v>46889</v>
      </c>
      <c r="G1960" s="283" t="s">
        <v>154</v>
      </c>
      <c r="H1960" s="282" t="s">
        <v>2899</v>
      </c>
      <c r="I1960" s="282" t="s">
        <v>590</v>
      </c>
      <c r="J1960" s="282" t="s">
        <v>156</v>
      </c>
      <c r="K1960" s="294" t="s">
        <v>2900</v>
      </c>
      <c r="L1960" s="286" t="s">
        <v>321</v>
      </c>
      <c r="M1960" s="287">
        <v>738.46153846153845</v>
      </c>
      <c r="N1960" s="287">
        <v>4.8</v>
      </c>
      <c r="O1960" s="287"/>
      <c r="P1960" s="287"/>
      <c r="Q1960" s="288">
        <v>0.85899999999999999</v>
      </c>
      <c r="R1960" s="288">
        <v>1.89</v>
      </c>
      <c r="S1960" s="288">
        <v>-1.03</v>
      </c>
      <c r="T1960" s="288"/>
      <c r="U1960" s="288">
        <v>0.97900000000000009</v>
      </c>
      <c r="V1960" s="289">
        <v>1.89</v>
      </c>
      <c r="W1960" s="289">
        <v>0.97900000000000009</v>
      </c>
      <c r="X1960" s="288">
        <v>0.17895833333333333</v>
      </c>
      <c r="Y1960" s="288">
        <v>0.39374999999999999</v>
      </c>
      <c r="Z1960" s="288">
        <v>-0.21458333333333335</v>
      </c>
      <c r="AA1960" s="288">
        <v>0</v>
      </c>
      <c r="AB1960" s="288">
        <v>0.20395833333333335</v>
      </c>
      <c r="AC1960" s="289">
        <v>0.39374999999999999</v>
      </c>
      <c r="AD1960" s="289">
        <v>0.20395833333333335</v>
      </c>
    </row>
    <row r="1961" spans="1:30" ht="15" customHeight="1" x14ac:dyDescent="0.25">
      <c r="A1961" s="282" t="s">
        <v>2897</v>
      </c>
      <c r="B1961" s="282" t="s">
        <v>2897</v>
      </c>
      <c r="C1961" s="282" t="s">
        <v>2897</v>
      </c>
      <c r="D1961" s="283" t="s">
        <v>2924</v>
      </c>
      <c r="E1961" s="403">
        <v>45062</v>
      </c>
      <c r="F1961" s="403">
        <v>46889</v>
      </c>
      <c r="G1961" s="283" t="s">
        <v>154</v>
      </c>
      <c r="H1961" s="282" t="s">
        <v>2899</v>
      </c>
      <c r="I1961" s="282" t="s">
        <v>590</v>
      </c>
      <c r="J1961" s="282" t="s">
        <v>156</v>
      </c>
      <c r="K1961" s="294" t="s">
        <v>2900</v>
      </c>
      <c r="L1961" s="286" t="s">
        <v>321</v>
      </c>
      <c r="M1961" s="287">
        <v>832</v>
      </c>
      <c r="N1961" s="287">
        <v>20.8</v>
      </c>
      <c r="O1961" s="287"/>
      <c r="P1961" s="287"/>
      <c r="Q1961" s="288">
        <v>5.58</v>
      </c>
      <c r="R1961" s="288">
        <v>6.79</v>
      </c>
      <c r="S1961" s="288">
        <v>-1.21</v>
      </c>
      <c r="T1961" s="288"/>
      <c r="U1961" s="288">
        <v>1.0669999999999999</v>
      </c>
      <c r="V1961" s="289">
        <v>6.79</v>
      </c>
      <c r="W1961" s="289">
        <v>1.0669999999999999</v>
      </c>
      <c r="X1961" s="288">
        <v>0.26826923076923076</v>
      </c>
      <c r="Y1961" s="288">
        <v>0.3264423076923077</v>
      </c>
      <c r="Z1961" s="288">
        <v>-5.8173076923076918E-2</v>
      </c>
      <c r="AA1961" s="288">
        <v>0</v>
      </c>
      <c r="AB1961" s="288">
        <v>5.1298076923076918E-2</v>
      </c>
      <c r="AC1961" s="289">
        <v>0.3264423076923077</v>
      </c>
      <c r="AD1961" s="289">
        <v>5.1298076923076918E-2</v>
      </c>
    </row>
    <row r="1962" spans="1:30" ht="15" customHeight="1" x14ac:dyDescent="0.25">
      <c r="A1962" s="282" t="s">
        <v>2897</v>
      </c>
      <c r="B1962" s="282" t="s">
        <v>2897</v>
      </c>
      <c r="C1962" s="282" t="s">
        <v>2897</v>
      </c>
      <c r="D1962" s="283" t="s">
        <v>2925</v>
      </c>
      <c r="E1962" s="403">
        <v>45062</v>
      </c>
      <c r="F1962" s="403">
        <v>46889</v>
      </c>
      <c r="G1962" s="283" t="s">
        <v>154</v>
      </c>
      <c r="H1962" s="282" t="s">
        <v>2899</v>
      </c>
      <c r="I1962" s="282" t="s">
        <v>590</v>
      </c>
      <c r="J1962" s="282" t="s">
        <v>156</v>
      </c>
      <c r="K1962" s="294" t="s">
        <v>2900</v>
      </c>
      <c r="L1962" s="286" t="s">
        <v>321</v>
      </c>
      <c r="M1962" s="287">
        <v>760</v>
      </c>
      <c r="N1962" s="287">
        <v>7.6</v>
      </c>
      <c r="O1962" s="287"/>
      <c r="P1962" s="287"/>
      <c r="Q1962" s="288">
        <v>2.11</v>
      </c>
      <c r="R1962" s="288">
        <v>2.82</v>
      </c>
      <c r="S1962" s="288">
        <v>-0.70599999999999996</v>
      </c>
      <c r="T1962" s="288"/>
      <c r="U1962" s="288">
        <v>0.66733333333333322</v>
      </c>
      <c r="V1962" s="289">
        <v>2.82</v>
      </c>
      <c r="W1962" s="289">
        <v>0.66733333333333322</v>
      </c>
      <c r="X1962" s="288">
        <v>0.2776315789473684</v>
      </c>
      <c r="Y1962" s="288">
        <v>0.37105263157894736</v>
      </c>
      <c r="Z1962" s="288">
        <v>-9.2894736842105266E-2</v>
      </c>
      <c r="AA1962" s="288">
        <v>0</v>
      </c>
      <c r="AB1962" s="288">
        <v>8.7807017543859639E-2</v>
      </c>
      <c r="AC1962" s="289">
        <v>0.37105263157894736</v>
      </c>
      <c r="AD1962" s="289">
        <v>8.7807017543859639E-2</v>
      </c>
    </row>
    <row r="1963" spans="1:30" ht="15" customHeight="1" x14ac:dyDescent="0.25">
      <c r="A1963" s="282" t="s">
        <v>2897</v>
      </c>
      <c r="B1963" s="282" t="s">
        <v>2897</v>
      </c>
      <c r="C1963" s="282" t="s">
        <v>2897</v>
      </c>
      <c r="D1963" s="283" t="s">
        <v>2926</v>
      </c>
      <c r="E1963" s="403">
        <v>45062</v>
      </c>
      <c r="F1963" s="403">
        <v>46889</v>
      </c>
      <c r="G1963" s="283" t="s">
        <v>154</v>
      </c>
      <c r="H1963" s="282" t="s">
        <v>2899</v>
      </c>
      <c r="I1963" s="282" t="s">
        <v>590</v>
      </c>
      <c r="J1963" s="282" t="s">
        <v>156</v>
      </c>
      <c r="K1963" s="294" t="s">
        <v>2900</v>
      </c>
      <c r="L1963" s="286" t="s">
        <v>321</v>
      </c>
      <c r="M1963" s="287">
        <v>730.76923076923083</v>
      </c>
      <c r="N1963" s="287">
        <v>9.5</v>
      </c>
      <c r="O1963" s="287"/>
      <c r="P1963" s="287"/>
      <c r="Q1963" s="288">
        <v>2.66</v>
      </c>
      <c r="R1963" s="288">
        <v>3.4</v>
      </c>
      <c r="S1963" s="288">
        <v>-0.74099999999999999</v>
      </c>
      <c r="T1963" s="288"/>
      <c r="U1963" s="288">
        <v>0.68933333333333335</v>
      </c>
      <c r="V1963" s="289">
        <v>3.4</v>
      </c>
      <c r="W1963" s="289">
        <v>0.68933333333333335</v>
      </c>
      <c r="X1963" s="288">
        <v>0.28000000000000003</v>
      </c>
      <c r="Y1963" s="288">
        <v>0.35789473684210527</v>
      </c>
      <c r="Z1963" s="288">
        <v>-7.8E-2</v>
      </c>
      <c r="AA1963" s="288">
        <v>0</v>
      </c>
      <c r="AB1963" s="288">
        <v>7.2561403508771938E-2</v>
      </c>
      <c r="AC1963" s="289">
        <v>0.35789473684210527</v>
      </c>
      <c r="AD1963" s="289">
        <v>7.2561403508771938E-2</v>
      </c>
    </row>
    <row r="1964" spans="1:30" ht="15" customHeight="1" x14ac:dyDescent="0.25">
      <c r="A1964" s="282" t="s">
        <v>2897</v>
      </c>
      <c r="B1964" s="282" t="s">
        <v>2897</v>
      </c>
      <c r="C1964" s="282" t="s">
        <v>2897</v>
      </c>
      <c r="D1964" s="283" t="s">
        <v>2927</v>
      </c>
      <c r="E1964" s="403">
        <v>45062</v>
      </c>
      <c r="F1964" s="403">
        <v>46889</v>
      </c>
      <c r="G1964" s="283" t="s">
        <v>154</v>
      </c>
      <c r="H1964" s="282" t="s">
        <v>2899</v>
      </c>
      <c r="I1964" s="282" t="s">
        <v>590</v>
      </c>
      <c r="J1964" s="282" t="s">
        <v>156</v>
      </c>
      <c r="K1964" s="294" t="s">
        <v>2900</v>
      </c>
      <c r="L1964" s="286" t="s">
        <v>321</v>
      </c>
      <c r="M1964" s="287">
        <v>830.76923076923083</v>
      </c>
      <c r="N1964" s="287">
        <v>10.8</v>
      </c>
      <c r="O1964" s="287"/>
      <c r="P1964" s="287"/>
      <c r="Q1964" s="288">
        <v>3.17</v>
      </c>
      <c r="R1964" s="288">
        <v>3.96</v>
      </c>
      <c r="S1964" s="288">
        <v>-0.79600000000000004</v>
      </c>
      <c r="T1964" s="288"/>
      <c r="U1964" s="288">
        <v>0.72966666666666669</v>
      </c>
      <c r="V1964" s="289">
        <v>3.96</v>
      </c>
      <c r="W1964" s="289">
        <v>0.72966666666666669</v>
      </c>
      <c r="X1964" s="288">
        <v>0.29351851851851851</v>
      </c>
      <c r="Y1964" s="288">
        <v>0.36666666666666664</v>
      </c>
      <c r="Z1964" s="288">
        <v>-7.3703703703703702E-2</v>
      </c>
      <c r="AA1964" s="288">
        <v>0</v>
      </c>
      <c r="AB1964" s="288">
        <v>6.7561728395061721E-2</v>
      </c>
      <c r="AC1964" s="289">
        <v>0.36666666666666664</v>
      </c>
      <c r="AD1964" s="289">
        <v>6.7561728395061721E-2</v>
      </c>
    </row>
    <row r="1965" spans="1:30" ht="15" customHeight="1" x14ac:dyDescent="0.25">
      <c r="A1965" s="282" t="s">
        <v>2897</v>
      </c>
      <c r="B1965" s="282" t="s">
        <v>2897</v>
      </c>
      <c r="C1965" s="282" t="s">
        <v>2897</v>
      </c>
      <c r="D1965" s="283" t="s">
        <v>2928</v>
      </c>
      <c r="E1965" s="403">
        <v>45062</v>
      </c>
      <c r="F1965" s="403">
        <v>46889</v>
      </c>
      <c r="G1965" s="283" t="s">
        <v>154</v>
      </c>
      <c r="H1965" s="282" t="s">
        <v>2899</v>
      </c>
      <c r="I1965" s="282" t="s">
        <v>590</v>
      </c>
      <c r="J1965" s="282" t="s">
        <v>156</v>
      </c>
      <c r="K1965" s="294" t="s">
        <v>2929</v>
      </c>
      <c r="L1965" s="286" t="s">
        <v>321</v>
      </c>
      <c r="M1965" s="287">
        <v>818.75</v>
      </c>
      <c r="N1965" s="287">
        <v>13.1</v>
      </c>
      <c r="O1965" s="287"/>
      <c r="P1965" s="287"/>
      <c r="Q1965" s="288">
        <v>3.64</v>
      </c>
      <c r="R1965" s="288">
        <v>4.4000000000000004</v>
      </c>
      <c r="S1965" s="288">
        <v>-0.76300000000000001</v>
      </c>
      <c r="T1965" s="288"/>
      <c r="U1965" s="288">
        <v>0.69666666666666666</v>
      </c>
      <c r="V1965" s="289">
        <v>4.4000000000000004</v>
      </c>
      <c r="W1965" s="289">
        <v>0.69666666666666666</v>
      </c>
      <c r="X1965" s="288">
        <v>0.27786259541984737</v>
      </c>
      <c r="Y1965" s="288">
        <v>0.33587786259541991</v>
      </c>
      <c r="Z1965" s="288">
        <v>-5.8244274809160307E-2</v>
      </c>
      <c r="AA1965" s="288">
        <v>0</v>
      </c>
      <c r="AB1965" s="288">
        <v>5.3180661577608146E-2</v>
      </c>
      <c r="AC1965" s="289">
        <v>0.33587786259541985</v>
      </c>
      <c r="AD1965" s="289">
        <v>5.3180661577608146E-2</v>
      </c>
    </row>
    <row r="1966" spans="1:30" ht="15" customHeight="1" x14ac:dyDescent="0.25">
      <c r="A1966" s="282" t="s">
        <v>2897</v>
      </c>
      <c r="B1966" s="282" t="s">
        <v>2897</v>
      </c>
      <c r="C1966" s="282" t="s">
        <v>2897</v>
      </c>
      <c r="D1966" s="283" t="s">
        <v>2930</v>
      </c>
      <c r="E1966" s="403">
        <v>45062</v>
      </c>
      <c r="F1966" s="403">
        <v>46889</v>
      </c>
      <c r="G1966" s="283" t="s">
        <v>154</v>
      </c>
      <c r="H1966" s="282" t="s">
        <v>2899</v>
      </c>
      <c r="I1966" s="282" t="s">
        <v>590</v>
      </c>
      <c r="J1966" s="282" t="s">
        <v>156</v>
      </c>
      <c r="K1966" s="294" t="s">
        <v>2900</v>
      </c>
      <c r="L1966" s="286" t="s">
        <v>321</v>
      </c>
      <c r="M1966" s="287">
        <v>660</v>
      </c>
      <c r="N1966" s="287">
        <v>6.6</v>
      </c>
      <c r="O1966" s="287"/>
      <c r="P1966" s="287"/>
      <c r="Q1966" s="288">
        <v>1.42</v>
      </c>
      <c r="R1966" s="288">
        <v>2.1</v>
      </c>
      <c r="S1966" s="288">
        <v>-0.67700000000000005</v>
      </c>
      <c r="T1966" s="288"/>
      <c r="U1966" s="288">
        <v>0.66</v>
      </c>
      <c r="V1966" s="289">
        <v>2.1</v>
      </c>
      <c r="W1966" s="289">
        <v>0.66</v>
      </c>
      <c r="X1966" s="288">
        <v>0.21515151515151515</v>
      </c>
      <c r="Y1966" s="288">
        <v>0.31818181818181823</v>
      </c>
      <c r="Z1966" s="288">
        <v>-0.10257575757575758</v>
      </c>
      <c r="AA1966" s="288">
        <v>0</v>
      </c>
      <c r="AB1966" s="288">
        <v>0.1</v>
      </c>
      <c r="AC1966" s="289">
        <v>0.31818181818181823</v>
      </c>
      <c r="AD1966" s="289">
        <v>0.1</v>
      </c>
    </row>
    <row r="1967" spans="1:30" ht="15" customHeight="1" x14ac:dyDescent="0.25">
      <c r="A1967" s="282" t="s">
        <v>2897</v>
      </c>
      <c r="B1967" s="282" t="s">
        <v>2897</v>
      </c>
      <c r="C1967" s="282" t="s">
        <v>2897</v>
      </c>
      <c r="D1967" s="283" t="s">
        <v>2931</v>
      </c>
      <c r="E1967" s="403">
        <v>45062</v>
      </c>
      <c r="F1967" s="403">
        <v>46889</v>
      </c>
      <c r="G1967" s="283" t="s">
        <v>154</v>
      </c>
      <c r="H1967" s="282" t="s">
        <v>2899</v>
      </c>
      <c r="I1967" s="282" t="s">
        <v>590</v>
      </c>
      <c r="J1967" s="282" t="s">
        <v>156</v>
      </c>
      <c r="K1967" s="294" t="s">
        <v>2900</v>
      </c>
      <c r="L1967" s="286" t="s">
        <v>321</v>
      </c>
      <c r="M1967" s="287">
        <v>953.84615384615392</v>
      </c>
      <c r="N1967" s="287">
        <v>12.4</v>
      </c>
      <c r="O1967" s="287"/>
      <c r="P1967" s="287"/>
      <c r="Q1967" s="288">
        <v>3.42</v>
      </c>
      <c r="R1967" s="288">
        <v>4.3499999999999996</v>
      </c>
      <c r="S1967" s="288">
        <v>-0.92400000000000004</v>
      </c>
      <c r="T1967" s="288"/>
      <c r="U1967" s="288">
        <v>0.88733333333333331</v>
      </c>
      <c r="V1967" s="289">
        <v>4.3499999999999996</v>
      </c>
      <c r="W1967" s="289">
        <v>0.88733333333333331</v>
      </c>
      <c r="X1967" s="288">
        <v>0.27580645161290324</v>
      </c>
      <c r="Y1967" s="288">
        <v>0.35080645161290319</v>
      </c>
      <c r="Z1967" s="288">
        <v>-7.4516129032258072E-2</v>
      </c>
      <c r="AA1967" s="288">
        <v>0</v>
      </c>
      <c r="AB1967" s="288">
        <v>7.1559139784946227E-2</v>
      </c>
      <c r="AC1967" s="289">
        <v>0.35080645161290319</v>
      </c>
      <c r="AD1967" s="289">
        <v>7.1559139784946227E-2</v>
      </c>
    </row>
    <row r="1968" spans="1:30" ht="15" customHeight="1" x14ac:dyDescent="0.25">
      <c r="A1968" s="282" t="s">
        <v>2897</v>
      </c>
      <c r="B1968" s="282" t="s">
        <v>2897</v>
      </c>
      <c r="C1968" s="282" t="s">
        <v>2897</v>
      </c>
      <c r="D1968" s="283" t="s">
        <v>2932</v>
      </c>
      <c r="E1968" s="403">
        <v>45062</v>
      </c>
      <c r="F1968" s="403">
        <v>46889</v>
      </c>
      <c r="G1968" s="283" t="s">
        <v>154</v>
      </c>
      <c r="H1968" s="282" t="s">
        <v>2899</v>
      </c>
      <c r="I1968" s="282" t="s">
        <v>590</v>
      </c>
      <c r="J1968" s="282" t="s">
        <v>156</v>
      </c>
      <c r="K1968" s="294" t="s">
        <v>2900</v>
      </c>
      <c r="L1968" s="286" t="s">
        <v>321</v>
      </c>
      <c r="M1968" s="287">
        <v>638.46153846153857</v>
      </c>
      <c r="N1968" s="287">
        <v>8.3000000000000007</v>
      </c>
      <c r="O1968" s="287"/>
      <c r="P1968" s="287"/>
      <c r="Q1968" s="288">
        <v>1.92</v>
      </c>
      <c r="R1968" s="288">
        <v>2.64</v>
      </c>
      <c r="S1968" s="288">
        <v>-0.72699999999999998</v>
      </c>
      <c r="T1968" s="288"/>
      <c r="U1968" s="288">
        <v>0.69666666666666666</v>
      </c>
      <c r="V1968" s="289">
        <v>2.64</v>
      </c>
      <c r="W1968" s="289">
        <v>0.69666666666666666</v>
      </c>
      <c r="X1968" s="288">
        <v>0.23132530120481926</v>
      </c>
      <c r="Y1968" s="288">
        <v>0.3180722891566265</v>
      </c>
      <c r="Z1968" s="288">
        <v>-8.7590361445783124E-2</v>
      </c>
      <c r="AA1968" s="288">
        <v>0</v>
      </c>
      <c r="AB1968" s="288">
        <v>8.3935742971887536E-2</v>
      </c>
      <c r="AC1968" s="289">
        <v>0.3180722891566265</v>
      </c>
      <c r="AD1968" s="289">
        <v>8.3935742971887536E-2</v>
      </c>
    </row>
    <row r="1969" spans="1:30" ht="15" customHeight="1" x14ac:dyDescent="0.25">
      <c r="A1969" s="282" t="s">
        <v>2897</v>
      </c>
      <c r="B1969" s="282" t="s">
        <v>2897</v>
      </c>
      <c r="C1969" s="282" t="s">
        <v>2897</v>
      </c>
      <c r="D1969" s="283" t="s">
        <v>2933</v>
      </c>
      <c r="E1969" s="403">
        <v>45062</v>
      </c>
      <c r="F1969" s="403">
        <v>46889</v>
      </c>
      <c r="G1969" s="283" t="s">
        <v>154</v>
      </c>
      <c r="H1969" s="282" t="s">
        <v>2899</v>
      </c>
      <c r="I1969" s="282" t="s">
        <v>590</v>
      </c>
      <c r="J1969" s="282" t="s">
        <v>156</v>
      </c>
      <c r="K1969" s="294" t="s">
        <v>2900</v>
      </c>
      <c r="L1969" s="286" t="s">
        <v>321</v>
      </c>
      <c r="M1969" s="287">
        <v>925</v>
      </c>
      <c r="N1969" s="287">
        <v>14.8</v>
      </c>
      <c r="O1969" s="287"/>
      <c r="P1969" s="287"/>
      <c r="Q1969" s="288">
        <v>4.12</v>
      </c>
      <c r="R1969" s="288">
        <v>5.08</v>
      </c>
      <c r="S1969" s="288">
        <v>-0.96799999999999997</v>
      </c>
      <c r="T1969" s="288"/>
      <c r="U1969" s="288">
        <v>0.91666666666666663</v>
      </c>
      <c r="V1969" s="289">
        <v>5.08</v>
      </c>
      <c r="W1969" s="289">
        <v>0.91666666666666663</v>
      </c>
      <c r="X1969" s="288">
        <v>0.27837837837837837</v>
      </c>
      <c r="Y1969" s="288">
        <v>0.34324324324324323</v>
      </c>
      <c r="Z1969" s="288">
        <v>-6.5405405405405403E-2</v>
      </c>
      <c r="AA1969" s="288">
        <v>0</v>
      </c>
      <c r="AB1969" s="288">
        <v>6.1936936936936929E-2</v>
      </c>
      <c r="AC1969" s="289">
        <v>0.34324324324324323</v>
      </c>
      <c r="AD1969" s="289">
        <v>6.1936936936936929E-2</v>
      </c>
    </row>
    <row r="1970" spans="1:30" ht="15" customHeight="1" x14ac:dyDescent="0.25">
      <c r="A1970" s="282" t="s">
        <v>2897</v>
      </c>
      <c r="B1970" s="282" t="s">
        <v>2897</v>
      </c>
      <c r="C1970" s="282" t="s">
        <v>2897</v>
      </c>
      <c r="D1970" s="283" t="s">
        <v>2934</v>
      </c>
      <c r="E1970" s="403">
        <v>45062</v>
      </c>
      <c r="F1970" s="403">
        <v>46889</v>
      </c>
      <c r="G1970" s="283" t="s">
        <v>154</v>
      </c>
      <c r="H1970" s="282" t="s">
        <v>2899</v>
      </c>
      <c r="I1970" s="282" t="s">
        <v>590</v>
      </c>
      <c r="J1970" s="282" t="s">
        <v>156</v>
      </c>
      <c r="K1970" s="294" t="s">
        <v>2900</v>
      </c>
      <c r="L1970" s="286" t="s">
        <v>321</v>
      </c>
      <c r="M1970" s="287">
        <v>925</v>
      </c>
      <c r="N1970" s="287">
        <v>14.8</v>
      </c>
      <c r="O1970" s="287"/>
      <c r="P1970" s="287"/>
      <c r="Q1970" s="288">
        <v>3.71</v>
      </c>
      <c r="R1970" s="288">
        <v>4.75</v>
      </c>
      <c r="S1970" s="288">
        <v>-1.04</v>
      </c>
      <c r="T1970" s="288"/>
      <c r="U1970" s="288">
        <v>1.0010000000000001</v>
      </c>
      <c r="V1970" s="289">
        <v>4.75</v>
      </c>
      <c r="W1970" s="289">
        <v>1.0010000000000001</v>
      </c>
      <c r="X1970" s="288">
        <v>0.25067567567567567</v>
      </c>
      <c r="Y1970" s="288">
        <v>0.32094594594594594</v>
      </c>
      <c r="Z1970" s="288">
        <v>-7.0270270270270274E-2</v>
      </c>
      <c r="AA1970" s="288">
        <v>0</v>
      </c>
      <c r="AB1970" s="288">
        <v>6.7635135135135138E-2</v>
      </c>
      <c r="AC1970" s="289">
        <v>0.32094594594594594</v>
      </c>
      <c r="AD1970" s="289">
        <v>6.7635135135135138E-2</v>
      </c>
    </row>
    <row r="1971" spans="1:30" ht="15" customHeight="1" x14ac:dyDescent="0.25">
      <c r="A1971" s="282" t="s">
        <v>2897</v>
      </c>
      <c r="B1971" s="282" t="s">
        <v>2897</v>
      </c>
      <c r="C1971" s="282" t="s">
        <v>2897</v>
      </c>
      <c r="D1971" s="283" t="s">
        <v>2935</v>
      </c>
      <c r="E1971" s="403">
        <v>45062</v>
      </c>
      <c r="F1971" s="403">
        <v>46889</v>
      </c>
      <c r="G1971" s="283" t="s">
        <v>154</v>
      </c>
      <c r="H1971" s="282" t="s">
        <v>2899</v>
      </c>
      <c r="I1971" s="282" t="s">
        <v>590</v>
      </c>
      <c r="J1971" s="282" t="s">
        <v>156</v>
      </c>
      <c r="K1971" s="294" t="s">
        <v>2900</v>
      </c>
      <c r="L1971" s="286" t="s">
        <v>321</v>
      </c>
      <c r="M1971" s="287">
        <v>620</v>
      </c>
      <c r="N1971" s="287">
        <v>6.2</v>
      </c>
      <c r="O1971" s="287"/>
      <c r="P1971" s="287"/>
      <c r="Q1971" s="288">
        <v>1.4</v>
      </c>
      <c r="R1971" s="288">
        <v>2.0499999999999998</v>
      </c>
      <c r="S1971" s="288">
        <v>-0.65700000000000003</v>
      </c>
      <c r="T1971" s="288"/>
      <c r="U1971" s="288">
        <v>0.63800000000000001</v>
      </c>
      <c r="V1971" s="289">
        <v>2.0499999999999998</v>
      </c>
      <c r="W1971" s="289">
        <v>0.63800000000000001</v>
      </c>
      <c r="X1971" s="288">
        <v>0.22580645161290319</v>
      </c>
      <c r="Y1971" s="288">
        <v>0.33064516129032256</v>
      </c>
      <c r="Z1971" s="288">
        <v>-0.10596774193548388</v>
      </c>
      <c r="AA1971" s="288">
        <v>0</v>
      </c>
      <c r="AB1971" s="288">
        <v>0.10290322580645161</v>
      </c>
      <c r="AC1971" s="289">
        <v>0.33064516129032256</v>
      </c>
      <c r="AD1971" s="289">
        <v>0.10290322580645161</v>
      </c>
    </row>
    <row r="1972" spans="1:30" ht="15" customHeight="1" x14ac:dyDescent="0.25">
      <c r="A1972" s="282" t="s">
        <v>2897</v>
      </c>
      <c r="B1972" s="282" t="s">
        <v>2897</v>
      </c>
      <c r="C1972" s="282" t="s">
        <v>2897</v>
      </c>
      <c r="D1972" s="283" t="s">
        <v>2936</v>
      </c>
      <c r="E1972" s="403">
        <v>45062</v>
      </c>
      <c r="F1972" s="403">
        <v>46889</v>
      </c>
      <c r="G1972" s="283" t="s">
        <v>154</v>
      </c>
      <c r="H1972" s="282" t="s">
        <v>2899</v>
      </c>
      <c r="I1972" s="282" t="s">
        <v>590</v>
      </c>
      <c r="J1972" s="282" t="s">
        <v>156</v>
      </c>
      <c r="K1972" s="294" t="s">
        <v>2900</v>
      </c>
      <c r="L1972" s="286" t="s">
        <v>321</v>
      </c>
      <c r="M1972" s="287">
        <v>850</v>
      </c>
      <c r="N1972" s="287">
        <v>8.5</v>
      </c>
      <c r="O1972" s="287"/>
      <c r="P1972" s="287"/>
      <c r="Q1972" s="288">
        <v>2.23</v>
      </c>
      <c r="R1972" s="288">
        <v>2.96</v>
      </c>
      <c r="S1972" s="288">
        <v>-0.73099999999999998</v>
      </c>
      <c r="T1972" s="288"/>
      <c r="U1972" s="288">
        <v>0.71133333333333326</v>
      </c>
      <c r="V1972" s="289">
        <v>2.96</v>
      </c>
      <c r="W1972" s="289">
        <v>0.71133333333333326</v>
      </c>
      <c r="X1972" s="288">
        <v>0.26235294117647057</v>
      </c>
      <c r="Y1972" s="288">
        <v>0.34823529411764703</v>
      </c>
      <c r="Z1972" s="288">
        <v>-8.5999999999999993E-2</v>
      </c>
      <c r="AA1972" s="288">
        <v>0</v>
      </c>
      <c r="AB1972" s="288">
        <v>8.3686274509803912E-2</v>
      </c>
      <c r="AC1972" s="289">
        <v>0.34823529411764698</v>
      </c>
      <c r="AD1972" s="289">
        <v>8.3686274509803912E-2</v>
      </c>
    </row>
    <row r="1973" spans="1:30" ht="15" customHeight="1" x14ac:dyDescent="0.25">
      <c r="A1973" s="282" t="s">
        <v>2422</v>
      </c>
      <c r="B1973" s="282" t="s">
        <v>2422</v>
      </c>
      <c r="C1973" s="282" t="s">
        <v>2423</v>
      </c>
      <c r="D1973" s="283" t="s">
        <v>2937</v>
      </c>
      <c r="E1973" s="403">
        <v>44854</v>
      </c>
      <c r="F1973" s="403">
        <v>46740</v>
      </c>
      <c r="G1973" s="283" t="s">
        <v>2938</v>
      </c>
      <c r="H1973" s="282" t="s">
        <v>2939</v>
      </c>
      <c r="I1973" s="285"/>
      <c r="J1973" s="282" t="s">
        <v>184</v>
      </c>
      <c r="K1973" s="283" t="s">
        <v>2940</v>
      </c>
      <c r="L1973" s="286" t="s">
        <v>574</v>
      </c>
      <c r="M1973" s="287">
        <v>515</v>
      </c>
      <c r="N1973" s="287" t="s">
        <v>159</v>
      </c>
      <c r="O1973" s="287" t="s">
        <v>159</v>
      </c>
      <c r="P1973" s="287" t="s">
        <v>159</v>
      </c>
      <c r="Q1973" s="288">
        <v>-454</v>
      </c>
      <c r="R1973" s="288">
        <v>320</v>
      </c>
      <c r="S1973" s="288">
        <v>-841</v>
      </c>
      <c r="T1973" s="288">
        <v>0.107</v>
      </c>
      <c r="U1973" s="288">
        <v>849.75</v>
      </c>
      <c r="V1973" s="289">
        <v>328.85699999999997</v>
      </c>
      <c r="W1973" s="289">
        <v>849.75</v>
      </c>
      <c r="X1973" s="288">
        <v>-0.88155339805825239</v>
      </c>
      <c r="Y1973" s="288">
        <v>0.62135922330097082</v>
      </c>
      <c r="Z1973" s="288">
        <v>-1.6330097087378641</v>
      </c>
      <c r="AA1973" s="288">
        <v>2.0776699029126212E-4</v>
      </c>
      <c r="AB1973" s="288">
        <v>1.65</v>
      </c>
      <c r="AC1973" s="289">
        <v>0.63855728155339797</v>
      </c>
      <c r="AD1973" s="289">
        <v>1.65</v>
      </c>
    </row>
    <row r="1974" spans="1:30" ht="15" customHeight="1" x14ac:dyDescent="0.25">
      <c r="A1974" s="282" t="s">
        <v>2422</v>
      </c>
      <c r="B1974" s="282" t="s">
        <v>2422</v>
      </c>
      <c r="C1974" s="282" t="s">
        <v>2423</v>
      </c>
      <c r="D1974" s="283" t="s">
        <v>2941</v>
      </c>
      <c r="E1974" s="403">
        <v>44854</v>
      </c>
      <c r="F1974" s="403">
        <v>46740</v>
      </c>
      <c r="G1974" s="283" t="s">
        <v>2938</v>
      </c>
      <c r="H1974" s="282" t="s">
        <v>2942</v>
      </c>
      <c r="I1974" s="285"/>
      <c r="J1974" s="282" t="s">
        <v>184</v>
      </c>
      <c r="K1974" s="283" t="s">
        <v>2943</v>
      </c>
      <c r="L1974" s="286" t="s">
        <v>574</v>
      </c>
      <c r="M1974" s="287">
        <v>515</v>
      </c>
      <c r="N1974" s="287" t="s">
        <v>159</v>
      </c>
      <c r="O1974" s="287" t="s">
        <v>159</v>
      </c>
      <c r="P1974" s="287" t="s">
        <v>159</v>
      </c>
      <c r="Q1974" s="288">
        <v>-512</v>
      </c>
      <c r="R1974" s="288">
        <v>262</v>
      </c>
      <c r="S1974" s="288">
        <v>-841</v>
      </c>
      <c r="T1974" s="288">
        <v>0.105</v>
      </c>
      <c r="U1974" s="288">
        <v>849.75</v>
      </c>
      <c r="V1974" s="289">
        <v>270.85500000000002</v>
      </c>
      <c r="W1974" s="289">
        <v>849.75</v>
      </c>
      <c r="X1974" s="288">
        <v>-0.99417475728155336</v>
      </c>
      <c r="Y1974" s="288">
        <v>0.50873786407766985</v>
      </c>
      <c r="Z1974" s="288">
        <v>-1.6330097087378641</v>
      </c>
      <c r="AA1974" s="288">
        <v>2.0388349514563107E-4</v>
      </c>
      <c r="AB1974" s="288">
        <v>1.65</v>
      </c>
      <c r="AC1974" s="289">
        <v>0.52593203883495132</v>
      </c>
      <c r="AD1974" s="289">
        <v>1.65</v>
      </c>
    </row>
    <row r="1975" spans="1:30" ht="15" customHeight="1" x14ac:dyDescent="0.25">
      <c r="A1975" s="282" t="s">
        <v>2422</v>
      </c>
      <c r="B1975" s="282" t="s">
        <v>2422</v>
      </c>
      <c r="C1975" s="282" t="s">
        <v>2423</v>
      </c>
      <c r="D1975" s="283" t="s">
        <v>2944</v>
      </c>
      <c r="E1975" s="403">
        <v>45028</v>
      </c>
      <c r="F1975" s="403">
        <v>46855</v>
      </c>
      <c r="G1975" s="283" t="s">
        <v>216</v>
      </c>
      <c r="H1975" s="282" t="s">
        <v>2945</v>
      </c>
      <c r="I1975" s="285"/>
      <c r="J1975" s="282" t="s">
        <v>184</v>
      </c>
      <c r="K1975" s="283" t="s">
        <v>2946</v>
      </c>
      <c r="L1975" s="286" t="s">
        <v>574</v>
      </c>
      <c r="M1975" s="287">
        <v>593</v>
      </c>
      <c r="N1975" s="287" t="s">
        <v>159</v>
      </c>
      <c r="O1975" s="287" t="s">
        <v>159</v>
      </c>
      <c r="P1975" s="287" t="s">
        <v>159</v>
      </c>
      <c r="Q1975" s="288">
        <v>-737</v>
      </c>
      <c r="R1975" s="288">
        <v>215</v>
      </c>
      <c r="S1975" s="288">
        <v>-952</v>
      </c>
      <c r="T1975" s="288">
        <v>5.7700000000000001E-2</v>
      </c>
      <c r="U1975" s="288">
        <v>971.66666666666663</v>
      </c>
      <c r="V1975" s="289">
        <v>234.72436666666658</v>
      </c>
      <c r="W1975" s="289">
        <v>971.66666666666663</v>
      </c>
      <c r="X1975" s="288">
        <v>-1.2428330522765598</v>
      </c>
      <c r="Y1975" s="288">
        <v>0.36256323777403038</v>
      </c>
      <c r="Z1975" s="288">
        <v>-1.6053962900505903</v>
      </c>
      <c r="AA1975" s="288">
        <v>9.7301854974704894E-5</v>
      </c>
      <c r="AB1975" s="288">
        <v>1.6385609893198425</v>
      </c>
      <c r="AC1975" s="289">
        <v>0.39582523889825749</v>
      </c>
      <c r="AD1975" s="289">
        <v>1.6385609893198425</v>
      </c>
    </row>
    <row r="1976" spans="1:30" ht="15" customHeight="1" x14ac:dyDescent="0.25">
      <c r="A1976" s="282" t="s">
        <v>2422</v>
      </c>
      <c r="B1976" s="282" t="s">
        <v>2422</v>
      </c>
      <c r="C1976" s="282" t="s">
        <v>2423</v>
      </c>
      <c r="D1976" s="283" t="s">
        <v>2947</v>
      </c>
      <c r="E1976" s="403">
        <v>45204</v>
      </c>
      <c r="F1976" s="403">
        <v>46784</v>
      </c>
      <c r="G1976" s="283" t="s">
        <v>2948</v>
      </c>
      <c r="H1976" s="282" t="s">
        <v>2949</v>
      </c>
      <c r="I1976" s="285"/>
      <c r="J1976" s="282" t="s">
        <v>184</v>
      </c>
      <c r="K1976" s="283" t="s">
        <v>2950</v>
      </c>
      <c r="L1976" s="286" t="s">
        <v>574</v>
      </c>
      <c r="M1976" s="287">
        <v>550</v>
      </c>
      <c r="N1976" s="287" t="s">
        <v>159</v>
      </c>
      <c r="O1976" s="287" t="s">
        <v>159</v>
      </c>
      <c r="P1976" s="287" t="s">
        <v>159</v>
      </c>
      <c r="Q1976" s="288">
        <v>-514</v>
      </c>
      <c r="R1976" s="288">
        <v>363</v>
      </c>
      <c r="S1976" s="288">
        <v>-883</v>
      </c>
      <c r="T1976" s="288">
        <v>5.17</v>
      </c>
      <c r="U1976" s="288">
        <v>810.33333333333337</v>
      </c>
      <c r="V1976" s="289">
        <v>368.16999999999996</v>
      </c>
      <c r="W1976" s="289">
        <v>810.33333333333337</v>
      </c>
      <c r="X1976" s="288">
        <v>-0.93454545454545457</v>
      </c>
      <c r="Y1976" s="288">
        <v>0.66</v>
      </c>
      <c r="Z1976" s="288">
        <v>-1.6054545454545455</v>
      </c>
      <c r="AA1976" s="288">
        <v>9.4000000000000004E-3</v>
      </c>
      <c r="AB1976" s="288">
        <v>1.4733333333333334</v>
      </c>
      <c r="AC1976" s="289">
        <v>0.6694</v>
      </c>
      <c r="AD1976" s="289">
        <v>1.4733333333333334</v>
      </c>
    </row>
    <row r="1977" spans="1:30" ht="15" customHeight="1" x14ac:dyDescent="0.25">
      <c r="A1977" s="282" t="s">
        <v>2422</v>
      </c>
      <c r="B1977" s="282" t="s">
        <v>2422</v>
      </c>
      <c r="C1977" s="282" t="s">
        <v>2423</v>
      </c>
      <c r="D1977" s="283" t="s">
        <v>2951</v>
      </c>
      <c r="E1977" s="403">
        <v>45069</v>
      </c>
      <c r="F1977" s="403">
        <v>46769</v>
      </c>
      <c r="G1977" s="283" t="s">
        <v>576</v>
      </c>
      <c r="H1977" s="282" t="s">
        <v>2952</v>
      </c>
      <c r="I1977" s="285"/>
      <c r="J1977" s="282" t="s">
        <v>184</v>
      </c>
      <c r="K1977" s="283" t="s">
        <v>2953</v>
      </c>
      <c r="L1977" s="286" t="s">
        <v>574</v>
      </c>
      <c r="M1977" s="287">
        <v>410</v>
      </c>
      <c r="N1977" s="287" t="s">
        <v>159</v>
      </c>
      <c r="O1977" s="287" t="s">
        <v>159</v>
      </c>
      <c r="P1977" s="287" t="s">
        <v>159</v>
      </c>
      <c r="Q1977" s="288">
        <v>-126</v>
      </c>
      <c r="R1977" s="288">
        <v>448</v>
      </c>
      <c r="S1977" s="288">
        <v>-563</v>
      </c>
      <c r="T1977" s="288">
        <v>1.5</v>
      </c>
      <c r="U1977" s="288">
        <v>522.70000000000005</v>
      </c>
      <c r="V1977" s="289">
        <v>449.5</v>
      </c>
      <c r="W1977" s="289">
        <v>522.70000000000005</v>
      </c>
      <c r="X1977" s="288">
        <v>-0.3073170731707317</v>
      </c>
      <c r="Y1977" s="288">
        <v>1.0926829268292684</v>
      </c>
      <c r="Z1977" s="288">
        <v>-1.3731707317073172</v>
      </c>
      <c r="AA1977" s="288">
        <v>3.6585365853658539E-3</v>
      </c>
      <c r="AB1977" s="288">
        <v>1.2748780487804878</v>
      </c>
      <c r="AC1977" s="289">
        <v>1.0963414634146342</v>
      </c>
      <c r="AD1977" s="289">
        <v>1.2748780487804878</v>
      </c>
    </row>
    <row r="1978" spans="1:30" ht="15" customHeight="1" x14ac:dyDescent="0.25">
      <c r="A1978" s="282" t="s">
        <v>2954</v>
      </c>
      <c r="B1978" s="282"/>
      <c r="C1978" s="282" t="s">
        <v>260</v>
      </c>
      <c r="D1978" s="283" t="s">
        <v>2955</v>
      </c>
      <c r="E1978" s="403">
        <v>44204</v>
      </c>
      <c r="F1978" s="403">
        <v>46019</v>
      </c>
      <c r="G1978" s="283" t="s">
        <v>237</v>
      </c>
      <c r="H1978" s="282" t="s">
        <v>2956</v>
      </c>
      <c r="I1978" s="285"/>
      <c r="J1978" s="282" t="s">
        <v>184</v>
      </c>
      <c r="K1978" s="283" t="s">
        <v>191</v>
      </c>
      <c r="L1978" s="286" t="s">
        <v>219</v>
      </c>
      <c r="M1978" s="287" t="s">
        <v>159</v>
      </c>
      <c r="N1978" s="287" t="s">
        <v>159</v>
      </c>
      <c r="O1978" s="287" t="s">
        <v>159</v>
      </c>
      <c r="P1978" s="287" t="s">
        <v>159</v>
      </c>
      <c r="Q1978" s="288">
        <v>7.34</v>
      </c>
      <c r="R1978" s="288"/>
      <c r="S1978" s="288"/>
      <c r="T1978" s="288"/>
      <c r="U1978" s="288">
        <v>0</v>
      </c>
      <c r="V1978" s="289">
        <v>7.34</v>
      </c>
      <c r="W1978" s="289">
        <v>0</v>
      </c>
      <c r="X1978" s="288">
        <v>7.34</v>
      </c>
      <c r="Y1978" s="288">
        <v>0</v>
      </c>
      <c r="Z1978" s="288">
        <v>0</v>
      </c>
      <c r="AA1978" s="288">
        <v>0</v>
      </c>
      <c r="AB1978" s="288">
        <v>0</v>
      </c>
      <c r="AC1978" s="289">
        <v>7.34</v>
      </c>
      <c r="AD1978" s="289">
        <v>0</v>
      </c>
    </row>
    <row r="1979" spans="1:30" ht="15" customHeight="1" x14ac:dyDescent="0.25">
      <c r="A1979" s="282" t="s">
        <v>2957</v>
      </c>
      <c r="B1979" s="282" t="s">
        <v>977</v>
      </c>
      <c r="C1979" s="282" t="s">
        <v>978</v>
      </c>
      <c r="D1979" s="283" t="s">
        <v>2958</v>
      </c>
      <c r="E1979" s="404">
        <v>44620</v>
      </c>
      <c r="F1979" s="404">
        <v>46446</v>
      </c>
      <c r="G1979" s="286" t="s">
        <v>1948</v>
      </c>
      <c r="H1979" s="282" t="s">
        <v>1878</v>
      </c>
      <c r="I1979" s="282"/>
      <c r="J1979" s="282" t="s">
        <v>156</v>
      </c>
      <c r="K1979" s="286" t="s">
        <v>1879</v>
      </c>
      <c r="L1979" s="282" t="s">
        <v>574</v>
      </c>
      <c r="M1979" s="287">
        <v>1750</v>
      </c>
      <c r="N1979" s="287"/>
      <c r="O1979" s="287"/>
      <c r="P1979" s="287"/>
      <c r="Q1979" s="288">
        <v>83</v>
      </c>
      <c r="R1979" s="288"/>
      <c r="S1979" s="288"/>
      <c r="T1979" s="288"/>
      <c r="U1979" s="288">
        <v>0</v>
      </c>
      <c r="V1979" s="289">
        <v>83</v>
      </c>
      <c r="W1979" s="289">
        <v>0</v>
      </c>
      <c r="X1979" s="288">
        <v>4.7428571428571431E-2</v>
      </c>
      <c r="Y1979" s="288">
        <v>0</v>
      </c>
      <c r="Z1979" s="288">
        <v>0</v>
      </c>
      <c r="AA1979" s="288">
        <v>0</v>
      </c>
      <c r="AB1979" s="288">
        <v>0</v>
      </c>
      <c r="AC1979" s="289">
        <v>4.7428571428571431E-2</v>
      </c>
      <c r="AD1979" s="289">
        <v>0</v>
      </c>
    </row>
    <row r="1980" spans="1:30" ht="15" customHeight="1" x14ac:dyDescent="0.25">
      <c r="A1980" s="282" t="s">
        <v>2957</v>
      </c>
      <c r="B1980" s="282" t="s">
        <v>977</v>
      </c>
      <c r="C1980" s="282" t="s">
        <v>978</v>
      </c>
      <c r="D1980" s="283" t="s">
        <v>2959</v>
      </c>
      <c r="E1980" s="404">
        <v>44620</v>
      </c>
      <c r="F1980" s="404">
        <v>46446</v>
      </c>
      <c r="G1980" s="286" t="s">
        <v>1948</v>
      </c>
      <c r="H1980" s="282" t="s">
        <v>1878</v>
      </c>
      <c r="I1980" s="282"/>
      <c r="J1980" s="282" t="s">
        <v>156</v>
      </c>
      <c r="K1980" s="286" t="s">
        <v>1879</v>
      </c>
      <c r="L1980" s="282" t="s">
        <v>574</v>
      </c>
      <c r="M1980" s="287">
        <v>1750</v>
      </c>
      <c r="N1980" s="287"/>
      <c r="O1980" s="287"/>
      <c r="P1980" s="287"/>
      <c r="Q1980" s="288">
        <v>210</v>
      </c>
      <c r="R1980" s="288"/>
      <c r="S1980" s="288"/>
      <c r="T1980" s="288"/>
      <c r="U1980" s="288">
        <v>0</v>
      </c>
      <c r="V1980" s="289">
        <v>210</v>
      </c>
      <c r="W1980" s="289">
        <v>0</v>
      </c>
      <c r="X1980" s="288">
        <v>0.12</v>
      </c>
      <c r="Y1980" s="288">
        <v>0</v>
      </c>
      <c r="Z1980" s="288">
        <v>0</v>
      </c>
      <c r="AA1980" s="288">
        <v>0</v>
      </c>
      <c r="AB1980" s="288">
        <v>0</v>
      </c>
      <c r="AC1980" s="289">
        <v>0.12</v>
      </c>
      <c r="AD1980" s="289">
        <v>0</v>
      </c>
    </row>
    <row r="1981" spans="1:30" ht="15" customHeight="1" x14ac:dyDescent="0.25">
      <c r="A1981" s="282" t="s">
        <v>2957</v>
      </c>
      <c r="B1981" s="282" t="s">
        <v>977</v>
      </c>
      <c r="C1981" s="282" t="s">
        <v>978</v>
      </c>
      <c r="D1981" s="283" t="s">
        <v>2960</v>
      </c>
      <c r="E1981" s="404">
        <v>44620</v>
      </c>
      <c r="F1981" s="404">
        <v>46446</v>
      </c>
      <c r="G1981" s="286" t="s">
        <v>1948</v>
      </c>
      <c r="H1981" s="282" t="s">
        <v>1878</v>
      </c>
      <c r="I1981" s="282"/>
      <c r="J1981" s="282" t="s">
        <v>156</v>
      </c>
      <c r="K1981" s="286" t="s">
        <v>1879</v>
      </c>
      <c r="L1981" s="282" t="s">
        <v>574</v>
      </c>
      <c r="M1981" s="287">
        <v>1750</v>
      </c>
      <c r="N1981" s="287"/>
      <c r="O1981" s="287"/>
      <c r="P1981" s="287"/>
      <c r="Q1981" s="288">
        <v>121</v>
      </c>
      <c r="R1981" s="288"/>
      <c r="S1981" s="288"/>
      <c r="T1981" s="288"/>
      <c r="U1981" s="288">
        <v>0</v>
      </c>
      <c r="V1981" s="289">
        <v>121</v>
      </c>
      <c r="W1981" s="289">
        <v>0</v>
      </c>
      <c r="X1981" s="288">
        <v>6.9142857142857145E-2</v>
      </c>
      <c r="Y1981" s="288">
        <v>0</v>
      </c>
      <c r="Z1981" s="288">
        <v>0</v>
      </c>
      <c r="AA1981" s="288">
        <v>0</v>
      </c>
      <c r="AB1981" s="288">
        <v>0</v>
      </c>
      <c r="AC1981" s="289">
        <v>6.9142857142857145E-2</v>
      </c>
      <c r="AD1981" s="289">
        <v>0</v>
      </c>
    </row>
    <row r="1982" spans="1:30" ht="15" customHeight="1" x14ac:dyDescent="0.25">
      <c r="A1982" s="282" t="s">
        <v>2957</v>
      </c>
      <c r="B1982" s="282" t="s">
        <v>2961</v>
      </c>
      <c r="C1982" s="282" t="s">
        <v>260</v>
      </c>
      <c r="D1982" s="283" t="s">
        <v>2962</v>
      </c>
      <c r="E1982" s="404">
        <v>44620</v>
      </c>
      <c r="F1982" s="404">
        <v>46446</v>
      </c>
      <c r="G1982" s="286" t="s">
        <v>2013</v>
      </c>
      <c r="H1982" s="282" t="s">
        <v>1878</v>
      </c>
      <c r="I1982" s="282"/>
      <c r="J1982" s="282" t="s">
        <v>156</v>
      </c>
      <c r="K1982" s="286" t="s">
        <v>1879</v>
      </c>
      <c r="L1982" s="282" t="s">
        <v>574</v>
      </c>
      <c r="M1982" s="287">
        <v>2400</v>
      </c>
      <c r="N1982" s="287"/>
      <c r="O1982" s="287"/>
      <c r="P1982" s="287"/>
      <c r="Q1982" s="288">
        <v>109</v>
      </c>
      <c r="R1982" s="288"/>
      <c r="S1982" s="288"/>
      <c r="T1982" s="288"/>
      <c r="U1982" s="288">
        <v>0</v>
      </c>
      <c r="V1982" s="289">
        <v>109</v>
      </c>
      <c r="W1982" s="289">
        <v>0</v>
      </c>
      <c r="X1982" s="288">
        <v>4.5416666666666668E-2</v>
      </c>
      <c r="Y1982" s="288">
        <v>0</v>
      </c>
      <c r="Z1982" s="288">
        <v>0</v>
      </c>
      <c r="AA1982" s="288">
        <v>0</v>
      </c>
      <c r="AB1982" s="288">
        <v>0</v>
      </c>
      <c r="AC1982" s="289">
        <v>4.5416666666666668E-2</v>
      </c>
      <c r="AD1982" s="289">
        <v>0</v>
      </c>
    </row>
    <row r="1983" spans="1:30" ht="15" customHeight="1" x14ac:dyDescent="0.25">
      <c r="A1983" s="282" t="s">
        <v>2957</v>
      </c>
      <c r="B1983" s="282" t="s">
        <v>2961</v>
      </c>
      <c r="C1983" s="282" t="s">
        <v>260</v>
      </c>
      <c r="D1983" s="283" t="s">
        <v>2963</v>
      </c>
      <c r="E1983" s="404">
        <v>44620</v>
      </c>
      <c r="F1983" s="404">
        <v>46446</v>
      </c>
      <c r="G1983" s="286" t="s">
        <v>2013</v>
      </c>
      <c r="H1983" s="282" t="s">
        <v>1878</v>
      </c>
      <c r="I1983" s="282"/>
      <c r="J1983" s="282" t="s">
        <v>156</v>
      </c>
      <c r="K1983" s="286" t="s">
        <v>1879</v>
      </c>
      <c r="L1983" s="282" t="s">
        <v>574</v>
      </c>
      <c r="M1983" s="287">
        <v>2400</v>
      </c>
      <c r="N1983" s="287"/>
      <c r="O1983" s="287"/>
      <c r="P1983" s="287"/>
      <c r="Q1983" s="288">
        <v>166</v>
      </c>
      <c r="R1983" s="288"/>
      <c r="S1983" s="288"/>
      <c r="T1983" s="288"/>
      <c r="U1983" s="288">
        <v>0</v>
      </c>
      <c r="V1983" s="289">
        <v>166</v>
      </c>
      <c r="W1983" s="289">
        <v>0</v>
      </c>
      <c r="X1983" s="288">
        <v>6.9166666666666668E-2</v>
      </c>
      <c r="Y1983" s="288">
        <v>0</v>
      </c>
      <c r="Z1983" s="288">
        <v>0</v>
      </c>
      <c r="AA1983" s="288">
        <v>0</v>
      </c>
      <c r="AB1983" s="288">
        <v>0</v>
      </c>
      <c r="AC1983" s="289">
        <v>6.9166666666666668E-2</v>
      </c>
      <c r="AD1983" s="289">
        <v>0</v>
      </c>
    </row>
    <row r="1984" spans="1:30" ht="15" customHeight="1" x14ac:dyDescent="0.25">
      <c r="A1984" s="282" t="s">
        <v>2957</v>
      </c>
      <c r="B1984" s="282" t="s">
        <v>2961</v>
      </c>
      <c r="C1984" s="282" t="s">
        <v>260</v>
      </c>
      <c r="D1984" s="283" t="s">
        <v>2964</v>
      </c>
      <c r="E1984" s="404">
        <v>44620</v>
      </c>
      <c r="F1984" s="404">
        <v>46446</v>
      </c>
      <c r="G1984" s="286" t="s">
        <v>1416</v>
      </c>
      <c r="H1984" s="282" t="s">
        <v>1878</v>
      </c>
      <c r="I1984" s="282"/>
      <c r="J1984" s="282" t="s">
        <v>156</v>
      </c>
      <c r="K1984" s="286" t="s">
        <v>1879</v>
      </c>
      <c r="L1984" s="282" t="s">
        <v>574</v>
      </c>
      <c r="M1984" s="287">
        <v>2400</v>
      </c>
      <c r="N1984" s="287"/>
      <c r="O1984" s="287"/>
      <c r="P1984" s="287"/>
      <c r="Q1984" s="288">
        <v>271</v>
      </c>
      <c r="R1984" s="288"/>
      <c r="S1984" s="288"/>
      <c r="T1984" s="288"/>
      <c r="U1984" s="288">
        <v>0</v>
      </c>
      <c r="V1984" s="289">
        <v>271</v>
      </c>
      <c r="W1984" s="289">
        <v>0</v>
      </c>
      <c r="X1984" s="288">
        <v>0.11291666666666667</v>
      </c>
      <c r="Y1984" s="288">
        <v>0</v>
      </c>
      <c r="Z1984" s="288">
        <v>0</v>
      </c>
      <c r="AA1984" s="288">
        <v>0</v>
      </c>
      <c r="AB1984" s="288">
        <v>0</v>
      </c>
      <c r="AC1984" s="289">
        <v>0.11291666666666667</v>
      </c>
      <c r="AD1984" s="289">
        <v>0</v>
      </c>
    </row>
    <row r="1985" spans="1:30" ht="15" customHeight="1" x14ac:dyDescent="0.25">
      <c r="A1985" s="282" t="s">
        <v>2957</v>
      </c>
      <c r="B1985" s="282" t="s">
        <v>2961</v>
      </c>
      <c r="C1985" s="282" t="s">
        <v>260</v>
      </c>
      <c r="D1985" s="283" t="s">
        <v>2965</v>
      </c>
      <c r="E1985" s="404">
        <v>44620</v>
      </c>
      <c r="F1985" s="404">
        <v>46446</v>
      </c>
      <c r="G1985" s="286" t="s">
        <v>1416</v>
      </c>
      <c r="H1985" s="282" t="s">
        <v>1878</v>
      </c>
      <c r="I1985" s="282"/>
      <c r="J1985" s="282" t="s">
        <v>156</v>
      </c>
      <c r="K1985" s="286" t="s">
        <v>1879</v>
      </c>
      <c r="L1985" s="282" t="s">
        <v>574</v>
      </c>
      <c r="M1985" s="287">
        <v>2400</v>
      </c>
      <c r="N1985" s="287"/>
      <c r="O1985" s="287"/>
      <c r="P1985" s="287"/>
      <c r="Q1985" s="288">
        <v>186</v>
      </c>
      <c r="R1985" s="288"/>
      <c r="S1985" s="288"/>
      <c r="T1985" s="288"/>
      <c r="U1985" s="288">
        <v>0</v>
      </c>
      <c r="V1985" s="289">
        <v>186</v>
      </c>
      <c r="W1985" s="289">
        <v>0</v>
      </c>
      <c r="X1985" s="288">
        <v>7.7499999999999999E-2</v>
      </c>
      <c r="Y1985" s="288">
        <v>0</v>
      </c>
      <c r="Z1985" s="288">
        <v>0</v>
      </c>
      <c r="AA1985" s="288">
        <v>0</v>
      </c>
      <c r="AB1985" s="288">
        <v>0</v>
      </c>
      <c r="AC1985" s="289">
        <v>7.7499999999999999E-2</v>
      </c>
      <c r="AD1985" s="289">
        <v>0</v>
      </c>
    </row>
    <row r="1986" spans="1:30" ht="15" customHeight="1" x14ac:dyDescent="0.25">
      <c r="A1986" s="282" t="s">
        <v>2966</v>
      </c>
      <c r="B1986" s="282" t="s">
        <v>2966</v>
      </c>
      <c r="C1986" s="282" t="s">
        <v>2967</v>
      </c>
      <c r="D1986" s="283" t="s">
        <v>2968</v>
      </c>
      <c r="E1986" s="403">
        <v>44939</v>
      </c>
      <c r="F1986" s="403">
        <v>46762</v>
      </c>
      <c r="G1986" s="283" t="s">
        <v>237</v>
      </c>
      <c r="H1986" s="282" t="s">
        <v>2969</v>
      </c>
      <c r="I1986" s="285"/>
      <c r="J1986" s="282" t="s">
        <v>184</v>
      </c>
      <c r="K1986" s="283" t="s">
        <v>2970</v>
      </c>
      <c r="L1986" s="286" t="s">
        <v>158</v>
      </c>
      <c r="M1986" s="287" t="s">
        <v>159</v>
      </c>
      <c r="N1986" s="287" t="s">
        <v>159</v>
      </c>
      <c r="O1986" s="287" t="s">
        <v>159</v>
      </c>
      <c r="P1986" s="287" t="s">
        <v>159</v>
      </c>
      <c r="Q1986" s="288">
        <v>3700</v>
      </c>
      <c r="R1986" s="288">
        <v>3460</v>
      </c>
      <c r="S1986" s="288">
        <v>240</v>
      </c>
      <c r="T1986" s="288">
        <v>6.5</v>
      </c>
      <c r="U1986" s="288">
        <v>0</v>
      </c>
      <c r="V1986" s="289">
        <v>3706.5</v>
      </c>
      <c r="W1986" s="289">
        <v>0</v>
      </c>
      <c r="X1986" s="288">
        <v>3.7</v>
      </c>
      <c r="Y1986" s="288">
        <v>3.46</v>
      </c>
      <c r="Z1986" s="288">
        <v>0.24</v>
      </c>
      <c r="AA1986" s="288">
        <v>6.4999999999999997E-3</v>
      </c>
      <c r="AB1986" s="288">
        <v>0</v>
      </c>
      <c r="AC1986" s="289">
        <v>3.7065000000000001</v>
      </c>
      <c r="AD1986" s="289">
        <v>0</v>
      </c>
    </row>
    <row r="1987" spans="1:30" ht="15" customHeight="1" x14ac:dyDescent="0.25">
      <c r="A1987" s="282" t="s">
        <v>2966</v>
      </c>
      <c r="B1987" s="282" t="s">
        <v>2966</v>
      </c>
      <c r="C1987" s="282" t="s">
        <v>2967</v>
      </c>
      <c r="D1987" s="283" t="s">
        <v>2971</v>
      </c>
      <c r="E1987" s="403">
        <v>44939</v>
      </c>
      <c r="F1987" s="403">
        <v>46762</v>
      </c>
      <c r="G1987" s="283" t="s">
        <v>193</v>
      </c>
      <c r="H1987" s="282" t="s">
        <v>2969</v>
      </c>
      <c r="I1987" s="285"/>
      <c r="J1987" s="282" t="s">
        <v>184</v>
      </c>
      <c r="K1987" s="283" t="s">
        <v>2970</v>
      </c>
      <c r="L1987" s="286" t="s">
        <v>158</v>
      </c>
      <c r="M1987" s="287">
        <v>1757</v>
      </c>
      <c r="N1987" s="287" t="s">
        <v>159</v>
      </c>
      <c r="O1987" s="287" t="s">
        <v>159</v>
      </c>
      <c r="P1987" s="287" t="s">
        <v>159</v>
      </c>
      <c r="Q1987" s="288">
        <v>3700</v>
      </c>
      <c r="R1987" s="288">
        <v>3460</v>
      </c>
      <c r="S1987" s="288">
        <v>240</v>
      </c>
      <c r="T1987" s="288">
        <v>6.5</v>
      </c>
      <c r="U1987" s="288">
        <v>0</v>
      </c>
      <c r="V1987" s="289">
        <v>3706.5</v>
      </c>
      <c r="W1987" s="289">
        <v>0</v>
      </c>
      <c r="X1987" s="288">
        <v>3.7</v>
      </c>
      <c r="Y1987" s="288">
        <v>3.46</v>
      </c>
      <c r="Z1987" s="288">
        <v>0.24</v>
      </c>
      <c r="AA1987" s="288">
        <v>6.4999999999999997E-3</v>
      </c>
      <c r="AB1987" s="288">
        <v>0</v>
      </c>
      <c r="AC1987" s="289">
        <v>3.7065000000000001</v>
      </c>
      <c r="AD1987" s="289">
        <v>0</v>
      </c>
    </row>
    <row r="1988" spans="1:30" ht="15" customHeight="1" x14ac:dyDescent="0.25">
      <c r="A1988" s="282" t="s">
        <v>2966</v>
      </c>
      <c r="B1988" s="282" t="s">
        <v>2966</v>
      </c>
      <c r="C1988" s="282" t="s">
        <v>2967</v>
      </c>
      <c r="D1988" s="283" t="s">
        <v>2972</v>
      </c>
      <c r="E1988" s="403">
        <v>45119</v>
      </c>
      <c r="F1988" s="403">
        <v>46945</v>
      </c>
      <c r="G1988" s="283" t="s">
        <v>193</v>
      </c>
      <c r="H1988" s="282" t="s">
        <v>2973</v>
      </c>
      <c r="I1988" s="285"/>
      <c r="J1988" s="282" t="s">
        <v>184</v>
      </c>
      <c r="K1988" s="283" t="s">
        <v>191</v>
      </c>
      <c r="L1988" s="286" t="s">
        <v>158</v>
      </c>
      <c r="M1988" s="287">
        <v>8000</v>
      </c>
      <c r="N1988" s="287" t="s">
        <v>159</v>
      </c>
      <c r="O1988" s="287" t="s">
        <v>159</v>
      </c>
      <c r="P1988" s="287" t="s">
        <v>159</v>
      </c>
      <c r="Q1988" s="288">
        <v>2800</v>
      </c>
      <c r="R1988" s="288">
        <v>2780</v>
      </c>
      <c r="S1988" s="288">
        <v>19</v>
      </c>
      <c r="T1988" s="288">
        <v>3.48</v>
      </c>
      <c r="U1988" s="288">
        <v>0</v>
      </c>
      <c r="V1988" s="289">
        <v>2802.48</v>
      </c>
      <c r="W1988" s="289">
        <v>0</v>
      </c>
      <c r="X1988" s="288">
        <v>2.8</v>
      </c>
      <c r="Y1988" s="288">
        <v>2.78</v>
      </c>
      <c r="Z1988" s="288">
        <v>1.9E-2</v>
      </c>
      <c r="AA1988" s="288">
        <v>3.48E-3</v>
      </c>
      <c r="AB1988" s="288">
        <v>0</v>
      </c>
      <c r="AC1988" s="289">
        <v>2.8024800000000001</v>
      </c>
      <c r="AD1988" s="289">
        <v>0</v>
      </c>
    </row>
    <row r="1989" spans="1:30" ht="15" customHeight="1" x14ac:dyDescent="0.25">
      <c r="A1989" s="282" t="s">
        <v>2966</v>
      </c>
      <c r="B1989" s="282" t="s">
        <v>2966</v>
      </c>
      <c r="C1989" s="282" t="s">
        <v>2967</v>
      </c>
      <c r="D1989" s="283" t="s">
        <v>2974</v>
      </c>
      <c r="E1989" s="403">
        <v>45119</v>
      </c>
      <c r="F1989" s="403">
        <v>46945</v>
      </c>
      <c r="G1989" s="283" t="s">
        <v>193</v>
      </c>
      <c r="H1989" s="282" t="s">
        <v>2975</v>
      </c>
      <c r="I1989" s="285"/>
      <c r="J1989" s="282" t="s">
        <v>184</v>
      </c>
      <c r="K1989" s="283" t="s">
        <v>2976</v>
      </c>
      <c r="L1989" s="286" t="s">
        <v>158</v>
      </c>
      <c r="M1989" s="287">
        <v>8000</v>
      </c>
      <c r="N1989" s="287" t="s">
        <v>159</v>
      </c>
      <c r="O1989" s="287" t="s">
        <v>159</v>
      </c>
      <c r="P1989" s="287" t="s">
        <v>159</v>
      </c>
      <c r="Q1989" s="288">
        <v>2830</v>
      </c>
      <c r="R1989" s="288">
        <v>2810</v>
      </c>
      <c r="S1989" s="288">
        <v>18.899999999999999</v>
      </c>
      <c r="T1989" s="288">
        <v>3.45</v>
      </c>
      <c r="U1989" s="288">
        <v>0</v>
      </c>
      <c r="V1989" s="289">
        <v>2832.35</v>
      </c>
      <c r="W1989" s="289">
        <v>0</v>
      </c>
      <c r="X1989" s="288">
        <v>2.83</v>
      </c>
      <c r="Y1989" s="288">
        <v>2.81</v>
      </c>
      <c r="Z1989" s="288">
        <v>1.89E-2</v>
      </c>
      <c r="AA1989" s="288">
        <v>3.4500000000000004E-3</v>
      </c>
      <c r="AB1989" s="288">
        <v>0</v>
      </c>
      <c r="AC1989" s="289">
        <v>2.8323499999999999</v>
      </c>
      <c r="AD1989" s="289">
        <v>0</v>
      </c>
    </row>
    <row r="1990" spans="1:30" ht="15" customHeight="1" x14ac:dyDescent="0.25">
      <c r="A1990" s="282" t="s">
        <v>2966</v>
      </c>
      <c r="B1990" s="282" t="s">
        <v>2966</v>
      </c>
      <c r="C1990" s="282" t="s">
        <v>2967</v>
      </c>
      <c r="D1990" s="283" t="s">
        <v>2977</v>
      </c>
      <c r="E1990" s="403">
        <v>45119</v>
      </c>
      <c r="F1990" s="403">
        <v>46945</v>
      </c>
      <c r="G1990" s="283" t="s">
        <v>193</v>
      </c>
      <c r="H1990" s="282" t="s">
        <v>2978</v>
      </c>
      <c r="I1990" s="285"/>
      <c r="J1990" s="282" t="s">
        <v>184</v>
      </c>
      <c r="K1990" s="283" t="s">
        <v>2979</v>
      </c>
      <c r="L1990" s="286" t="s">
        <v>158</v>
      </c>
      <c r="M1990" s="287">
        <v>7700</v>
      </c>
      <c r="N1990" s="287" t="s">
        <v>159</v>
      </c>
      <c r="O1990" s="287" t="s">
        <v>159</v>
      </c>
      <c r="P1990" s="287" t="s">
        <v>159</v>
      </c>
      <c r="Q1990" s="288">
        <v>2810</v>
      </c>
      <c r="R1990" s="288">
        <v>2790</v>
      </c>
      <c r="S1990" s="288">
        <v>16.600000000000001</v>
      </c>
      <c r="T1990" s="288">
        <v>3.77</v>
      </c>
      <c r="U1990" s="288">
        <v>0</v>
      </c>
      <c r="V1990" s="289">
        <v>2810.37</v>
      </c>
      <c r="W1990" s="289">
        <v>0</v>
      </c>
      <c r="X1990" s="288">
        <v>2.81</v>
      </c>
      <c r="Y1990" s="288">
        <v>2.79</v>
      </c>
      <c r="Z1990" s="288">
        <v>1.66E-2</v>
      </c>
      <c r="AA1990" s="288">
        <v>3.7699999999999999E-3</v>
      </c>
      <c r="AB1990" s="288">
        <v>0</v>
      </c>
      <c r="AC1990" s="289">
        <v>2.8103699999999998</v>
      </c>
      <c r="AD1990" s="289">
        <v>0</v>
      </c>
    </row>
    <row r="1991" spans="1:30" ht="15" customHeight="1" x14ac:dyDescent="0.25">
      <c r="A1991" s="282" t="s">
        <v>2966</v>
      </c>
      <c r="B1991" s="282" t="s">
        <v>2966</v>
      </c>
      <c r="C1991" s="282" t="s">
        <v>2967</v>
      </c>
      <c r="D1991" s="283" t="s">
        <v>2980</v>
      </c>
      <c r="E1991" s="403">
        <v>44504</v>
      </c>
      <c r="F1991" s="403">
        <v>46329</v>
      </c>
      <c r="G1991" s="283" t="s">
        <v>193</v>
      </c>
      <c r="H1991" s="282" t="s">
        <v>2981</v>
      </c>
      <c r="I1991" s="285"/>
      <c r="J1991" s="282" t="s">
        <v>184</v>
      </c>
      <c r="K1991" s="283" t="s">
        <v>191</v>
      </c>
      <c r="L1991" s="286" t="s">
        <v>158</v>
      </c>
      <c r="M1991" s="287">
        <v>7800</v>
      </c>
      <c r="N1991" s="287" t="s">
        <v>159</v>
      </c>
      <c r="O1991" s="287" t="s">
        <v>159</v>
      </c>
      <c r="P1991" s="287" t="s">
        <v>159</v>
      </c>
      <c r="Q1991" s="288">
        <v>4990</v>
      </c>
      <c r="R1991" s="288"/>
      <c r="S1991" s="288"/>
      <c r="T1991" s="288"/>
      <c r="U1991" s="288">
        <v>0</v>
      </c>
      <c r="V1991" s="289">
        <v>4990</v>
      </c>
      <c r="W1991" s="289">
        <v>0</v>
      </c>
      <c r="X1991" s="288">
        <v>4.99</v>
      </c>
      <c r="Y1991" s="288">
        <v>0</v>
      </c>
      <c r="Z1991" s="288">
        <v>0</v>
      </c>
      <c r="AA1991" s="288">
        <v>0</v>
      </c>
      <c r="AB1991" s="288">
        <v>0</v>
      </c>
      <c r="AC1991" s="289">
        <v>4.99</v>
      </c>
      <c r="AD1991" s="289">
        <v>0</v>
      </c>
    </row>
    <row r="1992" spans="1:30" ht="15" customHeight="1" x14ac:dyDescent="0.25">
      <c r="A1992" s="282" t="s">
        <v>2966</v>
      </c>
      <c r="B1992" s="282" t="s">
        <v>2966</v>
      </c>
      <c r="C1992" s="282" t="s">
        <v>2967</v>
      </c>
      <c r="D1992" s="283" t="s">
        <v>2982</v>
      </c>
      <c r="E1992" s="403">
        <v>45121</v>
      </c>
      <c r="F1992" s="403">
        <v>46930</v>
      </c>
      <c r="G1992" s="283" t="s">
        <v>193</v>
      </c>
      <c r="H1992" s="282" t="s">
        <v>2983</v>
      </c>
      <c r="I1992" s="285"/>
      <c r="J1992" s="282" t="s">
        <v>184</v>
      </c>
      <c r="K1992" s="283" t="s">
        <v>191</v>
      </c>
      <c r="L1992" s="286" t="s">
        <v>158</v>
      </c>
      <c r="M1992" s="287" t="s">
        <v>159</v>
      </c>
      <c r="N1992" s="287" t="s">
        <v>159</v>
      </c>
      <c r="O1992" s="287" t="s">
        <v>159</v>
      </c>
      <c r="P1992" s="287" t="s">
        <v>159</v>
      </c>
      <c r="Q1992" s="288">
        <v>3860</v>
      </c>
      <c r="R1992" s="288"/>
      <c r="S1992" s="288"/>
      <c r="T1992" s="288"/>
      <c r="U1992" s="288">
        <v>0</v>
      </c>
      <c r="V1992" s="289">
        <v>3860</v>
      </c>
      <c r="W1992" s="289">
        <v>0</v>
      </c>
      <c r="X1992" s="288">
        <v>3.86</v>
      </c>
      <c r="Y1992" s="288">
        <v>0</v>
      </c>
      <c r="Z1992" s="288">
        <v>0</v>
      </c>
      <c r="AA1992" s="288">
        <v>0</v>
      </c>
      <c r="AB1992" s="288">
        <v>0</v>
      </c>
      <c r="AC1992" s="289">
        <v>3.86</v>
      </c>
      <c r="AD1992" s="289">
        <v>0</v>
      </c>
    </row>
    <row r="1993" spans="1:30" ht="15" customHeight="1" x14ac:dyDescent="0.25">
      <c r="A1993" s="282" t="s">
        <v>2966</v>
      </c>
      <c r="B1993" s="282" t="s">
        <v>2966</v>
      </c>
      <c r="C1993" s="282" t="s">
        <v>2967</v>
      </c>
      <c r="D1993" s="283" t="s">
        <v>2984</v>
      </c>
      <c r="E1993" s="403">
        <v>45121</v>
      </c>
      <c r="F1993" s="403">
        <v>46930</v>
      </c>
      <c r="G1993" s="283" t="s">
        <v>193</v>
      </c>
      <c r="H1993" s="282" t="s">
        <v>2983</v>
      </c>
      <c r="I1993" s="285"/>
      <c r="J1993" s="282" t="s">
        <v>184</v>
      </c>
      <c r="K1993" s="283" t="s">
        <v>191</v>
      </c>
      <c r="L1993" s="286" t="s">
        <v>158</v>
      </c>
      <c r="M1993" s="287" t="s">
        <v>159</v>
      </c>
      <c r="N1993" s="287" t="s">
        <v>159</v>
      </c>
      <c r="O1993" s="287" t="s">
        <v>159</v>
      </c>
      <c r="P1993" s="287" t="s">
        <v>159</v>
      </c>
      <c r="Q1993" s="288">
        <v>4750</v>
      </c>
      <c r="R1993" s="288"/>
      <c r="S1993" s="288"/>
      <c r="T1993" s="288"/>
      <c r="U1993" s="288">
        <v>0</v>
      </c>
      <c r="V1993" s="289">
        <v>4750</v>
      </c>
      <c r="W1993" s="289">
        <v>0</v>
      </c>
      <c r="X1993" s="288">
        <v>4.75</v>
      </c>
      <c r="Y1993" s="288">
        <v>0</v>
      </c>
      <c r="Z1993" s="288">
        <v>0</v>
      </c>
      <c r="AA1993" s="288">
        <v>0</v>
      </c>
      <c r="AB1993" s="288">
        <v>0</v>
      </c>
      <c r="AC1993" s="289">
        <v>4.75</v>
      </c>
      <c r="AD1993" s="289">
        <v>0</v>
      </c>
    </row>
    <row r="1994" spans="1:30" ht="15" customHeight="1" x14ac:dyDescent="0.25">
      <c r="A1994" s="282" t="s">
        <v>2966</v>
      </c>
      <c r="B1994" s="282" t="s">
        <v>2966</v>
      </c>
      <c r="C1994" s="282" t="s">
        <v>2967</v>
      </c>
      <c r="D1994" s="283" t="s">
        <v>2985</v>
      </c>
      <c r="E1994" s="403">
        <v>43644</v>
      </c>
      <c r="F1994" s="403">
        <v>45470</v>
      </c>
      <c r="G1994" s="283" t="s">
        <v>237</v>
      </c>
      <c r="H1994" s="282" t="s">
        <v>2986</v>
      </c>
      <c r="I1994" s="285"/>
      <c r="J1994" s="282" t="s">
        <v>184</v>
      </c>
      <c r="K1994" s="283" t="s">
        <v>2987</v>
      </c>
      <c r="L1994" s="286" t="s">
        <v>158</v>
      </c>
      <c r="M1994" s="287">
        <v>7900</v>
      </c>
      <c r="N1994" s="287" t="s">
        <v>159</v>
      </c>
      <c r="O1994" s="287" t="s">
        <v>159</v>
      </c>
      <c r="P1994" s="287" t="s">
        <v>159</v>
      </c>
      <c r="Q1994" s="288">
        <v>3390</v>
      </c>
      <c r="R1994" s="288"/>
      <c r="S1994" s="288"/>
      <c r="T1994" s="288"/>
      <c r="U1994" s="288">
        <v>0</v>
      </c>
      <c r="V1994" s="289">
        <v>3390</v>
      </c>
      <c r="W1994" s="289">
        <v>0</v>
      </c>
      <c r="X1994" s="288">
        <v>3.39</v>
      </c>
      <c r="Y1994" s="288">
        <v>0</v>
      </c>
      <c r="Z1994" s="288">
        <v>0</v>
      </c>
      <c r="AA1994" s="288">
        <v>0</v>
      </c>
      <c r="AB1994" s="288">
        <v>0</v>
      </c>
      <c r="AC1994" s="289">
        <v>3.39</v>
      </c>
      <c r="AD1994" s="289">
        <v>0</v>
      </c>
    </row>
    <row r="1995" spans="1:30" ht="15" customHeight="1" x14ac:dyDescent="0.25">
      <c r="A1995" s="282" t="s">
        <v>2966</v>
      </c>
      <c r="B1995" s="282" t="s">
        <v>2966</v>
      </c>
      <c r="C1995" s="282" t="s">
        <v>2967</v>
      </c>
      <c r="D1995" s="283" t="s">
        <v>2988</v>
      </c>
      <c r="E1995" s="403">
        <v>43644</v>
      </c>
      <c r="F1995" s="403">
        <v>45470</v>
      </c>
      <c r="G1995" s="283" t="s">
        <v>237</v>
      </c>
      <c r="H1995" s="282" t="s">
        <v>2989</v>
      </c>
      <c r="I1995" s="285"/>
      <c r="J1995" s="282" t="s">
        <v>184</v>
      </c>
      <c r="K1995" s="283" t="s">
        <v>2987</v>
      </c>
      <c r="L1995" s="286" t="s">
        <v>158</v>
      </c>
      <c r="M1995" s="287">
        <v>7900</v>
      </c>
      <c r="N1995" s="287" t="s">
        <v>159</v>
      </c>
      <c r="O1995" s="287" t="s">
        <v>159</v>
      </c>
      <c r="P1995" s="287" t="s">
        <v>159</v>
      </c>
      <c r="Q1995" s="288">
        <v>2740</v>
      </c>
      <c r="R1995" s="288"/>
      <c r="S1995" s="288"/>
      <c r="T1995" s="288"/>
      <c r="U1995" s="288">
        <v>0</v>
      </c>
      <c r="V1995" s="289">
        <v>2740</v>
      </c>
      <c r="W1995" s="289">
        <v>0</v>
      </c>
      <c r="X1995" s="288">
        <v>2.74</v>
      </c>
      <c r="Y1995" s="288">
        <v>0</v>
      </c>
      <c r="Z1995" s="288">
        <v>0</v>
      </c>
      <c r="AA1995" s="288">
        <v>0</v>
      </c>
      <c r="AB1995" s="288">
        <v>0</v>
      </c>
      <c r="AC1995" s="289">
        <v>2.74</v>
      </c>
      <c r="AD1995" s="289">
        <v>0</v>
      </c>
    </row>
    <row r="1996" spans="1:30" ht="15" customHeight="1" x14ac:dyDescent="0.25">
      <c r="A1996" s="282" t="s">
        <v>2966</v>
      </c>
      <c r="B1996" s="282" t="s">
        <v>2966</v>
      </c>
      <c r="C1996" s="282" t="s">
        <v>2967</v>
      </c>
      <c r="D1996" s="283" t="s">
        <v>2990</v>
      </c>
      <c r="E1996" s="403">
        <v>44939</v>
      </c>
      <c r="F1996" s="403">
        <v>46762</v>
      </c>
      <c r="G1996" s="283" t="s">
        <v>193</v>
      </c>
      <c r="H1996" s="282" t="s">
        <v>2991</v>
      </c>
      <c r="I1996" s="285"/>
      <c r="J1996" s="282" t="s">
        <v>184</v>
      </c>
      <c r="K1996" s="283" t="s">
        <v>2992</v>
      </c>
      <c r="L1996" s="286" t="s">
        <v>158</v>
      </c>
      <c r="M1996" s="287">
        <v>8000</v>
      </c>
      <c r="N1996" s="287" t="s">
        <v>159</v>
      </c>
      <c r="O1996" s="287" t="s">
        <v>159</v>
      </c>
      <c r="P1996" s="287" t="s">
        <v>159</v>
      </c>
      <c r="Q1996" s="288">
        <v>3870</v>
      </c>
      <c r="R1996" s="288">
        <v>3540</v>
      </c>
      <c r="S1996" s="288">
        <v>320</v>
      </c>
      <c r="T1996" s="288">
        <v>8.93</v>
      </c>
      <c r="U1996" s="288">
        <v>0</v>
      </c>
      <c r="V1996" s="289">
        <v>3868.93</v>
      </c>
      <c r="W1996" s="289">
        <v>0</v>
      </c>
      <c r="X1996" s="288">
        <v>3.87</v>
      </c>
      <c r="Y1996" s="288">
        <v>3.54</v>
      </c>
      <c r="Z1996" s="288">
        <v>0.32</v>
      </c>
      <c r="AA1996" s="288">
        <v>8.9300000000000004E-3</v>
      </c>
      <c r="AB1996" s="288">
        <v>0</v>
      </c>
      <c r="AC1996" s="289">
        <v>3.8689299999999998</v>
      </c>
      <c r="AD1996" s="289">
        <v>0</v>
      </c>
    </row>
    <row r="1997" spans="1:30" ht="15" customHeight="1" x14ac:dyDescent="0.25">
      <c r="A1997" s="282" t="s">
        <v>2966</v>
      </c>
      <c r="B1997" s="282" t="s">
        <v>2966</v>
      </c>
      <c r="C1997" s="282" t="s">
        <v>2967</v>
      </c>
      <c r="D1997" s="283" t="s">
        <v>2993</v>
      </c>
      <c r="E1997" s="403">
        <v>45119</v>
      </c>
      <c r="F1997" s="403">
        <v>46945</v>
      </c>
      <c r="G1997" s="283" t="s">
        <v>193</v>
      </c>
      <c r="H1997" s="282" t="s">
        <v>2994</v>
      </c>
      <c r="I1997" s="285"/>
      <c r="J1997" s="282" t="s">
        <v>184</v>
      </c>
      <c r="K1997" s="283" t="s">
        <v>2995</v>
      </c>
      <c r="L1997" s="286" t="s">
        <v>158</v>
      </c>
      <c r="M1997" s="287">
        <v>7700</v>
      </c>
      <c r="N1997" s="287" t="s">
        <v>159</v>
      </c>
      <c r="O1997" s="287" t="s">
        <v>159</v>
      </c>
      <c r="P1997" s="287" t="s">
        <v>159</v>
      </c>
      <c r="Q1997" s="288">
        <v>2810</v>
      </c>
      <c r="R1997" s="288">
        <v>2780</v>
      </c>
      <c r="S1997" s="288">
        <v>17</v>
      </c>
      <c r="T1997" s="288">
        <v>3.88</v>
      </c>
      <c r="U1997" s="288">
        <v>0</v>
      </c>
      <c r="V1997" s="289">
        <v>2800.88</v>
      </c>
      <c r="W1997" s="289">
        <v>0</v>
      </c>
      <c r="X1997" s="288">
        <v>2.81</v>
      </c>
      <c r="Y1997" s="288">
        <v>2.78</v>
      </c>
      <c r="Z1997" s="288">
        <v>1.7000000000000001E-2</v>
      </c>
      <c r="AA1997" s="288">
        <v>3.8799999999999998E-3</v>
      </c>
      <c r="AB1997" s="288">
        <v>0</v>
      </c>
      <c r="AC1997" s="289">
        <v>2.8008799999999998</v>
      </c>
      <c r="AD1997" s="289">
        <v>0</v>
      </c>
    </row>
    <row r="1998" spans="1:30" ht="15" customHeight="1" x14ac:dyDescent="0.25">
      <c r="A1998" s="282" t="s">
        <v>2996</v>
      </c>
      <c r="B1998" s="282" t="s">
        <v>2997</v>
      </c>
      <c r="C1998" s="282" t="s">
        <v>2998</v>
      </c>
      <c r="D1998" s="286" t="s">
        <v>2999</v>
      </c>
      <c r="E1998" s="403">
        <v>44162</v>
      </c>
      <c r="F1998" s="403">
        <v>45988</v>
      </c>
      <c r="G1998" s="283" t="s">
        <v>154</v>
      </c>
      <c r="H1998" s="283" t="s">
        <v>3000</v>
      </c>
      <c r="I1998" s="283" t="s">
        <v>590</v>
      </c>
      <c r="J1998" s="282" t="s">
        <v>156</v>
      </c>
      <c r="K1998" s="283" t="s">
        <v>3001</v>
      </c>
      <c r="L1998" s="286" t="s">
        <v>158</v>
      </c>
      <c r="M1998" s="293"/>
      <c r="N1998" s="293"/>
      <c r="O1998" s="287"/>
      <c r="P1998" s="287"/>
      <c r="Q1998" s="288">
        <v>2567.4</v>
      </c>
      <c r="R1998" s="288">
        <v>2590</v>
      </c>
      <c r="S1998" s="288">
        <v>-22.599999999999998</v>
      </c>
      <c r="T1998" s="288"/>
      <c r="U1998" s="288">
        <v>0</v>
      </c>
      <c r="V1998" s="289">
        <v>2590</v>
      </c>
      <c r="W1998" s="289">
        <v>0</v>
      </c>
      <c r="X1998" s="288">
        <v>2.5674000000000001</v>
      </c>
      <c r="Y1998" s="288">
        <v>2.59</v>
      </c>
      <c r="Z1998" s="288">
        <v>-2.2599999999999999E-2</v>
      </c>
      <c r="AA1998" s="288">
        <v>0</v>
      </c>
      <c r="AB1998" s="288">
        <v>0</v>
      </c>
      <c r="AC1998" s="289">
        <v>2.59</v>
      </c>
      <c r="AD1998" s="289">
        <v>0</v>
      </c>
    </row>
    <row r="1999" spans="1:30" ht="15" customHeight="1" x14ac:dyDescent="0.25">
      <c r="A1999" s="282" t="s">
        <v>2996</v>
      </c>
      <c r="B1999" s="282" t="s">
        <v>2997</v>
      </c>
      <c r="C1999" s="282" t="s">
        <v>2998</v>
      </c>
      <c r="D1999" s="286" t="s">
        <v>3002</v>
      </c>
      <c r="E1999" s="403">
        <v>44162</v>
      </c>
      <c r="F1999" s="403">
        <v>45988</v>
      </c>
      <c r="G1999" s="283" t="s">
        <v>154</v>
      </c>
      <c r="H1999" s="283" t="s">
        <v>3003</v>
      </c>
      <c r="I1999" s="283" t="s">
        <v>590</v>
      </c>
      <c r="J1999" s="282" t="s">
        <v>156</v>
      </c>
      <c r="K1999" s="283" t="s">
        <v>3001</v>
      </c>
      <c r="L1999" s="286" t="s">
        <v>158</v>
      </c>
      <c r="M1999" s="293"/>
      <c r="N1999" s="293"/>
      <c r="O1999" s="287"/>
      <c r="P1999" s="287"/>
      <c r="Q1999" s="288">
        <v>2617.4</v>
      </c>
      <c r="R1999" s="288">
        <v>2640</v>
      </c>
      <c r="S1999" s="288">
        <v>-22.599999999999998</v>
      </c>
      <c r="T1999" s="288"/>
      <c r="U1999" s="288">
        <v>0</v>
      </c>
      <c r="V1999" s="289">
        <v>2640</v>
      </c>
      <c r="W1999" s="289">
        <v>0</v>
      </c>
      <c r="X1999" s="288">
        <v>2.6173999999999999</v>
      </c>
      <c r="Y1999" s="288">
        <v>2.64</v>
      </c>
      <c r="Z1999" s="288">
        <v>-2.2599999999999999E-2</v>
      </c>
      <c r="AA1999" s="288">
        <v>0</v>
      </c>
      <c r="AB1999" s="288">
        <v>0</v>
      </c>
      <c r="AC1999" s="289">
        <v>2.64</v>
      </c>
      <c r="AD1999" s="289">
        <v>0</v>
      </c>
    </row>
    <row r="2000" spans="1:30" ht="15" customHeight="1" x14ac:dyDescent="0.25">
      <c r="A2000" s="282" t="s">
        <v>2996</v>
      </c>
      <c r="B2000" s="282" t="s">
        <v>2997</v>
      </c>
      <c r="C2000" s="282" t="s">
        <v>2998</v>
      </c>
      <c r="D2000" s="286" t="s">
        <v>3004</v>
      </c>
      <c r="E2000" s="403">
        <v>44162</v>
      </c>
      <c r="F2000" s="403">
        <v>45988</v>
      </c>
      <c r="G2000" s="283" t="s">
        <v>154</v>
      </c>
      <c r="H2000" s="283" t="s">
        <v>3005</v>
      </c>
      <c r="I2000" s="283" t="s">
        <v>590</v>
      </c>
      <c r="J2000" s="282" t="s">
        <v>156</v>
      </c>
      <c r="K2000" s="283" t="s">
        <v>3001</v>
      </c>
      <c r="L2000" s="286" t="s">
        <v>158</v>
      </c>
      <c r="M2000" s="293"/>
      <c r="N2000" s="293"/>
      <c r="O2000" s="287"/>
      <c r="P2000" s="287"/>
      <c r="Q2000" s="288">
        <v>2737.3</v>
      </c>
      <c r="R2000" s="288">
        <v>2760</v>
      </c>
      <c r="S2000" s="288">
        <v>-22.700000000000003</v>
      </c>
      <c r="T2000" s="288"/>
      <c r="U2000" s="288">
        <v>0</v>
      </c>
      <c r="V2000" s="289">
        <v>2760</v>
      </c>
      <c r="W2000" s="289">
        <v>0</v>
      </c>
      <c r="X2000" s="288">
        <v>2.7373000000000003</v>
      </c>
      <c r="Y2000" s="288">
        <v>2.76</v>
      </c>
      <c r="Z2000" s="288">
        <v>-2.2700000000000001E-2</v>
      </c>
      <c r="AA2000" s="288">
        <v>0</v>
      </c>
      <c r="AB2000" s="288">
        <v>0</v>
      </c>
      <c r="AC2000" s="289">
        <v>2.76</v>
      </c>
      <c r="AD2000" s="289">
        <v>0</v>
      </c>
    </row>
    <row r="2001" spans="1:30" ht="15" customHeight="1" x14ac:dyDescent="0.25">
      <c r="A2001" s="282" t="s">
        <v>2996</v>
      </c>
      <c r="B2001" s="282" t="s">
        <v>2997</v>
      </c>
      <c r="C2001" s="282" t="s">
        <v>2998</v>
      </c>
      <c r="D2001" s="286" t="s">
        <v>3006</v>
      </c>
      <c r="E2001" s="403">
        <v>44162</v>
      </c>
      <c r="F2001" s="403">
        <v>45988</v>
      </c>
      <c r="G2001" s="283" t="s">
        <v>154</v>
      </c>
      <c r="H2001" s="283" t="s">
        <v>3003</v>
      </c>
      <c r="I2001" s="283" t="s">
        <v>590</v>
      </c>
      <c r="J2001" s="282" t="s">
        <v>156</v>
      </c>
      <c r="K2001" s="283" t="s">
        <v>3007</v>
      </c>
      <c r="L2001" s="286" t="s">
        <v>158</v>
      </c>
      <c r="M2001" s="293"/>
      <c r="N2001" s="293"/>
      <c r="O2001" s="287"/>
      <c r="P2001" s="287"/>
      <c r="Q2001" s="288">
        <v>2837.6</v>
      </c>
      <c r="R2001" s="288">
        <v>2860</v>
      </c>
      <c r="S2001" s="288">
        <v>-22.4</v>
      </c>
      <c r="T2001" s="288"/>
      <c r="U2001" s="288">
        <v>0</v>
      </c>
      <c r="V2001" s="289">
        <v>2860</v>
      </c>
      <c r="W2001" s="289">
        <v>0</v>
      </c>
      <c r="X2001" s="288">
        <v>2.8376000000000001</v>
      </c>
      <c r="Y2001" s="288">
        <v>2.86</v>
      </c>
      <c r="Z2001" s="288">
        <v>-2.24E-2</v>
      </c>
      <c r="AA2001" s="288">
        <v>0</v>
      </c>
      <c r="AB2001" s="288">
        <v>0</v>
      </c>
      <c r="AC2001" s="289">
        <v>2.86</v>
      </c>
      <c r="AD2001" s="289">
        <v>0</v>
      </c>
    </row>
    <row r="2002" spans="1:30" ht="15" customHeight="1" x14ac:dyDescent="0.25">
      <c r="A2002" s="282" t="s">
        <v>2996</v>
      </c>
      <c r="B2002" s="282" t="s">
        <v>2997</v>
      </c>
      <c r="C2002" s="282" t="s">
        <v>2998</v>
      </c>
      <c r="D2002" s="286" t="s">
        <v>3008</v>
      </c>
      <c r="E2002" s="403">
        <v>44162</v>
      </c>
      <c r="F2002" s="403">
        <v>45988</v>
      </c>
      <c r="G2002" s="283" t="s">
        <v>154</v>
      </c>
      <c r="H2002" s="283" t="s">
        <v>3009</v>
      </c>
      <c r="I2002" s="283" t="s">
        <v>590</v>
      </c>
      <c r="J2002" s="282" t="s">
        <v>156</v>
      </c>
      <c r="K2002" s="283" t="s">
        <v>3010</v>
      </c>
      <c r="L2002" s="286" t="s">
        <v>158</v>
      </c>
      <c r="M2002" s="293"/>
      <c r="N2002" s="293"/>
      <c r="O2002" s="287"/>
      <c r="P2002" s="287"/>
      <c r="Q2002" s="288">
        <v>2407.88</v>
      </c>
      <c r="R2002" s="288">
        <v>2410</v>
      </c>
      <c r="S2002" s="288">
        <v>-2.12</v>
      </c>
      <c r="T2002" s="288"/>
      <c r="U2002" s="288">
        <v>0</v>
      </c>
      <c r="V2002" s="289">
        <v>2410</v>
      </c>
      <c r="W2002" s="289">
        <v>0</v>
      </c>
      <c r="X2002" s="288">
        <v>2.40788</v>
      </c>
      <c r="Y2002" s="288">
        <v>2.41</v>
      </c>
      <c r="Z2002" s="288">
        <v>-2.1199999999999999E-3</v>
      </c>
      <c r="AA2002" s="288">
        <v>0</v>
      </c>
      <c r="AB2002" s="288">
        <v>0</v>
      </c>
      <c r="AC2002" s="289">
        <v>2.41</v>
      </c>
      <c r="AD2002" s="289">
        <v>0</v>
      </c>
    </row>
    <row r="2003" spans="1:30" ht="15" customHeight="1" x14ac:dyDescent="0.25">
      <c r="A2003" s="282" t="s">
        <v>2996</v>
      </c>
      <c r="B2003" s="282" t="s">
        <v>2997</v>
      </c>
      <c r="C2003" s="282" t="s">
        <v>2998</v>
      </c>
      <c r="D2003" s="286" t="s">
        <v>3011</v>
      </c>
      <c r="E2003" s="403">
        <v>44162</v>
      </c>
      <c r="F2003" s="403">
        <v>45988</v>
      </c>
      <c r="G2003" s="283" t="s">
        <v>154</v>
      </c>
      <c r="H2003" s="283" t="s">
        <v>3009</v>
      </c>
      <c r="I2003" s="283" t="s">
        <v>590</v>
      </c>
      <c r="J2003" s="282" t="s">
        <v>156</v>
      </c>
      <c r="K2003" s="283" t="s">
        <v>3010</v>
      </c>
      <c r="L2003" s="286" t="s">
        <v>158</v>
      </c>
      <c r="M2003" s="293"/>
      <c r="N2003" s="293"/>
      <c r="O2003" s="287"/>
      <c r="P2003" s="287"/>
      <c r="Q2003" s="288">
        <v>2457.86</v>
      </c>
      <c r="R2003" s="288">
        <v>2460</v>
      </c>
      <c r="S2003" s="288">
        <v>-2.14</v>
      </c>
      <c r="T2003" s="288"/>
      <c r="U2003" s="288">
        <v>0</v>
      </c>
      <c r="V2003" s="289">
        <v>2460</v>
      </c>
      <c r="W2003" s="289">
        <v>0</v>
      </c>
      <c r="X2003" s="288">
        <v>2.4578600000000002</v>
      </c>
      <c r="Y2003" s="288">
        <v>2.46</v>
      </c>
      <c r="Z2003" s="288">
        <v>-2.14E-3</v>
      </c>
      <c r="AA2003" s="288">
        <v>0</v>
      </c>
      <c r="AB2003" s="288">
        <v>0</v>
      </c>
      <c r="AC2003" s="289">
        <v>2.46</v>
      </c>
      <c r="AD2003" s="289">
        <v>0</v>
      </c>
    </row>
    <row r="2004" spans="1:30" ht="15" customHeight="1" x14ac:dyDescent="0.25">
      <c r="A2004" s="282" t="s">
        <v>2996</v>
      </c>
      <c r="B2004" s="282" t="s">
        <v>2997</v>
      </c>
      <c r="C2004" s="282" t="s">
        <v>2998</v>
      </c>
      <c r="D2004" s="286" t="s">
        <v>3012</v>
      </c>
      <c r="E2004" s="403">
        <v>44162</v>
      </c>
      <c r="F2004" s="403">
        <v>45988</v>
      </c>
      <c r="G2004" s="283" t="s">
        <v>154</v>
      </c>
      <c r="H2004" s="283" t="s">
        <v>3009</v>
      </c>
      <c r="I2004" s="283" t="s">
        <v>590</v>
      </c>
      <c r="J2004" s="282" t="s">
        <v>156</v>
      </c>
      <c r="K2004" s="283" t="s">
        <v>3010</v>
      </c>
      <c r="L2004" s="286" t="s">
        <v>158</v>
      </c>
      <c r="M2004" s="293"/>
      <c r="N2004" s="293"/>
      <c r="O2004" s="287"/>
      <c r="P2004" s="287"/>
      <c r="Q2004" s="288">
        <v>2567.84</v>
      </c>
      <c r="R2004" s="288">
        <v>2570</v>
      </c>
      <c r="S2004" s="288">
        <v>-2.16</v>
      </c>
      <c r="T2004" s="288"/>
      <c r="U2004" s="288">
        <v>0</v>
      </c>
      <c r="V2004" s="289">
        <v>2570</v>
      </c>
      <c r="W2004" s="289">
        <v>0</v>
      </c>
      <c r="X2004" s="288">
        <v>2.5678400000000003</v>
      </c>
      <c r="Y2004" s="288">
        <v>2.57</v>
      </c>
      <c r="Z2004" s="288">
        <v>-2.16E-3</v>
      </c>
      <c r="AA2004" s="288">
        <v>0</v>
      </c>
      <c r="AB2004" s="288">
        <v>0</v>
      </c>
      <c r="AC2004" s="289">
        <v>2.57</v>
      </c>
      <c r="AD2004" s="289">
        <v>0</v>
      </c>
    </row>
    <row r="2005" spans="1:30" ht="15" customHeight="1" x14ac:dyDescent="0.25">
      <c r="A2005" s="282" t="s">
        <v>2996</v>
      </c>
      <c r="B2005" s="282" t="s">
        <v>3013</v>
      </c>
      <c r="C2005" s="282" t="s">
        <v>3014</v>
      </c>
      <c r="D2005" s="286" t="s">
        <v>3015</v>
      </c>
      <c r="E2005" s="403">
        <v>45135</v>
      </c>
      <c r="F2005" s="403">
        <v>46962</v>
      </c>
      <c r="G2005" s="283" t="s">
        <v>154</v>
      </c>
      <c r="H2005" s="283" t="s">
        <v>3016</v>
      </c>
      <c r="I2005" s="283" t="s">
        <v>590</v>
      </c>
      <c r="J2005" s="282" t="s">
        <v>156</v>
      </c>
      <c r="K2005" s="283" t="s">
        <v>3017</v>
      </c>
      <c r="L2005" s="286" t="s">
        <v>158</v>
      </c>
      <c r="M2005" s="293"/>
      <c r="N2005" s="293">
        <v>23.92</v>
      </c>
      <c r="O2005" s="287"/>
      <c r="P2005" s="287"/>
      <c r="Q2005" s="288">
        <v>2846.3669665551838</v>
      </c>
      <c r="R2005" s="288">
        <v>2846.9899665551839</v>
      </c>
      <c r="S2005" s="288">
        <v>-0.623</v>
      </c>
      <c r="T2005" s="288"/>
      <c r="U2005" s="288">
        <v>0</v>
      </c>
      <c r="V2005" s="289">
        <v>2846.9899665551839</v>
      </c>
      <c r="W2005" s="289">
        <v>0</v>
      </c>
      <c r="X2005" s="288">
        <v>2.8463669665551836</v>
      </c>
      <c r="Y2005" s="288">
        <v>2.8469899665551837</v>
      </c>
      <c r="Z2005" s="288">
        <v>-6.2299999999999996E-4</v>
      </c>
      <c r="AA2005" s="288">
        <v>0</v>
      </c>
      <c r="AB2005" s="288">
        <v>0</v>
      </c>
      <c r="AC2005" s="289">
        <v>2.8469899665551837</v>
      </c>
      <c r="AD2005" s="289">
        <v>0</v>
      </c>
    </row>
    <row r="2006" spans="1:30" ht="15" customHeight="1" x14ac:dyDescent="0.25">
      <c r="A2006" s="282" t="s">
        <v>2996</v>
      </c>
      <c r="B2006" s="282" t="s">
        <v>3013</v>
      </c>
      <c r="C2006" s="282" t="s">
        <v>3014</v>
      </c>
      <c r="D2006" s="286" t="s">
        <v>3018</v>
      </c>
      <c r="E2006" s="403">
        <v>45135</v>
      </c>
      <c r="F2006" s="403">
        <v>46962</v>
      </c>
      <c r="G2006" s="283" t="s">
        <v>154</v>
      </c>
      <c r="H2006" s="283" t="s">
        <v>3016</v>
      </c>
      <c r="I2006" s="283" t="s">
        <v>590</v>
      </c>
      <c r="J2006" s="282" t="s">
        <v>156</v>
      </c>
      <c r="K2006" s="283" t="s">
        <v>3017</v>
      </c>
      <c r="L2006" s="286" t="s">
        <v>158</v>
      </c>
      <c r="M2006" s="293"/>
      <c r="N2006" s="293">
        <v>19.21</v>
      </c>
      <c r="O2006" s="287"/>
      <c r="P2006" s="287"/>
      <c r="Q2006" s="288">
        <v>2872.998383654347</v>
      </c>
      <c r="R2006" s="288">
        <v>2873.5033836543471</v>
      </c>
      <c r="S2006" s="288">
        <v>-0.505</v>
      </c>
      <c r="T2006" s="288"/>
      <c r="U2006" s="288">
        <v>0</v>
      </c>
      <c r="V2006" s="289">
        <v>2873.5033836543471</v>
      </c>
      <c r="W2006" s="289">
        <v>0</v>
      </c>
      <c r="X2006" s="288">
        <v>2.8729983836543469</v>
      </c>
      <c r="Y2006" s="288">
        <v>2.8735033836543469</v>
      </c>
      <c r="Z2006" s="288">
        <v>-5.0500000000000002E-4</v>
      </c>
      <c r="AA2006" s="288">
        <v>0</v>
      </c>
      <c r="AB2006" s="288">
        <v>0</v>
      </c>
      <c r="AC2006" s="289">
        <v>2.8735033836543469</v>
      </c>
      <c r="AD2006" s="289">
        <v>0</v>
      </c>
    </row>
    <row r="2007" spans="1:30" ht="15" customHeight="1" x14ac:dyDescent="0.25">
      <c r="A2007" s="282" t="s">
        <v>2996</v>
      </c>
      <c r="B2007" s="282" t="s">
        <v>3013</v>
      </c>
      <c r="C2007" s="282" t="s">
        <v>3014</v>
      </c>
      <c r="D2007" s="286" t="s">
        <v>3019</v>
      </c>
      <c r="E2007" s="403">
        <v>45135</v>
      </c>
      <c r="F2007" s="403">
        <v>46962</v>
      </c>
      <c r="G2007" s="283" t="s">
        <v>154</v>
      </c>
      <c r="H2007" s="283" t="s">
        <v>3016</v>
      </c>
      <c r="I2007" s="283" t="s">
        <v>590</v>
      </c>
      <c r="J2007" s="282" t="s">
        <v>156</v>
      </c>
      <c r="K2007" s="283" t="s">
        <v>3017</v>
      </c>
      <c r="L2007" s="286" t="s">
        <v>158</v>
      </c>
      <c r="M2007" s="293"/>
      <c r="N2007" s="293">
        <v>15.29</v>
      </c>
      <c r="O2007" s="287"/>
      <c r="P2007" s="287"/>
      <c r="Q2007" s="288">
        <v>2909.9919535644212</v>
      </c>
      <c r="R2007" s="288">
        <v>2910.3989535644214</v>
      </c>
      <c r="S2007" s="288">
        <v>-0.40699999999999997</v>
      </c>
      <c r="T2007" s="288"/>
      <c r="U2007" s="288">
        <v>0</v>
      </c>
      <c r="V2007" s="289">
        <v>2910.3989535644214</v>
      </c>
      <c r="W2007" s="289">
        <v>0</v>
      </c>
      <c r="X2007" s="288">
        <v>2.9099919535644214</v>
      </c>
      <c r="Y2007" s="288">
        <v>2.9103989535644215</v>
      </c>
      <c r="Z2007" s="288">
        <v>-4.0699999999999997E-4</v>
      </c>
      <c r="AA2007" s="288">
        <v>0</v>
      </c>
      <c r="AB2007" s="288">
        <v>0</v>
      </c>
      <c r="AC2007" s="289">
        <v>2.9103989535644215</v>
      </c>
      <c r="AD2007" s="289">
        <v>0</v>
      </c>
    </row>
    <row r="2008" spans="1:30" ht="15" customHeight="1" x14ac:dyDescent="0.25">
      <c r="A2008" s="282" t="s">
        <v>2996</v>
      </c>
      <c r="B2008" s="282" t="s">
        <v>3020</v>
      </c>
      <c r="C2008" s="282" t="s">
        <v>3014</v>
      </c>
      <c r="D2008" s="286" t="s">
        <v>3021</v>
      </c>
      <c r="E2008" s="403">
        <v>45071</v>
      </c>
      <c r="F2008" s="403">
        <v>46898</v>
      </c>
      <c r="G2008" s="283" t="s">
        <v>154</v>
      </c>
      <c r="H2008" s="283" t="s">
        <v>3022</v>
      </c>
      <c r="I2008" s="283" t="s">
        <v>590</v>
      </c>
      <c r="J2008" s="282" t="s">
        <v>156</v>
      </c>
      <c r="K2008" s="283" t="s">
        <v>3023</v>
      </c>
      <c r="L2008" s="286" t="s">
        <v>158</v>
      </c>
      <c r="M2008" s="293"/>
      <c r="N2008" s="293">
        <v>12.72</v>
      </c>
      <c r="O2008" s="287"/>
      <c r="P2008" s="287"/>
      <c r="Q2008" s="288">
        <v>2908.4800314465406</v>
      </c>
      <c r="R2008" s="288">
        <v>2908.8050314465404</v>
      </c>
      <c r="S2008" s="288">
        <v>-0.32500000000000001</v>
      </c>
      <c r="T2008" s="288"/>
      <c r="U2008" s="288">
        <v>0</v>
      </c>
      <c r="V2008" s="289">
        <v>2908.8050314465404</v>
      </c>
      <c r="W2008" s="289">
        <v>0</v>
      </c>
      <c r="X2008" s="288">
        <v>2.9084800314465404</v>
      </c>
      <c r="Y2008" s="288">
        <v>2.9088050314465406</v>
      </c>
      <c r="Z2008" s="288">
        <v>-3.2499999999999999E-4</v>
      </c>
      <c r="AA2008" s="288">
        <v>0</v>
      </c>
      <c r="AB2008" s="288">
        <v>0</v>
      </c>
      <c r="AC2008" s="289">
        <v>2.9088050314465406</v>
      </c>
      <c r="AD2008" s="289">
        <v>0</v>
      </c>
    </row>
    <row r="2009" spans="1:30" ht="15" customHeight="1" x14ac:dyDescent="0.25">
      <c r="A2009" s="282" t="s">
        <v>2996</v>
      </c>
      <c r="B2009" s="282" t="s">
        <v>3013</v>
      </c>
      <c r="C2009" s="282" t="s">
        <v>3014</v>
      </c>
      <c r="D2009" s="286" t="s">
        <v>3024</v>
      </c>
      <c r="E2009" s="403">
        <v>45135</v>
      </c>
      <c r="F2009" s="403">
        <v>46962</v>
      </c>
      <c r="G2009" s="283" t="s">
        <v>154</v>
      </c>
      <c r="H2009" s="283" t="s">
        <v>3016</v>
      </c>
      <c r="I2009" s="283" t="s">
        <v>590</v>
      </c>
      <c r="J2009" s="282" t="s">
        <v>156</v>
      </c>
      <c r="K2009" s="283" t="s">
        <v>3017</v>
      </c>
      <c r="L2009" s="286" t="s">
        <v>158</v>
      </c>
      <c r="M2009" s="293"/>
      <c r="N2009" s="293">
        <v>12.15</v>
      </c>
      <c r="O2009" s="287"/>
      <c r="P2009" s="287"/>
      <c r="Q2009" s="288">
        <v>2954.4045102880655</v>
      </c>
      <c r="R2009" s="288">
        <v>2954.7325102880654</v>
      </c>
      <c r="S2009" s="288">
        <v>-0.32800000000000001</v>
      </c>
      <c r="T2009" s="288"/>
      <c r="U2009" s="288">
        <v>0</v>
      </c>
      <c r="V2009" s="289">
        <v>2954.7325102880654</v>
      </c>
      <c r="W2009" s="289">
        <v>0</v>
      </c>
      <c r="X2009" s="288">
        <v>2.9544045102880654</v>
      </c>
      <c r="Y2009" s="288">
        <v>2.9547325102880655</v>
      </c>
      <c r="Z2009" s="288">
        <v>-3.28E-4</v>
      </c>
      <c r="AA2009" s="288">
        <v>0</v>
      </c>
      <c r="AB2009" s="288">
        <v>0</v>
      </c>
      <c r="AC2009" s="289">
        <v>2.9547325102880655</v>
      </c>
      <c r="AD2009" s="289">
        <v>0</v>
      </c>
    </row>
    <row r="2010" spans="1:30" ht="15" customHeight="1" x14ac:dyDescent="0.25">
      <c r="A2010" s="282" t="s">
        <v>2996</v>
      </c>
      <c r="B2010" s="282" t="s">
        <v>3020</v>
      </c>
      <c r="C2010" s="282" t="s">
        <v>3014</v>
      </c>
      <c r="D2010" s="286" t="s">
        <v>3025</v>
      </c>
      <c r="E2010" s="403">
        <v>45071</v>
      </c>
      <c r="F2010" s="403">
        <v>46898</v>
      </c>
      <c r="G2010" s="283" t="s">
        <v>154</v>
      </c>
      <c r="H2010" s="283" t="s">
        <v>3022</v>
      </c>
      <c r="I2010" s="283" t="s">
        <v>590</v>
      </c>
      <c r="J2010" s="282" t="s">
        <v>156</v>
      </c>
      <c r="K2010" s="283" t="s">
        <v>3023</v>
      </c>
      <c r="L2010" s="286" t="s">
        <v>158</v>
      </c>
      <c r="M2010" s="293"/>
      <c r="N2010" s="293">
        <v>11.93</v>
      </c>
      <c r="O2010" s="287"/>
      <c r="P2010" s="287"/>
      <c r="Q2010" s="288">
        <v>2916.7109262363788</v>
      </c>
      <c r="R2010" s="288">
        <v>2917.0159262363786</v>
      </c>
      <c r="S2010" s="288">
        <v>-0.30499999999999999</v>
      </c>
      <c r="T2010" s="288"/>
      <c r="U2010" s="288">
        <v>0</v>
      </c>
      <c r="V2010" s="289">
        <v>2917.0159262363786</v>
      </c>
      <c r="W2010" s="289">
        <v>0</v>
      </c>
      <c r="X2010" s="288">
        <v>2.9167109262363788</v>
      </c>
      <c r="Y2010" s="288">
        <v>2.9170159262363784</v>
      </c>
      <c r="Z2010" s="288">
        <v>-3.0499999999999999E-4</v>
      </c>
      <c r="AA2010" s="288">
        <v>0</v>
      </c>
      <c r="AB2010" s="288">
        <v>0</v>
      </c>
      <c r="AC2010" s="289">
        <v>2.9170159262363784</v>
      </c>
      <c r="AD2010" s="289">
        <v>0</v>
      </c>
    </row>
    <row r="2011" spans="1:30" ht="15" customHeight="1" x14ac:dyDescent="0.25">
      <c r="A2011" s="282" t="s">
        <v>2996</v>
      </c>
      <c r="B2011" s="282" t="s">
        <v>3013</v>
      </c>
      <c r="C2011" s="282" t="s">
        <v>3014</v>
      </c>
      <c r="D2011" s="286" t="s">
        <v>3026</v>
      </c>
      <c r="E2011" s="403">
        <v>45135</v>
      </c>
      <c r="F2011" s="403">
        <v>46962</v>
      </c>
      <c r="G2011" s="283" t="s">
        <v>154</v>
      </c>
      <c r="H2011" s="283" t="s">
        <v>3016</v>
      </c>
      <c r="I2011" s="283" t="s">
        <v>590</v>
      </c>
      <c r="J2011" s="282" t="s">
        <v>156</v>
      </c>
      <c r="K2011" s="283" t="s">
        <v>3017</v>
      </c>
      <c r="L2011" s="286" t="s">
        <v>158</v>
      </c>
      <c r="M2011" s="293"/>
      <c r="N2011" s="293">
        <v>9.7899999999999991</v>
      </c>
      <c r="O2011" s="287"/>
      <c r="P2011" s="287"/>
      <c r="Q2011" s="288">
        <v>3013.0098559754856</v>
      </c>
      <c r="R2011" s="288">
        <v>3013.2788559754854</v>
      </c>
      <c r="S2011" s="288">
        <v>-0.26900000000000002</v>
      </c>
      <c r="T2011" s="288"/>
      <c r="U2011" s="288">
        <v>0</v>
      </c>
      <c r="V2011" s="289">
        <v>3013.2788559754854</v>
      </c>
      <c r="W2011" s="289">
        <v>0</v>
      </c>
      <c r="X2011" s="288">
        <v>3.0130098559754854</v>
      </c>
      <c r="Y2011" s="288">
        <v>3.0132788559754853</v>
      </c>
      <c r="Z2011" s="288">
        <v>-2.6900000000000003E-4</v>
      </c>
      <c r="AA2011" s="288">
        <v>0</v>
      </c>
      <c r="AB2011" s="288">
        <v>0</v>
      </c>
      <c r="AC2011" s="289">
        <v>3.0132788559754853</v>
      </c>
      <c r="AD2011" s="289">
        <v>0</v>
      </c>
    </row>
    <row r="2012" spans="1:30" ht="15" customHeight="1" x14ac:dyDescent="0.25">
      <c r="A2012" s="282" t="s">
        <v>2996</v>
      </c>
      <c r="B2012" s="282" t="s">
        <v>3020</v>
      </c>
      <c r="C2012" s="282" t="s">
        <v>3014</v>
      </c>
      <c r="D2012" s="286" t="s">
        <v>3027</v>
      </c>
      <c r="E2012" s="403">
        <v>45071</v>
      </c>
      <c r="F2012" s="403">
        <v>46898</v>
      </c>
      <c r="G2012" s="283" t="s">
        <v>154</v>
      </c>
      <c r="H2012" s="283" t="s">
        <v>3022</v>
      </c>
      <c r="I2012" s="283" t="s">
        <v>590</v>
      </c>
      <c r="J2012" s="282" t="s">
        <v>156</v>
      </c>
      <c r="K2012" s="283" t="s">
        <v>3023</v>
      </c>
      <c r="L2012" s="286" t="s">
        <v>158</v>
      </c>
      <c r="M2012" s="293"/>
      <c r="N2012" s="293">
        <v>9.58</v>
      </c>
      <c r="O2012" s="287"/>
      <c r="P2012" s="287"/>
      <c r="Q2012" s="288">
        <v>2964.2633945720249</v>
      </c>
      <c r="R2012" s="288">
        <v>2964.509394572025</v>
      </c>
      <c r="S2012" s="288">
        <v>-0.246</v>
      </c>
      <c r="T2012" s="288"/>
      <c r="U2012" s="288">
        <v>0</v>
      </c>
      <c r="V2012" s="289">
        <v>2964.509394572025</v>
      </c>
      <c r="W2012" s="289">
        <v>0</v>
      </c>
      <c r="X2012" s="288">
        <v>2.9642633945720251</v>
      </c>
      <c r="Y2012" s="288">
        <v>2.9645093945720249</v>
      </c>
      <c r="Z2012" s="288">
        <v>-2.4600000000000002E-4</v>
      </c>
      <c r="AA2012" s="288">
        <v>0</v>
      </c>
      <c r="AB2012" s="288">
        <v>0</v>
      </c>
      <c r="AC2012" s="289">
        <v>2.9645093945720249</v>
      </c>
      <c r="AD2012" s="289">
        <v>0</v>
      </c>
    </row>
    <row r="2013" spans="1:30" ht="15" customHeight="1" x14ac:dyDescent="0.25">
      <c r="A2013" s="282" t="s">
        <v>2996</v>
      </c>
      <c r="B2013" s="282" t="s">
        <v>3020</v>
      </c>
      <c r="C2013" s="282" t="s">
        <v>3014</v>
      </c>
      <c r="D2013" s="286" t="s">
        <v>3028</v>
      </c>
      <c r="E2013" s="403">
        <v>45071</v>
      </c>
      <c r="F2013" s="403">
        <v>46898</v>
      </c>
      <c r="G2013" s="283" t="s">
        <v>154</v>
      </c>
      <c r="H2013" s="283" t="s">
        <v>3022</v>
      </c>
      <c r="I2013" s="283" t="s">
        <v>590</v>
      </c>
      <c r="J2013" s="282" t="s">
        <v>156</v>
      </c>
      <c r="K2013" s="283" t="s">
        <v>3023</v>
      </c>
      <c r="L2013" s="286" t="s">
        <v>158</v>
      </c>
      <c r="M2013" s="293"/>
      <c r="N2013" s="293">
        <v>9.18</v>
      </c>
      <c r="O2013" s="287"/>
      <c r="P2013" s="287"/>
      <c r="Q2013" s="288">
        <v>2973.6202091503269</v>
      </c>
      <c r="R2013" s="288">
        <v>2973.8562091503268</v>
      </c>
      <c r="S2013" s="288">
        <v>-0.23599999999999999</v>
      </c>
      <c r="T2013" s="288"/>
      <c r="U2013" s="288">
        <v>0</v>
      </c>
      <c r="V2013" s="289">
        <v>2973.8562091503268</v>
      </c>
      <c r="W2013" s="289">
        <v>0</v>
      </c>
      <c r="X2013" s="288">
        <v>2.9736202091503268</v>
      </c>
      <c r="Y2013" s="288">
        <v>2.9738562091503269</v>
      </c>
      <c r="Z2013" s="288">
        <v>-2.3599999999999999E-4</v>
      </c>
      <c r="AA2013" s="288">
        <v>0</v>
      </c>
      <c r="AB2013" s="288">
        <v>0</v>
      </c>
      <c r="AC2013" s="289">
        <v>2.9738562091503269</v>
      </c>
      <c r="AD2013" s="289">
        <v>0</v>
      </c>
    </row>
    <row r="2014" spans="1:30" ht="15" customHeight="1" x14ac:dyDescent="0.25">
      <c r="A2014" s="282" t="s">
        <v>2996</v>
      </c>
      <c r="B2014" s="282" t="s">
        <v>3013</v>
      </c>
      <c r="C2014" s="282" t="s">
        <v>3014</v>
      </c>
      <c r="D2014" s="286" t="s">
        <v>3029</v>
      </c>
      <c r="E2014" s="403">
        <v>45135</v>
      </c>
      <c r="F2014" s="403">
        <v>46962</v>
      </c>
      <c r="G2014" s="283" t="s">
        <v>154</v>
      </c>
      <c r="H2014" s="283" t="s">
        <v>3016</v>
      </c>
      <c r="I2014" s="283" t="s">
        <v>590</v>
      </c>
      <c r="J2014" s="282" t="s">
        <v>156</v>
      </c>
      <c r="K2014" s="283" t="s">
        <v>3017</v>
      </c>
      <c r="L2014" s="286" t="s">
        <v>158</v>
      </c>
      <c r="M2014" s="293"/>
      <c r="N2014" s="293">
        <v>8.2200000000000006</v>
      </c>
      <c r="O2014" s="287"/>
      <c r="P2014" s="287"/>
      <c r="Q2014" s="288">
        <v>3065.4634306569342</v>
      </c>
      <c r="R2014" s="288">
        <v>3065.6934306569342</v>
      </c>
      <c r="S2014" s="288">
        <v>-0.23</v>
      </c>
      <c r="T2014" s="288"/>
      <c r="U2014" s="288">
        <v>0</v>
      </c>
      <c r="V2014" s="289">
        <v>3065.6934306569342</v>
      </c>
      <c r="W2014" s="289">
        <v>0</v>
      </c>
      <c r="X2014" s="288">
        <v>3.0654634306569344</v>
      </c>
      <c r="Y2014" s="288">
        <v>3.0656934306569341</v>
      </c>
      <c r="Z2014" s="288">
        <v>-2.3000000000000001E-4</v>
      </c>
      <c r="AA2014" s="288">
        <v>0</v>
      </c>
      <c r="AB2014" s="288">
        <v>0</v>
      </c>
      <c r="AC2014" s="289">
        <v>3.0656934306569341</v>
      </c>
      <c r="AD2014" s="289">
        <v>0</v>
      </c>
    </row>
    <row r="2015" spans="1:30" ht="15" customHeight="1" x14ac:dyDescent="0.25">
      <c r="A2015" s="282" t="s">
        <v>2996</v>
      </c>
      <c r="B2015" s="282" t="s">
        <v>3020</v>
      </c>
      <c r="C2015" s="282" t="s">
        <v>3014</v>
      </c>
      <c r="D2015" s="286" t="s">
        <v>3030</v>
      </c>
      <c r="E2015" s="403">
        <v>45071</v>
      </c>
      <c r="F2015" s="403">
        <v>46898</v>
      </c>
      <c r="G2015" s="283" t="s">
        <v>154</v>
      </c>
      <c r="H2015" s="283" t="s">
        <v>3022</v>
      </c>
      <c r="I2015" s="283" t="s">
        <v>590</v>
      </c>
      <c r="J2015" s="282" t="s">
        <v>156</v>
      </c>
      <c r="K2015" s="283" t="s">
        <v>3023</v>
      </c>
      <c r="L2015" s="286" t="s">
        <v>158</v>
      </c>
      <c r="M2015" s="293"/>
      <c r="N2015" s="293">
        <v>8.01</v>
      </c>
      <c r="O2015" s="287"/>
      <c r="P2015" s="287"/>
      <c r="Q2015" s="288">
        <v>3008.5320761548069</v>
      </c>
      <c r="R2015" s="288">
        <v>3008.7390761548068</v>
      </c>
      <c r="S2015" s="288">
        <v>-0.20699999999999999</v>
      </c>
      <c r="T2015" s="288"/>
      <c r="U2015" s="288">
        <v>0</v>
      </c>
      <c r="V2015" s="289">
        <v>3008.7390761548068</v>
      </c>
      <c r="W2015" s="289">
        <v>0</v>
      </c>
      <c r="X2015" s="288">
        <v>3.0085320761548067</v>
      </c>
      <c r="Y2015" s="288">
        <v>3.0087390761548067</v>
      </c>
      <c r="Z2015" s="288">
        <v>-2.0699999999999999E-4</v>
      </c>
      <c r="AA2015" s="288">
        <v>0</v>
      </c>
      <c r="AB2015" s="288">
        <v>0</v>
      </c>
      <c r="AC2015" s="289">
        <v>3.0087390761548067</v>
      </c>
      <c r="AD2015" s="289">
        <v>0</v>
      </c>
    </row>
    <row r="2016" spans="1:30" ht="15" customHeight="1" x14ac:dyDescent="0.25">
      <c r="A2016" s="282" t="s">
        <v>2996</v>
      </c>
      <c r="B2016" s="282" t="s">
        <v>3020</v>
      </c>
      <c r="C2016" s="282" t="s">
        <v>3014</v>
      </c>
      <c r="D2016" s="286" t="s">
        <v>3031</v>
      </c>
      <c r="E2016" s="403">
        <v>45071</v>
      </c>
      <c r="F2016" s="403">
        <v>46898</v>
      </c>
      <c r="G2016" s="283" t="s">
        <v>154</v>
      </c>
      <c r="H2016" s="283" t="s">
        <v>3022</v>
      </c>
      <c r="I2016" s="283" t="s">
        <v>590</v>
      </c>
      <c r="J2016" s="282" t="s">
        <v>156</v>
      </c>
      <c r="K2016" s="283" t="s">
        <v>3023</v>
      </c>
      <c r="L2016" s="286" t="s">
        <v>158</v>
      </c>
      <c r="M2016" s="293"/>
      <c r="N2016" s="293">
        <v>7.61</v>
      </c>
      <c r="O2016" s="287"/>
      <c r="P2016" s="287"/>
      <c r="Q2016" s="288">
        <v>3022.1420275952692</v>
      </c>
      <c r="R2016" s="288">
        <v>3022.3390275952693</v>
      </c>
      <c r="S2016" s="288">
        <v>-0.19700000000000001</v>
      </c>
      <c r="T2016" s="288"/>
      <c r="U2016" s="288">
        <v>0</v>
      </c>
      <c r="V2016" s="289">
        <v>3022.3390275952693</v>
      </c>
      <c r="W2016" s="289">
        <v>0</v>
      </c>
      <c r="X2016" s="288">
        <v>3.0221420275952693</v>
      </c>
      <c r="Y2016" s="288">
        <v>3.0223390275952693</v>
      </c>
      <c r="Z2016" s="288">
        <v>-1.9700000000000002E-4</v>
      </c>
      <c r="AA2016" s="288">
        <v>0</v>
      </c>
      <c r="AB2016" s="288">
        <v>0</v>
      </c>
      <c r="AC2016" s="289">
        <v>3.0223390275952693</v>
      </c>
      <c r="AD2016" s="289">
        <v>0</v>
      </c>
    </row>
    <row r="2017" spans="1:30" ht="15" customHeight="1" x14ac:dyDescent="0.25">
      <c r="A2017" s="282" t="s">
        <v>2996</v>
      </c>
      <c r="B2017" s="282" t="s">
        <v>3020</v>
      </c>
      <c r="C2017" s="282" t="s">
        <v>3014</v>
      </c>
      <c r="D2017" s="286" t="s">
        <v>3032</v>
      </c>
      <c r="E2017" s="403">
        <v>45071</v>
      </c>
      <c r="F2017" s="403">
        <v>46898</v>
      </c>
      <c r="G2017" s="283" t="s">
        <v>154</v>
      </c>
      <c r="H2017" s="283" t="s">
        <v>3022</v>
      </c>
      <c r="I2017" s="283" t="s">
        <v>590</v>
      </c>
      <c r="J2017" s="282" t="s">
        <v>156</v>
      </c>
      <c r="K2017" s="283" t="s">
        <v>3023</v>
      </c>
      <c r="L2017" s="286" t="s">
        <v>158</v>
      </c>
      <c r="M2017" s="293"/>
      <c r="N2017" s="293">
        <v>6.04</v>
      </c>
      <c r="O2017" s="287"/>
      <c r="P2017" s="287"/>
      <c r="Q2017" s="288">
        <v>3095.8684900662251</v>
      </c>
      <c r="R2017" s="288">
        <v>3096.0264900662251</v>
      </c>
      <c r="S2017" s="288">
        <v>-0.158</v>
      </c>
      <c r="T2017" s="288"/>
      <c r="U2017" s="288">
        <v>0</v>
      </c>
      <c r="V2017" s="289">
        <v>3096.0264900662251</v>
      </c>
      <c r="W2017" s="289">
        <v>0</v>
      </c>
      <c r="X2017" s="288">
        <v>3.0958684900662252</v>
      </c>
      <c r="Y2017" s="288">
        <v>3.0960264900662251</v>
      </c>
      <c r="Z2017" s="288">
        <v>-1.5799999999999999E-4</v>
      </c>
      <c r="AA2017" s="288">
        <v>0</v>
      </c>
      <c r="AB2017" s="288">
        <v>0</v>
      </c>
      <c r="AC2017" s="289">
        <v>3.0960264900662251</v>
      </c>
      <c r="AD2017" s="289">
        <v>0</v>
      </c>
    </row>
    <row r="2018" spans="1:30" ht="15" customHeight="1" x14ac:dyDescent="0.25">
      <c r="A2018" s="282" t="s">
        <v>2996</v>
      </c>
      <c r="B2018" s="282" t="s">
        <v>3020</v>
      </c>
      <c r="C2018" s="282" t="s">
        <v>3014</v>
      </c>
      <c r="D2018" s="286" t="s">
        <v>3033</v>
      </c>
      <c r="E2018" s="403">
        <v>45071</v>
      </c>
      <c r="F2018" s="403">
        <v>46898</v>
      </c>
      <c r="G2018" s="283" t="s">
        <v>154</v>
      </c>
      <c r="H2018" s="283" t="s">
        <v>3022</v>
      </c>
      <c r="I2018" s="283" t="s">
        <v>590</v>
      </c>
      <c r="J2018" s="282" t="s">
        <v>156</v>
      </c>
      <c r="K2018" s="283" t="s">
        <v>3023</v>
      </c>
      <c r="L2018" s="286" t="s">
        <v>158</v>
      </c>
      <c r="M2018" s="293"/>
      <c r="N2018" s="293">
        <v>4.87</v>
      </c>
      <c r="O2018" s="287"/>
      <c r="P2018" s="287"/>
      <c r="Q2018" s="288">
        <v>3182.6235400410674</v>
      </c>
      <c r="R2018" s="288">
        <v>3182.7515400410675</v>
      </c>
      <c r="S2018" s="288">
        <v>-0.128</v>
      </c>
      <c r="T2018" s="288"/>
      <c r="U2018" s="288">
        <v>0</v>
      </c>
      <c r="V2018" s="289">
        <v>3182.7515400410675</v>
      </c>
      <c r="W2018" s="289">
        <v>0</v>
      </c>
      <c r="X2018" s="288">
        <v>3.1826235400410674</v>
      </c>
      <c r="Y2018" s="288">
        <v>3.1827515400410675</v>
      </c>
      <c r="Z2018" s="288">
        <v>-1.2799999999999999E-4</v>
      </c>
      <c r="AA2018" s="288">
        <v>0</v>
      </c>
      <c r="AB2018" s="288">
        <v>0</v>
      </c>
      <c r="AC2018" s="289">
        <v>3.1827515400410675</v>
      </c>
      <c r="AD2018" s="289">
        <v>0</v>
      </c>
    </row>
    <row r="2019" spans="1:30" ht="15" customHeight="1" x14ac:dyDescent="0.25">
      <c r="A2019" s="282" t="s">
        <v>2996</v>
      </c>
      <c r="B2019" s="282" t="s">
        <v>3020</v>
      </c>
      <c r="C2019" s="282" t="s">
        <v>3014</v>
      </c>
      <c r="D2019" s="286" t="s">
        <v>3034</v>
      </c>
      <c r="E2019" s="403">
        <v>45071</v>
      </c>
      <c r="F2019" s="403">
        <v>46898</v>
      </c>
      <c r="G2019" s="283" t="s">
        <v>154</v>
      </c>
      <c r="H2019" s="283" t="s">
        <v>3022</v>
      </c>
      <c r="I2019" s="283" t="s">
        <v>590</v>
      </c>
      <c r="J2019" s="282" t="s">
        <v>156</v>
      </c>
      <c r="K2019" s="283" t="s">
        <v>3023</v>
      </c>
      <c r="L2019" s="286" t="s">
        <v>158</v>
      </c>
      <c r="M2019" s="293"/>
      <c r="N2019" s="293">
        <v>4.47</v>
      </c>
      <c r="O2019" s="287"/>
      <c r="P2019" s="287"/>
      <c r="Q2019" s="288">
        <v>3221.3585100671144</v>
      </c>
      <c r="R2019" s="288">
        <v>3221.4765100671143</v>
      </c>
      <c r="S2019" s="288">
        <v>-0.11799999999999999</v>
      </c>
      <c r="T2019" s="288"/>
      <c r="U2019" s="288">
        <v>0</v>
      </c>
      <c r="V2019" s="289">
        <v>3221.4765100671143</v>
      </c>
      <c r="W2019" s="289">
        <v>0</v>
      </c>
      <c r="X2019" s="288">
        <v>3.2213585100671143</v>
      </c>
      <c r="Y2019" s="288">
        <v>3.2214765100671143</v>
      </c>
      <c r="Z2019" s="288">
        <v>-1.18E-4</v>
      </c>
      <c r="AA2019" s="288">
        <v>0</v>
      </c>
      <c r="AB2019" s="288">
        <v>0</v>
      </c>
      <c r="AC2019" s="289">
        <v>3.2214765100671143</v>
      </c>
      <c r="AD2019" s="289">
        <v>0</v>
      </c>
    </row>
    <row r="2020" spans="1:30" ht="15" customHeight="1" x14ac:dyDescent="0.25">
      <c r="A2020" s="282" t="s">
        <v>2996</v>
      </c>
      <c r="B2020" s="282" t="s">
        <v>3020</v>
      </c>
      <c r="C2020" s="282" t="s">
        <v>3014</v>
      </c>
      <c r="D2020" s="286" t="s">
        <v>3035</v>
      </c>
      <c r="E2020" s="403">
        <v>45071</v>
      </c>
      <c r="F2020" s="403">
        <v>46898</v>
      </c>
      <c r="G2020" s="283" t="s">
        <v>154</v>
      </c>
      <c r="H2020" s="283" t="s">
        <v>3022</v>
      </c>
      <c r="I2020" s="283" t="s">
        <v>590</v>
      </c>
      <c r="J2020" s="282" t="s">
        <v>156</v>
      </c>
      <c r="K2020" s="283" t="s">
        <v>3023</v>
      </c>
      <c r="L2020" s="286" t="s">
        <v>158</v>
      </c>
      <c r="M2020" s="293"/>
      <c r="N2020" s="293">
        <v>3.92</v>
      </c>
      <c r="O2020" s="287"/>
      <c r="P2020" s="287"/>
      <c r="Q2020" s="288">
        <v>3290.7113265306125</v>
      </c>
      <c r="R2020" s="288">
        <v>3290.8163265306125</v>
      </c>
      <c r="S2020" s="288">
        <v>-0.105</v>
      </c>
      <c r="T2020" s="288"/>
      <c r="U2020" s="288">
        <v>0</v>
      </c>
      <c r="V2020" s="289">
        <v>3290.8163265306125</v>
      </c>
      <c r="W2020" s="289">
        <v>0</v>
      </c>
      <c r="X2020" s="288">
        <v>3.2907113265306127</v>
      </c>
      <c r="Y2020" s="288">
        <v>3.2908163265306127</v>
      </c>
      <c r="Z2020" s="288">
        <v>-1.0499999999999999E-4</v>
      </c>
      <c r="AA2020" s="288">
        <v>0</v>
      </c>
      <c r="AB2020" s="288">
        <v>0</v>
      </c>
      <c r="AC2020" s="289">
        <v>3.2908163265306127</v>
      </c>
      <c r="AD2020" s="289">
        <v>0</v>
      </c>
    </row>
    <row r="2021" spans="1:30" ht="15" customHeight="1" x14ac:dyDescent="0.25">
      <c r="A2021" s="282" t="s">
        <v>2996</v>
      </c>
      <c r="B2021" s="282" t="s">
        <v>3020</v>
      </c>
      <c r="C2021" s="282" t="s">
        <v>3014</v>
      </c>
      <c r="D2021" s="286" t="s">
        <v>3036</v>
      </c>
      <c r="E2021" s="403">
        <v>45071</v>
      </c>
      <c r="F2021" s="403">
        <v>46898</v>
      </c>
      <c r="G2021" s="283" t="s">
        <v>154</v>
      </c>
      <c r="H2021" s="283" t="s">
        <v>3022</v>
      </c>
      <c r="I2021" s="283" t="s">
        <v>590</v>
      </c>
      <c r="J2021" s="282" t="s">
        <v>156</v>
      </c>
      <c r="K2021" s="283" t="s">
        <v>3023</v>
      </c>
      <c r="L2021" s="286" t="s">
        <v>158</v>
      </c>
      <c r="M2021" s="293"/>
      <c r="N2021" s="293">
        <v>3.45</v>
      </c>
      <c r="O2021" s="287"/>
      <c r="P2021" s="287"/>
      <c r="Q2021" s="288">
        <v>3362.2261405797099</v>
      </c>
      <c r="R2021" s="288">
        <v>3362.31884057971</v>
      </c>
      <c r="S2021" s="288">
        <v>-9.2700000000000005E-2</v>
      </c>
      <c r="T2021" s="288"/>
      <c r="U2021" s="288">
        <v>0</v>
      </c>
      <c r="V2021" s="289">
        <v>3362.31884057971</v>
      </c>
      <c r="W2021" s="289">
        <v>0</v>
      </c>
      <c r="X2021" s="288">
        <v>3.3622261405797098</v>
      </c>
      <c r="Y2021" s="288">
        <v>3.36231884057971</v>
      </c>
      <c r="Z2021" s="288">
        <v>-9.2700000000000004E-5</v>
      </c>
      <c r="AA2021" s="288">
        <v>0</v>
      </c>
      <c r="AB2021" s="288">
        <v>0</v>
      </c>
      <c r="AC2021" s="289">
        <v>3.36231884057971</v>
      </c>
      <c r="AD2021" s="289">
        <v>0</v>
      </c>
    </row>
    <row r="2022" spans="1:30" ht="15" customHeight="1" x14ac:dyDescent="0.25">
      <c r="A2022" s="282" t="s">
        <v>2996</v>
      </c>
      <c r="B2022" s="282" t="s">
        <v>3013</v>
      </c>
      <c r="C2022" s="282" t="s">
        <v>3014</v>
      </c>
      <c r="D2022" s="286" t="s">
        <v>3037</v>
      </c>
      <c r="E2022" s="403">
        <v>45135</v>
      </c>
      <c r="F2022" s="403">
        <v>46962</v>
      </c>
      <c r="G2022" s="283" t="s">
        <v>154</v>
      </c>
      <c r="H2022" s="283" t="s">
        <v>3016</v>
      </c>
      <c r="I2022" s="283" t="s">
        <v>590</v>
      </c>
      <c r="J2022" s="282" t="s">
        <v>156</v>
      </c>
      <c r="K2022" s="283" t="s">
        <v>3017</v>
      </c>
      <c r="L2022" s="286" t="s">
        <v>158</v>
      </c>
      <c r="M2022" s="293"/>
      <c r="N2022" s="293">
        <v>8.2200000000000006</v>
      </c>
      <c r="O2022" s="287"/>
      <c r="P2022" s="287"/>
      <c r="Q2022" s="288">
        <v>2931.8565793187349</v>
      </c>
      <c r="R2022" s="288">
        <v>2931.873479318735</v>
      </c>
      <c r="S2022" s="288">
        <v>-1.6899999999999998E-2</v>
      </c>
      <c r="T2022" s="288"/>
      <c r="U2022" s="288">
        <v>0</v>
      </c>
      <c r="V2022" s="289">
        <v>2931.873479318735</v>
      </c>
      <c r="W2022" s="289">
        <v>0</v>
      </c>
      <c r="X2022" s="288">
        <v>2.931856579318735</v>
      </c>
      <c r="Y2022" s="288">
        <v>2.9318734793187349</v>
      </c>
      <c r="Z2022" s="288">
        <v>-1.6899999999999997E-5</v>
      </c>
      <c r="AA2022" s="288">
        <v>0</v>
      </c>
      <c r="AB2022" s="288">
        <v>0</v>
      </c>
      <c r="AC2022" s="289">
        <v>2.9318734793187349</v>
      </c>
      <c r="AD2022" s="289">
        <v>0</v>
      </c>
    </row>
    <row r="2023" spans="1:30" ht="15" customHeight="1" x14ac:dyDescent="0.25">
      <c r="A2023" s="282" t="s">
        <v>2996</v>
      </c>
      <c r="B2023" s="282" t="s">
        <v>3013</v>
      </c>
      <c r="C2023" s="282" t="s">
        <v>3014</v>
      </c>
      <c r="D2023" s="286" t="s">
        <v>3038</v>
      </c>
      <c r="E2023" s="403">
        <v>45135</v>
      </c>
      <c r="F2023" s="403">
        <v>46962</v>
      </c>
      <c r="G2023" s="283" t="s">
        <v>154</v>
      </c>
      <c r="H2023" s="283" t="s">
        <v>3016</v>
      </c>
      <c r="I2023" s="283" t="s">
        <v>590</v>
      </c>
      <c r="J2023" s="282" t="s">
        <v>156</v>
      </c>
      <c r="K2023" s="283" t="s">
        <v>3017</v>
      </c>
      <c r="L2023" s="286" t="s">
        <v>158</v>
      </c>
      <c r="M2023" s="293"/>
      <c r="N2023" s="293">
        <v>9.7899999999999991</v>
      </c>
      <c r="O2023" s="287"/>
      <c r="P2023" s="287"/>
      <c r="Q2023" s="288">
        <v>2880.4746962206332</v>
      </c>
      <c r="R2023" s="288">
        <v>2880.4902962206334</v>
      </c>
      <c r="S2023" s="288">
        <v>-1.5599999999999999E-2</v>
      </c>
      <c r="T2023" s="288"/>
      <c r="U2023" s="288">
        <v>0</v>
      </c>
      <c r="V2023" s="289">
        <v>2880.4902962206334</v>
      </c>
      <c r="W2023" s="289">
        <v>0</v>
      </c>
      <c r="X2023" s="288">
        <v>2.8804746962206331</v>
      </c>
      <c r="Y2023" s="288">
        <v>2.8804902962206334</v>
      </c>
      <c r="Z2023" s="288">
        <v>-1.56E-5</v>
      </c>
      <c r="AA2023" s="288">
        <v>0</v>
      </c>
      <c r="AB2023" s="288">
        <v>0</v>
      </c>
      <c r="AC2023" s="289">
        <v>2.8804902962206334</v>
      </c>
      <c r="AD2023" s="289">
        <v>0</v>
      </c>
    </row>
    <row r="2024" spans="1:30" ht="15" customHeight="1" x14ac:dyDescent="0.25">
      <c r="A2024" s="282" t="s">
        <v>2996</v>
      </c>
      <c r="B2024" s="282" t="s">
        <v>3013</v>
      </c>
      <c r="C2024" s="282" t="s">
        <v>3014</v>
      </c>
      <c r="D2024" s="286" t="s">
        <v>3039</v>
      </c>
      <c r="E2024" s="403">
        <v>45135</v>
      </c>
      <c r="F2024" s="403">
        <v>46962</v>
      </c>
      <c r="G2024" s="283" t="s">
        <v>154</v>
      </c>
      <c r="H2024" s="283" t="s">
        <v>3016</v>
      </c>
      <c r="I2024" s="283" t="s">
        <v>590</v>
      </c>
      <c r="J2024" s="282" t="s">
        <v>156</v>
      </c>
      <c r="K2024" s="283" t="s">
        <v>3017</v>
      </c>
      <c r="L2024" s="286" t="s">
        <v>158</v>
      </c>
      <c r="M2024" s="293"/>
      <c r="N2024" s="293">
        <v>12.15</v>
      </c>
      <c r="O2024" s="287"/>
      <c r="P2024" s="287"/>
      <c r="Q2024" s="288">
        <v>2831.2620201646091</v>
      </c>
      <c r="R2024" s="288">
        <v>2831.2757201646091</v>
      </c>
      <c r="S2024" s="288">
        <v>-1.37E-2</v>
      </c>
      <c r="T2024" s="288"/>
      <c r="U2024" s="288">
        <v>0</v>
      </c>
      <c r="V2024" s="289">
        <v>2831.2757201646091</v>
      </c>
      <c r="W2024" s="289">
        <v>0</v>
      </c>
      <c r="X2024" s="288">
        <v>2.8312620201646093</v>
      </c>
      <c r="Y2024" s="288">
        <v>2.831275720164609</v>
      </c>
      <c r="Z2024" s="288">
        <v>-1.3700000000000001E-5</v>
      </c>
      <c r="AA2024" s="288">
        <v>0</v>
      </c>
      <c r="AB2024" s="288">
        <v>0</v>
      </c>
      <c r="AC2024" s="289">
        <v>2.831275720164609</v>
      </c>
      <c r="AD2024" s="289">
        <v>0</v>
      </c>
    </row>
    <row r="2025" spans="1:30" ht="15" customHeight="1" x14ac:dyDescent="0.25">
      <c r="A2025" s="282" t="s">
        <v>2996</v>
      </c>
      <c r="B2025" s="282" t="s">
        <v>3013</v>
      </c>
      <c r="C2025" s="282" t="s">
        <v>3014</v>
      </c>
      <c r="D2025" s="286" t="s">
        <v>3040</v>
      </c>
      <c r="E2025" s="403">
        <v>45135</v>
      </c>
      <c r="F2025" s="403">
        <v>46962</v>
      </c>
      <c r="G2025" s="283" t="s">
        <v>154</v>
      </c>
      <c r="H2025" s="283" t="s">
        <v>3016</v>
      </c>
      <c r="I2025" s="283" t="s">
        <v>590</v>
      </c>
      <c r="J2025" s="282" t="s">
        <v>156</v>
      </c>
      <c r="K2025" s="283" t="s">
        <v>3017</v>
      </c>
      <c r="L2025" s="286" t="s">
        <v>158</v>
      </c>
      <c r="M2025" s="293"/>
      <c r="N2025" s="293">
        <v>15.29</v>
      </c>
      <c r="O2025" s="287"/>
      <c r="P2025" s="287"/>
      <c r="Q2025" s="288">
        <v>2786.123528580772</v>
      </c>
      <c r="R2025" s="288">
        <v>2786.1347285807719</v>
      </c>
      <c r="S2025" s="288">
        <v>-1.12E-2</v>
      </c>
      <c r="T2025" s="288"/>
      <c r="U2025" s="288">
        <v>0</v>
      </c>
      <c r="V2025" s="289">
        <v>2786.1347285807719</v>
      </c>
      <c r="W2025" s="289">
        <v>0</v>
      </c>
      <c r="X2025" s="288">
        <v>2.7861235285807719</v>
      </c>
      <c r="Y2025" s="288">
        <v>2.7861347285807718</v>
      </c>
      <c r="Z2025" s="288">
        <v>-1.1199999999999999E-5</v>
      </c>
      <c r="AA2025" s="288">
        <v>0</v>
      </c>
      <c r="AB2025" s="288">
        <v>0</v>
      </c>
      <c r="AC2025" s="289">
        <v>2.7861347285807718</v>
      </c>
      <c r="AD2025" s="289">
        <v>0</v>
      </c>
    </row>
    <row r="2026" spans="1:30" ht="15" customHeight="1" x14ac:dyDescent="0.25">
      <c r="A2026" s="282" t="s">
        <v>2996</v>
      </c>
      <c r="B2026" s="282" t="s">
        <v>3013</v>
      </c>
      <c r="C2026" s="282" t="s">
        <v>3014</v>
      </c>
      <c r="D2026" s="286" t="s">
        <v>3041</v>
      </c>
      <c r="E2026" s="403">
        <v>45135</v>
      </c>
      <c r="F2026" s="403">
        <v>46962</v>
      </c>
      <c r="G2026" s="283" t="s">
        <v>154</v>
      </c>
      <c r="H2026" s="283" t="s">
        <v>3016</v>
      </c>
      <c r="I2026" s="283" t="s">
        <v>590</v>
      </c>
      <c r="J2026" s="282" t="s">
        <v>156</v>
      </c>
      <c r="K2026" s="283" t="s">
        <v>3017</v>
      </c>
      <c r="L2026" s="286" t="s">
        <v>158</v>
      </c>
      <c r="M2026" s="293"/>
      <c r="N2026" s="293">
        <v>19.21</v>
      </c>
      <c r="O2026" s="287"/>
      <c r="P2026" s="287"/>
      <c r="Q2026" s="288">
        <v>2753.7659660020818</v>
      </c>
      <c r="R2026" s="288">
        <v>2753.774076002082</v>
      </c>
      <c r="S2026" s="288">
        <v>-8.1099999999999992E-3</v>
      </c>
      <c r="T2026" s="288"/>
      <c r="U2026" s="288">
        <v>0</v>
      </c>
      <c r="V2026" s="289">
        <v>2753.774076002082</v>
      </c>
      <c r="W2026" s="289">
        <v>0</v>
      </c>
      <c r="X2026" s="288">
        <v>2.7537659660020819</v>
      </c>
      <c r="Y2026" s="288">
        <v>2.7537740760020819</v>
      </c>
      <c r="Z2026" s="288">
        <v>-8.1099999999999986E-6</v>
      </c>
      <c r="AA2026" s="288">
        <v>0</v>
      </c>
      <c r="AB2026" s="288">
        <v>0</v>
      </c>
      <c r="AC2026" s="289">
        <v>2.7537740760020819</v>
      </c>
      <c r="AD2026" s="289">
        <v>0</v>
      </c>
    </row>
    <row r="2027" spans="1:30" ht="15" customHeight="1" x14ac:dyDescent="0.25">
      <c r="A2027" s="282" t="s">
        <v>2996</v>
      </c>
      <c r="B2027" s="282" t="s">
        <v>3042</v>
      </c>
      <c r="C2027" s="282" t="s">
        <v>3014</v>
      </c>
      <c r="D2027" s="286" t="s">
        <v>3043</v>
      </c>
      <c r="E2027" s="403">
        <v>45071</v>
      </c>
      <c r="F2027" s="403">
        <v>46898</v>
      </c>
      <c r="G2027" s="283" t="s">
        <v>154</v>
      </c>
      <c r="H2027" s="283" t="s">
        <v>3044</v>
      </c>
      <c r="I2027" s="283" t="s">
        <v>590</v>
      </c>
      <c r="J2027" s="282" t="s">
        <v>156</v>
      </c>
      <c r="K2027" s="283" t="s">
        <v>3045</v>
      </c>
      <c r="L2027" s="286" t="s">
        <v>158</v>
      </c>
      <c r="M2027" s="293"/>
      <c r="N2027" s="293">
        <v>5.08</v>
      </c>
      <c r="O2027" s="287"/>
      <c r="P2027" s="287"/>
      <c r="Q2027" s="288">
        <v>3051.1743723622044</v>
      </c>
      <c r="R2027" s="288">
        <v>3051.1811023622045</v>
      </c>
      <c r="S2027" s="288">
        <v>-6.7299999999999999E-3</v>
      </c>
      <c r="T2027" s="288"/>
      <c r="U2027" s="288">
        <v>0</v>
      </c>
      <c r="V2027" s="289">
        <v>3051.1811023622045</v>
      </c>
      <c r="W2027" s="289">
        <v>0</v>
      </c>
      <c r="X2027" s="288">
        <v>3.0511743723622042</v>
      </c>
      <c r="Y2027" s="288">
        <v>3.0511811023622046</v>
      </c>
      <c r="Z2027" s="288">
        <v>-6.7299999999999999E-6</v>
      </c>
      <c r="AA2027" s="288">
        <v>0</v>
      </c>
      <c r="AB2027" s="288">
        <v>0</v>
      </c>
      <c r="AC2027" s="289">
        <v>3.0511811023622046</v>
      </c>
      <c r="AD2027" s="289">
        <v>0</v>
      </c>
    </row>
    <row r="2028" spans="1:30" ht="15" customHeight="1" x14ac:dyDescent="0.25">
      <c r="A2028" s="282" t="s">
        <v>2996</v>
      </c>
      <c r="B2028" s="282" t="s">
        <v>3042</v>
      </c>
      <c r="C2028" s="282" t="s">
        <v>3014</v>
      </c>
      <c r="D2028" s="286" t="s">
        <v>3046</v>
      </c>
      <c r="E2028" s="403">
        <v>45071</v>
      </c>
      <c r="F2028" s="403">
        <v>46898</v>
      </c>
      <c r="G2028" s="283" t="s">
        <v>154</v>
      </c>
      <c r="H2028" s="283" t="s">
        <v>3044</v>
      </c>
      <c r="I2028" s="283" t="s">
        <v>590</v>
      </c>
      <c r="J2028" s="282" t="s">
        <v>156</v>
      </c>
      <c r="K2028" s="283" t="s">
        <v>3045</v>
      </c>
      <c r="L2028" s="286" t="s">
        <v>158</v>
      </c>
      <c r="M2028" s="293"/>
      <c r="N2028" s="293">
        <v>6.26</v>
      </c>
      <c r="O2028" s="287"/>
      <c r="P2028" s="287"/>
      <c r="Q2028" s="288">
        <v>2955.2657754952074</v>
      </c>
      <c r="R2028" s="288">
        <v>2955.2715654952076</v>
      </c>
      <c r="S2028" s="288">
        <v>-5.79E-3</v>
      </c>
      <c r="T2028" s="288"/>
      <c r="U2028" s="288">
        <v>0</v>
      </c>
      <c r="V2028" s="289">
        <v>2955.2715654952076</v>
      </c>
      <c r="W2028" s="289">
        <v>0</v>
      </c>
      <c r="X2028" s="288">
        <v>2.9552657754952074</v>
      </c>
      <c r="Y2028" s="288">
        <v>2.9552715654952078</v>
      </c>
      <c r="Z2028" s="288">
        <v>-5.7899999999999996E-6</v>
      </c>
      <c r="AA2028" s="288">
        <v>0</v>
      </c>
      <c r="AB2028" s="288">
        <v>0</v>
      </c>
      <c r="AC2028" s="289">
        <v>2.9552715654952078</v>
      </c>
      <c r="AD2028" s="289">
        <v>0</v>
      </c>
    </row>
    <row r="2029" spans="1:30" ht="15" customHeight="1" x14ac:dyDescent="0.25">
      <c r="A2029" s="282" t="s">
        <v>2996</v>
      </c>
      <c r="B2029" s="282" t="s">
        <v>3042</v>
      </c>
      <c r="C2029" s="282" t="s">
        <v>3014</v>
      </c>
      <c r="D2029" s="286" t="s">
        <v>3047</v>
      </c>
      <c r="E2029" s="403">
        <v>45071</v>
      </c>
      <c r="F2029" s="403">
        <v>46898</v>
      </c>
      <c r="G2029" s="283" t="s">
        <v>154</v>
      </c>
      <c r="H2029" s="283" t="s">
        <v>3044</v>
      </c>
      <c r="I2029" s="283" t="s">
        <v>590</v>
      </c>
      <c r="J2029" s="282" t="s">
        <v>156</v>
      </c>
      <c r="K2029" s="283" t="s">
        <v>3045</v>
      </c>
      <c r="L2029" s="286" t="s">
        <v>158</v>
      </c>
      <c r="M2029" s="293"/>
      <c r="N2029" s="293">
        <v>7.44</v>
      </c>
      <c r="O2029" s="287"/>
      <c r="P2029" s="287"/>
      <c r="Q2029" s="288">
        <v>2903.2209564516133</v>
      </c>
      <c r="R2029" s="288">
        <v>2903.2258064516132</v>
      </c>
      <c r="S2029" s="288">
        <v>-4.8500000000000001E-3</v>
      </c>
      <c r="T2029" s="288"/>
      <c r="U2029" s="288">
        <v>0</v>
      </c>
      <c r="V2029" s="289">
        <v>2903.2258064516132</v>
      </c>
      <c r="W2029" s="289">
        <v>0</v>
      </c>
      <c r="X2029" s="288">
        <v>2.9032209564516132</v>
      </c>
      <c r="Y2029" s="288">
        <v>2.903225806451613</v>
      </c>
      <c r="Z2029" s="288">
        <v>-4.8500000000000002E-6</v>
      </c>
      <c r="AA2029" s="288">
        <v>0</v>
      </c>
      <c r="AB2029" s="288">
        <v>0</v>
      </c>
      <c r="AC2029" s="289">
        <v>2.903225806451613</v>
      </c>
      <c r="AD2029" s="289">
        <v>0</v>
      </c>
    </row>
    <row r="2030" spans="1:30" ht="15" customHeight="1" x14ac:dyDescent="0.25">
      <c r="A2030" s="282" t="s">
        <v>2996</v>
      </c>
      <c r="B2030" s="282" t="s">
        <v>3042</v>
      </c>
      <c r="C2030" s="282" t="s">
        <v>3014</v>
      </c>
      <c r="D2030" s="286" t="s">
        <v>3048</v>
      </c>
      <c r="E2030" s="403">
        <v>45071</v>
      </c>
      <c r="F2030" s="403">
        <v>46898</v>
      </c>
      <c r="G2030" s="283" t="s">
        <v>154</v>
      </c>
      <c r="H2030" s="283" t="s">
        <v>3044</v>
      </c>
      <c r="I2030" s="283" t="s">
        <v>590</v>
      </c>
      <c r="J2030" s="282" t="s">
        <v>156</v>
      </c>
      <c r="K2030" s="283" t="s">
        <v>3045</v>
      </c>
      <c r="L2030" s="286" t="s">
        <v>158</v>
      </c>
      <c r="M2030" s="293"/>
      <c r="N2030" s="293">
        <v>5.08</v>
      </c>
      <c r="O2030" s="287"/>
      <c r="P2030" s="287"/>
      <c r="Q2030" s="288">
        <v>3346.4511729133856</v>
      </c>
      <c r="R2030" s="288">
        <v>3346.4566929133857</v>
      </c>
      <c r="S2030" s="288">
        <v>-5.5199999999999997E-3</v>
      </c>
      <c r="T2030" s="288"/>
      <c r="U2030" s="288">
        <v>0</v>
      </c>
      <c r="V2030" s="289">
        <v>3346.4566929133857</v>
      </c>
      <c r="W2030" s="289">
        <v>0</v>
      </c>
      <c r="X2030" s="288">
        <v>3.3464511729133855</v>
      </c>
      <c r="Y2030" s="288">
        <v>3.3464566929133857</v>
      </c>
      <c r="Z2030" s="288">
        <v>-5.5199999999999997E-6</v>
      </c>
      <c r="AA2030" s="288">
        <v>0</v>
      </c>
      <c r="AB2030" s="288">
        <v>0</v>
      </c>
      <c r="AC2030" s="289">
        <v>3.3464566929133857</v>
      </c>
      <c r="AD2030" s="289">
        <v>0</v>
      </c>
    </row>
    <row r="2031" spans="1:30" ht="15" customHeight="1" x14ac:dyDescent="0.25">
      <c r="A2031" s="282" t="s">
        <v>2996</v>
      </c>
      <c r="B2031" s="282" t="s">
        <v>3013</v>
      </c>
      <c r="C2031" s="282" t="s">
        <v>3014</v>
      </c>
      <c r="D2031" s="286" t="s">
        <v>3049</v>
      </c>
      <c r="E2031" s="403">
        <v>45135</v>
      </c>
      <c r="F2031" s="403">
        <v>46962</v>
      </c>
      <c r="G2031" s="283" t="s">
        <v>154</v>
      </c>
      <c r="H2031" s="283" t="s">
        <v>3016</v>
      </c>
      <c r="I2031" s="283" t="s">
        <v>590</v>
      </c>
      <c r="J2031" s="282" t="s">
        <v>156</v>
      </c>
      <c r="K2031" s="283" t="s">
        <v>3017</v>
      </c>
      <c r="L2031" s="286" t="s">
        <v>158</v>
      </c>
      <c r="M2031" s="293"/>
      <c r="N2031" s="293">
        <v>23.92</v>
      </c>
      <c r="O2031" s="287"/>
      <c r="P2031" s="287"/>
      <c r="Q2031" s="288">
        <v>2725.7481483612037</v>
      </c>
      <c r="R2031" s="288">
        <v>2725.7525083612036</v>
      </c>
      <c r="S2031" s="288">
        <v>-4.3600000000000002E-3</v>
      </c>
      <c r="T2031" s="288"/>
      <c r="U2031" s="288">
        <v>0</v>
      </c>
      <c r="V2031" s="289">
        <v>2725.7525083612036</v>
      </c>
      <c r="W2031" s="289">
        <v>0</v>
      </c>
      <c r="X2031" s="288">
        <v>2.7257481483612036</v>
      </c>
      <c r="Y2031" s="288">
        <v>2.7257525083612038</v>
      </c>
      <c r="Z2031" s="288">
        <v>-4.3599999999999998E-6</v>
      </c>
      <c r="AA2031" s="288">
        <v>0</v>
      </c>
      <c r="AB2031" s="288">
        <v>0</v>
      </c>
      <c r="AC2031" s="289">
        <v>2.7257525083612038</v>
      </c>
      <c r="AD2031" s="289">
        <v>0</v>
      </c>
    </row>
    <row r="2032" spans="1:30" ht="15" customHeight="1" x14ac:dyDescent="0.25">
      <c r="A2032" s="282" t="s">
        <v>2996</v>
      </c>
      <c r="B2032" s="282" t="s">
        <v>3042</v>
      </c>
      <c r="C2032" s="282" t="s">
        <v>3014</v>
      </c>
      <c r="D2032" s="286" t="s">
        <v>3050</v>
      </c>
      <c r="E2032" s="403">
        <v>45071</v>
      </c>
      <c r="F2032" s="403">
        <v>46898</v>
      </c>
      <c r="G2032" s="283" t="s">
        <v>154</v>
      </c>
      <c r="H2032" s="283" t="s">
        <v>3044</v>
      </c>
      <c r="I2032" s="283" t="s">
        <v>590</v>
      </c>
      <c r="J2032" s="282" t="s">
        <v>156</v>
      </c>
      <c r="K2032" s="283" t="s">
        <v>3045</v>
      </c>
      <c r="L2032" s="286" t="s">
        <v>158</v>
      </c>
      <c r="M2032" s="293"/>
      <c r="N2032" s="293">
        <v>8.2200000000000006</v>
      </c>
      <c r="O2032" s="287"/>
      <c r="P2032" s="287"/>
      <c r="Q2032" s="288">
        <v>2883.2074488321164</v>
      </c>
      <c r="R2032" s="288">
        <v>2883.2116788321164</v>
      </c>
      <c r="S2032" s="288">
        <v>-4.2300000000000003E-3</v>
      </c>
      <c r="T2032" s="288"/>
      <c r="U2032" s="288">
        <v>0</v>
      </c>
      <c r="V2032" s="289">
        <v>2883.2116788321164</v>
      </c>
      <c r="W2032" s="289">
        <v>0</v>
      </c>
      <c r="X2032" s="288">
        <v>2.8832074488321164</v>
      </c>
      <c r="Y2032" s="288">
        <v>2.8832116788321165</v>
      </c>
      <c r="Z2032" s="288">
        <v>-4.2300000000000002E-6</v>
      </c>
      <c r="AA2032" s="288">
        <v>0</v>
      </c>
      <c r="AB2032" s="288">
        <v>0</v>
      </c>
      <c r="AC2032" s="289">
        <v>2.8832116788321165</v>
      </c>
      <c r="AD2032" s="289">
        <v>0</v>
      </c>
    </row>
    <row r="2033" spans="1:30" ht="15" customHeight="1" x14ac:dyDescent="0.25">
      <c r="A2033" s="282" t="s">
        <v>2996</v>
      </c>
      <c r="B2033" s="282" t="s">
        <v>3042</v>
      </c>
      <c r="C2033" s="282" t="s">
        <v>3014</v>
      </c>
      <c r="D2033" s="286" t="s">
        <v>3051</v>
      </c>
      <c r="E2033" s="403">
        <v>45071</v>
      </c>
      <c r="F2033" s="403">
        <v>46898</v>
      </c>
      <c r="G2033" s="283" t="s">
        <v>154</v>
      </c>
      <c r="H2033" s="283" t="s">
        <v>3044</v>
      </c>
      <c r="I2033" s="283" t="s">
        <v>590</v>
      </c>
      <c r="J2033" s="282" t="s">
        <v>156</v>
      </c>
      <c r="K2033" s="283" t="s">
        <v>3045</v>
      </c>
      <c r="L2033" s="286" t="s">
        <v>158</v>
      </c>
      <c r="M2033" s="293"/>
      <c r="N2033" s="293">
        <v>8.2200000000000006</v>
      </c>
      <c r="O2033" s="287"/>
      <c r="P2033" s="287"/>
      <c r="Q2033" s="288">
        <v>2883.2074488321164</v>
      </c>
      <c r="R2033" s="288">
        <v>2883.2116788321164</v>
      </c>
      <c r="S2033" s="288">
        <v>-4.2300000000000003E-3</v>
      </c>
      <c r="T2033" s="288"/>
      <c r="U2033" s="288">
        <v>0</v>
      </c>
      <c r="V2033" s="289">
        <v>2883.2116788321164</v>
      </c>
      <c r="W2033" s="289">
        <v>0</v>
      </c>
      <c r="X2033" s="288">
        <v>2.8832074488321164</v>
      </c>
      <c r="Y2033" s="288">
        <v>2.8832116788321165</v>
      </c>
      <c r="Z2033" s="288">
        <v>-4.2300000000000002E-6</v>
      </c>
      <c r="AA2033" s="288">
        <v>0</v>
      </c>
      <c r="AB2033" s="288">
        <v>0</v>
      </c>
      <c r="AC2033" s="289">
        <v>2.8832116788321165</v>
      </c>
      <c r="AD2033" s="289">
        <v>0</v>
      </c>
    </row>
    <row r="2034" spans="1:30" ht="15" customHeight="1" x14ac:dyDescent="0.25">
      <c r="A2034" s="282" t="s">
        <v>2996</v>
      </c>
      <c r="B2034" s="282" t="s">
        <v>3042</v>
      </c>
      <c r="C2034" s="282" t="s">
        <v>3014</v>
      </c>
      <c r="D2034" s="286" t="s">
        <v>3052</v>
      </c>
      <c r="E2034" s="403">
        <v>45071</v>
      </c>
      <c r="F2034" s="403">
        <v>46898</v>
      </c>
      <c r="G2034" s="283" t="s">
        <v>154</v>
      </c>
      <c r="H2034" s="283" t="s">
        <v>3044</v>
      </c>
      <c r="I2034" s="283" t="s">
        <v>590</v>
      </c>
      <c r="J2034" s="282" t="s">
        <v>156</v>
      </c>
      <c r="K2034" s="283" t="s">
        <v>3045</v>
      </c>
      <c r="L2034" s="286" t="s">
        <v>158</v>
      </c>
      <c r="M2034" s="293"/>
      <c r="N2034" s="293">
        <v>6.26</v>
      </c>
      <c r="O2034" s="287"/>
      <c r="P2034" s="287"/>
      <c r="Q2034" s="288">
        <v>3194.8835989137383</v>
      </c>
      <c r="R2034" s="288">
        <v>3194.8881789137381</v>
      </c>
      <c r="S2034" s="288">
        <v>-4.5799999999999999E-3</v>
      </c>
      <c r="T2034" s="288"/>
      <c r="U2034" s="288">
        <v>0</v>
      </c>
      <c r="V2034" s="289">
        <v>3194.8881789137381</v>
      </c>
      <c r="W2034" s="289">
        <v>0</v>
      </c>
      <c r="X2034" s="288">
        <v>3.1948835989137381</v>
      </c>
      <c r="Y2034" s="288">
        <v>3.1948881789137382</v>
      </c>
      <c r="Z2034" s="288">
        <v>-4.5800000000000002E-6</v>
      </c>
      <c r="AA2034" s="288">
        <v>0</v>
      </c>
      <c r="AB2034" s="288">
        <v>0</v>
      </c>
      <c r="AC2034" s="289">
        <v>3.1948881789137382</v>
      </c>
      <c r="AD2034" s="289">
        <v>0</v>
      </c>
    </row>
    <row r="2035" spans="1:30" ht="15" customHeight="1" x14ac:dyDescent="0.25">
      <c r="A2035" s="282" t="s">
        <v>2996</v>
      </c>
      <c r="B2035" s="282" t="s">
        <v>3042</v>
      </c>
      <c r="C2035" s="282" t="s">
        <v>3014</v>
      </c>
      <c r="D2035" s="286" t="s">
        <v>3053</v>
      </c>
      <c r="E2035" s="403">
        <v>45071</v>
      </c>
      <c r="F2035" s="403">
        <v>46898</v>
      </c>
      <c r="G2035" s="283" t="s">
        <v>154</v>
      </c>
      <c r="H2035" s="283" t="s">
        <v>3044</v>
      </c>
      <c r="I2035" s="283" t="s">
        <v>590</v>
      </c>
      <c r="J2035" s="282" t="s">
        <v>156</v>
      </c>
      <c r="K2035" s="283" t="s">
        <v>3045</v>
      </c>
      <c r="L2035" s="286" t="s">
        <v>158</v>
      </c>
      <c r="M2035" s="293"/>
      <c r="N2035" s="293">
        <v>7.44</v>
      </c>
      <c r="O2035" s="287"/>
      <c r="P2035" s="287"/>
      <c r="Q2035" s="288">
        <v>3104.8350696774196</v>
      </c>
      <c r="R2035" s="288">
        <v>3104.8387096774195</v>
      </c>
      <c r="S2035" s="288">
        <v>-3.64E-3</v>
      </c>
      <c r="T2035" s="288"/>
      <c r="U2035" s="288">
        <v>0</v>
      </c>
      <c r="V2035" s="289">
        <v>3104.8387096774195</v>
      </c>
      <c r="W2035" s="289">
        <v>0</v>
      </c>
      <c r="X2035" s="288">
        <v>3.1048350696774194</v>
      </c>
      <c r="Y2035" s="288">
        <v>3.1048387096774195</v>
      </c>
      <c r="Z2035" s="288">
        <v>-3.6399999999999999E-6</v>
      </c>
      <c r="AA2035" s="288">
        <v>0</v>
      </c>
      <c r="AB2035" s="288">
        <v>0</v>
      </c>
      <c r="AC2035" s="289">
        <v>3.1048387096774195</v>
      </c>
      <c r="AD2035" s="289">
        <v>0</v>
      </c>
    </row>
    <row r="2036" spans="1:30" ht="15" customHeight="1" x14ac:dyDescent="0.25">
      <c r="A2036" s="282" t="s">
        <v>2996</v>
      </c>
      <c r="B2036" s="282" t="s">
        <v>3020</v>
      </c>
      <c r="C2036" s="282" t="s">
        <v>3014</v>
      </c>
      <c r="D2036" s="286" t="s">
        <v>3054</v>
      </c>
      <c r="E2036" s="403">
        <v>45071</v>
      </c>
      <c r="F2036" s="403">
        <v>46898</v>
      </c>
      <c r="G2036" s="283" t="s">
        <v>154</v>
      </c>
      <c r="H2036" s="283" t="s">
        <v>3022</v>
      </c>
      <c r="I2036" s="283" t="s">
        <v>590</v>
      </c>
      <c r="J2036" s="282" t="s">
        <v>156</v>
      </c>
      <c r="K2036" s="283" t="s">
        <v>3023</v>
      </c>
      <c r="L2036" s="286" t="s">
        <v>158</v>
      </c>
      <c r="M2036" s="293"/>
      <c r="N2036" s="293">
        <v>3.45</v>
      </c>
      <c r="O2036" s="287"/>
      <c r="P2036" s="287"/>
      <c r="Q2036" s="288">
        <v>3246.3734615942026</v>
      </c>
      <c r="R2036" s="288">
        <v>3246.3768115942025</v>
      </c>
      <c r="S2036" s="288">
        <v>-3.3500000000000001E-3</v>
      </c>
      <c r="T2036" s="288"/>
      <c r="U2036" s="288">
        <v>0</v>
      </c>
      <c r="V2036" s="289">
        <v>3246.3768115942025</v>
      </c>
      <c r="W2036" s="289">
        <v>0</v>
      </c>
      <c r="X2036" s="288">
        <v>3.2463734615942026</v>
      </c>
      <c r="Y2036" s="288">
        <v>3.2463768115942027</v>
      </c>
      <c r="Z2036" s="288">
        <v>-3.3500000000000001E-6</v>
      </c>
      <c r="AA2036" s="288">
        <v>0</v>
      </c>
      <c r="AB2036" s="288">
        <v>0</v>
      </c>
      <c r="AC2036" s="289">
        <v>3.2463768115942027</v>
      </c>
      <c r="AD2036" s="289">
        <v>0</v>
      </c>
    </row>
    <row r="2037" spans="1:30" ht="15" customHeight="1" x14ac:dyDescent="0.25">
      <c r="A2037" s="282" t="s">
        <v>2996</v>
      </c>
      <c r="B2037" s="282" t="s">
        <v>3020</v>
      </c>
      <c r="C2037" s="282" t="s">
        <v>3014</v>
      </c>
      <c r="D2037" s="286" t="s">
        <v>3055</v>
      </c>
      <c r="E2037" s="403">
        <v>45071</v>
      </c>
      <c r="F2037" s="403">
        <v>46898</v>
      </c>
      <c r="G2037" s="283" t="s">
        <v>154</v>
      </c>
      <c r="H2037" s="283" t="s">
        <v>3022</v>
      </c>
      <c r="I2037" s="283" t="s">
        <v>590</v>
      </c>
      <c r="J2037" s="282" t="s">
        <v>156</v>
      </c>
      <c r="K2037" s="283" t="s">
        <v>3023</v>
      </c>
      <c r="L2037" s="286" t="s">
        <v>158</v>
      </c>
      <c r="M2037" s="293"/>
      <c r="N2037" s="293">
        <v>3.92</v>
      </c>
      <c r="O2037" s="287"/>
      <c r="P2037" s="287"/>
      <c r="Q2037" s="288">
        <v>3163.2623261224489</v>
      </c>
      <c r="R2037" s="288">
        <v>3163.2653061224491</v>
      </c>
      <c r="S2037" s="288">
        <v>-2.98E-3</v>
      </c>
      <c r="T2037" s="288"/>
      <c r="U2037" s="288">
        <v>0</v>
      </c>
      <c r="V2037" s="289">
        <v>3163.2653061224491</v>
      </c>
      <c r="W2037" s="289">
        <v>0</v>
      </c>
      <c r="X2037" s="288">
        <v>3.1632623261224491</v>
      </c>
      <c r="Y2037" s="288">
        <v>3.1632653061224492</v>
      </c>
      <c r="Z2037" s="288">
        <v>-2.9799999999999998E-6</v>
      </c>
      <c r="AA2037" s="288">
        <v>0</v>
      </c>
      <c r="AB2037" s="288">
        <v>0</v>
      </c>
      <c r="AC2037" s="289">
        <v>3.1632653061224492</v>
      </c>
      <c r="AD2037" s="289">
        <v>0</v>
      </c>
    </row>
    <row r="2038" spans="1:30" ht="15" customHeight="1" x14ac:dyDescent="0.25">
      <c r="A2038" s="282" t="s">
        <v>2996</v>
      </c>
      <c r="B2038" s="282" t="s">
        <v>3020</v>
      </c>
      <c r="C2038" s="282" t="s">
        <v>3014</v>
      </c>
      <c r="D2038" s="286" t="s">
        <v>3056</v>
      </c>
      <c r="E2038" s="403">
        <v>45071</v>
      </c>
      <c r="F2038" s="403">
        <v>46898</v>
      </c>
      <c r="G2038" s="283" t="s">
        <v>154</v>
      </c>
      <c r="H2038" s="283" t="s">
        <v>3022</v>
      </c>
      <c r="I2038" s="283" t="s">
        <v>590</v>
      </c>
      <c r="J2038" s="282" t="s">
        <v>156</v>
      </c>
      <c r="K2038" s="283" t="s">
        <v>3023</v>
      </c>
      <c r="L2038" s="286" t="s">
        <v>158</v>
      </c>
      <c r="M2038" s="293"/>
      <c r="N2038" s="293">
        <v>4.47</v>
      </c>
      <c r="O2038" s="287"/>
      <c r="P2038" s="287"/>
      <c r="Q2038" s="288">
        <v>3109.6171468008952</v>
      </c>
      <c r="R2038" s="288">
        <v>3109.6196868008951</v>
      </c>
      <c r="S2038" s="288">
        <v>-2.5400000000000002E-3</v>
      </c>
      <c r="T2038" s="288"/>
      <c r="U2038" s="288">
        <v>0</v>
      </c>
      <c r="V2038" s="289">
        <v>3109.6196868008951</v>
      </c>
      <c r="W2038" s="289">
        <v>0</v>
      </c>
      <c r="X2038" s="288">
        <v>3.1096171468008951</v>
      </c>
      <c r="Y2038" s="288">
        <v>3.1096196868008952</v>
      </c>
      <c r="Z2038" s="288">
        <v>-2.5400000000000002E-6</v>
      </c>
      <c r="AA2038" s="288">
        <v>0</v>
      </c>
      <c r="AB2038" s="288">
        <v>0</v>
      </c>
      <c r="AC2038" s="289">
        <v>3.1096196868008952</v>
      </c>
      <c r="AD2038" s="289">
        <v>0</v>
      </c>
    </row>
    <row r="2039" spans="1:30" ht="15" customHeight="1" x14ac:dyDescent="0.25">
      <c r="A2039" s="282" t="s">
        <v>2996</v>
      </c>
      <c r="B2039" s="282" t="s">
        <v>3020</v>
      </c>
      <c r="C2039" s="282" t="s">
        <v>3014</v>
      </c>
      <c r="D2039" s="286" t="s">
        <v>3057</v>
      </c>
      <c r="E2039" s="403">
        <v>45071</v>
      </c>
      <c r="F2039" s="403">
        <v>46898</v>
      </c>
      <c r="G2039" s="283" t="s">
        <v>154</v>
      </c>
      <c r="H2039" s="283" t="s">
        <v>3022</v>
      </c>
      <c r="I2039" s="283" t="s">
        <v>590</v>
      </c>
      <c r="J2039" s="282" t="s">
        <v>156</v>
      </c>
      <c r="K2039" s="283" t="s">
        <v>3023</v>
      </c>
      <c r="L2039" s="286" t="s">
        <v>158</v>
      </c>
      <c r="M2039" s="293"/>
      <c r="N2039" s="293">
        <v>4.87</v>
      </c>
      <c r="O2039" s="287"/>
      <c r="P2039" s="287"/>
      <c r="Q2039" s="288">
        <v>3059.5460346201235</v>
      </c>
      <c r="R2039" s="288">
        <v>3059.5482546201233</v>
      </c>
      <c r="S2039" s="288">
        <v>-2.2200000000000002E-3</v>
      </c>
      <c r="T2039" s="288"/>
      <c r="U2039" s="288">
        <v>0</v>
      </c>
      <c r="V2039" s="289">
        <v>3059.5482546201233</v>
      </c>
      <c r="W2039" s="289">
        <v>0</v>
      </c>
      <c r="X2039" s="288">
        <v>3.0595460346201233</v>
      </c>
      <c r="Y2039" s="288">
        <v>3.0595482546201231</v>
      </c>
      <c r="Z2039" s="288">
        <v>-2.2200000000000003E-6</v>
      </c>
      <c r="AA2039" s="288">
        <v>0</v>
      </c>
      <c r="AB2039" s="288">
        <v>0</v>
      </c>
      <c r="AC2039" s="289">
        <v>3.0595482546201231</v>
      </c>
      <c r="AD2039" s="289">
        <v>0</v>
      </c>
    </row>
    <row r="2040" spans="1:30" ht="15" customHeight="1" x14ac:dyDescent="0.25">
      <c r="A2040" s="282" t="s">
        <v>2996</v>
      </c>
      <c r="B2040" s="282" t="s">
        <v>3020</v>
      </c>
      <c r="C2040" s="282" t="s">
        <v>3014</v>
      </c>
      <c r="D2040" s="286" t="s">
        <v>3058</v>
      </c>
      <c r="E2040" s="403">
        <v>45071</v>
      </c>
      <c r="F2040" s="403">
        <v>46898</v>
      </c>
      <c r="G2040" s="283" t="s">
        <v>154</v>
      </c>
      <c r="H2040" s="283" t="s">
        <v>3022</v>
      </c>
      <c r="I2040" s="283" t="s">
        <v>590</v>
      </c>
      <c r="J2040" s="282" t="s">
        <v>156</v>
      </c>
      <c r="K2040" s="283" t="s">
        <v>3023</v>
      </c>
      <c r="L2040" s="286" t="s">
        <v>158</v>
      </c>
      <c r="M2040" s="293"/>
      <c r="N2040" s="293">
        <v>6.04</v>
      </c>
      <c r="O2040" s="287"/>
      <c r="P2040" s="287"/>
      <c r="Q2040" s="288">
        <v>2980.131160331126</v>
      </c>
      <c r="R2040" s="288">
        <v>2980.1324503311262</v>
      </c>
      <c r="S2040" s="288">
        <v>-1.2899999999999999E-3</v>
      </c>
      <c r="T2040" s="288"/>
      <c r="U2040" s="288">
        <v>0</v>
      </c>
      <c r="V2040" s="289">
        <v>2980.1324503311262</v>
      </c>
      <c r="W2040" s="289">
        <v>0</v>
      </c>
      <c r="X2040" s="288">
        <v>2.9801311603311258</v>
      </c>
      <c r="Y2040" s="288">
        <v>2.9801324503311259</v>
      </c>
      <c r="Z2040" s="288">
        <v>-1.2899999999999999E-6</v>
      </c>
      <c r="AA2040" s="288">
        <v>0</v>
      </c>
      <c r="AB2040" s="288">
        <v>0</v>
      </c>
      <c r="AC2040" s="289">
        <v>2.9801324503311259</v>
      </c>
      <c r="AD2040" s="289">
        <v>0</v>
      </c>
    </row>
    <row r="2041" spans="1:30" ht="15" customHeight="1" x14ac:dyDescent="0.25">
      <c r="A2041" s="282" t="s">
        <v>2996</v>
      </c>
      <c r="B2041" s="282" t="s">
        <v>3042</v>
      </c>
      <c r="C2041" s="282" t="s">
        <v>3014</v>
      </c>
      <c r="D2041" s="286" t="s">
        <v>3059</v>
      </c>
      <c r="E2041" s="403">
        <v>45071</v>
      </c>
      <c r="F2041" s="403">
        <v>46898</v>
      </c>
      <c r="G2041" s="283" t="s">
        <v>154</v>
      </c>
      <c r="H2041" s="283" t="s">
        <v>3044</v>
      </c>
      <c r="I2041" s="283" t="s">
        <v>590</v>
      </c>
      <c r="J2041" s="282" t="s">
        <v>156</v>
      </c>
      <c r="K2041" s="283" t="s">
        <v>3045</v>
      </c>
      <c r="L2041" s="286" t="s">
        <v>158</v>
      </c>
      <c r="M2041" s="293"/>
      <c r="N2041" s="293">
        <v>12.14</v>
      </c>
      <c r="O2041" s="287"/>
      <c r="P2041" s="287"/>
      <c r="Q2041" s="288">
        <v>2792.4206462932452</v>
      </c>
      <c r="R2041" s="288">
        <v>2792.4217462932452</v>
      </c>
      <c r="S2041" s="288">
        <v>-1.1000000000000001E-3</v>
      </c>
      <c r="T2041" s="288"/>
      <c r="U2041" s="288">
        <v>0</v>
      </c>
      <c r="V2041" s="289">
        <v>2792.4217462932452</v>
      </c>
      <c r="W2041" s="289">
        <v>0</v>
      </c>
      <c r="X2041" s="288">
        <v>2.792420646293245</v>
      </c>
      <c r="Y2041" s="288">
        <v>2.792421746293245</v>
      </c>
      <c r="Z2041" s="288">
        <v>-1.1000000000000001E-6</v>
      </c>
      <c r="AA2041" s="288">
        <v>0</v>
      </c>
      <c r="AB2041" s="288">
        <v>0</v>
      </c>
      <c r="AC2041" s="289">
        <v>2.792421746293245</v>
      </c>
      <c r="AD2041" s="289">
        <v>0</v>
      </c>
    </row>
    <row r="2042" spans="1:30" ht="15" customHeight="1" x14ac:dyDescent="0.25">
      <c r="A2042" s="282" t="s">
        <v>2996</v>
      </c>
      <c r="B2042" s="282" t="s">
        <v>3020</v>
      </c>
      <c r="C2042" s="282" t="s">
        <v>3014</v>
      </c>
      <c r="D2042" s="286" t="s">
        <v>3060</v>
      </c>
      <c r="E2042" s="403">
        <v>45071</v>
      </c>
      <c r="F2042" s="403">
        <v>46898</v>
      </c>
      <c r="G2042" s="283" t="s">
        <v>154</v>
      </c>
      <c r="H2042" s="283" t="s">
        <v>3022</v>
      </c>
      <c r="I2042" s="283" t="s">
        <v>590</v>
      </c>
      <c r="J2042" s="282" t="s">
        <v>156</v>
      </c>
      <c r="K2042" s="283" t="s">
        <v>3023</v>
      </c>
      <c r="L2042" s="286" t="s">
        <v>158</v>
      </c>
      <c r="M2042" s="293"/>
      <c r="N2042" s="293">
        <v>7.61</v>
      </c>
      <c r="O2042" s="287"/>
      <c r="P2042" s="287"/>
      <c r="Q2042" s="288">
        <v>2904.0735502850193</v>
      </c>
      <c r="R2042" s="288">
        <v>2904.0735873850194</v>
      </c>
      <c r="S2042" s="288">
        <v>-3.7100000000000001E-5</v>
      </c>
      <c r="T2042" s="288"/>
      <c r="U2042" s="288">
        <v>0</v>
      </c>
      <c r="V2042" s="289">
        <v>2904.0735873850194</v>
      </c>
      <c r="W2042" s="289">
        <v>0</v>
      </c>
      <c r="X2042" s="288">
        <v>2.9040735502850192</v>
      </c>
      <c r="Y2042" s="288">
        <v>2.9040735873850196</v>
      </c>
      <c r="Z2042" s="288">
        <v>-3.7100000000000001E-8</v>
      </c>
      <c r="AA2042" s="288">
        <v>0</v>
      </c>
      <c r="AB2042" s="288">
        <v>0</v>
      </c>
      <c r="AC2042" s="289">
        <v>2.9040735873850196</v>
      </c>
      <c r="AD2042" s="289">
        <v>0</v>
      </c>
    </row>
    <row r="2043" spans="1:30" ht="15" customHeight="1" x14ac:dyDescent="0.25">
      <c r="A2043" s="282" t="s">
        <v>2996</v>
      </c>
      <c r="B2043" s="282" t="s">
        <v>3061</v>
      </c>
      <c r="C2043" s="282" t="s">
        <v>3061</v>
      </c>
      <c r="D2043" s="283" t="s">
        <v>3062</v>
      </c>
      <c r="E2043" s="405">
        <v>44701</v>
      </c>
      <c r="F2043" s="405">
        <v>45921</v>
      </c>
      <c r="G2043" s="286" t="s">
        <v>154</v>
      </c>
      <c r="H2043" s="282" t="s">
        <v>3063</v>
      </c>
      <c r="I2043" s="282" t="s">
        <v>1600</v>
      </c>
      <c r="J2043" s="282" t="s">
        <v>156</v>
      </c>
      <c r="K2043" s="286" t="s">
        <v>3064</v>
      </c>
      <c r="L2043" s="286" t="s">
        <v>158</v>
      </c>
      <c r="M2043" s="287">
        <v>7850</v>
      </c>
      <c r="N2043" s="287">
        <v>0</v>
      </c>
      <c r="O2043" s="287">
        <v>0</v>
      </c>
      <c r="P2043" s="287" t="s">
        <v>158</v>
      </c>
      <c r="Q2043" s="288">
        <v>1670</v>
      </c>
      <c r="R2043" s="288"/>
      <c r="S2043" s="288"/>
      <c r="T2043" s="288"/>
      <c r="U2043" s="288">
        <v>0</v>
      </c>
      <c r="V2043" s="289">
        <v>1670</v>
      </c>
      <c r="W2043" s="289">
        <v>0</v>
      </c>
      <c r="X2043" s="288">
        <v>1.67</v>
      </c>
      <c r="Y2043" s="288">
        <v>0</v>
      </c>
      <c r="Z2043" s="288">
        <v>0</v>
      </c>
      <c r="AA2043" s="288">
        <v>0</v>
      </c>
      <c r="AB2043" s="288">
        <v>0</v>
      </c>
      <c r="AC2043" s="289">
        <v>1.67</v>
      </c>
      <c r="AD2043" s="289">
        <v>0</v>
      </c>
    </row>
    <row r="2044" spans="1:30" ht="15" customHeight="1" x14ac:dyDescent="0.25">
      <c r="A2044" s="282" t="s">
        <v>2996</v>
      </c>
      <c r="B2044" s="282" t="s">
        <v>3061</v>
      </c>
      <c r="C2044" s="282" t="s">
        <v>3061</v>
      </c>
      <c r="D2044" s="283" t="s">
        <v>3065</v>
      </c>
      <c r="E2044" s="405">
        <v>44702</v>
      </c>
      <c r="F2044" s="405">
        <v>45921</v>
      </c>
      <c r="G2044" s="286" t="s">
        <v>154</v>
      </c>
      <c r="H2044" s="282" t="s">
        <v>3066</v>
      </c>
      <c r="I2044" s="282" t="s">
        <v>1600</v>
      </c>
      <c r="J2044" s="282" t="s">
        <v>156</v>
      </c>
      <c r="K2044" s="286" t="s">
        <v>3064</v>
      </c>
      <c r="L2044" s="286" t="s">
        <v>158</v>
      </c>
      <c r="M2044" s="287">
        <v>7850</v>
      </c>
      <c r="N2044" s="287"/>
      <c r="O2044" s="287"/>
      <c r="P2044" s="287" t="s">
        <v>158</v>
      </c>
      <c r="Q2044" s="288">
        <v>2060</v>
      </c>
      <c r="R2044" s="288"/>
      <c r="S2044" s="288"/>
      <c r="T2044" s="288"/>
      <c r="U2044" s="288">
        <v>0</v>
      </c>
      <c r="V2044" s="289">
        <v>2060</v>
      </c>
      <c r="W2044" s="289">
        <v>0</v>
      </c>
      <c r="X2044" s="288">
        <v>2.06</v>
      </c>
      <c r="Y2044" s="288">
        <v>0</v>
      </c>
      <c r="Z2044" s="288">
        <v>0</v>
      </c>
      <c r="AA2044" s="288">
        <v>0</v>
      </c>
      <c r="AB2044" s="288">
        <v>0</v>
      </c>
      <c r="AC2044" s="289">
        <v>2.06</v>
      </c>
      <c r="AD2044" s="289">
        <v>0</v>
      </c>
    </row>
    <row r="2045" spans="1:30" ht="15" customHeight="1" x14ac:dyDescent="0.25">
      <c r="A2045" s="282" t="s">
        <v>2996</v>
      </c>
      <c r="B2045" s="282" t="s">
        <v>2997</v>
      </c>
      <c r="C2045" s="282" t="s">
        <v>2998</v>
      </c>
      <c r="D2045" s="283" t="s">
        <v>3067</v>
      </c>
      <c r="E2045" s="405">
        <v>44701</v>
      </c>
      <c r="F2045" s="405">
        <v>45921</v>
      </c>
      <c r="G2045" s="286" t="s">
        <v>154</v>
      </c>
      <c r="H2045" s="282" t="s">
        <v>3068</v>
      </c>
      <c r="I2045" s="282" t="s">
        <v>1600</v>
      </c>
      <c r="J2045" s="282" t="s">
        <v>156</v>
      </c>
      <c r="K2045" s="286" t="s">
        <v>3069</v>
      </c>
      <c r="L2045" s="286" t="s">
        <v>158</v>
      </c>
      <c r="M2045" s="287"/>
      <c r="N2045" s="287"/>
      <c r="O2045" s="287"/>
      <c r="P2045" s="287"/>
      <c r="Q2045" s="288">
        <v>3720</v>
      </c>
      <c r="R2045" s="288"/>
      <c r="S2045" s="288"/>
      <c r="T2045" s="288"/>
      <c r="U2045" s="288">
        <v>0</v>
      </c>
      <c r="V2045" s="289">
        <v>3720</v>
      </c>
      <c r="W2045" s="289">
        <v>0</v>
      </c>
      <c r="X2045" s="288">
        <v>3.72</v>
      </c>
      <c r="Y2045" s="288">
        <v>0</v>
      </c>
      <c r="Z2045" s="288">
        <v>0</v>
      </c>
      <c r="AA2045" s="288">
        <v>0</v>
      </c>
      <c r="AB2045" s="288">
        <v>0</v>
      </c>
      <c r="AC2045" s="289">
        <v>3.72</v>
      </c>
      <c r="AD2045" s="289">
        <v>0</v>
      </c>
    </row>
    <row r="2046" spans="1:30" ht="15" customHeight="1" x14ac:dyDescent="0.25">
      <c r="A2046" s="282" t="s">
        <v>2996</v>
      </c>
      <c r="B2046" s="282" t="s">
        <v>2997</v>
      </c>
      <c r="C2046" s="282" t="s">
        <v>2998</v>
      </c>
      <c r="D2046" s="283" t="s">
        <v>3070</v>
      </c>
      <c r="E2046" s="405">
        <v>44701</v>
      </c>
      <c r="F2046" s="405">
        <v>45921</v>
      </c>
      <c r="G2046" s="286" t="s">
        <v>154</v>
      </c>
      <c r="H2046" s="282" t="s">
        <v>3071</v>
      </c>
      <c r="I2046" s="282" t="s">
        <v>1600</v>
      </c>
      <c r="J2046" s="282" t="s">
        <v>156</v>
      </c>
      <c r="K2046" s="286" t="s">
        <v>3069</v>
      </c>
      <c r="L2046" s="286" t="s">
        <v>158</v>
      </c>
      <c r="M2046" s="287"/>
      <c r="N2046" s="287"/>
      <c r="O2046" s="287"/>
      <c r="P2046" s="287"/>
      <c r="Q2046" s="288">
        <v>3720</v>
      </c>
      <c r="R2046" s="288"/>
      <c r="S2046" s="288"/>
      <c r="T2046" s="288"/>
      <c r="U2046" s="288">
        <v>0</v>
      </c>
      <c r="V2046" s="289">
        <v>3720</v>
      </c>
      <c r="W2046" s="289">
        <v>0</v>
      </c>
      <c r="X2046" s="288">
        <v>3.72</v>
      </c>
      <c r="Y2046" s="288">
        <v>0</v>
      </c>
      <c r="Z2046" s="288">
        <v>0</v>
      </c>
      <c r="AA2046" s="288">
        <v>0</v>
      </c>
      <c r="AB2046" s="288">
        <v>0</v>
      </c>
      <c r="AC2046" s="289">
        <v>3.72</v>
      </c>
      <c r="AD2046" s="289">
        <v>0</v>
      </c>
    </row>
    <row r="2047" spans="1:30" ht="15" customHeight="1" x14ac:dyDescent="0.25">
      <c r="A2047" s="282" t="s">
        <v>2996</v>
      </c>
      <c r="B2047" s="282" t="s">
        <v>2997</v>
      </c>
      <c r="C2047" s="282" t="s">
        <v>2998</v>
      </c>
      <c r="D2047" s="283" t="s">
        <v>3072</v>
      </c>
      <c r="E2047" s="403">
        <v>44701</v>
      </c>
      <c r="F2047" s="403">
        <v>45921</v>
      </c>
      <c r="G2047" s="284" t="s">
        <v>154</v>
      </c>
      <c r="H2047" s="283" t="s">
        <v>3063</v>
      </c>
      <c r="I2047" s="282" t="s">
        <v>1600</v>
      </c>
      <c r="J2047" s="282" t="s">
        <v>156</v>
      </c>
      <c r="K2047" s="283" t="s">
        <v>3069</v>
      </c>
      <c r="L2047" s="286" t="s">
        <v>158</v>
      </c>
      <c r="M2047" s="293"/>
      <c r="N2047" s="293"/>
      <c r="O2047" s="287"/>
      <c r="P2047" s="287"/>
      <c r="Q2047" s="288">
        <v>3720</v>
      </c>
      <c r="R2047" s="288"/>
      <c r="S2047" s="288"/>
      <c r="T2047" s="288"/>
      <c r="U2047" s="288">
        <v>0</v>
      </c>
      <c r="V2047" s="289">
        <v>3720</v>
      </c>
      <c r="W2047" s="289">
        <v>0</v>
      </c>
      <c r="X2047" s="288">
        <v>3.72</v>
      </c>
      <c r="Y2047" s="288">
        <v>0</v>
      </c>
      <c r="Z2047" s="288">
        <v>0</v>
      </c>
      <c r="AA2047" s="288">
        <v>0</v>
      </c>
      <c r="AB2047" s="288">
        <v>0</v>
      </c>
      <c r="AC2047" s="289">
        <v>3.72</v>
      </c>
      <c r="AD2047" s="289">
        <v>0</v>
      </c>
    </row>
    <row r="2048" spans="1:30" ht="15" customHeight="1" x14ac:dyDescent="0.25">
      <c r="A2048" s="282" t="s">
        <v>2996</v>
      </c>
      <c r="B2048" s="282" t="s">
        <v>2997</v>
      </c>
      <c r="C2048" s="282" t="s">
        <v>2998</v>
      </c>
      <c r="D2048" s="283" t="s">
        <v>3073</v>
      </c>
      <c r="E2048" s="403">
        <v>44701</v>
      </c>
      <c r="F2048" s="403">
        <v>45921</v>
      </c>
      <c r="G2048" s="284" t="s">
        <v>154</v>
      </c>
      <c r="H2048" s="283" t="s">
        <v>3066</v>
      </c>
      <c r="I2048" s="282" t="s">
        <v>1600</v>
      </c>
      <c r="J2048" s="282" t="s">
        <v>156</v>
      </c>
      <c r="K2048" s="283" t="s">
        <v>3069</v>
      </c>
      <c r="L2048" s="286" t="s">
        <v>158</v>
      </c>
      <c r="M2048" s="293"/>
      <c r="N2048" s="293"/>
      <c r="O2048" s="287"/>
      <c r="P2048" s="287"/>
      <c r="Q2048" s="288">
        <v>3720</v>
      </c>
      <c r="R2048" s="288"/>
      <c r="S2048" s="288"/>
      <c r="T2048" s="288"/>
      <c r="U2048" s="288">
        <v>0</v>
      </c>
      <c r="V2048" s="289">
        <v>3720</v>
      </c>
      <c r="W2048" s="289">
        <v>0</v>
      </c>
      <c r="X2048" s="288">
        <v>3.72</v>
      </c>
      <c r="Y2048" s="288">
        <v>0</v>
      </c>
      <c r="Z2048" s="288">
        <v>0</v>
      </c>
      <c r="AA2048" s="288">
        <v>0</v>
      </c>
      <c r="AB2048" s="288">
        <v>0</v>
      </c>
      <c r="AC2048" s="289">
        <v>3.72</v>
      </c>
      <c r="AD2048" s="289">
        <v>0</v>
      </c>
    </row>
    <row r="2049" spans="1:30" ht="15" customHeight="1" x14ac:dyDescent="0.25">
      <c r="A2049" s="282" t="s">
        <v>2996</v>
      </c>
      <c r="B2049" s="282" t="s">
        <v>3074</v>
      </c>
      <c r="C2049" s="282" t="s">
        <v>3014</v>
      </c>
      <c r="D2049" s="283" t="s">
        <v>3075</v>
      </c>
      <c r="E2049" s="403">
        <v>44701</v>
      </c>
      <c r="F2049" s="403">
        <v>45921</v>
      </c>
      <c r="G2049" s="284" t="s">
        <v>154</v>
      </c>
      <c r="H2049" s="283" t="s">
        <v>3076</v>
      </c>
      <c r="I2049" s="282" t="s">
        <v>1600</v>
      </c>
      <c r="J2049" s="282" t="s">
        <v>156</v>
      </c>
      <c r="K2049" s="283" t="s">
        <v>3069</v>
      </c>
      <c r="L2049" s="286" t="s">
        <v>158</v>
      </c>
      <c r="M2049" s="293"/>
      <c r="N2049" s="293"/>
      <c r="O2049" s="287"/>
      <c r="P2049" s="287"/>
      <c r="Q2049" s="288">
        <v>1520</v>
      </c>
      <c r="R2049" s="288"/>
      <c r="S2049" s="288"/>
      <c r="T2049" s="288"/>
      <c r="U2049" s="288">
        <v>0</v>
      </c>
      <c r="V2049" s="289">
        <v>1520</v>
      </c>
      <c r="W2049" s="289">
        <v>0</v>
      </c>
      <c r="X2049" s="288">
        <v>1.52</v>
      </c>
      <c r="Y2049" s="288">
        <v>0</v>
      </c>
      <c r="Z2049" s="288">
        <v>0</v>
      </c>
      <c r="AA2049" s="288">
        <v>0</v>
      </c>
      <c r="AB2049" s="288">
        <v>0</v>
      </c>
      <c r="AC2049" s="289">
        <v>1.52</v>
      </c>
      <c r="AD2049" s="289">
        <v>0</v>
      </c>
    </row>
    <row r="2050" spans="1:30" ht="15" customHeight="1" x14ac:dyDescent="0.25">
      <c r="A2050" s="282" t="s">
        <v>2996</v>
      </c>
      <c r="B2050" s="282" t="s">
        <v>3074</v>
      </c>
      <c r="C2050" s="282" t="s">
        <v>3014</v>
      </c>
      <c r="D2050" s="283" t="s">
        <v>3077</v>
      </c>
      <c r="E2050" s="403">
        <v>44701</v>
      </c>
      <c r="F2050" s="403">
        <v>45921</v>
      </c>
      <c r="G2050" s="284" t="s">
        <v>154</v>
      </c>
      <c r="H2050" s="283" t="s">
        <v>3078</v>
      </c>
      <c r="I2050" s="282" t="s">
        <v>1600</v>
      </c>
      <c r="J2050" s="282" t="s">
        <v>156</v>
      </c>
      <c r="K2050" s="283" t="s">
        <v>3069</v>
      </c>
      <c r="L2050" s="286" t="s">
        <v>158</v>
      </c>
      <c r="M2050" s="293"/>
      <c r="N2050" s="293"/>
      <c r="O2050" s="287"/>
      <c r="P2050" s="287"/>
      <c r="Q2050" s="288">
        <v>1520</v>
      </c>
      <c r="R2050" s="288"/>
      <c r="S2050" s="288"/>
      <c r="T2050" s="288"/>
      <c r="U2050" s="288">
        <v>0</v>
      </c>
      <c r="V2050" s="289">
        <v>1520</v>
      </c>
      <c r="W2050" s="289">
        <v>0</v>
      </c>
      <c r="X2050" s="288">
        <v>1.52</v>
      </c>
      <c r="Y2050" s="288">
        <v>0</v>
      </c>
      <c r="Z2050" s="288">
        <v>0</v>
      </c>
      <c r="AA2050" s="288">
        <v>0</v>
      </c>
      <c r="AB2050" s="288">
        <v>0</v>
      </c>
      <c r="AC2050" s="289">
        <v>1.52</v>
      </c>
      <c r="AD2050" s="289">
        <v>0</v>
      </c>
    </row>
    <row r="2051" spans="1:30" ht="15" customHeight="1" x14ac:dyDescent="0.25">
      <c r="A2051" s="282" t="s">
        <v>2996</v>
      </c>
      <c r="B2051" s="282" t="s">
        <v>3074</v>
      </c>
      <c r="C2051" s="282" t="s">
        <v>3014</v>
      </c>
      <c r="D2051" s="283" t="s">
        <v>3079</v>
      </c>
      <c r="E2051" s="403">
        <v>44701</v>
      </c>
      <c r="F2051" s="403">
        <v>45921</v>
      </c>
      <c r="G2051" s="284" t="s">
        <v>154</v>
      </c>
      <c r="H2051" s="283" t="s">
        <v>3080</v>
      </c>
      <c r="I2051" s="282" t="s">
        <v>1600</v>
      </c>
      <c r="J2051" s="282" t="s">
        <v>156</v>
      </c>
      <c r="K2051" s="283" t="s">
        <v>3069</v>
      </c>
      <c r="L2051" s="286" t="s">
        <v>158</v>
      </c>
      <c r="M2051" s="293"/>
      <c r="N2051" s="293"/>
      <c r="O2051" s="287"/>
      <c r="P2051" s="287"/>
      <c r="Q2051" s="288">
        <v>1520</v>
      </c>
      <c r="R2051" s="288"/>
      <c r="S2051" s="288"/>
      <c r="T2051" s="288"/>
      <c r="U2051" s="288">
        <v>0</v>
      </c>
      <c r="V2051" s="289">
        <v>1520</v>
      </c>
      <c r="W2051" s="289">
        <v>0</v>
      </c>
      <c r="X2051" s="288">
        <v>1.52</v>
      </c>
      <c r="Y2051" s="288">
        <v>0</v>
      </c>
      <c r="Z2051" s="288">
        <v>0</v>
      </c>
      <c r="AA2051" s="288">
        <v>0</v>
      </c>
      <c r="AB2051" s="288">
        <v>0</v>
      </c>
      <c r="AC2051" s="289">
        <v>1.52</v>
      </c>
      <c r="AD2051" s="289">
        <v>0</v>
      </c>
    </row>
    <row r="2052" spans="1:30" ht="15" customHeight="1" x14ac:dyDescent="0.25">
      <c r="A2052" s="282" t="s">
        <v>2996</v>
      </c>
      <c r="B2052" s="282" t="s">
        <v>3074</v>
      </c>
      <c r="C2052" s="282" t="s">
        <v>3014</v>
      </c>
      <c r="D2052" s="283" t="s">
        <v>3081</v>
      </c>
      <c r="E2052" s="403">
        <v>44701</v>
      </c>
      <c r="F2052" s="403">
        <v>45921</v>
      </c>
      <c r="G2052" s="284" t="s">
        <v>154</v>
      </c>
      <c r="H2052" s="283" t="s">
        <v>3082</v>
      </c>
      <c r="I2052" s="282" t="s">
        <v>1600</v>
      </c>
      <c r="J2052" s="282" t="s">
        <v>156</v>
      </c>
      <c r="K2052" s="283" t="s">
        <v>3069</v>
      </c>
      <c r="L2052" s="286" t="s">
        <v>158</v>
      </c>
      <c r="M2052" s="293"/>
      <c r="N2052" s="293"/>
      <c r="O2052" s="287"/>
      <c r="P2052" s="287"/>
      <c r="Q2052" s="288">
        <v>1520</v>
      </c>
      <c r="R2052" s="288"/>
      <c r="S2052" s="288"/>
      <c r="T2052" s="288"/>
      <c r="U2052" s="288">
        <v>0</v>
      </c>
      <c r="V2052" s="289">
        <v>1520</v>
      </c>
      <c r="W2052" s="289">
        <v>0</v>
      </c>
      <c r="X2052" s="288">
        <v>1.52</v>
      </c>
      <c r="Y2052" s="288">
        <v>0</v>
      </c>
      <c r="Z2052" s="288">
        <v>0</v>
      </c>
      <c r="AA2052" s="288">
        <v>0</v>
      </c>
      <c r="AB2052" s="288">
        <v>0</v>
      </c>
      <c r="AC2052" s="289">
        <v>1.52</v>
      </c>
      <c r="AD2052" s="289">
        <v>0</v>
      </c>
    </row>
    <row r="2053" spans="1:30" ht="15" customHeight="1" x14ac:dyDescent="0.25">
      <c r="A2053" s="282" t="s">
        <v>2996</v>
      </c>
      <c r="B2053" s="282" t="s">
        <v>3074</v>
      </c>
      <c r="C2053" s="282" t="s">
        <v>3014</v>
      </c>
      <c r="D2053" s="283" t="s">
        <v>3083</v>
      </c>
      <c r="E2053" s="403">
        <v>44701</v>
      </c>
      <c r="F2053" s="403">
        <v>45921</v>
      </c>
      <c r="G2053" s="284" t="s">
        <v>154</v>
      </c>
      <c r="H2053" s="283" t="s">
        <v>3084</v>
      </c>
      <c r="I2053" s="282" t="s">
        <v>1600</v>
      </c>
      <c r="J2053" s="282" t="s">
        <v>156</v>
      </c>
      <c r="K2053" s="283" t="s">
        <v>3069</v>
      </c>
      <c r="L2053" s="286" t="s">
        <v>158</v>
      </c>
      <c r="M2053" s="293"/>
      <c r="N2053" s="293"/>
      <c r="O2053" s="287"/>
      <c r="P2053" s="287"/>
      <c r="Q2053" s="288">
        <v>1520</v>
      </c>
      <c r="R2053" s="288"/>
      <c r="S2053" s="288"/>
      <c r="T2053" s="288"/>
      <c r="U2053" s="288">
        <v>0</v>
      </c>
      <c r="V2053" s="289">
        <v>1520</v>
      </c>
      <c r="W2053" s="289">
        <v>0</v>
      </c>
      <c r="X2053" s="288">
        <v>1.52</v>
      </c>
      <c r="Y2053" s="288">
        <v>0</v>
      </c>
      <c r="Z2053" s="288">
        <v>0</v>
      </c>
      <c r="AA2053" s="288">
        <v>0</v>
      </c>
      <c r="AB2053" s="288">
        <v>0</v>
      </c>
      <c r="AC2053" s="289">
        <v>1.52</v>
      </c>
      <c r="AD2053" s="289">
        <v>0</v>
      </c>
    </row>
    <row r="2054" spans="1:30" ht="15" customHeight="1" x14ac:dyDescent="0.25">
      <c r="A2054" s="282" t="s">
        <v>2996</v>
      </c>
      <c r="B2054" s="282" t="s">
        <v>3074</v>
      </c>
      <c r="C2054" s="282" t="s">
        <v>3014</v>
      </c>
      <c r="D2054" s="283" t="s">
        <v>3085</v>
      </c>
      <c r="E2054" s="403">
        <v>44701</v>
      </c>
      <c r="F2054" s="403">
        <v>45921</v>
      </c>
      <c r="G2054" s="284" t="s">
        <v>154</v>
      </c>
      <c r="H2054" s="283" t="s">
        <v>3086</v>
      </c>
      <c r="I2054" s="282" t="s">
        <v>1600</v>
      </c>
      <c r="J2054" s="282" t="s">
        <v>156</v>
      </c>
      <c r="K2054" s="283" t="s">
        <v>3069</v>
      </c>
      <c r="L2054" s="286" t="s">
        <v>158</v>
      </c>
      <c r="M2054" s="293"/>
      <c r="N2054" s="293"/>
      <c r="O2054" s="287"/>
      <c r="P2054" s="287"/>
      <c r="Q2054" s="288">
        <v>1520</v>
      </c>
      <c r="R2054" s="288"/>
      <c r="S2054" s="288"/>
      <c r="T2054" s="288"/>
      <c r="U2054" s="288">
        <v>0</v>
      </c>
      <c r="V2054" s="289">
        <v>1520</v>
      </c>
      <c r="W2054" s="289">
        <v>0</v>
      </c>
      <c r="X2054" s="288">
        <v>1.52</v>
      </c>
      <c r="Y2054" s="288">
        <v>0</v>
      </c>
      <c r="Z2054" s="288">
        <v>0</v>
      </c>
      <c r="AA2054" s="288">
        <v>0</v>
      </c>
      <c r="AB2054" s="288">
        <v>0</v>
      </c>
      <c r="AC2054" s="289">
        <v>1.52</v>
      </c>
      <c r="AD2054" s="289">
        <v>0</v>
      </c>
    </row>
    <row r="2055" spans="1:30" ht="15" customHeight="1" x14ac:dyDescent="0.25">
      <c r="A2055" s="282" t="s">
        <v>2996</v>
      </c>
      <c r="B2055" s="282" t="s">
        <v>3074</v>
      </c>
      <c r="C2055" s="282" t="s">
        <v>3014</v>
      </c>
      <c r="D2055" s="283" t="s">
        <v>3087</v>
      </c>
      <c r="E2055" s="403">
        <v>44701</v>
      </c>
      <c r="F2055" s="403">
        <v>45921</v>
      </c>
      <c r="G2055" s="284" t="s">
        <v>154</v>
      </c>
      <c r="H2055" s="283" t="s">
        <v>3088</v>
      </c>
      <c r="I2055" s="282" t="s">
        <v>1600</v>
      </c>
      <c r="J2055" s="282" t="s">
        <v>156</v>
      </c>
      <c r="K2055" s="283" t="s">
        <v>3089</v>
      </c>
      <c r="L2055" s="286" t="s">
        <v>158</v>
      </c>
      <c r="M2055" s="293"/>
      <c r="N2055" s="293"/>
      <c r="O2055" s="287"/>
      <c r="P2055" s="287"/>
      <c r="Q2055" s="288">
        <v>1240</v>
      </c>
      <c r="R2055" s="288"/>
      <c r="S2055" s="288"/>
      <c r="T2055" s="288"/>
      <c r="U2055" s="288">
        <v>0</v>
      </c>
      <c r="V2055" s="289">
        <v>1240</v>
      </c>
      <c r="W2055" s="289">
        <v>0</v>
      </c>
      <c r="X2055" s="288">
        <v>1.24</v>
      </c>
      <c r="Y2055" s="288">
        <v>0</v>
      </c>
      <c r="Z2055" s="288">
        <v>0</v>
      </c>
      <c r="AA2055" s="288">
        <v>0</v>
      </c>
      <c r="AB2055" s="288">
        <v>0</v>
      </c>
      <c r="AC2055" s="289">
        <v>1.24</v>
      </c>
      <c r="AD2055" s="289">
        <v>0</v>
      </c>
    </row>
    <row r="2056" spans="1:30" ht="15" customHeight="1" x14ac:dyDescent="0.25">
      <c r="A2056" s="282" t="s">
        <v>2996</v>
      </c>
      <c r="B2056" s="282" t="s">
        <v>3074</v>
      </c>
      <c r="C2056" s="282" t="s">
        <v>3014</v>
      </c>
      <c r="D2056" s="283" t="s">
        <v>3087</v>
      </c>
      <c r="E2056" s="403">
        <v>44701</v>
      </c>
      <c r="F2056" s="403">
        <v>45921</v>
      </c>
      <c r="G2056" s="284" t="s">
        <v>154</v>
      </c>
      <c r="H2056" s="283" t="s">
        <v>3090</v>
      </c>
      <c r="I2056" s="282" t="s">
        <v>1600</v>
      </c>
      <c r="J2056" s="282" t="s">
        <v>156</v>
      </c>
      <c r="K2056" s="283" t="s">
        <v>3089</v>
      </c>
      <c r="L2056" s="286" t="s">
        <v>158</v>
      </c>
      <c r="M2056" s="293"/>
      <c r="N2056" s="293"/>
      <c r="O2056" s="287"/>
      <c r="P2056" s="287"/>
      <c r="Q2056" s="288">
        <v>1240</v>
      </c>
      <c r="R2056" s="288"/>
      <c r="S2056" s="288"/>
      <c r="T2056" s="288"/>
      <c r="U2056" s="288">
        <v>0</v>
      </c>
      <c r="V2056" s="289">
        <v>1240</v>
      </c>
      <c r="W2056" s="289">
        <v>0</v>
      </c>
      <c r="X2056" s="288">
        <v>1.24</v>
      </c>
      <c r="Y2056" s="288">
        <v>0</v>
      </c>
      <c r="Z2056" s="288">
        <v>0</v>
      </c>
      <c r="AA2056" s="288">
        <v>0</v>
      </c>
      <c r="AB2056" s="288">
        <v>0</v>
      </c>
      <c r="AC2056" s="289">
        <v>1.24</v>
      </c>
      <c r="AD2056" s="289">
        <v>0</v>
      </c>
    </row>
    <row r="2057" spans="1:30" ht="15" customHeight="1" x14ac:dyDescent="0.25">
      <c r="A2057" s="282" t="s">
        <v>2996</v>
      </c>
      <c r="B2057" s="282" t="s">
        <v>3074</v>
      </c>
      <c r="C2057" s="282" t="s">
        <v>3014</v>
      </c>
      <c r="D2057" s="283" t="s">
        <v>3091</v>
      </c>
      <c r="E2057" s="403">
        <v>44701</v>
      </c>
      <c r="F2057" s="403">
        <v>45921</v>
      </c>
      <c r="G2057" s="284" t="s">
        <v>154</v>
      </c>
      <c r="H2057" s="283" t="s">
        <v>3092</v>
      </c>
      <c r="I2057" s="282" t="s">
        <v>1600</v>
      </c>
      <c r="J2057" s="282" t="s">
        <v>156</v>
      </c>
      <c r="K2057" s="283" t="s">
        <v>3089</v>
      </c>
      <c r="L2057" s="286" t="s">
        <v>158</v>
      </c>
      <c r="M2057" s="293"/>
      <c r="N2057" s="293"/>
      <c r="O2057" s="287"/>
      <c r="P2057" s="287"/>
      <c r="Q2057" s="288">
        <v>1240</v>
      </c>
      <c r="R2057" s="288"/>
      <c r="S2057" s="288"/>
      <c r="T2057" s="288"/>
      <c r="U2057" s="288">
        <v>0</v>
      </c>
      <c r="V2057" s="289">
        <v>1240</v>
      </c>
      <c r="W2057" s="289">
        <v>0</v>
      </c>
      <c r="X2057" s="288">
        <v>1.24</v>
      </c>
      <c r="Y2057" s="288">
        <v>0</v>
      </c>
      <c r="Z2057" s="288">
        <v>0</v>
      </c>
      <c r="AA2057" s="288">
        <v>0</v>
      </c>
      <c r="AB2057" s="288">
        <v>0</v>
      </c>
      <c r="AC2057" s="289">
        <v>1.24</v>
      </c>
      <c r="AD2057" s="289">
        <v>0</v>
      </c>
    </row>
    <row r="2058" spans="1:30" ht="15" customHeight="1" x14ac:dyDescent="0.25">
      <c r="A2058" s="282" t="s">
        <v>2996</v>
      </c>
      <c r="B2058" s="282" t="s">
        <v>3074</v>
      </c>
      <c r="C2058" s="282" t="s">
        <v>3014</v>
      </c>
      <c r="D2058" s="283" t="s">
        <v>3093</v>
      </c>
      <c r="E2058" s="403">
        <v>44701</v>
      </c>
      <c r="F2058" s="403">
        <v>45921</v>
      </c>
      <c r="G2058" s="284" t="s">
        <v>154</v>
      </c>
      <c r="H2058" s="283" t="s">
        <v>3094</v>
      </c>
      <c r="I2058" s="282" t="s">
        <v>1600</v>
      </c>
      <c r="J2058" s="282" t="s">
        <v>156</v>
      </c>
      <c r="K2058" s="283" t="s">
        <v>3089</v>
      </c>
      <c r="L2058" s="286" t="s">
        <v>158</v>
      </c>
      <c r="M2058" s="293"/>
      <c r="N2058" s="293"/>
      <c r="O2058" s="287"/>
      <c r="P2058" s="287"/>
      <c r="Q2058" s="288">
        <v>1240</v>
      </c>
      <c r="R2058" s="288"/>
      <c r="S2058" s="288"/>
      <c r="T2058" s="288"/>
      <c r="U2058" s="288">
        <v>0</v>
      </c>
      <c r="V2058" s="289">
        <v>1240</v>
      </c>
      <c r="W2058" s="289">
        <v>0</v>
      </c>
      <c r="X2058" s="288">
        <v>1.24</v>
      </c>
      <c r="Y2058" s="288">
        <v>0</v>
      </c>
      <c r="Z2058" s="288">
        <v>0</v>
      </c>
      <c r="AA2058" s="288">
        <v>0</v>
      </c>
      <c r="AB2058" s="288">
        <v>0</v>
      </c>
      <c r="AC2058" s="289">
        <v>1.24</v>
      </c>
      <c r="AD2058" s="289">
        <v>0</v>
      </c>
    </row>
    <row r="2059" spans="1:30" ht="15" customHeight="1" x14ac:dyDescent="0.25">
      <c r="A2059" s="282" t="s">
        <v>2996</v>
      </c>
      <c r="B2059" s="282" t="s">
        <v>3074</v>
      </c>
      <c r="C2059" s="282" t="s">
        <v>3014</v>
      </c>
      <c r="D2059" s="283" t="s">
        <v>3095</v>
      </c>
      <c r="E2059" s="403">
        <v>44701</v>
      </c>
      <c r="F2059" s="403">
        <v>45921</v>
      </c>
      <c r="G2059" s="284" t="s">
        <v>154</v>
      </c>
      <c r="H2059" s="283" t="s">
        <v>3096</v>
      </c>
      <c r="I2059" s="282" t="s">
        <v>1600</v>
      </c>
      <c r="J2059" s="282" t="s">
        <v>156</v>
      </c>
      <c r="K2059" s="283" t="s">
        <v>3089</v>
      </c>
      <c r="L2059" s="286" t="s">
        <v>158</v>
      </c>
      <c r="M2059" s="293"/>
      <c r="N2059" s="293"/>
      <c r="O2059" s="287"/>
      <c r="P2059" s="287"/>
      <c r="Q2059" s="288">
        <v>1240</v>
      </c>
      <c r="R2059" s="288"/>
      <c r="S2059" s="288"/>
      <c r="T2059" s="288"/>
      <c r="U2059" s="288">
        <v>0</v>
      </c>
      <c r="V2059" s="289">
        <v>1240</v>
      </c>
      <c r="W2059" s="289">
        <v>0</v>
      </c>
      <c r="X2059" s="288">
        <v>1.24</v>
      </c>
      <c r="Y2059" s="288">
        <v>0</v>
      </c>
      <c r="Z2059" s="288">
        <v>0</v>
      </c>
      <c r="AA2059" s="288">
        <v>0</v>
      </c>
      <c r="AB2059" s="288">
        <v>0</v>
      </c>
      <c r="AC2059" s="289">
        <v>1.24</v>
      </c>
      <c r="AD2059" s="289">
        <v>0</v>
      </c>
    </row>
    <row r="2060" spans="1:30" ht="15" customHeight="1" x14ac:dyDescent="0.25">
      <c r="A2060" s="282" t="s">
        <v>2996</v>
      </c>
      <c r="B2060" s="282" t="s">
        <v>3074</v>
      </c>
      <c r="C2060" s="282" t="s">
        <v>3014</v>
      </c>
      <c r="D2060" s="283" t="s">
        <v>3097</v>
      </c>
      <c r="E2060" s="403">
        <v>44701</v>
      </c>
      <c r="F2060" s="403">
        <v>45921</v>
      </c>
      <c r="G2060" s="284" t="s">
        <v>154</v>
      </c>
      <c r="H2060" s="283" t="s">
        <v>3098</v>
      </c>
      <c r="I2060" s="282" t="s">
        <v>1600</v>
      </c>
      <c r="J2060" s="282" t="s">
        <v>156</v>
      </c>
      <c r="K2060" s="283" t="s">
        <v>3089</v>
      </c>
      <c r="L2060" s="286" t="s">
        <v>158</v>
      </c>
      <c r="M2060" s="293"/>
      <c r="N2060" s="293"/>
      <c r="O2060" s="287"/>
      <c r="P2060" s="287"/>
      <c r="Q2060" s="288">
        <v>1240</v>
      </c>
      <c r="R2060" s="288"/>
      <c r="S2060" s="288"/>
      <c r="T2060" s="288"/>
      <c r="U2060" s="288">
        <v>0</v>
      </c>
      <c r="V2060" s="289">
        <v>1240</v>
      </c>
      <c r="W2060" s="289">
        <v>0</v>
      </c>
      <c r="X2060" s="288">
        <v>1.24</v>
      </c>
      <c r="Y2060" s="288">
        <v>0</v>
      </c>
      <c r="Z2060" s="288">
        <v>0</v>
      </c>
      <c r="AA2060" s="288">
        <v>0</v>
      </c>
      <c r="AB2060" s="288">
        <v>0</v>
      </c>
      <c r="AC2060" s="289">
        <v>1.24</v>
      </c>
      <c r="AD2060" s="289">
        <v>0</v>
      </c>
    </row>
    <row r="2061" spans="1:30" ht="15" customHeight="1" x14ac:dyDescent="0.25">
      <c r="A2061" s="282" t="s">
        <v>2996</v>
      </c>
      <c r="B2061" s="282" t="s">
        <v>3061</v>
      </c>
      <c r="C2061" s="282" t="s">
        <v>3061</v>
      </c>
      <c r="D2061" s="283" t="s">
        <v>3099</v>
      </c>
      <c r="E2061" s="403">
        <v>42682</v>
      </c>
      <c r="F2061" s="403">
        <v>45921</v>
      </c>
      <c r="G2061" s="284" t="s">
        <v>154</v>
      </c>
      <c r="H2061" s="283" t="s">
        <v>3071</v>
      </c>
      <c r="I2061" s="282" t="s">
        <v>1600</v>
      </c>
      <c r="J2061" s="282" t="s">
        <v>156</v>
      </c>
      <c r="K2061" s="283" t="s">
        <v>3100</v>
      </c>
      <c r="L2061" s="286" t="s">
        <v>158</v>
      </c>
      <c r="M2061" s="293">
        <v>7850</v>
      </c>
      <c r="N2061" s="293"/>
      <c r="O2061" s="287"/>
      <c r="P2061" s="287" t="s">
        <v>158</v>
      </c>
      <c r="Q2061" s="288">
        <v>1670</v>
      </c>
      <c r="R2061" s="288"/>
      <c r="S2061" s="288"/>
      <c r="T2061" s="288"/>
      <c r="U2061" s="288">
        <v>0</v>
      </c>
      <c r="V2061" s="289">
        <v>1670</v>
      </c>
      <c r="W2061" s="289">
        <v>0</v>
      </c>
      <c r="X2061" s="288">
        <v>1.67</v>
      </c>
      <c r="Y2061" s="288">
        <v>0</v>
      </c>
      <c r="Z2061" s="288">
        <v>0</v>
      </c>
      <c r="AA2061" s="288">
        <v>0</v>
      </c>
      <c r="AB2061" s="288">
        <v>0</v>
      </c>
      <c r="AC2061" s="289">
        <v>1.67</v>
      </c>
      <c r="AD2061" s="289">
        <v>0</v>
      </c>
    </row>
    <row r="2062" spans="1:30" ht="15" customHeight="1" x14ac:dyDescent="0.25">
      <c r="A2062" s="282" t="s">
        <v>2996</v>
      </c>
      <c r="B2062" s="282" t="s">
        <v>3061</v>
      </c>
      <c r="C2062" s="282" t="s">
        <v>3061</v>
      </c>
      <c r="D2062" s="283" t="s">
        <v>3101</v>
      </c>
      <c r="E2062" s="403">
        <v>42682</v>
      </c>
      <c r="F2062" s="403">
        <v>45921</v>
      </c>
      <c r="G2062" s="284" t="s">
        <v>154</v>
      </c>
      <c r="H2062" s="283" t="s">
        <v>3063</v>
      </c>
      <c r="I2062" s="282" t="s">
        <v>1600</v>
      </c>
      <c r="J2062" s="282" t="s">
        <v>156</v>
      </c>
      <c r="K2062" s="283" t="s">
        <v>3100</v>
      </c>
      <c r="L2062" s="286" t="s">
        <v>158</v>
      </c>
      <c r="M2062" s="293">
        <v>7850</v>
      </c>
      <c r="N2062" s="293"/>
      <c r="O2062" s="287"/>
      <c r="P2062" s="287" t="s">
        <v>158</v>
      </c>
      <c r="Q2062" s="288">
        <v>1670</v>
      </c>
      <c r="R2062" s="288"/>
      <c r="S2062" s="288"/>
      <c r="T2062" s="288"/>
      <c r="U2062" s="288">
        <v>0</v>
      </c>
      <c r="V2062" s="289">
        <v>1670</v>
      </c>
      <c r="W2062" s="289">
        <v>0</v>
      </c>
      <c r="X2062" s="288">
        <v>1.67</v>
      </c>
      <c r="Y2062" s="288">
        <v>0</v>
      </c>
      <c r="Z2062" s="288">
        <v>0</v>
      </c>
      <c r="AA2062" s="288">
        <v>0</v>
      </c>
      <c r="AB2062" s="288">
        <v>0</v>
      </c>
      <c r="AC2062" s="289">
        <v>1.67</v>
      </c>
      <c r="AD2062" s="289">
        <v>0</v>
      </c>
    </row>
    <row r="2063" spans="1:30" ht="15" customHeight="1" x14ac:dyDescent="0.25">
      <c r="A2063" s="282" t="s">
        <v>2996</v>
      </c>
      <c r="B2063" s="282" t="s">
        <v>3061</v>
      </c>
      <c r="C2063" s="282" t="s">
        <v>3061</v>
      </c>
      <c r="D2063" s="283" t="s">
        <v>3102</v>
      </c>
      <c r="E2063" s="403">
        <v>42682</v>
      </c>
      <c r="F2063" s="403">
        <v>45921</v>
      </c>
      <c r="G2063" s="284" t="s">
        <v>154</v>
      </c>
      <c r="H2063" s="283" t="s">
        <v>3066</v>
      </c>
      <c r="I2063" s="282" t="s">
        <v>1600</v>
      </c>
      <c r="J2063" s="282" t="s">
        <v>156</v>
      </c>
      <c r="K2063" s="283" t="s">
        <v>3100</v>
      </c>
      <c r="L2063" s="286" t="s">
        <v>158</v>
      </c>
      <c r="M2063" s="293">
        <v>7850</v>
      </c>
      <c r="N2063" s="293"/>
      <c r="O2063" s="287"/>
      <c r="P2063" s="287" t="s">
        <v>158</v>
      </c>
      <c r="Q2063" s="288">
        <v>1670</v>
      </c>
      <c r="R2063" s="288"/>
      <c r="S2063" s="288"/>
      <c r="T2063" s="288"/>
      <c r="U2063" s="288">
        <v>0</v>
      </c>
      <c r="V2063" s="289">
        <v>1670</v>
      </c>
      <c r="W2063" s="289">
        <v>0</v>
      </c>
      <c r="X2063" s="288">
        <v>1.67</v>
      </c>
      <c r="Y2063" s="288">
        <v>0</v>
      </c>
      <c r="Z2063" s="288">
        <v>0</v>
      </c>
      <c r="AA2063" s="288">
        <v>0</v>
      </c>
      <c r="AB2063" s="288">
        <v>0</v>
      </c>
      <c r="AC2063" s="289">
        <v>1.67</v>
      </c>
      <c r="AD2063" s="289">
        <v>0</v>
      </c>
    </row>
    <row r="2064" spans="1:30" ht="15" customHeight="1" x14ac:dyDescent="0.25">
      <c r="A2064" s="282" t="s">
        <v>2996</v>
      </c>
      <c r="B2064" s="282" t="s">
        <v>3061</v>
      </c>
      <c r="C2064" s="282" t="s">
        <v>3061</v>
      </c>
      <c r="D2064" s="283" t="s">
        <v>3103</v>
      </c>
      <c r="E2064" s="403">
        <v>42682</v>
      </c>
      <c r="F2064" s="403">
        <v>45921</v>
      </c>
      <c r="G2064" s="284" t="s">
        <v>154</v>
      </c>
      <c r="H2064" s="283" t="s">
        <v>3076</v>
      </c>
      <c r="I2064" s="282" t="s">
        <v>1600</v>
      </c>
      <c r="J2064" s="282" t="s">
        <v>156</v>
      </c>
      <c r="K2064" s="283" t="s">
        <v>3100</v>
      </c>
      <c r="L2064" s="286" t="s">
        <v>158</v>
      </c>
      <c r="M2064" s="293">
        <v>7850</v>
      </c>
      <c r="N2064" s="293"/>
      <c r="O2064" s="287"/>
      <c r="P2064" s="287" t="s">
        <v>158</v>
      </c>
      <c r="Q2064" s="288">
        <v>2060</v>
      </c>
      <c r="R2064" s="288"/>
      <c r="S2064" s="288"/>
      <c r="T2064" s="288"/>
      <c r="U2064" s="288">
        <v>0</v>
      </c>
      <c r="V2064" s="289">
        <v>2060</v>
      </c>
      <c r="W2064" s="289">
        <v>0</v>
      </c>
      <c r="X2064" s="288">
        <v>2.06</v>
      </c>
      <c r="Y2064" s="288">
        <v>0</v>
      </c>
      <c r="Z2064" s="288">
        <v>0</v>
      </c>
      <c r="AA2064" s="288">
        <v>0</v>
      </c>
      <c r="AB2064" s="288">
        <v>0</v>
      </c>
      <c r="AC2064" s="289">
        <v>2.06</v>
      </c>
      <c r="AD2064" s="289">
        <v>0</v>
      </c>
    </row>
    <row r="2065" spans="1:30" ht="15" customHeight="1" x14ac:dyDescent="0.25">
      <c r="A2065" s="282" t="s">
        <v>2996</v>
      </c>
      <c r="B2065" s="282" t="s">
        <v>2997</v>
      </c>
      <c r="C2065" s="282" t="s">
        <v>2998</v>
      </c>
      <c r="D2065" s="283" t="s">
        <v>3104</v>
      </c>
      <c r="E2065" s="403">
        <v>44741</v>
      </c>
      <c r="F2065" s="403">
        <v>45921</v>
      </c>
      <c r="G2065" s="284" t="s">
        <v>154</v>
      </c>
      <c r="H2065" s="283" t="s">
        <v>3105</v>
      </c>
      <c r="I2065" s="282" t="s">
        <v>1600</v>
      </c>
      <c r="J2065" s="282" t="s">
        <v>156</v>
      </c>
      <c r="K2065" s="283" t="s">
        <v>3106</v>
      </c>
      <c r="L2065" s="286" t="s">
        <v>158</v>
      </c>
      <c r="M2065" s="293"/>
      <c r="N2065" s="293"/>
      <c r="O2065" s="287"/>
      <c r="P2065" s="287"/>
      <c r="Q2065" s="288">
        <v>3320</v>
      </c>
      <c r="R2065" s="288"/>
      <c r="S2065" s="288"/>
      <c r="T2065" s="288"/>
      <c r="U2065" s="288">
        <v>0</v>
      </c>
      <c r="V2065" s="289">
        <v>3320</v>
      </c>
      <c r="W2065" s="289">
        <v>0</v>
      </c>
      <c r="X2065" s="288">
        <v>3.32</v>
      </c>
      <c r="Y2065" s="288">
        <v>0</v>
      </c>
      <c r="Z2065" s="288">
        <v>0</v>
      </c>
      <c r="AA2065" s="288">
        <v>0</v>
      </c>
      <c r="AB2065" s="288">
        <v>0</v>
      </c>
      <c r="AC2065" s="289">
        <v>3.32</v>
      </c>
      <c r="AD2065" s="289">
        <v>0</v>
      </c>
    </row>
    <row r="2066" spans="1:30" ht="15" customHeight="1" x14ac:dyDescent="0.25">
      <c r="A2066" s="282" t="s">
        <v>2996</v>
      </c>
      <c r="B2066" s="282" t="s">
        <v>2997</v>
      </c>
      <c r="C2066" s="282" t="s">
        <v>2998</v>
      </c>
      <c r="D2066" s="283" t="s">
        <v>3107</v>
      </c>
      <c r="E2066" s="403">
        <v>44741</v>
      </c>
      <c r="F2066" s="403">
        <v>45921</v>
      </c>
      <c r="G2066" s="284" t="s">
        <v>154</v>
      </c>
      <c r="H2066" s="283" t="s">
        <v>3105</v>
      </c>
      <c r="I2066" s="282" t="s">
        <v>1600</v>
      </c>
      <c r="J2066" s="282" t="s">
        <v>156</v>
      </c>
      <c r="K2066" s="283" t="s">
        <v>3106</v>
      </c>
      <c r="L2066" s="286" t="s">
        <v>158</v>
      </c>
      <c r="M2066" s="293"/>
      <c r="N2066" s="293"/>
      <c r="O2066" s="287"/>
      <c r="P2066" s="287"/>
      <c r="Q2066" s="288">
        <v>3320</v>
      </c>
      <c r="R2066" s="288"/>
      <c r="S2066" s="288"/>
      <c r="T2066" s="288"/>
      <c r="U2066" s="288">
        <v>0</v>
      </c>
      <c r="V2066" s="289">
        <v>3320</v>
      </c>
      <c r="W2066" s="289">
        <v>0</v>
      </c>
      <c r="X2066" s="288">
        <v>3.32</v>
      </c>
      <c r="Y2066" s="288">
        <v>0</v>
      </c>
      <c r="Z2066" s="288">
        <v>0</v>
      </c>
      <c r="AA2066" s="288">
        <v>0</v>
      </c>
      <c r="AB2066" s="288">
        <v>0</v>
      </c>
      <c r="AC2066" s="289">
        <v>3.32</v>
      </c>
      <c r="AD2066" s="289">
        <v>0</v>
      </c>
    </row>
    <row r="2067" spans="1:30" ht="15" customHeight="1" x14ac:dyDescent="0.25">
      <c r="A2067" s="282" t="s">
        <v>2996</v>
      </c>
      <c r="B2067" s="282" t="s">
        <v>2997</v>
      </c>
      <c r="C2067" s="282" t="s">
        <v>2998</v>
      </c>
      <c r="D2067" s="283" t="s">
        <v>3108</v>
      </c>
      <c r="E2067" s="403">
        <v>44741</v>
      </c>
      <c r="F2067" s="403">
        <v>45921</v>
      </c>
      <c r="G2067" s="284" t="s">
        <v>154</v>
      </c>
      <c r="H2067" s="283" t="s">
        <v>3105</v>
      </c>
      <c r="I2067" s="282" t="s">
        <v>1600</v>
      </c>
      <c r="J2067" s="282" t="s">
        <v>156</v>
      </c>
      <c r="K2067" s="283" t="s">
        <v>3106</v>
      </c>
      <c r="L2067" s="286" t="s">
        <v>158</v>
      </c>
      <c r="M2067" s="293"/>
      <c r="N2067" s="293"/>
      <c r="O2067" s="287"/>
      <c r="P2067" s="287"/>
      <c r="Q2067" s="288">
        <v>3320</v>
      </c>
      <c r="R2067" s="288"/>
      <c r="S2067" s="288"/>
      <c r="T2067" s="288"/>
      <c r="U2067" s="288">
        <v>0</v>
      </c>
      <c r="V2067" s="289">
        <v>3320</v>
      </c>
      <c r="W2067" s="289">
        <v>0</v>
      </c>
      <c r="X2067" s="288">
        <v>3.32</v>
      </c>
      <c r="Y2067" s="288">
        <v>0</v>
      </c>
      <c r="Z2067" s="288">
        <v>0</v>
      </c>
      <c r="AA2067" s="288">
        <v>0</v>
      </c>
      <c r="AB2067" s="288">
        <v>0</v>
      </c>
      <c r="AC2067" s="289">
        <v>3.32</v>
      </c>
      <c r="AD2067" s="289">
        <v>0</v>
      </c>
    </row>
    <row r="2068" spans="1:30" ht="15" customHeight="1" x14ac:dyDescent="0.25">
      <c r="A2068" s="282" t="s">
        <v>2996</v>
      </c>
      <c r="B2068" s="282" t="s">
        <v>2997</v>
      </c>
      <c r="C2068" s="282" t="s">
        <v>2998</v>
      </c>
      <c r="D2068" s="283" t="s">
        <v>3109</v>
      </c>
      <c r="E2068" s="403">
        <v>44741</v>
      </c>
      <c r="F2068" s="403">
        <v>45921</v>
      </c>
      <c r="G2068" s="284" t="s">
        <v>154</v>
      </c>
      <c r="H2068" s="283" t="s">
        <v>3105</v>
      </c>
      <c r="I2068" s="282" t="s">
        <v>1600</v>
      </c>
      <c r="J2068" s="282" t="s">
        <v>156</v>
      </c>
      <c r="K2068" s="283" t="s">
        <v>3106</v>
      </c>
      <c r="L2068" s="286" t="s">
        <v>158</v>
      </c>
      <c r="M2068" s="293"/>
      <c r="N2068" s="293"/>
      <c r="O2068" s="287"/>
      <c r="P2068" s="287"/>
      <c r="Q2068" s="288">
        <v>3320</v>
      </c>
      <c r="R2068" s="288"/>
      <c r="S2068" s="288"/>
      <c r="T2068" s="288"/>
      <c r="U2068" s="288">
        <v>0</v>
      </c>
      <c r="V2068" s="289">
        <v>3320</v>
      </c>
      <c r="W2068" s="289">
        <v>0</v>
      </c>
      <c r="X2068" s="288">
        <v>3.32</v>
      </c>
      <c r="Y2068" s="288">
        <v>0</v>
      </c>
      <c r="Z2068" s="288">
        <v>0</v>
      </c>
      <c r="AA2068" s="288">
        <v>0</v>
      </c>
      <c r="AB2068" s="288">
        <v>0</v>
      </c>
      <c r="AC2068" s="289">
        <v>3.32</v>
      </c>
      <c r="AD2068" s="289">
        <v>0</v>
      </c>
    </row>
    <row r="2069" spans="1:30" ht="15" customHeight="1" x14ac:dyDescent="0.25">
      <c r="A2069" s="282" t="s">
        <v>2996</v>
      </c>
      <c r="B2069" s="282" t="s">
        <v>3061</v>
      </c>
      <c r="C2069" s="282" t="s">
        <v>3061</v>
      </c>
      <c r="D2069" s="283" t="s">
        <v>3110</v>
      </c>
      <c r="E2069" s="403">
        <v>45103</v>
      </c>
      <c r="F2069" s="403">
        <v>46929</v>
      </c>
      <c r="G2069" s="284" t="s">
        <v>154</v>
      </c>
      <c r="H2069" s="283" t="s">
        <v>3111</v>
      </c>
      <c r="I2069" s="282" t="s">
        <v>590</v>
      </c>
      <c r="J2069" s="282" t="s">
        <v>156</v>
      </c>
      <c r="K2069" s="283" t="s">
        <v>3112</v>
      </c>
      <c r="L2069" s="286" t="s">
        <v>158</v>
      </c>
      <c r="M2069" s="293">
        <v>7850</v>
      </c>
      <c r="N2069" s="293"/>
      <c r="O2069" s="287"/>
      <c r="P2069" s="287" t="s">
        <v>158</v>
      </c>
      <c r="Q2069" s="288">
        <v>1660</v>
      </c>
      <c r="R2069" s="288"/>
      <c r="S2069" s="288"/>
      <c r="T2069" s="288"/>
      <c r="U2069" s="288">
        <v>0</v>
      </c>
      <c r="V2069" s="289">
        <v>1660</v>
      </c>
      <c r="W2069" s="289">
        <v>0</v>
      </c>
      <c r="X2069" s="288">
        <v>1.66</v>
      </c>
      <c r="Y2069" s="288">
        <v>0</v>
      </c>
      <c r="Z2069" s="288">
        <v>0</v>
      </c>
      <c r="AA2069" s="288">
        <v>0</v>
      </c>
      <c r="AB2069" s="288">
        <v>0</v>
      </c>
      <c r="AC2069" s="289">
        <v>1.66</v>
      </c>
      <c r="AD2069" s="289">
        <v>0</v>
      </c>
    </row>
    <row r="2070" spans="1:30" ht="15" customHeight="1" x14ac:dyDescent="0.25">
      <c r="A2070" s="282" t="s">
        <v>2996</v>
      </c>
      <c r="B2070" s="282" t="s">
        <v>3061</v>
      </c>
      <c r="C2070" s="282" t="s">
        <v>3061</v>
      </c>
      <c r="D2070" s="283" t="s">
        <v>3113</v>
      </c>
      <c r="E2070" s="403">
        <v>45103</v>
      </c>
      <c r="F2070" s="403">
        <v>46929</v>
      </c>
      <c r="G2070" s="284" t="s">
        <v>154</v>
      </c>
      <c r="H2070" s="283" t="s">
        <v>3111</v>
      </c>
      <c r="I2070" s="282" t="s">
        <v>590</v>
      </c>
      <c r="J2070" s="282" t="s">
        <v>156</v>
      </c>
      <c r="K2070" s="283" t="s">
        <v>3112</v>
      </c>
      <c r="L2070" s="286" t="s">
        <v>158</v>
      </c>
      <c r="M2070" s="293">
        <v>7850</v>
      </c>
      <c r="N2070" s="293"/>
      <c r="O2070" s="287"/>
      <c r="P2070" s="287" t="s">
        <v>158</v>
      </c>
      <c r="Q2070" s="288">
        <v>1660</v>
      </c>
      <c r="R2070" s="288"/>
      <c r="S2070" s="288"/>
      <c r="T2070" s="288"/>
      <c r="U2070" s="288">
        <v>0</v>
      </c>
      <c r="V2070" s="289">
        <v>1660</v>
      </c>
      <c r="W2070" s="289">
        <v>0</v>
      </c>
      <c r="X2070" s="288">
        <v>1.66</v>
      </c>
      <c r="Y2070" s="288">
        <v>0</v>
      </c>
      <c r="Z2070" s="288">
        <v>0</v>
      </c>
      <c r="AA2070" s="288">
        <v>0</v>
      </c>
      <c r="AB2070" s="288">
        <v>0</v>
      </c>
      <c r="AC2070" s="289">
        <v>1.66</v>
      </c>
      <c r="AD2070" s="289">
        <v>0</v>
      </c>
    </row>
    <row r="2071" spans="1:30" ht="15" customHeight="1" x14ac:dyDescent="0.25">
      <c r="A2071" s="282" t="s">
        <v>2996</v>
      </c>
      <c r="B2071" s="282" t="s">
        <v>3042</v>
      </c>
      <c r="C2071" s="282" t="s">
        <v>3014</v>
      </c>
      <c r="D2071" s="286" t="s">
        <v>3114</v>
      </c>
      <c r="E2071" s="403">
        <v>45071</v>
      </c>
      <c r="F2071" s="403">
        <v>46898</v>
      </c>
      <c r="G2071" s="283" t="s">
        <v>154</v>
      </c>
      <c r="H2071" s="283" t="s">
        <v>3044</v>
      </c>
      <c r="I2071" s="283" t="s">
        <v>590</v>
      </c>
      <c r="J2071" s="282" t="s">
        <v>156</v>
      </c>
      <c r="K2071" s="283" t="s">
        <v>3045</v>
      </c>
      <c r="L2071" s="286" t="s">
        <v>158</v>
      </c>
      <c r="M2071" s="293"/>
      <c r="N2071" s="293">
        <v>12.14</v>
      </c>
      <c r="O2071" s="287"/>
      <c r="P2071" s="287"/>
      <c r="Q2071" s="288">
        <v>2915.9803396425041</v>
      </c>
      <c r="R2071" s="288">
        <v>2915.980230642504</v>
      </c>
      <c r="S2071" s="288">
        <v>1.0900000000000001E-4</v>
      </c>
      <c r="T2071" s="288"/>
      <c r="U2071" s="288">
        <v>0</v>
      </c>
      <c r="V2071" s="289">
        <v>2915.9803396425041</v>
      </c>
      <c r="W2071" s="289">
        <v>0</v>
      </c>
      <c r="X2071" s="288">
        <v>2.9159803396425041</v>
      </c>
      <c r="Y2071" s="288">
        <v>2.915980230642504</v>
      </c>
      <c r="Z2071" s="288">
        <v>1.0900000000000001E-7</v>
      </c>
      <c r="AA2071" s="288">
        <v>0</v>
      </c>
      <c r="AB2071" s="288">
        <v>0</v>
      </c>
      <c r="AC2071" s="289">
        <v>2.9159803396425041</v>
      </c>
      <c r="AD2071" s="289">
        <v>0</v>
      </c>
    </row>
    <row r="2072" spans="1:30" ht="15" customHeight="1" x14ac:dyDescent="0.25">
      <c r="A2072" s="282" t="s">
        <v>2996</v>
      </c>
      <c r="B2072" s="282" t="s">
        <v>3020</v>
      </c>
      <c r="C2072" s="282" t="s">
        <v>3014</v>
      </c>
      <c r="D2072" s="286" t="s">
        <v>3115</v>
      </c>
      <c r="E2072" s="403">
        <v>45071</v>
      </c>
      <c r="F2072" s="403">
        <v>46898</v>
      </c>
      <c r="G2072" s="283" t="s">
        <v>154</v>
      </c>
      <c r="H2072" s="283" t="s">
        <v>3022</v>
      </c>
      <c r="I2072" s="283" t="s">
        <v>590</v>
      </c>
      <c r="J2072" s="282" t="s">
        <v>156</v>
      </c>
      <c r="K2072" s="283" t="s">
        <v>3023</v>
      </c>
      <c r="L2072" s="286" t="s">
        <v>158</v>
      </c>
      <c r="M2072" s="293"/>
      <c r="N2072" s="293">
        <v>8.01</v>
      </c>
      <c r="O2072" s="287"/>
      <c r="P2072" s="287"/>
      <c r="Q2072" s="288">
        <v>2883.8954060861424</v>
      </c>
      <c r="R2072" s="288">
        <v>2883.8951310861426</v>
      </c>
      <c r="S2072" s="288">
        <v>2.7500000000000002E-4</v>
      </c>
      <c r="T2072" s="288"/>
      <c r="U2072" s="288">
        <v>0</v>
      </c>
      <c r="V2072" s="289">
        <v>2883.8954060861424</v>
      </c>
      <c r="W2072" s="289">
        <v>0</v>
      </c>
      <c r="X2072" s="288">
        <v>2.8838954060861424</v>
      </c>
      <c r="Y2072" s="288">
        <v>2.8838951310861427</v>
      </c>
      <c r="Z2072" s="288">
        <v>2.7500000000000001E-7</v>
      </c>
      <c r="AA2072" s="288">
        <v>0</v>
      </c>
      <c r="AB2072" s="288">
        <v>0</v>
      </c>
      <c r="AC2072" s="289">
        <v>2.8838954060861428</v>
      </c>
      <c r="AD2072" s="289">
        <v>0</v>
      </c>
    </row>
    <row r="2073" spans="1:30" ht="15" customHeight="1" x14ac:dyDescent="0.25">
      <c r="A2073" s="282" t="s">
        <v>2996</v>
      </c>
      <c r="B2073" s="282" t="s">
        <v>3020</v>
      </c>
      <c r="C2073" s="282" t="s">
        <v>3014</v>
      </c>
      <c r="D2073" s="286" t="s">
        <v>3116</v>
      </c>
      <c r="E2073" s="403">
        <v>45071</v>
      </c>
      <c r="F2073" s="403">
        <v>46898</v>
      </c>
      <c r="G2073" s="283" t="s">
        <v>154</v>
      </c>
      <c r="H2073" s="283" t="s">
        <v>3022</v>
      </c>
      <c r="I2073" s="283" t="s">
        <v>590</v>
      </c>
      <c r="J2073" s="282" t="s">
        <v>156</v>
      </c>
      <c r="K2073" s="283" t="s">
        <v>3023</v>
      </c>
      <c r="L2073" s="286" t="s">
        <v>158</v>
      </c>
      <c r="M2073" s="293"/>
      <c r="N2073" s="293">
        <v>9.18</v>
      </c>
      <c r="O2073" s="287"/>
      <c r="P2073" s="287"/>
      <c r="Q2073" s="288">
        <v>2854.0317110893243</v>
      </c>
      <c r="R2073" s="288">
        <v>2854.0305010893244</v>
      </c>
      <c r="S2073" s="288">
        <v>1.2099999999999999E-3</v>
      </c>
      <c r="T2073" s="288"/>
      <c r="U2073" s="288">
        <v>0</v>
      </c>
      <c r="V2073" s="289">
        <v>2854.0317110893243</v>
      </c>
      <c r="W2073" s="289">
        <v>0</v>
      </c>
      <c r="X2073" s="288">
        <v>2.8540317110893243</v>
      </c>
      <c r="Y2073" s="288">
        <v>2.8540305010893245</v>
      </c>
      <c r="Z2073" s="288">
        <v>1.2099999999999998E-6</v>
      </c>
      <c r="AA2073" s="288">
        <v>0</v>
      </c>
      <c r="AB2073" s="288">
        <v>0</v>
      </c>
      <c r="AC2073" s="289">
        <v>2.8540317110893247</v>
      </c>
      <c r="AD2073" s="289">
        <v>0</v>
      </c>
    </row>
    <row r="2074" spans="1:30" ht="15" customHeight="1" x14ac:dyDescent="0.25">
      <c r="A2074" s="282" t="s">
        <v>2996</v>
      </c>
      <c r="B2074" s="282" t="s">
        <v>3020</v>
      </c>
      <c r="C2074" s="282" t="s">
        <v>3014</v>
      </c>
      <c r="D2074" s="286" t="s">
        <v>3117</v>
      </c>
      <c r="E2074" s="403">
        <v>45071</v>
      </c>
      <c r="F2074" s="403">
        <v>46898</v>
      </c>
      <c r="G2074" s="283" t="s">
        <v>154</v>
      </c>
      <c r="H2074" s="283" t="s">
        <v>3022</v>
      </c>
      <c r="I2074" s="283" t="s">
        <v>590</v>
      </c>
      <c r="J2074" s="282" t="s">
        <v>156</v>
      </c>
      <c r="K2074" s="283" t="s">
        <v>3023</v>
      </c>
      <c r="L2074" s="286" t="s">
        <v>158</v>
      </c>
      <c r="M2074" s="293"/>
      <c r="N2074" s="293">
        <v>9.58</v>
      </c>
      <c r="O2074" s="287"/>
      <c r="P2074" s="287"/>
      <c r="Q2074" s="288">
        <v>2839.2499642379958</v>
      </c>
      <c r="R2074" s="288">
        <v>2839.2484342379958</v>
      </c>
      <c r="S2074" s="288">
        <v>1.5299999999999999E-3</v>
      </c>
      <c r="T2074" s="288"/>
      <c r="U2074" s="288">
        <v>0</v>
      </c>
      <c r="V2074" s="289">
        <v>2839.2499642379958</v>
      </c>
      <c r="W2074" s="289">
        <v>0</v>
      </c>
      <c r="X2074" s="288">
        <v>2.8392499642379958</v>
      </c>
      <c r="Y2074" s="288">
        <v>2.8392484342379958</v>
      </c>
      <c r="Z2074" s="288">
        <v>1.53E-6</v>
      </c>
      <c r="AA2074" s="288">
        <v>0</v>
      </c>
      <c r="AB2074" s="288">
        <v>0</v>
      </c>
      <c r="AC2074" s="289">
        <v>2.8392499642379958</v>
      </c>
      <c r="AD2074" s="289">
        <v>0</v>
      </c>
    </row>
    <row r="2075" spans="1:30" ht="15" customHeight="1" x14ac:dyDescent="0.25">
      <c r="A2075" s="282" t="s">
        <v>2996</v>
      </c>
      <c r="B2075" s="282" t="s">
        <v>3020</v>
      </c>
      <c r="C2075" s="282" t="s">
        <v>3014</v>
      </c>
      <c r="D2075" s="286" t="s">
        <v>3118</v>
      </c>
      <c r="E2075" s="403">
        <v>45071</v>
      </c>
      <c r="F2075" s="403">
        <v>46898</v>
      </c>
      <c r="G2075" s="283" t="s">
        <v>154</v>
      </c>
      <c r="H2075" s="283" t="s">
        <v>3022</v>
      </c>
      <c r="I2075" s="283" t="s">
        <v>590</v>
      </c>
      <c r="J2075" s="282" t="s">
        <v>156</v>
      </c>
      <c r="K2075" s="283" t="s">
        <v>3023</v>
      </c>
      <c r="L2075" s="286" t="s">
        <v>158</v>
      </c>
      <c r="M2075" s="293"/>
      <c r="N2075" s="293">
        <v>11.93</v>
      </c>
      <c r="O2075" s="287"/>
      <c r="P2075" s="287"/>
      <c r="Q2075" s="288">
        <v>2799.6681108130765</v>
      </c>
      <c r="R2075" s="288">
        <v>2799.6647108130765</v>
      </c>
      <c r="S2075" s="288">
        <v>3.3999999999999998E-3</v>
      </c>
      <c r="T2075" s="288"/>
      <c r="U2075" s="288">
        <v>0</v>
      </c>
      <c r="V2075" s="289">
        <v>2799.6681108130765</v>
      </c>
      <c r="W2075" s="289">
        <v>0</v>
      </c>
      <c r="X2075" s="288">
        <v>2.7996681108130765</v>
      </c>
      <c r="Y2075" s="288">
        <v>2.7996647108130763</v>
      </c>
      <c r="Z2075" s="288">
        <v>3.3999999999999996E-6</v>
      </c>
      <c r="AA2075" s="288">
        <v>0</v>
      </c>
      <c r="AB2075" s="288">
        <v>0</v>
      </c>
      <c r="AC2075" s="289">
        <v>2.7996681108130765</v>
      </c>
      <c r="AD2075" s="289">
        <v>0</v>
      </c>
    </row>
    <row r="2076" spans="1:30" ht="15" customHeight="1" x14ac:dyDescent="0.25">
      <c r="A2076" s="282" t="s">
        <v>2996</v>
      </c>
      <c r="B2076" s="282" t="s">
        <v>3020</v>
      </c>
      <c r="C2076" s="282" t="s">
        <v>3014</v>
      </c>
      <c r="D2076" s="286" t="s">
        <v>3119</v>
      </c>
      <c r="E2076" s="403">
        <v>45071</v>
      </c>
      <c r="F2076" s="403">
        <v>46898</v>
      </c>
      <c r="G2076" s="283" t="s">
        <v>154</v>
      </c>
      <c r="H2076" s="283" t="s">
        <v>3022</v>
      </c>
      <c r="I2076" s="283" t="s">
        <v>590</v>
      </c>
      <c r="J2076" s="282" t="s">
        <v>156</v>
      </c>
      <c r="K2076" s="283" t="s">
        <v>3023</v>
      </c>
      <c r="L2076" s="286" t="s">
        <v>158</v>
      </c>
      <c r="M2076" s="293"/>
      <c r="N2076" s="293">
        <v>12.72</v>
      </c>
      <c r="O2076" s="287"/>
      <c r="P2076" s="287"/>
      <c r="Q2076" s="288">
        <v>2783.022897924528</v>
      </c>
      <c r="R2076" s="288">
        <v>2783.018867924528</v>
      </c>
      <c r="S2076" s="288">
        <v>4.0299999999999997E-3</v>
      </c>
      <c r="T2076" s="288"/>
      <c r="U2076" s="288">
        <v>0</v>
      </c>
      <c r="V2076" s="289">
        <v>2783.022897924528</v>
      </c>
      <c r="W2076" s="289">
        <v>0</v>
      </c>
      <c r="X2076" s="288">
        <v>2.7830228979245279</v>
      </c>
      <c r="Y2076" s="288">
        <v>2.783018867924528</v>
      </c>
      <c r="Z2076" s="288">
        <v>4.0299999999999995E-6</v>
      </c>
      <c r="AA2076" s="288">
        <v>0</v>
      </c>
      <c r="AB2076" s="288">
        <v>0</v>
      </c>
      <c r="AC2076" s="289">
        <v>2.7830228979245279</v>
      </c>
      <c r="AD2076" s="289">
        <v>0</v>
      </c>
    </row>
    <row r="2077" spans="1:30" ht="15" customHeight="1" x14ac:dyDescent="0.25">
      <c r="A2077" s="282" t="s">
        <v>2996</v>
      </c>
      <c r="B2077" s="282" t="s">
        <v>3120</v>
      </c>
      <c r="C2077" s="282" t="s">
        <v>3061</v>
      </c>
      <c r="D2077" s="283" t="s">
        <v>3121</v>
      </c>
      <c r="E2077" s="403">
        <v>44474</v>
      </c>
      <c r="F2077" s="403">
        <v>46319</v>
      </c>
      <c r="G2077" s="283" t="s">
        <v>237</v>
      </c>
      <c r="H2077" s="282" t="s">
        <v>3122</v>
      </c>
      <c r="I2077" s="285"/>
      <c r="J2077" s="282" t="s">
        <v>2614</v>
      </c>
      <c r="K2077" s="283" t="s">
        <v>3123</v>
      </c>
      <c r="L2077" s="286" t="s">
        <v>158</v>
      </c>
      <c r="M2077" s="287">
        <v>7850</v>
      </c>
      <c r="N2077" s="287" t="s">
        <v>159</v>
      </c>
      <c r="O2077" s="287" t="s">
        <v>159</v>
      </c>
      <c r="P2077" s="287" t="s">
        <v>159</v>
      </c>
      <c r="Q2077" s="288">
        <v>490</v>
      </c>
      <c r="R2077" s="288"/>
      <c r="S2077" s="288"/>
      <c r="T2077" s="288"/>
      <c r="U2077" s="288">
        <v>0</v>
      </c>
      <c r="V2077" s="289">
        <v>490</v>
      </c>
      <c r="W2077" s="289">
        <v>0</v>
      </c>
      <c r="X2077" s="288">
        <v>0.49</v>
      </c>
      <c r="Y2077" s="288">
        <v>0</v>
      </c>
      <c r="Z2077" s="288">
        <v>0</v>
      </c>
      <c r="AA2077" s="288">
        <v>0</v>
      </c>
      <c r="AB2077" s="288">
        <v>0</v>
      </c>
      <c r="AC2077" s="289">
        <v>0.49</v>
      </c>
      <c r="AD2077" s="289">
        <v>0</v>
      </c>
    </row>
    <row r="2078" spans="1:30" ht="15" customHeight="1" x14ac:dyDescent="0.25">
      <c r="A2078" s="282" t="s">
        <v>2996</v>
      </c>
      <c r="B2078" s="282" t="s">
        <v>3124</v>
      </c>
      <c r="C2078" s="282" t="s">
        <v>3014</v>
      </c>
      <c r="D2078" s="283" t="s">
        <v>3125</v>
      </c>
      <c r="E2078" s="403">
        <v>44137</v>
      </c>
      <c r="F2078" s="403">
        <v>45963</v>
      </c>
      <c r="G2078" s="283" t="s">
        <v>154</v>
      </c>
      <c r="H2078" s="282" t="s">
        <v>3126</v>
      </c>
      <c r="I2078" s="285"/>
      <c r="J2078" s="282" t="s">
        <v>184</v>
      </c>
      <c r="K2078" s="283" t="s">
        <v>3127</v>
      </c>
      <c r="L2078" s="286" t="s">
        <v>158</v>
      </c>
      <c r="M2078" s="287" t="s">
        <v>159</v>
      </c>
      <c r="N2078" s="287" t="s">
        <v>159</v>
      </c>
      <c r="O2078" s="287" t="s">
        <v>159</v>
      </c>
      <c r="P2078" s="287" t="s">
        <v>159</v>
      </c>
      <c r="Q2078" s="288">
        <v>2940</v>
      </c>
      <c r="R2078" s="288"/>
      <c r="S2078" s="288"/>
      <c r="T2078" s="288"/>
      <c r="U2078" s="288">
        <v>0</v>
      </c>
      <c r="V2078" s="289">
        <v>2940</v>
      </c>
      <c r="W2078" s="289">
        <v>0</v>
      </c>
      <c r="X2078" s="288">
        <v>2.94</v>
      </c>
      <c r="Y2078" s="288">
        <v>0</v>
      </c>
      <c r="Z2078" s="288">
        <v>0</v>
      </c>
      <c r="AA2078" s="288">
        <v>0</v>
      </c>
      <c r="AB2078" s="288">
        <v>0</v>
      </c>
      <c r="AC2078" s="289">
        <v>2.94</v>
      </c>
      <c r="AD2078" s="289">
        <v>0</v>
      </c>
    </row>
    <row r="2079" spans="1:30" ht="15" customHeight="1" x14ac:dyDescent="0.25">
      <c r="A2079" s="282" t="s">
        <v>2996</v>
      </c>
      <c r="B2079" s="282" t="s">
        <v>3124</v>
      </c>
      <c r="C2079" s="282" t="s">
        <v>3014</v>
      </c>
      <c r="D2079" s="283" t="s">
        <v>3128</v>
      </c>
      <c r="E2079" s="403">
        <v>44137</v>
      </c>
      <c r="F2079" s="403">
        <v>45963</v>
      </c>
      <c r="G2079" s="283" t="s">
        <v>154</v>
      </c>
      <c r="H2079" s="282" t="s">
        <v>3126</v>
      </c>
      <c r="I2079" s="285"/>
      <c r="J2079" s="282" t="s">
        <v>184</v>
      </c>
      <c r="K2079" s="283" t="s">
        <v>3127</v>
      </c>
      <c r="L2079" s="286" t="s">
        <v>158</v>
      </c>
      <c r="M2079" s="287" t="s">
        <v>159</v>
      </c>
      <c r="N2079" s="287" t="s">
        <v>159</v>
      </c>
      <c r="O2079" s="287" t="s">
        <v>159</v>
      </c>
      <c r="P2079" s="287" t="s">
        <v>159</v>
      </c>
      <c r="Q2079" s="288">
        <v>3140</v>
      </c>
      <c r="R2079" s="288"/>
      <c r="S2079" s="288"/>
      <c r="T2079" s="288"/>
      <c r="U2079" s="288">
        <v>0</v>
      </c>
      <c r="V2079" s="289">
        <v>3140</v>
      </c>
      <c r="W2079" s="289">
        <v>0</v>
      </c>
      <c r="X2079" s="288">
        <v>3.14</v>
      </c>
      <c r="Y2079" s="288">
        <v>0</v>
      </c>
      <c r="Z2079" s="288">
        <v>0</v>
      </c>
      <c r="AA2079" s="288">
        <v>0</v>
      </c>
      <c r="AB2079" s="288">
        <v>0</v>
      </c>
      <c r="AC2079" s="289">
        <v>3.14</v>
      </c>
      <c r="AD2079" s="289">
        <v>0</v>
      </c>
    </row>
    <row r="2080" spans="1:30" ht="15" customHeight="1" x14ac:dyDescent="0.25">
      <c r="A2080" s="282" t="s">
        <v>2996</v>
      </c>
      <c r="B2080" s="282" t="s">
        <v>3124</v>
      </c>
      <c r="C2080" s="282" t="s">
        <v>3014</v>
      </c>
      <c r="D2080" s="283" t="s">
        <v>3129</v>
      </c>
      <c r="E2080" s="403">
        <v>44137</v>
      </c>
      <c r="F2080" s="403">
        <v>45963</v>
      </c>
      <c r="G2080" s="283" t="s">
        <v>154</v>
      </c>
      <c r="H2080" s="282" t="s">
        <v>3126</v>
      </c>
      <c r="I2080" s="285"/>
      <c r="J2080" s="282" t="s">
        <v>184</v>
      </c>
      <c r="K2080" s="283" t="s">
        <v>3127</v>
      </c>
      <c r="L2080" s="286" t="s">
        <v>158</v>
      </c>
      <c r="M2080" s="287" t="s">
        <v>159</v>
      </c>
      <c r="N2080" s="287" t="s">
        <v>159</v>
      </c>
      <c r="O2080" s="287" t="s">
        <v>159</v>
      </c>
      <c r="P2080" s="287" t="s">
        <v>159</v>
      </c>
      <c r="Q2080" s="288">
        <v>3090</v>
      </c>
      <c r="R2080" s="288"/>
      <c r="S2080" s="288"/>
      <c r="T2080" s="288"/>
      <c r="U2080" s="288">
        <v>0</v>
      </c>
      <c r="V2080" s="289">
        <v>3090</v>
      </c>
      <c r="W2080" s="289">
        <v>0</v>
      </c>
      <c r="X2080" s="288">
        <v>3.09</v>
      </c>
      <c r="Y2080" s="288">
        <v>0</v>
      </c>
      <c r="Z2080" s="288">
        <v>0</v>
      </c>
      <c r="AA2080" s="288">
        <v>0</v>
      </c>
      <c r="AB2080" s="288">
        <v>0</v>
      </c>
      <c r="AC2080" s="289">
        <v>3.09</v>
      </c>
      <c r="AD2080" s="289">
        <v>0</v>
      </c>
    </row>
    <row r="2081" spans="1:30" ht="15" customHeight="1" x14ac:dyDescent="0.25">
      <c r="A2081" s="282" t="s">
        <v>2996</v>
      </c>
      <c r="B2081" s="282" t="s">
        <v>3124</v>
      </c>
      <c r="C2081" s="282" t="s">
        <v>3014</v>
      </c>
      <c r="D2081" s="283" t="s">
        <v>3130</v>
      </c>
      <c r="E2081" s="403">
        <v>44137</v>
      </c>
      <c r="F2081" s="403">
        <v>45963</v>
      </c>
      <c r="G2081" s="283" t="s">
        <v>154</v>
      </c>
      <c r="H2081" s="282" t="s">
        <v>3126</v>
      </c>
      <c r="I2081" s="285"/>
      <c r="J2081" s="282" t="s">
        <v>184</v>
      </c>
      <c r="K2081" s="283" t="s">
        <v>3127</v>
      </c>
      <c r="L2081" s="286" t="s">
        <v>158</v>
      </c>
      <c r="M2081" s="287" t="s">
        <v>159</v>
      </c>
      <c r="N2081" s="287" t="s">
        <v>159</v>
      </c>
      <c r="O2081" s="287" t="s">
        <v>159</v>
      </c>
      <c r="P2081" s="287" t="s">
        <v>159</v>
      </c>
      <c r="Q2081" s="288">
        <v>3860</v>
      </c>
      <c r="R2081" s="288"/>
      <c r="S2081" s="288"/>
      <c r="T2081" s="288"/>
      <c r="U2081" s="288">
        <v>0</v>
      </c>
      <c r="V2081" s="289">
        <v>3860</v>
      </c>
      <c r="W2081" s="289">
        <v>0</v>
      </c>
      <c r="X2081" s="288">
        <v>3.86</v>
      </c>
      <c r="Y2081" s="288">
        <v>0</v>
      </c>
      <c r="Z2081" s="288">
        <v>0</v>
      </c>
      <c r="AA2081" s="288">
        <v>0</v>
      </c>
      <c r="AB2081" s="288">
        <v>0</v>
      </c>
      <c r="AC2081" s="289">
        <v>3.86</v>
      </c>
      <c r="AD2081" s="289">
        <v>0</v>
      </c>
    </row>
    <row r="2082" spans="1:30" ht="15" customHeight="1" x14ac:dyDescent="0.25">
      <c r="A2082" s="282" t="s">
        <v>2996</v>
      </c>
      <c r="B2082" s="282" t="s">
        <v>3124</v>
      </c>
      <c r="C2082" s="282" t="s">
        <v>3014</v>
      </c>
      <c r="D2082" s="283" t="s">
        <v>3131</v>
      </c>
      <c r="E2082" s="403">
        <v>44137</v>
      </c>
      <c r="F2082" s="403">
        <v>45963</v>
      </c>
      <c r="G2082" s="283" t="s">
        <v>154</v>
      </c>
      <c r="H2082" s="282" t="s">
        <v>3126</v>
      </c>
      <c r="I2082" s="285"/>
      <c r="J2082" s="282" t="s">
        <v>184</v>
      </c>
      <c r="K2082" s="283" t="s">
        <v>3127</v>
      </c>
      <c r="L2082" s="286" t="s">
        <v>158</v>
      </c>
      <c r="M2082" s="287" t="s">
        <v>159</v>
      </c>
      <c r="N2082" s="287" t="s">
        <v>159</v>
      </c>
      <c r="O2082" s="287" t="s">
        <v>159</v>
      </c>
      <c r="P2082" s="287" t="s">
        <v>159</v>
      </c>
      <c r="Q2082" s="288">
        <v>3430</v>
      </c>
      <c r="R2082" s="288"/>
      <c r="S2082" s="288"/>
      <c r="T2082" s="288"/>
      <c r="U2082" s="288">
        <v>0</v>
      </c>
      <c r="V2082" s="289">
        <v>3430</v>
      </c>
      <c r="W2082" s="289">
        <v>0</v>
      </c>
      <c r="X2082" s="288">
        <v>3.43</v>
      </c>
      <c r="Y2082" s="288">
        <v>0</v>
      </c>
      <c r="Z2082" s="288">
        <v>0</v>
      </c>
      <c r="AA2082" s="288">
        <v>0</v>
      </c>
      <c r="AB2082" s="288">
        <v>0</v>
      </c>
      <c r="AC2082" s="289">
        <v>3.43</v>
      </c>
      <c r="AD2082" s="289">
        <v>0</v>
      </c>
    </row>
    <row r="2083" spans="1:30" ht="15" customHeight="1" x14ac:dyDescent="0.25">
      <c r="A2083" s="282" t="s">
        <v>2996</v>
      </c>
      <c r="B2083" s="282" t="s">
        <v>3061</v>
      </c>
      <c r="C2083" s="282" t="s">
        <v>3061</v>
      </c>
      <c r="D2083" s="283" t="s">
        <v>3132</v>
      </c>
      <c r="E2083" s="403">
        <v>45198</v>
      </c>
      <c r="F2083" s="403">
        <v>46293</v>
      </c>
      <c r="G2083" s="283" t="s">
        <v>237</v>
      </c>
      <c r="H2083" s="282" t="s">
        <v>3133</v>
      </c>
      <c r="I2083" s="285"/>
      <c r="J2083" s="282" t="s">
        <v>2614</v>
      </c>
      <c r="K2083" s="283" t="s">
        <v>3134</v>
      </c>
      <c r="L2083" s="286" t="s">
        <v>158</v>
      </c>
      <c r="M2083" s="287">
        <v>7850</v>
      </c>
      <c r="N2083" s="287" t="s">
        <v>159</v>
      </c>
      <c r="O2083" s="287" t="s">
        <v>159</v>
      </c>
      <c r="P2083" s="287" t="s">
        <v>159</v>
      </c>
      <c r="Q2083" s="288">
        <v>951</v>
      </c>
      <c r="R2083" s="288"/>
      <c r="S2083" s="288"/>
      <c r="T2083" s="288"/>
      <c r="U2083" s="288">
        <v>0</v>
      </c>
      <c r="V2083" s="289">
        <v>951</v>
      </c>
      <c r="W2083" s="289">
        <v>0</v>
      </c>
      <c r="X2083" s="288">
        <v>0.95099999999999996</v>
      </c>
      <c r="Y2083" s="288">
        <v>0</v>
      </c>
      <c r="Z2083" s="288">
        <v>0</v>
      </c>
      <c r="AA2083" s="288">
        <v>0</v>
      </c>
      <c r="AB2083" s="288">
        <v>0</v>
      </c>
      <c r="AC2083" s="289">
        <v>0.95099999999999996</v>
      </c>
      <c r="AD2083" s="289">
        <v>0</v>
      </c>
    </row>
    <row r="2084" spans="1:30" ht="15" customHeight="1" x14ac:dyDescent="0.25">
      <c r="A2084" s="282" t="s">
        <v>2996</v>
      </c>
      <c r="B2084" s="282" t="s">
        <v>3061</v>
      </c>
      <c r="C2084" s="282" t="s">
        <v>3061</v>
      </c>
      <c r="D2084" s="283" t="s">
        <v>3135</v>
      </c>
      <c r="E2084" s="403">
        <v>45198</v>
      </c>
      <c r="F2084" s="403">
        <v>46293</v>
      </c>
      <c r="G2084" s="283" t="s">
        <v>237</v>
      </c>
      <c r="H2084" s="282" t="s">
        <v>3133</v>
      </c>
      <c r="I2084" s="285"/>
      <c r="J2084" s="282" t="s">
        <v>2614</v>
      </c>
      <c r="K2084" s="283" t="s">
        <v>3134</v>
      </c>
      <c r="L2084" s="286" t="s">
        <v>158</v>
      </c>
      <c r="M2084" s="287">
        <v>7850</v>
      </c>
      <c r="N2084" s="287" t="s">
        <v>159</v>
      </c>
      <c r="O2084" s="287" t="s">
        <v>159</v>
      </c>
      <c r="P2084" s="287" t="s">
        <v>159</v>
      </c>
      <c r="Q2084" s="288">
        <v>309</v>
      </c>
      <c r="R2084" s="288"/>
      <c r="S2084" s="288"/>
      <c r="T2084" s="288"/>
      <c r="U2084" s="288">
        <v>0</v>
      </c>
      <c r="V2084" s="289">
        <v>309</v>
      </c>
      <c r="W2084" s="289">
        <v>0</v>
      </c>
      <c r="X2084" s="288">
        <v>0.309</v>
      </c>
      <c r="Y2084" s="288">
        <v>0</v>
      </c>
      <c r="Z2084" s="288">
        <v>0</v>
      </c>
      <c r="AA2084" s="288">
        <v>0</v>
      </c>
      <c r="AB2084" s="288">
        <v>0</v>
      </c>
      <c r="AC2084" s="289">
        <v>0.309</v>
      </c>
      <c r="AD2084" s="289">
        <v>0</v>
      </c>
    </row>
    <row r="2085" spans="1:30" ht="15" customHeight="1" x14ac:dyDescent="0.25">
      <c r="A2085" s="282" t="s">
        <v>3136</v>
      </c>
      <c r="B2085" s="282" t="s">
        <v>3120</v>
      </c>
      <c r="C2085" s="282" t="s">
        <v>3061</v>
      </c>
      <c r="D2085" s="283" t="s">
        <v>3137</v>
      </c>
      <c r="E2085" s="403">
        <v>44636</v>
      </c>
      <c r="F2085" s="403">
        <v>46462</v>
      </c>
      <c r="G2085" s="283" t="s">
        <v>237</v>
      </c>
      <c r="H2085" s="282" t="s">
        <v>3138</v>
      </c>
      <c r="I2085" s="285"/>
      <c r="J2085" s="282" t="s">
        <v>184</v>
      </c>
      <c r="K2085" s="283" t="s">
        <v>3139</v>
      </c>
      <c r="L2085" s="286" t="s">
        <v>158</v>
      </c>
      <c r="M2085" s="287">
        <v>7850</v>
      </c>
      <c r="N2085" s="287" t="s">
        <v>159</v>
      </c>
      <c r="O2085" s="287" t="s">
        <v>159</v>
      </c>
      <c r="P2085" s="287" t="s">
        <v>159</v>
      </c>
      <c r="Q2085" s="288">
        <v>2190</v>
      </c>
      <c r="R2085" s="288">
        <v>2210</v>
      </c>
      <c r="S2085" s="288">
        <v>-16</v>
      </c>
      <c r="T2085" s="288">
        <v>0.47899999999999998</v>
      </c>
      <c r="U2085" s="288">
        <v>0</v>
      </c>
      <c r="V2085" s="289">
        <v>2210.4789999999998</v>
      </c>
      <c r="W2085" s="289">
        <v>0</v>
      </c>
      <c r="X2085" s="288">
        <v>2.19</v>
      </c>
      <c r="Y2085" s="288">
        <v>2.21</v>
      </c>
      <c r="Z2085" s="288">
        <v>-1.6E-2</v>
      </c>
      <c r="AA2085" s="288">
        <v>4.7899999999999999E-4</v>
      </c>
      <c r="AB2085" s="288">
        <v>0</v>
      </c>
      <c r="AC2085" s="289">
        <v>2.2104789999999999</v>
      </c>
      <c r="AD2085" s="289">
        <v>0</v>
      </c>
    </row>
    <row r="2086" spans="1:30" ht="15" customHeight="1" x14ac:dyDescent="0.25">
      <c r="A2086" s="282" t="s">
        <v>3136</v>
      </c>
      <c r="B2086" s="282" t="s">
        <v>3140</v>
      </c>
      <c r="C2086" s="282" t="s">
        <v>3061</v>
      </c>
      <c r="D2086" s="283" t="s">
        <v>3141</v>
      </c>
      <c r="E2086" s="403">
        <v>45201</v>
      </c>
      <c r="F2086" s="403">
        <v>47027</v>
      </c>
      <c r="G2086" s="283" t="s">
        <v>3142</v>
      </c>
      <c r="H2086" s="282" t="s">
        <v>3143</v>
      </c>
      <c r="I2086" s="285"/>
      <c r="J2086" s="282" t="s">
        <v>184</v>
      </c>
      <c r="K2086" s="283" t="s">
        <v>191</v>
      </c>
      <c r="L2086" s="286" t="s">
        <v>158</v>
      </c>
      <c r="M2086" s="287" t="s">
        <v>159</v>
      </c>
      <c r="N2086" s="287" t="s">
        <v>159</v>
      </c>
      <c r="O2086" s="287" t="s">
        <v>159</v>
      </c>
      <c r="P2086" s="287" t="s">
        <v>159</v>
      </c>
      <c r="Q2086" s="288">
        <v>3450</v>
      </c>
      <c r="R2086" s="288">
        <v>3480</v>
      </c>
      <c r="S2086" s="288">
        <v>-29.4</v>
      </c>
      <c r="T2086" s="288">
        <v>0.38900000000000001</v>
      </c>
      <c r="U2086" s="288">
        <v>0</v>
      </c>
      <c r="V2086" s="289">
        <v>3480.3890000000001</v>
      </c>
      <c r="W2086" s="289">
        <v>0</v>
      </c>
      <c r="X2086" s="288">
        <v>3.45</v>
      </c>
      <c r="Y2086" s="288">
        <v>3.48</v>
      </c>
      <c r="Z2086" s="288">
        <v>-2.9399999999999999E-2</v>
      </c>
      <c r="AA2086" s="288">
        <v>3.8900000000000002E-4</v>
      </c>
      <c r="AB2086" s="288">
        <v>0</v>
      </c>
      <c r="AC2086" s="289">
        <v>3.4803890000000002</v>
      </c>
      <c r="AD2086" s="289">
        <v>0</v>
      </c>
    </row>
    <row r="2087" spans="1:30" ht="15" customHeight="1" x14ac:dyDescent="0.25">
      <c r="A2087" s="282" t="s">
        <v>3136</v>
      </c>
      <c r="B2087" s="282" t="s">
        <v>3140</v>
      </c>
      <c r="C2087" s="282" t="s">
        <v>3061</v>
      </c>
      <c r="D2087" s="283" t="s">
        <v>3144</v>
      </c>
      <c r="E2087" s="403">
        <v>45115</v>
      </c>
      <c r="F2087" s="403">
        <v>46941</v>
      </c>
      <c r="G2087" s="283" t="s">
        <v>3142</v>
      </c>
      <c r="H2087" s="282" t="s">
        <v>3145</v>
      </c>
      <c r="I2087" s="285"/>
      <c r="J2087" s="282" t="s">
        <v>184</v>
      </c>
      <c r="K2087" s="283" t="s">
        <v>3146</v>
      </c>
      <c r="L2087" s="286" t="s">
        <v>158</v>
      </c>
      <c r="M2087" s="287" t="s">
        <v>159</v>
      </c>
      <c r="N2087" s="287" t="s">
        <v>159</v>
      </c>
      <c r="O2087" s="287" t="s">
        <v>159</v>
      </c>
      <c r="P2087" s="287" t="s">
        <v>159</v>
      </c>
      <c r="Q2087" s="288">
        <v>2762.88</v>
      </c>
      <c r="R2087" s="288">
        <v>2784.1</v>
      </c>
      <c r="S2087" s="288">
        <v>-24.02</v>
      </c>
      <c r="T2087" s="288">
        <v>2.27</v>
      </c>
      <c r="U2087" s="288">
        <v>0</v>
      </c>
      <c r="V2087" s="289">
        <v>2786.37</v>
      </c>
      <c r="W2087" s="289">
        <v>0</v>
      </c>
      <c r="X2087" s="288">
        <v>2.76288</v>
      </c>
      <c r="Y2087" s="288">
        <v>2.7841</v>
      </c>
      <c r="Z2087" s="288">
        <v>-2.402E-2</v>
      </c>
      <c r="AA2087" s="288">
        <v>2.2699999999999999E-3</v>
      </c>
      <c r="AB2087" s="288">
        <v>0</v>
      </c>
      <c r="AC2087" s="289">
        <v>2.7863700000000002</v>
      </c>
      <c r="AD2087" s="289">
        <v>0</v>
      </c>
    </row>
    <row r="2088" spans="1:30" ht="15" customHeight="1" x14ac:dyDescent="0.25">
      <c r="A2088" s="282" t="s">
        <v>3136</v>
      </c>
      <c r="B2088" s="282" t="s">
        <v>3120</v>
      </c>
      <c r="C2088" s="282" t="s">
        <v>3061</v>
      </c>
      <c r="D2088" s="283" t="s">
        <v>3147</v>
      </c>
      <c r="E2088" s="403">
        <v>45252</v>
      </c>
      <c r="F2088" s="403">
        <v>47079</v>
      </c>
      <c r="G2088" s="283" t="s">
        <v>237</v>
      </c>
      <c r="H2088" s="282" t="s">
        <v>3148</v>
      </c>
      <c r="I2088" s="285"/>
      <c r="J2088" s="282" t="s">
        <v>184</v>
      </c>
      <c r="K2088" s="283" t="s">
        <v>3149</v>
      </c>
      <c r="L2088" s="286" t="s">
        <v>158</v>
      </c>
      <c r="M2088" s="287">
        <v>7850</v>
      </c>
      <c r="N2088" s="287" t="s">
        <v>159</v>
      </c>
      <c r="O2088" s="287" t="s">
        <v>159</v>
      </c>
      <c r="P2088" s="287" t="s">
        <v>159</v>
      </c>
      <c r="Q2088" s="288">
        <v>1840</v>
      </c>
      <c r="R2088" s="288">
        <v>1840</v>
      </c>
      <c r="S2088" s="288">
        <v>4.78</v>
      </c>
      <c r="T2088" s="288">
        <v>2.6</v>
      </c>
      <c r="U2088" s="288">
        <v>0</v>
      </c>
      <c r="V2088" s="289">
        <v>1847.3799999999999</v>
      </c>
      <c r="W2088" s="289">
        <v>0</v>
      </c>
      <c r="X2088" s="288">
        <v>1.84</v>
      </c>
      <c r="Y2088" s="288">
        <v>1.84</v>
      </c>
      <c r="Z2088" s="288">
        <v>4.7800000000000004E-3</v>
      </c>
      <c r="AA2088" s="288">
        <v>2.5999999999999999E-3</v>
      </c>
      <c r="AB2088" s="288">
        <v>0</v>
      </c>
      <c r="AC2088" s="289">
        <v>1.84738</v>
      </c>
      <c r="AD2088" s="289">
        <v>0</v>
      </c>
    </row>
    <row r="2089" spans="1:30" ht="15" customHeight="1" x14ac:dyDescent="0.25">
      <c r="A2089" s="282" t="s">
        <v>3136</v>
      </c>
      <c r="B2089" s="282" t="s">
        <v>3150</v>
      </c>
      <c r="C2089" s="282" t="s">
        <v>2998</v>
      </c>
      <c r="D2089" s="283" t="s">
        <v>3151</v>
      </c>
      <c r="E2089" s="403">
        <v>44818</v>
      </c>
      <c r="F2089" s="403">
        <v>46643</v>
      </c>
      <c r="G2089" s="283" t="s">
        <v>3142</v>
      </c>
      <c r="H2089" s="282" t="s">
        <v>3152</v>
      </c>
      <c r="I2089" s="285"/>
      <c r="J2089" s="282" t="s">
        <v>184</v>
      </c>
      <c r="K2089" s="283" t="s">
        <v>3153</v>
      </c>
      <c r="L2089" s="286" t="s">
        <v>158</v>
      </c>
      <c r="M2089" s="287" t="s">
        <v>159</v>
      </c>
      <c r="N2089" s="287" t="s">
        <v>159</v>
      </c>
      <c r="O2089" s="287" t="s">
        <v>159</v>
      </c>
      <c r="P2089" s="287" t="s">
        <v>159</v>
      </c>
      <c r="Q2089" s="288">
        <v>3000</v>
      </c>
      <c r="R2089" s="288">
        <v>3000</v>
      </c>
      <c r="S2089" s="288">
        <v>-0.40600000000000003</v>
      </c>
      <c r="T2089" s="288">
        <v>0.55200000000000005</v>
      </c>
      <c r="U2089" s="288">
        <v>0</v>
      </c>
      <c r="V2089" s="289">
        <v>3000.5520000000001</v>
      </c>
      <c r="W2089" s="289">
        <v>0</v>
      </c>
      <c r="X2089" s="288">
        <v>3</v>
      </c>
      <c r="Y2089" s="288">
        <v>3</v>
      </c>
      <c r="Z2089" s="288">
        <v>-4.06E-4</v>
      </c>
      <c r="AA2089" s="288">
        <v>5.5200000000000008E-4</v>
      </c>
      <c r="AB2089" s="288">
        <v>0</v>
      </c>
      <c r="AC2089" s="289">
        <v>3.0005519999999999</v>
      </c>
      <c r="AD2089" s="289">
        <v>0</v>
      </c>
    </row>
    <row r="2090" spans="1:30" ht="15" customHeight="1" x14ac:dyDescent="0.25">
      <c r="A2090" s="282" t="s">
        <v>3136</v>
      </c>
      <c r="B2090" s="282" t="s">
        <v>3150</v>
      </c>
      <c r="C2090" s="282" t="s">
        <v>2998</v>
      </c>
      <c r="D2090" s="283" t="s">
        <v>3154</v>
      </c>
      <c r="E2090" s="403">
        <v>45201</v>
      </c>
      <c r="F2090" s="403">
        <v>47027</v>
      </c>
      <c r="G2090" s="283" t="s">
        <v>3142</v>
      </c>
      <c r="H2090" s="282" t="s">
        <v>3155</v>
      </c>
      <c r="I2090" s="285"/>
      <c r="J2090" s="282" t="s">
        <v>184</v>
      </c>
      <c r="K2090" s="283" t="s">
        <v>3156</v>
      </c>
      <c r="L2090" s="286" t="s">
        <v>158</v>
      </c>
      <c r="M2090" s="287" t="s">
        <v>159</v>
      </c>
      <c r="N2090" s="287" t="s">
        <v>159</v>
      </c>
      <c r="O2090" s="287" t="s">
        <v>159</v>
      </c>
      <c r="P2090" s="287" t="s">
        <v>159</v>
      </c>
      <c r="Q2090" s="288">
        <v>3670</v>
      </c>
      <c r="R2090" s="288">
        <v>3670</v>
      </c>
      <c r="S2090" s="288">
        <v>-5.41</v>
      </c>
      <c r="T2090" s="288">
        <v>0.50800000000000001</v>
      </c>
      <c r="U2090" s="288">
        <v>0</v>
      </c>
      <c r="V2090" s="289">
        <v>3670.5079999999998</v>
      </c>
      <c r="W2090" s="289">
        <v>0</v>
      </c>
      <c r="X2090" s="288">
        <v>3.67</v>
      </c>
      <c r="Y2090" s="288">
        <v>3.67</v>
      </c>
      <c r="Z2090" s="288">
        <v>-5.4099999999999999E-3</v>
      </c>
      <c r="AA2090" s="288">
        <v>5.0799999999999999E-4</v>
      </c>
      <c r="AB2090" s="288">
        <v>0</v>
      </c>
      <c r="AC2090" s="289">
        <v>3.6705079999999999</v>
      </c>
      <c r="AD2090" s="289">
        <v>0</v>
      </c>
    </row>
    <row r="2091" spans="1:30" ht="15" customHeight="1" x14ac:dyDescent="0.25">
      <c r="A2091" s="282" t="s">
        <v>3136</v>
      </c>
      <c r="B2091" s="282" t="s">
        <v>3120</v>
      </c>
      <c r="C2091" s="282" t="s">
        <v>3061</v>
      </c>
      <c r="D2091" s="283" t="s">
        <v>3157</v>
      </c>
      <c r="E2091" s="403">
        <v>45260</v>
      </c>
      <c r="F2091" s="403">
        <v>47087</v>
      </c>
      <c r="G2091" s="283" t="s">
        <v>237</v>
      </c>
      <c r="H2091" s="282" t="s">
        <v>3158</v>
      </c>
      <c r="I2091" s="285"/>
      <c r="J2091" s="282" t="s">
        <v>184</v>
      </c>
      <c r="K2091" s="283" t="s">
        <v>3159</v>
      </c>
      <c r="L2091" s="286" t="s">
        <v>158</v>
      </c>
      <c r="M2091" s="287">
        <v>7850</v>
      </c>
      <c r="N2091" s="287" t="s">
        <v>159</v>
      </c>
      <c r="O2091" s="287" t="s">
        <v>159</v>
      </c>
      <c r="P2091" s="287" t="s">
        <v>159</v>
      </c>
      <c r="Q2091" s="288">
        <v>2240</v>
      </c>
      <c r="R2091" s="288">
        <v>2230</v>
      </c>
      <c r="S2091" s="288">
        <v>8.77</v>
      </c>
      <c r="T2091" s="288">
        <v>1.33</v>
      </c>
      <c r="U2091" s="288">
        <v>0</v>
      </c>
      <c r="V2091" s="289">
        <v>2240.1</v>
      </c>
      <c r="W2091" s="289">
        <v>0</v>
      </c>
      <c r="X2091" s="288">
        <v>2.2400000000000002</v>
      </c>
      <c r="Y2091" s="288">
        <v>2.23</v>
      </c>
      <c r="Z2091" s="288">
        <v>8.77E-3</v>
      </c>
      <c r="AA2091" s="288">
        <v>1.33E-3</v>
      </c>
      <c r="AB2091" s="288">
        <v>0</v>
      </c>
      <c r="AC2091" s="289">
        <v>2.2401</v>
      </c>
      <c r="AD2091" s="289">
        <v>0</v>
      </c>
    </row>
    <row r="2092" spans="1:30" ht="15" customHeight="1" x14ac:dyDescent="0.25">
      <c r="A2092" s="282" t="s">
        <v>3136</v>
      </c>
      <c r="B2092" s="282"/>
      <c r="C2092" s="282" t="s">
        <v>260</v>
      </c>
      <c r="D2092" s="283" t="s">
        <v>3160</v>
      </c>
      <c r="E2092" s="403">
        <v>43088</v>
      </c>
      <c r="F2092" s="403">
        <v>45344</v>
      </c>
      <c r="G2092" s="283" t="s">
        <v>237</v>
      </c>
      <c r="H2092" s="282" t="s">
        <v>3161</v>
      </c>
      <c r="I2092" s="285"/>
      <c r="J2092" s="282" t="s">
        <v>3162</v>
      </c>
      <c r="K2092" s="283" t="s">
        <v>3163</v>
      </c>
      <c r="L2092" s="286" t="s">
        <v>158</v>
      </c>
      <c r="M2092" s="287">
        <v>7850</v>
      </c>
      <c r="N2092" s="287" t="s">
        <v>159</v>
      </c>
      <c r="O2092" s="287" t="s">
        <v>159</v>
      </c>
      <c r="P2092" s="287" t="s">
        <v>159</v>
      </c>
      <c r="Q2092" s="288">
        <v>1090</v>
      </c>
      <c r="R2092" s="288"/>
      <c r="S2092" s="288"/>
      <c r="T2092" s="288"/>
      <c r="U2092" s="288">
        <v>0</v>
      </c>
      <c r="V2092" s="289">
        <v>1090</v>
      </c>
      <c r="W2092" s="289">
        <v>0</v>
      </c>
      <c r="X2092" s="288">
        <v>1.0900000000000001</v>
      </c>
      <c r="Y2092" s="288">
        <v>0</v>
      </c>
      <c r="Z2092" s="288">
        <v>0</v>
      </c>
      <c r="AA2092" s="288">
        <v>0</v>
      </c>
      <c r="AB2092" s="288">
        <v>0</v>
      </c>
      <c r="AC2092" s="289">
        <v>1.0900000000000001</v>
      </c>
      <c r="AD2092" s="289">
        <v>0</v>
      </c>
    </row>
    <row r="2093" spans="1:30" ht="15" customHeight="1" x14ac:dyDescent="0.25">
      <c r="A2093" s="282" t="s">
        <v>3136</v>
      </c>
      <c r="B2093" s="282"/>
      <c r="C2093" s="282" t="s">
        <v>260</v>
      </c>
      <c r="D2093" s="283" t="s">
        <v>3164</v>
      </c>
      <c r="E2093" s="403">
        <v>43734</v>
      </c>
      <c r="F2093" s="403">
        <v>45561</v>
      </c>
      <c r="G2093" s="283" t="s">
        <v>154</v>
      </c>
      <c r="H2093" s="282" t="s">
        <v>2508</v>
      </c>
      <c r="I2093" s="285"/>
      <c r="J2093" s="282" t="s">
        <v>184</v>
      </c>
      <c r="K2093" s="283" t="s">
        <v>2509</v>
      </c>
      <c r="L2093" s="286" t="s">
        <v>219</v>
      </c>
      <c r="M2093" s="287" t="s">
        <v>159</v>
      </c>
      <c r="N2093" s="287" t="s">
        <v>159</v>
      </c>
      <c r="O2093" s="287" t="s">
        <v>159</v>
      </c>
      <c r="P2093" s="287" t="s">
        <v>159</v>
      </c>
      <c r="Q2093" s="288">
        <v>0.128</v>
      </c>
      <c r="R2093" s="288"/>
      <c r="S2093" s="288"/>
      <c r="T2093" s="288"/>
      <c r="U2093" s="288">
        <v>0</v>
      </c>
      <c r="V2093" s="289">
        <v>0.128</v>
      </c>
      <c r="W2093" s="289">
        <v>0</v>
      </c>
      <c r="X2093" s="288">
        <v>0.128</v>
      </c>
      <c r="Y2093" s="288">
        <v>0</v>
      </c>
      <c r="Z2093" s="288">
        <v>0</v>
      </c>
      <c r="AA2093" s="288">
        <v>0</v>
      </c>
      <c r="AB2093" s="288">
        <v>0</v>
      </c>
      <c r="AC2093" s="289">
        <v>0.128</v>
      </c>
      <c r="AD2093" s="289">
        <v>0</v>
      </c>
    </row>
    <row r="2094" spans="1:30" ht="15" customHeight="1" x14ac:dyDescent="0.25">
      <c r="A2094" s="282" t="s">
        <v>3136</v>
      </c>
      <c r="B2094" s="282" t="s">
        <v>3140</v>
      </c>
      <c r="C2094" s="282" t="s">
        <v>3061</v>
      </c>
      <c r="D2094" s="283" t="s">
        <v>3165</v>
      </c>
      <c r="E2094" s="403">
        <v>45099</v>
      </c>
      <c r="F2094" s="403">
        <v>46925</v>
      </c>
      <c r="G2094" s="283" t="s">
        <v>3166</v>
      </c>
      <c r="H2094" s="282" t="s">
        <v>3167</v>
      </c>
      <c r="I2094" s="285"/>
      <c r="J2094" s="282" t="s">
        <v>184</v>
      </c>
      <c r="K2094" s="283" t="s">
        <v>3168</v>
      </c>
      <c r="L2094" s="286" t="s">
        <v>158</v>
      </c>
      <c r="M2094" s="287" t="s">
        <v>159</v>
      </c>
      <c r="N2094" s="287" t="s">
        <v>159</v>
      </c>
      <c r="O2094" s="287" t="s">
        <v>159</v>
      </c>
      <c r="P2094" s="287" t="s">
        <v>159</v>
      </c>
      <c r="Q2094" s="288">
        <v>659</v>
      </c>
      <c r="R2094" s="288">
        <v>656</v>
      </c>
      <c r="S2094" s="288">
        <v>1.96</v>
      </c>
      <c r="T2094" s="288">
        <v>0.81799999999999995</v>
      </c>
      <c r="U2094" s="288">
        <v>0</v>
      </c>
      <c r="V2094" s="289">
        <v>658.77800000000002</v>
      </c>
      <c r="W2094" s="289">
        <v>0</v>
      </c>
      <c r="X2094" s="288">
        <v>0.65900000000000003</v>
      </c>
      <c r="Y2094" s="288">
        <v>0.65600000000000003</v>
      </c>
      <c r="Z2094" s="288">
        <v>1.9599999999999999E-3</v>
      </c>
      <c r="AA2094" s="288">
        <v>8.1799999999999993E-4</v>
      </c>
      <c r="AB2094" s="288">
        <v>0</v>
      </c>
      <c r="AC2094" s="289">
        <v>0.65877799999999997</v>
      </c>
      <c r="AD2094" s="289">
        <v>0</v>
      </c>
    </row>
    <row r="2095" spans="1:30" ht="15" customHeight="1" x14ac:dyDescent="0.25">
      <c r="A2095" s="282" t="s">
        <v>3136</v>
      </c>
      <c r="B2095" s="282"/>
      <c r="C2095" s="282" t="s">
        <v>260</v>
      </c>
      <c r="D2095" s="283" t="s">
        <v>3169</v>
      </c>
      <c r="E2095" s="403">
        <v>43238</v>
      </c>
      <c r="F2095" s="403">
        <v>46132</v>
      </c>
      <c r="G2095" s="283" t="s">
        <v>237</v>
      </c>
      <c r="H2095" s="282" t="s">
        <v>3170</v>
      </c>
      <c r="I2095" s="285"/>
      <c r="J2095" s="282" t="s">
        <v>3162</v>
      </c>
      <c r="K2095" s="283" t="s">
        <v>3171</v>
      </c>
      <c r="L2095" s="286" t="s">
        <v>158</v>
      </c>
      <c r="M2095" s="287">
        <v>7850</v>
      </c>
      <c r="N2095" s="287" t="s">
        <v>159</v>
      </c>
      <c r="O2095" s="287" t="s">
        <v>159</v>
      </c>
      <c r="P2095" s="287" t="s">
        <v>159</v>
      </c>
      <c r="Q2095" s="288">
        <v>2470</v>
      </c>
      <c r="R2095" s="288">
        <v>2460</v>
      </c>
      <c r="S2095" s="288">
        <v>2.6</v>
      </c>
      <c r="T2095" s="288">
        <v>1.07</v>
      </c>
      <c r="U2095" s="288">
        <v>0</v>
      </c>
      <c r="V2095" s="289">
        <v>2463.67</v>
      </c>
      <c r="W2095" s="289">
        <v>0</v>
      </c>
      <c r="X2095" s="288">
        <v>2.4700000000000002</v>
      </c>
      <c r="Y2095" s="288">
        <v>2.46</v>
      </c>
      <c r="Z2095" s="288">
        <v>2.5999999999999999E-3</v>
      </c>
      <c r="AA2095" s="288">
        <v>1.07E-3</v>
      </c>
      <c r="AB2095" s="288">
        <v>0</v>
      </c>
      <c r="AC2095" s="289">
        <v>2.46367</v>
      </c>
      <c r="AD2095" s="289">
        <v>0</v>
      </c>
    </row>
    <row r="2096" spans="1:30" ht="15" customHeight="1" x14ac:dyDescent="0.25">
      <c r="A2096" s="282" t="s">
        <v>3172</v>
      </c>
      <c r="B2096" s="282" t="s">
        <v>3172</v>
      </c>
      <c r="C2096" s="282" t="s">
        <v>3173</v>
      </c>
      <c r="D2096" s="286" t="s">
        <v>3174</v>
      </c>
      <c r="E2096" s="403">
        <v>45076</v>
      </c>
      <c r="F2096" s="403">
        <v>46903</v>
      </c>
      <c r="G2096" s="283" t="s">
        <v>154</v>
      </c>
      <c r="H2096" s="283" t="s">
        <v>3175</v>
      </c>
      <c r="I2096" s="283" t="s">
        <v>590</v>
      </c>
      <c r="J2096" s="282" t="s">
        <v>156</v>
      </c>
      <c r="K2096" s="283" t="s">
        <v>3176</v>
      </c>
      <c r="L2096" s="286" t="s">
        <v>321</v>
      </c>
      <c r="M2096" s="293"/>
      <c r="N2096" s="293">
        <v>9.5500000000000007</v>
      </c>
      <c r="O2096" s="287"/>
      <c r="P2096" s="287"/>
      <c r="Q2096" s="288">
        <v>27.756</v>
      </c>
      <c r="R2096" s="288">
        <v>28</v>
      </c>
      <c r="S2096" s="288">
        <v>-0.24399999999999999</v>
      </c>
      <c r="T2096" s="288"/>
      <c r="U2096" s="288">
        <v>0</v>
      </c>
      <c r="V2096" s="289">
        <v>28</v>
      </c>
      <c r="W2096" s="289">
        <v>0</v>
      </c>
      <c r="X2096" s="288">
        <v>2.9063874345549738</v>
      </c>
      <c r="Y2096" s="288">
        <v>2.9319371727748691</v>
      </c>
      <c r="Z2096" s="288">
        <v>-2.5549738219895285E-2</v>
      </c>
      <c r="AA2096" s="288">
        <v>0</v>
      </c>
      <c r="AB2096" s="288">
        <v>0</v>
      </c>
      <c r="AC2096" s="289">
        <v>2.9319371727748691</v>
      </c>
      <c r="AD2096" s="289">
        <v>0</v>
      </c>
    </row>
    <row r="2097" spans="1:30" ht="15" customHeight="1" x14ac:dyDescent="0.25">
      <c r="A2097" s="282" t="s">
        <v>3172</v>
      </c>
      <c r="B2097" s="282" t="s">
        <v>3172</v>
      </c>
      <c r="C2097" s="282" t="s">
        <v>3173</v>
      </c>
      <c r="D2097" s="286" t="s">
        <v>3177</v>
      </c>
      <c r="E2097" s="403">
        <v>45076</v>
      </c>
      <c r="F2097" s="403">
        <v>46903</v>
      </c>
      <c r="G2097" s="283" t="s">
        <v>154</v>
      </c>
      <c r="H2097" s="283" t="s">
        <v>3175</v>
      </c>
      <c r="I2097" s="283" t="s">
        <v>590</v>
      </c>
      <c r="J2097" s="282" t="s">
        <v>156</v>
      </c>
      <c r="K2097" s="283" t="s">
        <v>3176</v>
      </c>
      <c r="L2097" s="286" t="s">
        <v>321</v>
      </c>
      <c r="M2097" s="293"/>
      <c r="N2097" s="293">
        <v>9.16</v>
      </c>
      <c r="O2097" s="287"/>
      <c r="P2097" s="287"/>
      <c r="Q2097" s="288">
        <v>26.765999999999998</v>
      </c>
      <c r="R2097" s="288">
        <v>27</v>
      </c>
      <c r="S2097" s="288">
        <v>-0.23400000000000001</v>
      </c>
      <c r="T2097" s="288"/>
      <c r="U2097" s="288">
        <v>0</v>
      </c>
      <c r="V2097" s="289">
        <v>27</v>
      </c>
      <c r="W2097" s="289">
        <v>0</v>
      </c>
      <c r="X2097" s="288">
        <v>2.9220524017467246</v>
      </c>
      <c r="Y2097" s="288">
        <v>2.947598253275109</v>
      </c>
      <c r="Z2097" s="288">
        <v>-2.5545851528384282E-2</v>
      </c>
      <c r="AA2097" s="288">
        <v>0</v>
      </c>
      <c r="AB2097" s="288">
        <v>0</v>
      </c>
      <c r="AC2097" s="289">
        <v>2.947598253275109</v>
      </c>
      <c r="AD2097" s="289">
        <v>0</v>
      </c>
    </row>
    <row r="2098" spans="1:30" ht="15" customHeight="1" x14ac:dyDescent="0.25">
      <c r="A2098" s="282" t="s">
        <v>3172</v>
      </c>
      <c r="B2098" s="282" t="s">
        <v>3172</v>
      </c>
      <c r="C2098" s="282" t="s">
        <v>3173</v>
      </c>
      <c r="D2098" s="286" t="s">
        <v>3178</v>
      </c>
      <c r="E2098" s="403">
        <v>45076</v>
      </c>
      <c r="F2098" s="403">
        <v>46903</v>
      </c>
      <c r="G2098" s="283" t="s">
        <v>154</v>
      </c>
      <c r="H2098" s="283" t="s">
        <v>3175</v>
      </c>
      <c r="I2098" s="283" t="s">
        <v>590</v>
      </c>
      <c r="J2098" s="282" t="s">
        <v>156</v>
      </c>
      <c r="K2098" s="283" t="s">
        <v>3176</v>
      </c>
      <c r="L2098" s="286" t="s">
        <v>321</v>
      </c>
      <c r="M2098" s="293"/>
      <c r="N2098" s="293">
        <v>7.98</v>
      </c>
      <c r="O2098" s="287"/>
      <c r="P2098" s="287"/>
      <c r="Q2098" s="288">
        <v>23.495999999999999</v>
      </c>
      <c r="R2098" s="288">
        <v>23.7</v>
      </c>
      <c r="S2098" s="288">
        <v>-0.20399999999999999</v>
      </c>
      <c r="T2098" s="288"/>
      <c r="U2098" s="288">
        <v>0</v>
      </c>
      <c r="V2098" s="289">
        <v>23.7</v>
      </c>
      <c r="W2098" s="289">
        <v>0</v>
      </c>
      <c r="X2098" s="288">
        <v>2.9443609022556387</v>
      </c>
      <c r="Y2098" s="288">
        <v>2.969924812030075</v>
      </c>
      <c r="Z2098" s="288">
        <v>-2.5563909774436087E-2</v>
      </c>
      <c r="AA2098" s="288">
        <v>0</v>
      </c>
      <c r="AB2098" s="288">
        <v>0</v>
      </c>
      <c r="AC2098" s="289">
        <v>2.969924812030075</v>
      </c>
      <c r="AD2098" s="289">
        <v>0</v>
      </c>
    </row>
    <row r="2099" spans="1:30" ht="15" customHeight="1" x14ac:dyDescent="0.25">
      <c r="A2099" s="282" t="s">
        <v>3172</v>
      </c>
      <c r="B2099" s="282" t="s">
        <v>3172</v>
      </c>
      <c r="C2099" s="282" t="s">
        <v>3173</v>
      </c>
      <c r="D2099" s="286" t="s">
        <v>3179</v>
      </c>
      <c r="E2099" s="403">
        <v>45076</v>
      </c>
      <c r="F2099" s="403">
        <v>46903</v>
      </c>
      <c r="G2099" s="283" t="s">
        <v>154</v>
      </c>
      <c r="H2099" s="283" t="s">
        <v>3175</v>
      </c>
      <c r="I2099" s="283" t="s">
        <v>590</v>
      </c>
      <c r="J2099" s="282" t="s">
        <v>156</v>
      </c>
      <c r="K2099" s="283" t="s">
        <v>3176</v>
      </c>
      <c r="L2099" s="286" t="s">
        <v>321</v>
      </c>
      <c r="M2099" s="293"/>
      <c r="N2099" s="293">
        <v>7.59</v>
      </c>
      <c r="O2099" s="287"/>
      <c r="P2099" s="287"/>
      <c r="Q2099" s="288">
        <v>22.504999999999999</v>
      </c>
      <c r="R2099" s="288">
        <v>22.7</v>
      </c>
      <c r="S2099" s="288">
        <v>-0.19500000000000001</v>
      </c>
      <c r="T2099" s="288"/>
      <c r="U2099" s="288">
        <v>0</v>
      </c>
      <c r="V2099" s="289">
        <v>22.7</v>
      </c>
      <c r="W2099" s="289">
        <v>0</v>
      </c>
      <c r="X2099" s="288">
        <v>2.9650856389986826</v>
      </c>
      <c r="Y2099" s="288">
        <v>2.9907773386034253</v>
      </c>
      <c r="Z2099" s="288">
        <v>-2.5691699604743084E-2</v>
      </c>
      <c r="AA2099" s="288">
        <v>0</v>
      </c>
      <c r="AB2099" s="288">
        <v>0</v>
      </c>
      <c r="AC2099" s="289">
        <v>2.9907773386034253</v>
      </c>
      <c r="AD2099" s="289">
        <v>0</v>
      </c>
    </row>
    <row r="2100" spans="1:30" ht="15" customHeight="1" x14ac:dyDescent="0.25">
      <c r="A2100" s="282" t="s">
        <v>3172</v>
      </c>
      <c r="B2100" s="282" t="s">
        <v>3172</v>
      </c>
      <c r="C2100" s="282" t="s">
        <v>3173</v>
      </c>
      <c r="D2100" s="286" t="s">
        <v>3180</v>
      </c>
      <c r="E2100" s="403">
        <v>45076</v>
      </c>
      <c r="F2100" s="403">
        <v>46903</v>
      </c>
      <c r="G2100" s="283" t="s">
        <v>154</v>
      </c>
      <c r="H2100" s="283" t="s">
        <v>3175</v>
      </c>
      <c r="I2100" s="283" t="s">
        <v>590</v>
      </c>
      <c r="J2100" s="282" t="s">
        <v>156</v>
      </c>
      <c r="K2100" s="283" t="s">
        <v>3176</v>
      </c>
      <c r="L2100" s="286" t="s">
        <v>321</v>
      </c>
      <c r="M2100" s="293"/>
      <c r="N2100" s="293">
        <v>6.02</v>
      </c>
      <c r="O2100" s="287"/>
      <c r="P2100" s="287"/>
      <c r="Q2100" s="288">
        <v>18.244999999999997</v>
      </c>
      <c r="R2100" s="288">
        <v>18.399999999999999</v>
      </c>
      <c r="S2100" s="288">
        <v>-0.155</v>
      </c>
      <c r="T2100" s="288"/>
      <c r="U2100" s="288">
        <v>0</v>
      </c>
      <c r="V2100" s="289">
        <v>18.399999999999999</v>
      </c>
      <c r="W2100" s="289">
        <v>0</v>
      </c>
      <c r="X2100" s="288">
        <v>3.0307308970099665</v>
      </c>
      <c r="Y2100" s="288">
        <v>3.0564784053156147</v>
      </c>
      <c r="Z2100" s="288">
        <v>-2.5747508305647843E-2</v>
      </c>
      <c r="AA2100" s="288">
        <v>0</v>
      </c>
      <c r="AB2100" s="288">
        <v>0</v>
      </c>
      <c r="AC2100" s="289">
        <v>3.0564784053156147</v>
      </c>
      <c r="AD2100" s="289">
        <v>0</v>
      </c>
    </row>
    <row r="2101" spans="1:30" ht="15" customHeight="1" x14ac:dyDescent="0.25">
      <c r="A2101" s="282" t="s">
        <v>3172</v>
      </c>
      <c r="B2101" s="282" t="s">
        <v>3172</v>
      </c>
      <c r="C2101" s="282" t="s">
        <v>3173</v>
      </c>
      <c r="D2101" s="286" t="s">
        <v>3181</v>
      </c>
      <c r="E2101" s="403">
        <v>45076</v>
      </c>
      <c r="F2101" s="403">
        <v>46903</v>
      </c>
      <c r="G2101" s="283" t="s">
        <v>154</v>
      </c>
      <c r="H2101" s="283" t="s">
        <v>3175</v>
      </c>
      <c r="I2101" s="283" t="s">
        <v>590</v>
      </c>
      <c r="J2101" s="282" t="s">
        <v>156</v>
      </c>
      <c r="K2101" s="283" t="s">
        <v>3176</v>
      </c>
      <c r="L2101" s="286" t="s">
        <v>321</v>
      </c>
      <c r="M2101" s="293"/>
      <c r="N2101" s="293">
        <v>5.63</v>
      </c>
      <c r="O2101" s="287"/>
      <c r="P2101" s="287"/>
      <c r="Q2101" s="288">
        <v>17.155000000000001</v>
      </c>
      <c r="R2101" s="288">
        <v>17.3</v>
      </c>
      <c r="S2101" s="288">
        <v>-0.14499999999999999</v>
      </c>
      <c r="T2101" s="288"/>
      <c r="U2101" s="288">
        <v>0</v>
      </c>
      <c r="V2101" s="289">
        <v>17.3</v>
      </c>
      <c r="W2101" s="289">
        <v>0</v>
      </c>
      <c r="X2101" s="288">
        <v>3.0470692717584371</v>
      </c>
      <c r="Y2101" s="288">
        <v>3.0728241563055065</v>
      </c>
      <c r="Z2101" s="288">
        <v>-2.5754884547069271E-2</v>
      </c>
      <c r="AA2101" s="288">
        <v>0</v>
      </c>
      <c r="AB2101" s="288">
        <v>0</v>
      </c>
      <c r="AC2101" s="289">
        <v>3.0728241563055065</v>
      </c>
      <c r="AD2101" s="289">
        <v>0</v>
      </c>
    </row>
    <row r="2102" spans="1:30" ht="15" customHeight="1" x14ac:dyDescent="0.25">
      <c r="A2102" s="282" t="s">
        <v>3172</v>
      </c>
      <c r="B2102" s="282" t="s">
        <v>3172</v>
      </c>
      <c r="C2102" s="282" t="s">
        <v>3173</v>
      </c>
      <c r="D2102" s="286" t="s">
        <v>3182</v>
      </c>
      <c r="E2102" s="403">
        <v>45076</v>
      </c>
      <c r="F2102" s="403">
        <v>46903</v>
      </c>
      <c r="G2102" s="283" t="s">
        <v>154</v>
      </c>
      <c r="H2102" s="283" t="s">
        <v>3175</v>
      </c>
      <c r="I2102" s="283" t="s">
        <v>590</v>
      </c>
      <c r="J2102" s="282" t="s">
        <v>156</v>
      </c>
      <c r="K2102" s="283" t="s">
        <v>3176</v>
      </c>
      <c r="L2102" s="286" t="s">
        <v>321</v>
      </c>
      <c r="M2102" s="293"/>
      <c r="N2102" s="293">
        <v>4.84</v>
      </c>
      <c r="O2102" s="287"/>
      <c r="P2102" s="287"/>
      <c r="Q2102" s="288">
        <v>15.074</v>
      </c>
      <c r="R2102" s="288">
        <v>15.2</v>
      </c>
      <c r="S2102" s="288">
        <v>-0.126</v>
      </c>
      <c r="T2102" s="288"/>
      <c r="U2102" s="288">
        <v>0</v>
      </c>
      <c r="V2102" s="289">
        <v>15.2</v>
      </c>
      <c r="W2102" s="289">
        <v>0</v>
      </c>
      <c r="X2102" s="288">
        <v>3.1144628099173555</v>
      </c>
      <c r="Y2102" s="288">
        <v>3.1404958677685948</v>
      </c>
      <c r="Z2102" s="288">
        <v>-2.6033057851239671E-2</v>
      </c>
      <c r="AA2102" s="288">
        <v>0</v>
      </c>
      <c r="AB2102" s="288">
        <v>0</v>
      </c>
      <c r="AC2102" s="289">
        <v>3.1404958677685948</v>
      </c>
      <c r="AD2102" s="289">
        <v>0</v>
      </c>
    </row>
    <row r="2103" spans="1:30" ht="15" customHeight="1" x14ac:dyDescent="0.25">
      <c r="A2103" s="282" t="s">
        <v>3172</v>
      </c>
      <c r="B2103" s="282" t="s">
        <v>3172</v>
      </c>
      <c r="C2103" s="282" t="s">
        <v>3173</v>
      </c>
      <c r="D2103" s="286" t="s">
        <v>3183</v>
      </c>
      <c r="E2103" s="403">
        <v>45076</v>
      </c>
      <c r="F2103" s="403">
        <v>46903</v>
      </c>
      <c r="G2103" s="283" t="s">
        <v>154</v>
      </c>
      <c r="H2103" s="283" t="s">
        <v>3175</v>
      </c>
      <c r="I2103" s="283" t="s">
        <v>590</v>
      </c>
      <c r="J2103" s="282" t="s">
        <v>156</v>
      </c>
      <c r="K2103" s="283" t="s">
        <v>3176</v>
      </c>
      <c r="L2103" s="286" t="s">
        <v>321</v>
      </c>
      <c r="M2103" s="293"/>
      <c r="N2103" s="293">
        <v>4.45</v>
      </c>
      <c r="O2103" s="287"/>
      <c r="P2103" s="287"/>
      <c r="Q2103" s="288">
        <v>13.984</v>
      </c>
      <c r="R2103" s="288">
        <v>14.1</v>
      </c>
      <c r="S2103" s="288">
        <v>-0.11600000000000001</v>
      </c>
      <c r="T2103" s="288"/>
      <c r="U2103" s="288">
        <v>0</v>
      </c>
      <c r="V2103" s="289">
        <v>14.1</v>
      </c>
      <c r="W2103" s="289">
        <v>0</v>
      </c>
      <c r="X2103" s="288">
        <v>3.1424719101123593</v>
      </c>
      <c r="Y2103" s="288">
        <v>3.1685393258426964</v>
      </c>
      <c r="Z2103" s="288">
        <v>-2.6067415730337079E-2</v>
      </c>
      <c r="AA2103" s="288">
        <v>0</v>
      </c>
      <c r="AB2103" s="288">
        <v>0</v>
      </c>
      <c r="AC2103" s="289">
        <v>3.1685393258426964</v>
      </c>
      <c r="AD2103" s="289">
        <v>0</v>
      </c>
    </row>
    <row r="2104" spans="1:30" ht="15" customHeight="1" x14ac:dyDescent="0.25">
      <c r="A2104" s="282" t="s">
        <v>3172</v>
      </c>
      <c r="B2104" s="282" t="s">
        <v>3172</v>
      </c>
      <c r="C2104" s="282" t="s">
        <v>3173</v>
      </c>
      <c r="D2104" s="286" t="s">
        <v>3184</v>
      </c>
      <c r="E2104" s="403">
        <v>45076</v>
      </c>
      <c r="F2104" s="403">
        <v>46903</v>
      </c>
      <c r="G2104" s="283" t="s">
        <v>154</v>
      </c>
      <c r="H2104" s="283" t="s">
        <v>3175</v>
      </c>
      <c r="I2104" s="283" t="s">
        <v>590</v>
      </c>
      <c r="J2104" s="282" t="s">
        <v>156</v>
      </c>
      <c r="K2104" s="283" t="s">
        <v>3176</v>
      </c>
      <c r="L2104" s="286" t="s">
        <v>321</v>
      </c>
      <c r="M2104" s="293"/>
      <c r="N2104" s="293">
        <v>4.0599999999999996</v>
      </c>
      <c r="O2104" s="287"/>
      <c r="P2104" s="287"/>
      <c r="Q2104" s="288">
        <v>12.894</v>
      </c>
      <c r="R2104" s="288">
        <v>13</v>
      </c>
      <c r="S2104" s="288">
        <v>-0.106</v>
      </c>
      <c r="T2104" s="288"/>
      <c r="U2104" s="288">
        <v>0</v>
      </c>
      <c r="V2104" s="289">
        <v>13</v>
      </c>
      <c r="W2104" s="289">
        <v>0</v>
      </c>
      <c r="X2104" s="288">
        <v>3.1758620689655177</v>
      </c>
      <c r="Y2104" s="288">
        <v>3.201970443349754</v>
      </c>
      <c r="Z2104" s="288">
        <v>-2.6108374384236455E-2</v>
      </c>
      <c r="AA2104" s="288">
        <v>0</v>
      </c>
      <c r="AB2104" s="288">
        <v>0</v>
      </c>
      <c r="AC2104" s="289">
        <v>3.201970443349754</v>
      </c>
      <c r="AD2104" s="289">
        <v>0</v>
      </c>
    </row>
    <row r="2105" spans="1:30" ht="15" customHeight="1" x14ac:dyDescent="0.25">
      <c r="A2105" s="282" t="s">
        <v>3172</v>
      </c>
      <c r="B2105" s="282" t="s">
        <v>3172</v>
      </c>
      <c r="C2105" s="282" t="s">
        <v>3173</v>
      </c>
      <c r="D2105" s="286" t="s">
        <v>3185</v>
      </c>
      <c r="E2105" s="403">
        <v>45076</v>
      </c>
      <c r="F2105" s="403">
        <v>46903</v>
      </c>
      <c r="G2105" s="283" t="s">
        <v>154</v>
      </c>
      <c r="H2105" s="283" t="s">
        <v>3175</v>
      </c>
      <c r="I2105" s="283" t="s">
        <v>590</v>
      </c>
      <c r="J2105" s="282" t="s">
        <v>156</v>
      </c>
      <c r="K2105" s="283" t="s">
        <v>3176</v>
      </c>
      <c r="L2105" s="286" t="s">
        <v>321</v>
      </c>
      <c r="M2105" s="293"/>
      <c r="N2105" s="293">
        <v>3.9</v>
      </c>
      <c r="O2105" s="287"/>
      <c r="P2105" s="287"/>
      <c r="Q2105" s="288">
        <v>12.497999999999999</v>
      </c>
      <c r="R2105" s="288">
        <v>12.6</v>
      </c>
      <c r="S2105" s="288">
        <v>-0.10199999999999999</v>
      </c>
      <c r="T2105" s="288"/>
      <c r="U2105" s="288">
        <v>0</v>
      </c>
      <c r="V2105" s="289">
        <v>12.6</v>
      </c>
      <c r="W2105" s="289">
        <v>0</v>
      </c>
      <c r="X2105" s="288">
        <v>3.2046153846153844</v>
      </c>
      <c r="Y2105" s="288">
        <v>3.2307692307692308</v>
      </c>
      <c r="Z2105" s="288">
        <v>-2.6153846153846153E-2</v>
      </c>
      <c r="AA2105" s="288">
        <v>0</v>
      </c>
      <c r="AB2105" s="288">
        <v>0</v>
      </c>
      <c r="AC2105" s="289">
        <v>3.2307692307692308</v>
      </c>
      <c r="AD2105" s="289">
        <v>0</v>
      </c>
    </row>
    <row r="2106" spans="1:30" ht="15" customHeight="1" x14ac:dyDescent="0.25">
      <c r="A2106" s="282" t="s">
        <v>3172</v>
      </c>
      <c r="B2106" s="282" t="s">
        <v>3172</v>
      </c>
      <c r="C2106" s="282" t="s">
        <v>3173</v>
      </c>
      <c r="D2106" s="286" t="s">
        <v>3186</v>
      </c>
      <c r="E2106" s="403">
        <v>45076</v>
      </c>
      <c r="F2106" s="403">
        <v>46903</v>
      </c>
      <c r="G2106" s="283" t="s">
        <v>154</v>
      </c>
      <c r="H2106" s="283" t="s">
        <v>3175</v>
      </c>
      <c r="I2106" s="283" t="s">
        <v>590</v>
      </c>
      <c r="J2106" s="282" t="s">
        <v>156</v>
      </c>
      <c r="K2106" s="283" t="s">
        <v>3176</v>
      </c>
      <c r="L2106" s="286" t="s">
        <v>321</v>
      </c>
      <c r="M2106" s="293"/>
      <c r="N2106" s="293">
        <v>3.43</v>
      </c>
      <c r="O2106" s="287"/>
      <c r="P2106" s="287"/>
      <c r="Q2106" s="288">
        <v>11.209700000000002</v>
      </c>
      <c r="R2106" s="288">
        <v>11.3</v>
      </c>
      <c r="S2106" s="288">
        <v>-9.0300000000000005E-2</v>
      </c>
      <c r="T2106" s="288"/>
      <c r="U2106" s="288">
        <v>0</v>
      </c>
      <c r="V2106" s="289">
        <v>11.3</v>
      </c>
      <c r="W2106" s="289">
        <v>0</v>
      </c>
      <c r="X2106" s="288">
        <v>3.2681341107871722</v>
      </c>
      <c r="Y2106" s="288">
        <v>3.2944606413994171</v>
      </c>
      <c r="Z2106" s="288">
        <v>-2.6326530612244898E-2</v>
      </c>
      <c r="AA2106" s="288">
        <v>0</v>
      </c>
      <c r="AB2106" s="288">
        <v>0</v>
      </c>
      <c r="AC2106" s="289">
        <v>3.2944606413994171</v>
      </c>
      <c r="AD2106" s="289">
        <v>0</v>
      </c>
    </row>
    <row r="2107" spans="1:30" ht="15" customHeight="1" x14ac:dyDescent="0.25">
      <c r="A2107" s="282" t="s">
        <v>3172</v>
      </c>
      <c r="B2107" s="282" t="s">
        <v>3172</v>
      </c>
      <c r="C2107" s="282" t="s">
        <v>3173</v>
      </c>
      <c r="D2107" s="286" t="s">
        <v>3187</v>
      </c>
      <c r="E2107" s="403">
        <v>45076</v>
      </c>
      <c r="F2107" s="403">
        <v>46903</v>
      </c>
      <c r="G2107" s="283" t="s">
        <v>154</v>
      </c>
      <c r="H2107" s="283" t="s">
        <v>3175</v>
      </c>
      <c r="I2107" s="283" t="s">
        <v>590</v>
      </c>
      <c r="J2107" s="282" t="s">
        <v>156</v>
      </c>
      <c r="K2107" s="283" t="s">
        <v>3176</v>
      </c>
      <c r="L2107" s="286" t="s">
        <v>321</v>
      </c>
      <c r="M2107" s="293"/>
      <c r="N2107" s="293">
        <v>3.12</v>
      </c>
      <c r="O2107" s="287"/>
      <c r="P2107" s="287"/>
      <c r="Q2107" s="288">
        <v>10.317600000000001</v>
      </c>
      <c r="R2107" s="288">
        <v>10.4</v>
      </c>
      <c r="S2107" s="288">
        <v>-8.2400000000000001E-2</v>
      </c>
      <c r="T2107" s="288"/>
      <c r="U2107" s="288">
        <v>0</v>
      </c>
      <c r="V2107" s="289">
        <v>10.4</v>
      </c>
      <c r="W2107" s="289">
        <v>0</v>
      </c>
      <c r="X2107" s="288">
        <v>3.3069230769230771</v>
      </c>
      <c r="Y2107" s="288">
        <v>3.3333333333333335</v>
      </c>
      <c r="Z2107" s="288">
        <v>-2.6410256410256409E-2</v>
      </c>
      <c r="AA2107" s="288">
        <v>0</v>
      </c>
      <c r="AB2107" s="288">
        <v>0</v>
      </c>
      <c r="AC2107" s="289">
        <v>3.3333333333333335</v>
      </c>
      <c r="AD2107" s="289">
        <v>0</v>
      </c>
    </row>
    <row r="2108" spans="1:30" ht="15" customHeight="1" x14ac:dyDescent="0.25">
      <c r="A2108" s="282" t="s">
        <v>3172</v>
      </c>
      <c r="B2108" s="282" t="s">
        <v>3172</v>
      </c>
      <c r="C2108" s="282" t="s">
        <v>3173</v>
      </c>
      <c r="D2108" s="286" t="s">
        <v>3188</v>
      </c>
      <c r="E2108" s="403">
        <v>45076</v>
      </c>
      <c r="F2108" s="403">
        <v>46903</v>
      </c>
      <c r="G2108" s="283" t="s">
        <v>154</v>
      </c>
      <c r="H2108" s="283" t="s">
        <v>3175</v>
      </c>
      <c r="I2108" s="283" t="s">
        <v>590</v>
      </c>
      <c r="J2108" s="282" t="s">
        <v>156</v>
      </c>
      <c r="K2108" s="283" t="s">
        <v>3176</v>
      </c>
      <c r="L2108" s="286" t="s">
        <v>321</v>
      </c>
      <c r="M2108" s="293"/>
      <c r="N2108" s="293">
        <v>3.27</v>
      </c>
      <c r="O2108" s="287"/>
      <c r="P2108" s="287"/>
      <c r="Q2108" s="288">
        <v>10.813700000000001</v>
      </c>
      <c r="R2108" s="288">
        <v>10.9</v>
      </c>
      <c r="S2108" s="288">
        <v>-8.6300000000000002E-2</v>
      </c>
      <c r="T2108" s="288"/>
      <c r="U2108" s="288">
        <v>0</v>
      </c>
      <c r="V2108" s="289">
        <v>10.9</v>
      </c>
      <c r="W2108" s="289">
        <v>0</v>
      </c>
      <c r="X2108" s="288">
        <v>3.306941896024465</v>
      </c>
      <c r="Y2108" s="288">
        <v>3.3333333333333335</v>
      </c>
      <c r="Z2108" s="288">
        <v>-2.63914373088685E-2</v>
      </c>
      <c r="AA2108" s="288">
        <v>0</v>
      </c>
      <c r="AB2108" s="288">
        <v>0</v>
      </c>
      <c r="AC2108" s="289">
        <v>3.3333333333333335</v>
      </c>
      <c r="AD2108" s="289">
        <v>0</v>
      </c>
    </row>
    <row r="2109" spans="1:30" ht="15" customHeight="1" x14ac:dyDescent="0.25">
      <c r="A2109" s="282" t="s">
        <v>3172</v>
      </c>
      <c r="B2109" s="282" t="s">
        <v>3172</v>
      </c>
      <c r="C2109" s="282" t="s">
        <v>3173</v>
      </c>
      <c r="D2109" s="286" t="s">
        <v>3189</v>
      </c>
      <c r="E2109" s="403">
        <v>45076</v>
      </c>
      <c r="F2109" s="403">
        <v>46903</v>
      </c>
      <c r="G2109" s="283" t="s">
        <v>154</v>
      </c>
      <c r="H2109" s="283" t="s">
        <v>3175</v>
      </c>
      <c r="I2109" s="283" t="s">
        <v>590</v>
      </c>
      <c r="J2109" s="282" t="s">
        <v>156</v>
      </c>
      <c r="K2109" s="283" t="s">
        <v>3176</v>
      </c>
      <c r="L2109" s="286" t="s">
        <v>321</v>
      </c>
      <c r="M2109" s="293"/>
      <c r="N2109" s="293">
        <v>2.88</v>
      </c>
      <c r="O2109" s="287"/>
      <c r="P2109" s="287"/>
      <c r="Q2109" s="288">
        <v>9.7235000000000014</v>
      </c>
      <c r="R2109" s="288">
        <v>9.8000000000000007</v>
      </c>
      <c r="S2109" s="288">
        <v>-7.6499999999999999E-2</v>
      </c>
      <c r="T2109" s="288"/>
      <c r="U2109" s="288">
        <v>0</v>
      </c>
      <c r="V2109" s="289">
        <v>9.8000000000000007</v>
      </c>
      <c r="W2109" s="289">
        <v>0</v>
      </c>
      <c r="X2109" s="288">
        <v>3.3762152777777783</v>
      </c>
      <c r="Y2109" s="288">
        <v>3.4027777777777781</v>
      </c>
      <c r="Z2109" s="288">
        <v>-2.6562499999999999E-2</v>
      </c>
      <c r="AA2109" s="288">
        <v>0</v>
      </c>
      <c r="AB2109" s="288">
        <v>0</v>
      </c>
      <c r="AC2109" s="289">
        <v>3.4027777777777781</v>
      </c>
      <c r="AD2109" s="289">
        <v>0</v>
      </c>
    </row>
    <row r="2110" spans="1:30" ht="15" customHeight="1" x14ac:dyDescent="0.25">
      <c r="A2110" s="282" t="s">
        <v>3172</v>
      </c>
      <c r="B2110" s="282" t="s">
        <v>3172</v>
      </c>
      <c r="C2110" s="282" t="s">
        <v>3173</v>
      </c>
      <c r="D2110" s="286" t="s">
        <v>3190</v>
      </c>
      <c r="E2110" s="403">
        <v>45076</v>
      </c>
      <c r="F2110" s="403">
        <v>46903</v>
      </c>
      <c r="G2110" s="283" t="s">
        <v>154</v>
      </c>
      <c r="H2110" s="283" t="s">
        <v>3175</v>
      </c>
      <c r="I2110" s="283" t="s">
        <v>590</v>
      </c>
      <c r="J2110" s="282" t="s">
        <v>156</v>
      </c>
      <c r="K2110" s="283" t="s">
        <v>3176</v>
      </c>
      <c r="L2110" s="286" t="s">
        <v>321</v>
      </c>
      <c r="M2110" s="293"/>
      <c r="N2110" s="293">
        <v>2.4900000000000002</v>
      </c>
      <c r="O2110" s="287"/>
      <c r="P2110" s="287"/>
      <c r="Q2110" s="288">
        <v>8.6632999999999996</v>
      </c>
      <c r="R2110" s="288">
        <v>8.73</v>
      </c>
      <c r="S2110" s="288">
        <v>-6.6699999999999995E-2</v>
      </c>
      <c r="T2110" s="288"/>
      <c r="U2110" s="288">
        <v>0</v>
      </c>
      <c r="V2110" s="289">
        <v>8.73</v>
      </c>
      <c r="W2110" s="289">
        <v>0</v>
      </c>
      <c r="X2110" s="288">
        <v>3.479236947791164</v>
      </c>
      <c r="Y2110" s="288">
        <v>3.5060240963855422</v>
      </c>
      <c r="Z2110" s="288">
        <v>-2.6787148594377506E-2</v>
      </c>
      <c r="AA2110" s="288">
        <v>0</v>
      </c>
      <c r="AB2110" s="288">
        <v>0</v>
      </c>
      <c r="AC2110" s="289">
        <v>3.5060240963855422</v>
      </c>
      <c r="AD2110" s="289">
        <v>0</v>
      </c>
    </row>
    <row r="2111" spans="1:30" ht="15" customHeight="1" x14ac:dyDescent="0.25">
      <c r="A2111" s="282" t="s">
        <v>3172</v>
      </c>
      <c r="B2111" s="282" t="s">
        <v>3172</v>
      </c>
      <c r="C2111" s="282" t="s">
        <v>3173</v>
      </c>
      <c r="D2111" s="283" t="s">
        <v>3191</v>
      </c>
      <c r="E2111" s="403">
        <v>45145</v>
      </c>
      <c r="F2111" s="403">
        <v>46971</v>
      </c>
      <c r="G2111" s="283" t="s">
        <v>237</v>
      </c>
      <c r="H2111" s="282" t="s">
        <v>3192</v>
      </c>
      <c r="I2111" s="285"/>
      <c r="J2111" s="282" t="s">
        <v>184</v>
      </c>
      <c r="K2111" s="283" t="s">
        <v>3193</v>
      </c>
      <c r="L2111" s="286" t="s">
        <v>321</v>
      </c>
      <c r="M2111" s="287" t="s">
        <v>159</v>
      </c>
      <c r="N2111" s="287">
        <v>3.27</v>
      </c>
      <c r="O2111" s="287" t="s">
        <v>159</v>
      </c>
      <c r="P2111" s="287" t="s">
        <v>159</v>
      </c>
      <c r="Q2111" s="288">
        <v>16.3827</v>
      </c>
      <c r="R2111" s="288">
        <v>16.3827</v>
      </c>
      <c r="S2111" s="288">
        <v>2.1745499999999999E-3</v>
      </c>
      <c r="T2111" s="288">
        <v>1.3276199999999998E-2</v>
      </c>
      <c r="U2111" s="288">
        <v>0</v>
      </c>
      <c r="V2111" s="289">
        <v>16.398150749999999</v>
      </c>
      <c r="W2111" s="289">
        <v>0</v>
      </c>
      <c r="X2111" s="288">
        <v>5.01</v>
      </c>
      <c r="Y2111" s="288">
        <v>5.01</v>
      </c>
      <c r="Z2111" s="288">
        <v>6.6500000000000001E-4</v>
      </c>
      <c r="AA2111" s="288">
        <v>4.0599999999999994E-3</v>
      </c>
      <c r="AB2111" s="288">
        <v>0</v>
      </c>
      <c r="AC2111" s="289">
        <v>5.0147249999999994</v>
      </c>
      <c r="AD2111" s="289">
        <v>0</v>
      </c>
    </row>
    <row r="2112" spans="1:30" ht="15" customHeight="1" x14ac:dyDescent="0.25">
      <c r="A2112" s="282" t="s">
        <v>3172</v>
      </c>
      <c r="B2112" s="282" t="s">
        <v>3172</v>
      </c>
      <c r="C2112" s="282" t="s">
        <v>3173</v>
      </c>
      <c r="D2112" s="286" t="s">
        <v>3194</v>
      </c>
      <c r="E2112" s="403">
        <v>45135</v>
      </c>
      <c r="F2112" s="403">
        <v>46962</v>
      </c>
      <c r="G2112" s="283" t="s">
        <v>154</v>
      </c>
      <c r="H2112" s="283" t="s">
        <v>3195</v>
      </c>
      <c r="I2112" s="283" t="s">
        <v>590</v>
      </c>
      <c r="J2112" s="282" t="s">
        <v>156</v>
      </c>
      <c r="K2112" s="283" t="s">
        <v>3196</v>
      </c>
      <c r="L2112" s="286" t="s">
        <v>321</v>
      </c>
      <c r="M2112" s="293"/>
      <c r="N2112" s="293">
        <v>3.05</v>
      </c>
      <c r="O2112" s="287"/>
      <c r="P2112" s="287"/>
      <c r="Q2112" s="288">
        <v>9.80213</v>
      </c>
      <c r="R2112" s="288">
        <v>9.81</v>
      </c>
      <c r="S2112" s="288">
        <v>-7.8700000000000003E-3</v>
      </c>
      <c r="T2112" s="288"/>
      <c r="U2112" s="288">
        <v>0</v>
      </c>
      <c r="V2112" s="289">
        <v>9.81</v>
      </c>
      <c r="W2112" s="289">
        <v>0</v>
      </c>
      <c r="X2112" s="288">
        <v>3.2138131147540987</v>
      </c>
      <c r="Y2112" s="288">
        <v>3.2163934426229512</v>
      </c>
      <c r="Z2112" s="288">
        <v>-2.580327868852459E-3</v>
      </c>
      <c r="AA2112" s="288">
        <v>0</v>
      </c>
      <c r="AB2112" s="288">
        <v>0</v>
      </c>
      <c r="AC2112" s="289">
        <v>3.2163934426229512</v>
      </c>
      <c r="AD2112" s="289">
        <v>0</v>
      </c>
    </row>
    <row r="2113" spans="1:30" ht="15" customHeight="1" x14ac:dyDescent="0.25">
      <c r="A2113" s="282" t="s">
        <v>3172</v>
      </c>
      <c r="B2113" s="282" t="s">
        <v>3172</v>
      </c>
      <c r="C2113" s="282" t="s">
        <v>3173</v>
      </c>
      <c r="D2113" s="286" t="s">
        <v>3197</v>
      </c>
      <c r="E2113" s="403">
        <v>45135</v>
      </c>
      <c r="F2113" s="403">
        <v>46962</v>
      </c>
      <c r="G2113" s="283" t="s">
        <v>154</v>
      </c>
      <c r="H2113" s="283" t="s">
        <v>3195</v>
      </c>
      <c r="I2113" s="283" t="s">
        <v>590</v>
      </c>
      <c r="J2113" s="282" t="s">
        <v>156</v>
      </c>
      <c r="K2113" s="283" t="s">
        <v>3196</v>
      </c>
      <c r="L2113" s="286" t="s">
        <v>321</v>
      </c>
      <c r="M2113" s="293"/>
      <c r="N2113" s="293">
        <v>3.28</v>
      </c>
      <c r="O2113" s="287"/>
      <c r="P2113" s="287"/>
      <c r="Q2113" s="288">
        <v>10.39231</v>
      </c>
      <c r="R2113" s="288">
        <v>10.4</v>
      </c>
      <c r="S2113" s="288">
        <v>-7.6899999999999998E-3</v>
      </c>
      <c r="T2113" s="288"/>
      <c r="U2113" s="288">
        <v>0</v>
      </c>
      <c r="V2113" s="289">
        <v>10.4</v>
      </c>
      <c r="W2113" s="289">
        <v>0</v>
      </c>
      <c r="X2113" s="288">
        <v>3.1683871951219515</v>
      </c>
      <c r="Y2113" s="288">
        <v>3.1707317073170733</v>
      </c>
      <c r="Z2113" s="288">
        <v>-2.3445121951219511E-3</v>
      </c>
      <c r="AA2113" s="288">
        <v>0</v>
      </c>
      <c r="AB2113" s="288">
        <v>0</v>
      </c>
      <c r="AC2113" s="289">
        <v>3.1707317073170733</v>
      </c>
      <c r="AD2113" s="289">
        <v>0</v>
      </c>
    </row>
    <row r="2114" spans="1:30" ht="15" customHeight="1" x14ac:dyDescent="0.25">
      <c r="A2114" s="282" t="s">
        <v>3172</v>
      </c>
      <c r="B2114" s="282" t="s">
        <v>3172</v>
      </c>
      <c r="C2114" s="282" t="s">
        <v>3173</v>
      </c>
      <c r="D2114" s="286" t="s">
        <v>3198</v>
      </c>
      <c r="E2114" s="403">
        <v>45135</v>
      </c>
      <c r="F2114" s="403">
        <v>46962</v>
      </c>
      <c r="G2114" s="283" t="s">
        <v>154</v>
      </c>
      <c r="H2114" s="283" t="s">
        <v>3195</v>
      </c>
      <c r="I2114" s="283" t="s">
        <v>590</v>
      </c>
      <c r="J2114" s="282" t="s">
        <v>156</v>
      </c>
      <c r="K2114" s="283" t="s">
        <v>3196</v>
      </c>
      <c r="L2114" s="286" t="s">
        <v>321</v>
      </c>
      <c r="M2114" s="293"/>
      <c r="N2114" s="293">
        <v>3.42</v>
      </c>
      <c r="O2114" s="287"/>
      <c r="P2114" s="287"/>
      <c r="Q2114" s="288">
        <v>11.39235</v>
      </c>
      <c r="R2114" s="288">
        <v>11.4</v>
      </c>
      <c r="S2114" s="288">
        <v>-7.6499999999999997E-3</v>
      </c>
      <c r="T2114" s="288"/>
      <c r="U2114" s="288">
        <v>0</v>
      </c>
      <c r="V2114" s="289">
        <v>11.4</v>
      </c>
      <c r="W2114" s="289">
        <v>0</v>
      </c>
      <c r="X2114" s="288">
        <v>3.3310964912280703</v>
      </c>
      <c r="Y2114" s="288">
        <v>3.3333333333333335</v>
      </c>
      <c r="Z2114" s="288">
        <v>-2.2368421052631577E-3</v>
      </c>
      <c r="AA2114" s="288">
        <v>0</v>
      </c>
      <c r="AB2114" s="288">
        <v>0</v>
      </c>
      <c r="AC2114" s="289">
        <v>3.3333333333333335</v>
      </c>
      <c r="AD2114" s="289">
        <v>0</v>
      </c>
    </row>
    <row r="2115" spans="1:30" ht="15" customHeight="1" x14ac:dyDescent="0.25">
      <c r="A2115" s="282" t="s">
        <v>3172</v>
      </c>
      <c r="B2115" s="282" t="s">
        <v>3172</v>
      </c>
      <c r="C2115" s="282" t="s">
        <v>3173</v>
      </c>
      <c r="D2115" s="286" t="s">
        <v>3199</v>
      </c>
      <c r="E2115" s="403">
        <v>45135</v>
      </c>
      <c r="F2115" s="403">
        <v>46962</v>
      </c>
      <c r="G2115" s="283" t="s">
        <v>154</v>
      </c>
      <c r="H2115" s="283" t="s">
        <v>3195</v>
      </c>
      <c r="I2115" s="283" t="s">
        <v>590</v>
      </c>
      <c r="J2115" s="282" t="s">
        <v>156</v>
      </c>
      <c r="K2115" s="283" t="s">
        <v>3196</v>
      </c>
      <c r="L2115" s="286" t="s">
        <v>321</v>
      </c>
      <c r="M2115" s="293"/>
      <c r="N2115" s="293">
        <v>3.68</v>
      </c>
      <c r="O2115" s="287"/>
      <c r="P2115" s="287"/>
      <c r="Q2115" s="288">
        <v>11.39263</v>
      </c>
      <c r="R2115" s="288">
        <v>11.4</v>
      </c>
      <c r="S2115" s="288">
        <v>-7.3699999999999998E-3</v>
      </c>
      <c r="T2115" s="288"/>
      <c r="U2115" s="288">
        <v>0</v>
      </c>
      <c r="V2115" s="289">
        <v>11.4</v>
      </c>
      <c r="W2115" s="289">
        <v>0</v>
      </c>
      <c r="X2115" s="288">
        <v>3.0958233695652173</v>
      </c>
      <c r="Y2115" s="288">
        <v>3.0978260869565215</v>
      </c>
      <c r="Z2115" s="288">
        <v>-2.0027173913043476E-3</v>
      </c>
      <c r="AA2115" s="288">
        <v>0</v>
      </c>
      <c r="AB2115" s="288">
        <v>0</v>
      </c>
      <c r="AC2115" s="289">
        <v>3.0978260869565215</v>
      </c>
      <c r="AD2115" s="289">
        <v>0</v>
      </c>
    </row>
    <row r="2116" spans="1:30" ht="15" customHeight="1" x14ac:dyDescent="0.25">
      <c r="A2116" s="282" t="s">
        <v>3172</v>
      </c>
      <c r="B2116" s="282" t="s">
        <v>3172</v>
      </c>
      <c r="C2116" s="282" t="s">
        <v>3173</v>
      </c>
      <c r="D2116" s="286" t="s">
        <v>3200</v>
      </c>
      <c r="E2116" s="403">
        <v>45135</v>
      </c>
      <c r="F2116" s="403">
        <v>46962</v>
      </c>
      <c r="G2116" s="283" t="s">
        <v>154</v>
      </c>
      <c r="H2116" s="283" t="s">
        <v>3195</v>
      </c>
      <c r="I2116" s="283" t="s">
        <v>590</v>
      </c>
      <c r="J2116" s="282" t="s">
        <v>156</v>
      </c>
      <c r="K2116" s="283" t="s">
        <v>3196</v>
      </c>
      <c r="L2116" s="286" t="s">
        <v>321</v>
      </c>
      <c r="M2116" s="293"/>
      <c r="N2116" s="293">
        <v>4.07</v>
      </c>
      <c r="O2116" s="287"/>
      <c r="P2116" s="287"/>
      <c r="Q2116" s="288">
        <v>12.492940000000001</v>
      </c>
      <c r="R2116" s="288">
        <v>12.5</v>
      </c>
      <c r="S2116" s="288">
        <v>-7.0600000000000003E-3</v>
      </c>
      <c r="T2116" s="288"/>
      <c r="U2116" s="288">
        <v>0</v>
      </c>
      <c r="V2116" s="289">
        <v>12.5</v>
      </c>
      <c r="W2116" s="289">
        <v>0</v>
      </c>
      <c r="X2116" s="288">
        <v>3.0695184275184273</v>
      </c>
      <c r="Y2116" s="288">
        <v>3.071253071253071</v>
      </c>
      <c r="Z2116" s="288">
        <v>-1.7346437346437346E-3</v>
      </c>
      <c r="AA2116" s="288">
        <v>0</v>
      </c>
      <c r="AB2116" s="288">
        <v>0</v>
      </c>
      <c r="AC2116" s="289">
        <v>3.071253071253071</v>
      </c>
      <c r="AD2116" s="289">
        <v>0</v>
      </c>
    </row>
    <row r="2117" spans="1:30" ht="15" customHeight="1" x14ac:dyDescent="0.25">
      <c r="A2117" s="282" t="s">
        <v>3172</v>
      </c>
      <c r="B2117" s="282" t="s">
        <v>3172</v>
      </c>
      <c r="C2117" s="282" t="s">
        <v>3173</v>
      </c>
      <c r="D2117" s="286" t="s">
        <v>3201</v>
      </c>
      <c r="E2117" s="403">
        <v>45135</v>
      </c>
      <c r="F2117" s="403">
        <v>46962</v>
      </c>
      <c r="G2117" s="283" t="s">
        <v>154</v>
      </c>
      <c r="H2117" s="283" t="s">
        <v>3195</v>
      </c>
      <c r="I2117" s="283" t="s">
        <v>590</v>
      </c>
      <c r="J2117" s="282" t="s">
        <v>156</v>
      </c>
      <c r="K2117" s="283" t="s">
        <v>3196</v>
      </c>
      <c r="L2117" s="286" t="s">
        <v>321</v>
      </c>
      <c r="M2117" s="293"/>
      <c r="N2117" s="293">
        <v>3.35</v>
      </c>
      <c r="O2117" s="287"/>
      <c r="P2117" s="287"/>
      <c r="Q2117" s="288">
        <v>10.594149999999999</v>
      </c>
      <c r="R2117" s="288">
        <v>10.6</v>
      </c>
      <c r="S2117" s="288">
        <v>-5.8500000000000002E-3</v>
      </c>
      <c r="T2117" s="288"/>
      <c r="U2117" s="288">
        <v>0</v>
      </c>
      <c r="V2117" s="289">
        <v>10.6</v>
      </c>
      <c r="W2117" s="289">
        <v>0</v>
      </c>
      <c r="X2117" s="288">
        <v>3.1624328358208951</v>
      </c>
      <c r="Y2117" s="288">
        <v>3.1641791044776117</v>
      </c>
      <c r="Z2117" s="288">
        <v>-1.7462686567164178E-3</v>
      </c>
      <c r="AA2117" s="288">
        <v>0</v>
      </c>
      <c r="AB2117" s="288">
        <v>0</v>
      </c>
      <c r="AC2117" s="289">
        <v>3.1641791044776117</v>
      </c>
      <c r="AD2117" s="289">
        <v>0</v>
      </c>
    </row>
    <row r="2118" spans="1:30" ht="15" customHeight="1" x14ac:dyDescent="0.25">
      <c r="A2118" s="282" t="s">
        <v>3172</v>
      </c>
      <c r="B2118" s="282" t="s">
        <v>3172</v>
      </c>
      <c r="C2118" s="282" t="s">
        <v>3173</v>
      </c>
      <c r="D2118" s="286" t="s">
        <v>3202</v>
      </c>
      <c r="E2118" s="403">
        <v>45135</v>
      </c>
      <c r="F2118" s="403">
        <v>46962</v>
      </c>
      <c r="G2118" s="283" t="s">
        <v>154</v>
      </c>
      <c r="H2118" s="283" t="s">
        <v>3195</v>
      </c>
      <c r="I2118" s="283" t="s">
        <v>590</v>
      </c>
      <c r="J2118" s="282" t="s">
        <v>156</v>
      </c>
      <c r="K2118" s="283" t="s">
        <v>3196</v>
      </c>
      <c r="L2118" s="286" t="s">
        <v>321</v>
      </c>
      <c r="M2118" s="293"/>
      <c r="N2118" s="293">
        <v>4.21</v>
      </c>
      <c r="O2118" s="287"/>
      <c r="P2118" s="287"/>
      <c r="Q2118" s="288">
        <v>13.492979999999999</v>
      </c>
      <c r="R2118" s="288">
        <v>13.5</v>
      </c>
      <c r="S2118" s="288">
        <v>-7.0200000000000002E-3</v>
      </c>
      <c r="T2118" s="288"/>
      <c r="U2118" s="288">
        <v>0</v>
      </c>
      <c r="V2118" s="289">
        <v>13.5</v>
      </c>
      <c r="W2118" s="289">
        <v>0</v>
      </c>
      <c r="X2118" s="288">
        <v>3.2049833729216153</v>
      </c>
      <c r="Y2118" s="288">
        <v>3.2066508313539193</v>
      </c>
      <c r="Z2118" s="288">
        <v>-1.667458432304038E-3</v>
      </c>
      <c r="AA2118" s="288">
        <v>0</v>
      </c>
      <c r="AB2118" s="288">
        <v>0</v>
      </c>
      <c r="AC2118" s="289">
        <v>3.2066508313539193</v>
      </c>
      <c r="AD2118" s="289">
        <v>0</v>
      </c>
    </row>
    <row r="2119" spans="1:30" ht="15" customHeight="1" x14ac:dyDescent="0.25">
      <c r="A2119" s="282" t="s">
        <v>3172</v>
      </c>
      <c r="B2119" s="282" t="s">
        <v>3172</v>
      </c>
      <c r="C2119" s="282" t="s">
        <v>3173</v>
      </c>
      <c r="D2119" s="286" t="s">
        <v>3203</v>
      </c>
      <c r="E2119" s="403">
        <v>45135</v>
      </c>
      <c r="F2119" s="403">
        <v>46962</v>
      </c>
      <c r="G2119" s="283" t="s">
        <v>154</v>
      </c>
      <c r="H2119" s="283" t="s">
        <v>3195</v>
      </c>
      <c r="I2119" s="283" t="s">
        <v>590</v>
      </c>
      <c r="J2119" s="282" t="s">
        <v>156</v>
      </c>
      <c r="K2119" s="283" t="s">
        <v>3196</v>
      </c>
      <c r="L2119" s="286" t="s">
        <v>321</v>
      </c>
      <c r="M2119" s="293"/>
      <c r="N2119" s="293">
        <v>4.46</v>
      </c>
      <c r="O2119" s="287"/>
      <c r="P2119" s="287"/>
      <c r="Q2119" s="288">
        <v>13.49325</v>
      </c>
      <c r="R2119" s="288">
        <v>13.5</v>
      </c>
      <c r="S2119" s="288">
        <v>-6.7499999999999999E-3</v>
      </c>
      <c r="T2119" s="288"/>
      <c r="U2119" s="288">
        <v>0</v>
      </c>
      <c r="V2119" s="289">
        <v>13.5</v>
      </c>
      <c r="W2119" s="289">
        <v>0</v>
      </c>
      <c r="X2119" s="288">
        <v>3.0253923766816144</v>
      </c>
      <c r="Y2119" s="288">
        <v>3.0269058295964126</v>
      </c>
      <c r="Z2119" s="288">
        <v>-1.5134529147982064E-3</v>
      </c>
      <c r="AA2119" s="288">
        <v>0</v>
      </c>
      <c r="AB2119" s="288">
        <v>0</v>
      </c>
      <c r="AC2119" s="289">
        <v>3.0269058295964126</v>
      </c>
      <c r="AD2119" s="289">
        <v>0</v>
      </c>
    </row>
    <row r="2120" spans="1:30" ht="15" customHeight="1" x14ac:dyDescent="0.25">
      <c r="A2120" s="282" t="s">
        <v>3172</v>
      </c>
      <c r="B2120" s="282" t="s">
        <v>3172</v>
      </c>
      <c r="C2120" s="282" t="s">
        <v>3173</v>
      </c>
      <c r="D2120" s="286" t="s">
        <v>3204</v>
      </c>
      <c r="E2120" s="403">
        <v>45135</v>
      </c>
      <c r="F2120" s="403">
        <v>46962</v>
      </c>
      <c r="G2120" s="283" t="s">
        <v>154</v>
      </c>
      <c r="H2120" s="283" t="s">
        <v>3195</v>
      </c>
      <c r="I2120" s="283" t="s">
        <v>590</v>
      </c>
      <c r="J2120" s="282" t="s">
        <v>156</v>
      </c>
      <c r="K2120" s="283" t="s">
        <v>3196</v>
      </c>
      <c r="L2120" s="286" t="s">
        <v>321</v>
      </c>
      <c r="M2120" s="293"/>
      <c r="N2120" s="293">
        <v>4.5999999999999996</v>
      </c>
      <c r="O2120" s="287"/>
      <c r="P2120" s="287"/>
      <c r="Q2120" s="288">
        <v>14.49329</v>
      </c>
      <c r="R2120" s="288">
        <v>14.5</v>
      </c>
      <c r="S2120" s="288">
        <v>-6.7099999999999998E-3</v>
      </c>
      <c r="T2120" s="288"/>
      <c r="U2120" s="288">
        <v>0</v>
      </c>
      <c r="V2120" s="289">
        <v>14.5</v>
      </c>
      <c r="W2120" s="289">
        <v>0</v>
      </c>
      <c r="X2120" s="288">
        <v>3.1507152173913044</v>
      </c>
      <c r="Y2120" s="288">
        <v>3.1521739130434785</v>
      </c>
      <c r="Z2120" s="288">
        <v>-1.4586956521739131E-3</v>
      </c>
      <c r="AA2120" s="288">
        <v>0</v>
      </c>
      <c r="AB2120" s="288">
        <v>0</v>
      </c>
      <c r="AC2120" s="289">
        <v>3.1521739130434785</v>
      </c>
      <c r="AD2120" s="289">
        <v>0</v>
      </c>
    </row>
    <row r="2121" spans="1:30" ht="15" customHeight="1" x14ac:dyDescent="0.25">
      <c r="A2121" s="282" t="s">
        <v>3172</v>
      </c>
      <c r="B2121" s="282" t="s">
        <v>3172</v>
      </c>
      <c r="C2121" s="282" t="s">
        <v>3173</v>
      </c>
      <c r="D2121" s="286" t="s">
        <v>3205</v>
      </c>
      <c r="E2121" s="403">
        <v>45135</v>
      </c>
      <c r="F2121" s="403">
        <v>46962</v>
      </c>
      <c r="G2121" s="283" t="s">
        <v>154</v>
      </c>
      <c r="H2121" s="283" t="s">
        <v>3195</v>
      </c>
      <c r="I2121" s="283" t="s">
        <v>590</v>
      </c>
      <c r="J2121" s="282" t="s">
        <v>156</v>
      </c>
      <c r="K2121" s="283" t="s">
        <v>3196</v>
      </c>
      <c r="L2121" s="286" t="s">
        <v>321</v>
      </c>
      <c r="M2121" s="293"/>
      <c r="N2121" s="293">
        <v>4.99</v>
      </c>
      <c r="O2121" s="287"/>
      <c r="P2121" s="287"/>
      <c r="Q2121" s="288">
        <v>15.493600000000001</v>
      </c>
      <c r="R2121" s="288">
        <v>15.5</v>
      </c>
      <c r="S2121" s="288">
        <v>-6.4000000000000003E-3</v>
      </c>
      <c r="T2121" s="288"/>
      <c r="U2121" s="288">
        <v>0</v>
      </c>
      <c r="V2121" s="289">
        <v>15.5</v>
      </c>
      <c r="W2121" s="289">
        <v>0</v>
      </c>
      <c r="X2121" s="288">
        <v>3.104929859719439</v>
      </c>
      <c r="Y2121" s="288">
        <v>3.1062124248496992</v>
      </c>
      <c r="Z2121" s="288">
        <v>-1.282565130260521E-3</v>
      </c>
      <c r="AA2121" s="288">
        <v>0</v>
      </c>
      <c r="AB2121" s="288">
        <v>0</v>
      </c>
      <c r="AC2121" s="289">
        <v>3.1062124248496992</v>
      </c>
      <c r="AD2121" s="289">
        <v>0</v>
      </c>
    </row>
    <row r="2122" spans="1:30" ht="15" customHeight="1" x14ac:dyDescent="0.25">
      <c r="A2122" s="282" t="s">
        <v>3172</v>
      </c>
      <c r="B2122" s="282" t="s">
        <v>3172</v>
      </c>
      <c r="C2122" s="282" t="s">
        <v>3173</v>
      </c>
      <c r="D2122" s="286" t="s">
        <v>3206</v>
      </c>
      <c r="E2122" s="403">
        <v>45135</v>
      </c>
      <c r="F2122" s="403">
        <v>46962</v>
      </c>
      <c r="G2122" s="283" t="s">
        <v>154</v>
      </c>
      <c r="H2122" s="283" t="s">
        <v>3195</v>
      </c>
      <c r="I2122" s="283" t="s">
        <v>590</v>
      </c>
      <c r="J2122" s="282" t="s">
        <v>156</v>
      </c>
      <c r="K2122" s="283" t="s">
        <v>3196</v>
      </c>
      <c r="L2122" s="286" t="s">
        <v>321</v>
      </c>
      <c r="M2122" s="293"/>
      <c r="N2122" s="293">
        <v>4.13</v>
      </c>
      <c r="O2122" s="287"/>
      <c r="P2122" s="287"/>
      <c r="Q2122" s="288">
        <v>12.69478</v>
      </c>
      <c r="R2122" s="288">
        <v>12.7</v>
      </c>
      <c r="S2122" s="288">
        <v>-5.2199999999999998E-3</v>
      </c>
      <c r="T2122" s="288"/>
      <c r="U2122" s="288">
        <v>0</v>
      </c>
      <c r="V2122" s="289">
        <v>12.7</v>
      </c>
      <c r="W2122" s="289">
        <v>0</v>
      </c>
      <c r="X2122" s="288">
        <v>3.0737966101694916</v>
      </c>
      <c r="Y2122" s="288">
        <v>3.0750605326876514</v>
      </c>
      <c r="Z2122" s="288">
        <v>-1.2639225181598063E-3</v>
      </c>
      <c r="AA2122" s="288">
        <v>0</v>
      </c>
      <c r="AB2122" s="288">
        <v>0</v>
      </c>
      <c r="AC2122" s="289">
        <v>3.0750605326876514</v>
      </c>
      <c r="AD2122" s="289">
        <v>0</v>
      </c>
    </row>
    <row r="2123" spans="1:30" ht="15" customHeight="1" x14ac:dyDescent="0.25">
      <c r="A2123" s="282" t="s">
        <v>3172</v>
      </c>
      <c r="B2123" s="282" t="s">
        <v>3172</v>
      </c>
      <c r="C2123" s="282" t="s">
        <v>3173</v>
      </c>
      <c r="D2123" s="286" t="s">
        <v>3207</v>
      </c>
      <c r="E2123" s="403">
        <v>45135</v>
      </c>
      <c r="F2123" s="403">
        <v>46962</v>
      </c>
      <c r="G2123" s="283" t="s">
        <v>154</v>
      </c>
      <c r="H2123" s="283" t="s">
        <v>3195</v>
      </c>
      <c r="I2123" s="283" t="s">
        <v>590</v>
      </c>
      <c r="J2123" s="282" t="s">
        <v>156</v>
      </c>
      <c r="K2123" s="283" t="s">
        <v>3196</v>
      </c>
      <c r="L2123" s="286" t="s">
        <v>321</v>
      </c>
      <c r="M2123" s="293"/>
      <c r="N2123" s="293">
        <v>4.5199999999999996</v>
      </c>
      <c r="O2123" s="287"/>
      <c r="P2123" s="287"/>
      <c r="Q2123" s="288">
        <v>13.695089999999999</v>
      </c>
      <c r="R2123" s="288">
        <v>13.7</v>
      </c>
      <c r="S2123" s="288">
        <v>-4.9100000000000003E-3</v>
      </c>
      <c r="T2123" s="288"/>
      <c r="U2123" s="288">
        <v>0</v>
      </c>
      <c r="V2123" s="289">
        <v>13.7</v>
      </c>
      <c r="W2123" s="289">
        <v>0</v>
      </c>
      <c r="X2123" s="288">
        <v>3.0298871681415931</v>
      </c>
      <c r="Y2123" s="288">
        <v>3.0309734513274336</v>
      </c>
      <c r="Z2123" s="288">
        <v>-1.0862831858407082E-3</v>
      </c>
      <c r="AA2123" s="288">
        <v>0</v>
      </c>
      <c r="AB2123" s="288">
        <v>0</v>
      </c>
      <c r="AC2123" s="289">
        <v>3.0309734513274336</v>
      </c>
      <c r="AD2123" s="289">
        <v>0</v>
      </c>
    </row>
    <row r="2124" spans="1:30" ht="15" customHeight="1" x14ac:dyDescent="0.25">
      <c r="A2124" s="282" t="s">
        <v>3172</v>
      </c>
      <c r="B2124" s="282" t="s">
        <v>3172</v>
      </c>
      <c r="C2124" s="282" t="s">
        <v>3173</v>
      </c>
      <c r="D2124" s="286" t="s">
        <v>3208</v>
      </c>
      <c r="E2124" s="403">
        <v>45135</v>
      </c>
      <c r="F2124" s="403">
        <v>46962</v>
      </c>
      <c r="G2124" s="283" t="s">
        <v>154</v>
      </c>
      <c r="H2124" s="283" t="s">
        <v>3195</v>
      </c>
      <c r="I2124" s="283" t="s">
        <v>590</v>
      </c>
      <c r="J2124" s="282" t="s">
        <v>156</v>
      </c>
      <c r="K2124" s="283" t="s">
        <v>3196</v>
      </c>
      <c r="L2124" s="286" t="s">
        <v>321</v>
      </c>
      <c r="M2124" s="293"/>
      <c r="N2124" s="293">
        <v>5.64</v>
      </c>
      <c r="O2124" s="287"/>
      <c r="P2124" s="287"/>
      <c r="Q2124" s="288">
        <v>16.594190000000001</v>
      </c>
      <c r="R2124" s="288">
        <v>16.600000000000001</v>
      </c>
      <c r="S2124" s="288">
        <v>-5.8100000000000001E-3</v>
      </c>
      <c r="T2124" s="288"/>
      <c r="U2124" s="288">
        <v>0</v>
      </c>
      <c r="V2124" s="289">
        <v>16.600000000000001</v>
      </c>
      <c r="W2124" s="289">
        <v>0</v>
      </c>
      <c r="X2124" s="288">
        <v>2.9422322695035463</v>
      </c>
      <c r="Y2124" s="288">
        <v>2.9432624113475181</v>
      </c>
      <c r="Z2124" s="288">
        <v>-1.0301418439716313E-3</v>
      </c>
      <c r="AA2124" s="288">
        <v>0</v>
      </c>
      <c r="AB2124" s="288">
        <v>0</v>
      </c>
      <c r="AC2124" s="289">
        <v>2.9432624113475181</v>
      </c>
      <c r="AD2124" s="289">
        <v>0</v>
      </c>
    </row>
    <row r="2125" spans="1:30" ht="15" customHeight="1" x14ac:dyDescent="0.25">
      <c r="A2125" s="282" t="s">
        <v>3172</v>
      </c>
      <c r="B2125" s="282" t="s">
        <v>3172</v>
      </c>
      <c r="C2125" s="282" t="s">
        <v>3173</v>
      </c>
      <c r="D2125" s="286" t="s">
        <v>3209</v>
      </c>
      <c r="E2125" s="403">
        <v>45135</v>
      </c>
      <c r="F2125" s="403">
        <v>46962</v>
      </c>
      <c r="G2125" s="283" t="s">
        <v>154</v>
      </c>
      <c r="H2125" s="283" t="s">
        <v>3195</v>
      </c>
      <c r="I2125" s="283" t="s">
        <v>590</v>
      </c>
      <c r="J2125" s="282" t="s">
        <v>156</v>
      </c>
      <c r="K2125" s="283" t="s">
        <v>3196</v>
      </c>
      <c r="L2125" s="286" t="s">
        <v>321</v>
      </c>
      <c r="M2125" s="293"/>
      <c r="N2125" s="293">
        <v>5.78</v>
      </c>
      <c r="O2125" s="287"/>
      <c r="P2125" s="287"/>
      <c r="Q2125" s="288">
        <v>17.594230000000003</v>
      </c>
      <c r="R2125" s="288">
        <v>17.600000000000001</v>
      </c>
      <c r="S2125" s="288">
        <v>-5.77E-3</v>
      </c>
      <c r="T2125" s="288"/>
      <c r="U2125" s="288">
        <v>0</v>
      </c>
      <c r="V2125" s="289">
        <v>17.600000000000001</v>
      </c>
      <c r="W2125" s="289">
        <v>0</v>
      </c>
      <c r="X2125" s="288">
        <v>3.0439844290657443</v>
      </c>
      <c r="Y2125" s="288">
        <v>3.0449826989619377</v>
      </c>
      <c r="Z2125" s="288">
        <v>-9.9826989619377152E-4</v>
      </c>
      <c r="AA2125" s="288">
        <v>0</v>
      </c>
      <c r="AB2125" s="288">
        <v>0</v>
      </c>
      <c r="AC2125" s="289">
        <v>3.0449826989619377</v>
      </c>
      <c r="AD2125" s="289">
        <v>0</v>
      </c>
    </row>
    <row r="2126" spans="1:30" ht="15" customHeight="1" x14ac:dyDescent="0.25">
      <c r="A2126" s="282" t="s">
        <v>3172</v>
      </c>
      <c r="B2126" s="282" t="s">
        <v>3172</v>
      </c>
      <c r="C2126" s="282" t="s">
        <v>3173</v>
      </c>
      <c r="D2126" s="286" t="s">
        <v>3210</v>
      </c>
      <c r="E2126" s="403">
        <v>45135</v>
      </c>
      <c r="F2126" s="403">
        <v>46962</v>
      </c>
      <c r="G2126" s="283" t="s">
        <v>154</v>
      </c>
      <c r="H2126" s="283" t="s">
        <v>3195</v>
      </c>
      <c r="I2126" s="283" t="s">
        <v>590</v>
      </c>
      <c r="J2126" s="282" t="s">
        <v>156</v>
      </c>
      <c r="K2126" s="283" t="s">
        <v>3196</v>
      </c>
      <c r="L2126" s="286" t="s">
        <v>321</v>
      </c>
      <c r="M2126" s="293"/>
      <c r="N2126" s="293">
        <v>6.03</v>
      </c>
      <c r="O2126" s="287"/>
      <c r="P2126" s="287"/>
      <c r="Q2126" s="288">
        <v>17.5945</v>
      </c>
      <c r="R2126" s="288">
        <v>17.600000000000001</v>
      </c>
      <c r="S2126" s="288">
        <v>-5.4999999999999997E-3</v>
      </c>
      <c r="T2126" s="288"/>
      <c r="U2126" s="288">
        <v>0</v>
      </c>
      <c r="V2126" s="289">
        <v>17.600000000000001</v>
      </c>
      <c r="W2126" s="289">
        <v>0</v>
      </c>
      <c r="X2126" s="288">
        <v>2.917827529021559</v>
      </c>
      <c r="Y2126" s="288">
        <v>2.9187396351575456</v>
      </c>
      <c r="Z2126" s="288">
        <v>-9.1210613598673293E-4</v>
      </c>
      <c r="AA2126" s="288">
        <v>0</v>
      </c>
      <c r="AB2126" s="288">
        <v>0</v>
      </c>
      <c r="AC2126" s="289">
        <v>2.9187396351575456</v>
      </c>
      <c r="AD2126" s="289">
        <v>0</v>
      </c>
    </row>
    <row r="2127" spans="1:30" ht="15" customHeight="1" x14ac:dyDescent="0.25">
      <c r="A2127" s="282" t="s">
        <v>3172</v>
      </c>
      <c r="B2127" s="282" t="s">
        <v>3172</v>
      </c>
      <c r="C2127" s="282" t="s">
        <v>3173</v>
      </c>
      <c r="D2127" s="286" t="s">
        <v>3211</v>
      </c>
      <c r="E2127" s="403">
        <v>45135</v>
      </c>
      <c r="F2127" s="403">
        <v>46962</v>
      </c>
      <c r="G2127" s="283" t="s">
        <v>154</v>
      </c>
      <c r="H2127" s="283" t="s">
        <v>3195</v>
      </c>
      <c r="I2127" s="283" t="s">
        <v>590</v>
      </c>
      <c r="J2127" s="282" t="s">
        <v>156</v>
      </c>
      <c r="K2127" s="283" t="s">
        <v>3196</v>
      </c>
      <c r="L2127" s="286" t="s">
        <v>321</v>
      </c>
      <c r="M2127" s="293"/>
      <c r="N2127" s="293">
        <v>6.17</v>
      </c>
      <c r="O2127" s="287"/>
      <c r="P2127" s="287"/>
      <c r="Q2127" s="288">
        <v>18.594540000000002</v>
      </c>
      <c r="R2127" s="288">
        <v>18.600000000000001</v>
      </c>
      <c r="S2127" s="288">
        <v>-5.4599999999999996E-3</v>
      </c>
      <c r="T2127" s="288"/>
      <c r="U2127" s="288">
        <v>0</v>
      </c>
      <c r="V2127" s="289">
        <v>18.600000000000001</v>
      </c>
      <c r="W2127" s="289">
        <v>0</v>
      </c>
      <c r="X2127" s="288">
        <v>3.0137017828200978</v>
      </c>
      <c r="Y2127" s="288">
        <v>3.0145867098865482</v>
      </c>
      <c r="Z2127" s="288">
        <v>-8.8492706645056725E-4</v>
      </c>
      <c r="AA2127" s="288">
        <v>0</v>
      </c>
      <c r="AB2127" s="288">
        <v>0</v>
      </c>
      <c r="AC2127" s="289">
        <v>3.0145867098865482</v>
      </c>
      <c r="AD2127" s="289">
        <v>0</v>
      </c>
    </row>
    <row r="2128" spans="1:30" ht="15" customHeight="1" x14ac:dyDescent="0.25">
      <c r="A2128" s="282" t="s">
        <v>3172</v>
      </c>
      <c r="B2128" s="282" t="s">
        <v>3172</v>
      </c>
      <c r="C2128" s="282" t="s">
        <v>3173</v>
      </c>
      <c r="D2128" s="286" t="s">
        <v>3212</v>
      </c>
      <c r="E2128" s="403">
        <v>45076</v>
      </c>
      <c r="F2128" s="403">
        <v>46903</v>
      </c>
      <c r="G2128" s="283" t="s">
        <v>154</v>
      </c>
      <c r="H2128" s="283" t="s">
        <v>3175</v>
      </c>
      <c r="I2128" s="283" t="s">
        <v>590</v>
      </c>
      <c r="J2128" s="282" t="s">
        <v>156</v>
      </c>
      <c r="K2128" s="283" t="s">
        <v>3176</v>
      </c>
      <c r="L2128" s="286" t="s">
        <v>321</v>
      </c>
      <c r="M2128" s="293"/>
      <c r="N2128" s="293">
        <v>2.4900000000000002</v>
      </c>
      <c r="O2128" s="287"/>
      <c r="P2128" s="287"/>
      <c r="Q2128" s="288">
        <v>8.39771</v>
      </c>
      <c r="R2128" s="288">
        <v>8.4</v>
      </c>
      <c r="S2128" s="288">
        <v>-2.2899999999999999E-3</v>
      </c>
      <c r="T2128" s="288"/>
      <c r="U2128" s="288">
        <v>0</v>
      </c>
      <c r="V2128" s="289">
        <v>8.4</v>
      </c>
      <c r="W2128" s="289">
        <v>0</v>
      </c>
      <c r="X2128" s="288">
        <v>3.3725742971887547</v>
      </c>
      <c r="Y2128" s="288">
        <v>3.3734939759036142</v>
      </c>
      <c r="Z2128" s="288">
        <v>-9.1967871485943765E-4</v>
      </c>
      <c r="AA2128" s="288">
        <v>0</v>
      </c>
      <c r="AB2128" s="288">
        <v>0</v>
      </c>
      <c r="AC2128" s="289">
        <v>3.3734939759036142</v>
      </c>
      <c r="AD2128" s="289">
        <v>0</v>
      </c>
    </row>
    <row r="2129" spans="1:30" ht="15" customHeight="1" x14ac:dyDescent="0.25">
      <c r="A2129" s="282" t="s">
        <v>3172</v>
      </c>
      <c r="B2129" s="282" t="s">
        <v>3172</v>
      </c>
      <c r="C2129" s="282" t="s">
        <v>3173</v>
      </c>
      <c r="D2129" s="286" t="s">
        <v>3213</v>
      </c>
      <c r="E2129" s="403">
        <v>45135</v>
      </c>
      <c r="F2129" s="403">
        <v>46962</v>
      </c>
      <c r="G2129" s="283" t="s">
        <v>154</v>
      </c>
      <c r="H2129" s="283" t="s">
        <v>3195</v>
      </c>
      <c r="I2129" s="283" t="s">
        <v>590</v>
      </c>
      <c r="J2129" s="282" t="s">
        <v>156</v>
      </c>
      <c r="K2129" s="283" t="s">
        <v>3196</v>
      </c>
      <c r="L2129" s="286" t="s">
        <v>321</v>
      </c>
      <c r="M2129" s="293"/>
      <c r="N2129" s="293">
        <v>6.56</v>
      </c>
      <c r="O2129" s="287"/>
      <c r="P2129" s="287"/>
      <c r="Q2129" s="288">
        <v>19.594850000000001</v>
      </c>
      <c r="R2129" s="288">
        <v>19.600000000000001</v>
      </c>
      <c r="S2129" s="288">
        <v>-5.1500000000000001E-3</v>
      </c>
      <c r="T2129" s="288"/>
      <c r="U2129" s="288">
        <v>0</v>
      </c>
      <c r="V2129" s="289">
        <v>19.600000000000001</v>
      </c>
      <c r="W2129" s="289">
        <v>0</v>
      </c>
      <c r="X2129" s="288">
        <v>2.987019817073171</v>
      </c>
      <c r="Y2129" s="288">
        <v>2.9878048780487809</v>
      </c>
      <c r="Z2129" s="288">
        <v>-7.8506097560975614E-4</v>
      </c>
      <c r="AA2129" s="288">
        <v>0</v>
      </c>
      <c r="AB2129" s="288">
        <v>0</v>
      </c>
      <c r="AC2129" s="289">
        <v>2.9878048780487809</v>
      </c>
      <c r="AD2129" s="289">
        <v>0</v>
      </c>
    </row>
    <row r="2130" spans="1:30" ht="15" customHeight="1" x14ac:dyDescent="0.25">
      <c r="A2130" s="282" t="s">
        <v>3172</v>
      </c>
      <c r="B2130" s="282" t="s">
        <v>3172</v>
      </c>
      <c r="C2130" s="282" t="s">
        <v>3173</v>
      </c>
      <c r="D2130" s="286" t="s">
        <v>3214</v>
      </c>
      <c r="E2130" s="403">
        <v>45135</v>
      </c>
      <c r="F2130" s="403">
        <v>46962</v>
      </c>
      <c r="G2130" s="283" t="s">
        <v>154</v>
      </c>
      <c r="H2130" s="283" t="s">
        <v>3195</v>
      </c>
      <c r="I2130" s="283" t="s">
        <v>590</v>
      </c>
      <c r="J2130" s="282" t="s">
        <v>156</v>
      </c>
      <c r="K2130" s="283" t="s">
        <v>3196</v>
      </c>
      <c r="L2130" s="286" t="s">
        <v>321</v>
      </c>
      <c r="M2130" s="293"/>
      <c r="N2130" s="293">
        <v>6.95</v>
      </c>
      <c r="O2130" s="287"/>
      <c r="P2130" s="287"/>
      <c r="Q2130" s="288">
        <v>20.595170000000003</v>
      </c>
      <c r="R2130" s="288">
        <v>20.6</v>
      </c>
      <c r="S2130" s="288">
        <v>-4.8300000000000001E-3</v>
      </c>
      <c r="T2130" s="288"/>
      <c r="U2130" s="288">
        <v>0</v>
      </c>
      <c r="V2130" s="289">
        <v>20.6</v>
      </c>
      <c r="W2130" s="289">
        <v>0</v>
      </c>
      <c r="X2130" s="288">
        <v>2.9633338129496405</v>
      </c>
      <c r="Y2130" s="288">
        <v>2.9640287769784175</v>
      </c>
      <c r="Z2130" s="288">
        <v>-6.9496402877697837E-4</v>
      </c>
      <c r="AA2130" s="288">
        <v>0</v>
      </c>
      <c r="AB2130" s="288">
        <v>0</v>
      </c>
      <c r="AC2130" s="289">
        <v>2.9640287769784175</v>
      </c>
      <c r="AD2130" s="289">
        <v>0</v>
      </c>
    </row>
    <row r="2131" spans="1:30" ht="15" customHeight="1" x14ac:dyDescent="0.25">
      <c r="A2131" s="282" t="s">
        <v>3172</v>
      </c>
      <c r="B2131" s="282" t="s">
        <v>3172</v>
      </c>
      <c r="C2131" s="282" t="s">
        <v>3173</v>
      </c>
      <c r="D2131" s="286" t="s">
        <v>3215</v>
      </c>
      <c r="E2131" s="403">
        <v>45076</v>
      </c>
      <c r="F2131" s="403">
        <v>46903</v>
      </c>
      <c r="G2131" s="283" t="s">
        <v>154</v>
      </c>
      <c r="H2131" s="283" t="s">
        <v>3175</v>
      </c>
      <c r="I2131" s="283" t="s">
        <v>590</v>
      </c>
      <c r="J2131" s="282" t="s">
        <v>156</v>
      </c>
      <c r="K2131" s="283" t="s">
        <v>3176</v>
      </c>
      <c r="L2131" s="286" t="s">
        <v>321</v>
      </c>
      <c r="M2131" s="293"/>
      <c r="N2131" s="293">
        <v>2.88</v>
      </c>
      <c r="O2131" s="287"/>
      <c r="P2131" s="287"/>
      <c r="Q2131" s="288">
        <v>9.4280200000000001</v>
      </c>
      <c r="R2131" s="288">
        <v>9.43</v>
      </c>
      <c r="S2131" s="288">
        <v>-1.98E-3</v>
      </c>
      <c r="T2131" s="288"/>
      <c r="U2131" s="288">
        <v>0</v>
      </c>
      <c r="V2131" s="289">
        <v>9.43</v>
      </c>
      <c r="W2131" s="289">
        <v>0</v>
      </c>
      <c r="X2131" s="288">
        <v>3.2736180555555556</v>
      </c>
      <c r="Y2131" s="288">
        <v>3.2743055555555554</v>
      </c>
      <c r="Z2131" s="288">
        <v>-6.8750000000000007E-4</v>
      </c>
      <c r="AA2131" s="288">
        <v>0</v>
      </c>
      <c r="AB2131" s="288">
        <v>0</v>
      </c>
      <c r="AC2131" s="289">
        <v>3.2743055555555554</v>
      </c>
      <c r="AD2131" s="289">
        <v>0</v>
      </c>
    </row>
    <row r="2132" spans="1:30" ht="15" customHeight="1" x14ac:dyDescent="0.25">
      <c r="A2132" s="282" t="s">
        <v>3172</v>
      </c>
      <c r="B2132" s="282" t="s">
        <v>3172</v>
      </c>
      <c r="C2132" s="282" t="s">
        <v>3173</v>
      </c>
      <c r="D2132" s="286" t="s">
        <v>3216</v>
      </c>
      <c r="E2132" s="403">
        <v>45135</v>
      </c>
      <c r="F2132" s="403">
        <v>46962</v>
      </c>
      <c r="G2132" s="283" t="s">
        <v>154</v>
      </c>
      <c r="H2132" s="283" t="s">
        <v>3195</v>
      </c>
      <c r="I2132" s="283" t="s">
        <v>590</v>
      </c>
      <c r="J2132" s="282" t="s">
        <v>156</v>
      </c>
      <c r="K2132" s="283" t="s">
        <v>3196</v>
      </c>
      <c r="L2132" s="286" t="s">
        <v>321</v>
      </c>
      <c r="M2132" s="293"/>
      <c r="N2132" s="293">
        <v>7.35</v>
      </c>
      <c r="O2132" s="287"/>
      <c r="P2132" s="287"/>
      <c r="Q2132" s="288">
        <v>21.69548</v>
      </c>
      <c r="R2132" s="288">
        <v>21.7</v>
      </c>
      <c r="S2132" s="288">
        <v>-4.5199999999999997E-3</v>
      </c>
      <c r="T2132" s="288"/>
      <c r="U2132" s="288">
        <v>0</v>
      </c>
      <c r="V2132" s="289">
        <v>21.7</v>
      </c>
      <c r="W2132" s="289">
        <v>0</v>
      </c>
      <c r="X2132" s="288">
        <v>2.951765986394558</v>
      </c>
      <c r="Y2132" s="288">
        <v>2.9523809523809526</v>
      </c>
      <c r="Z2132" s="288">
        <v>-6.1496598639455781E-4</v>
      </c>
      <c r="AA2132" s="288">
        <v>0</v>
      </c>
      <c r="AB2132" s="288">
        <v>0</v>
      </c>
      <c r="AC2132" s="289">
        <v>2.9523809523809526</v>
      </c>
      <c r="AD2132" s="289">
        <v>0</v>
      </c>
    </row>
    <row r="2133" spans="1:30" ht="15" customHeight="1" x14ac:dyDescent="0.25">
      <c r="A2133" s="282" t="s">
        <v>3172</v>
      </c>
      <c r="B2133" s="282" t="s">
        <v>3172</v>
      </c>
      <c r="C2133" s="282" t="s">
        <v>3173</v>
      </c>
      <c r="D2133" s="286" t="s">
        <v>3217</v>
      </c>
      <c r="E2133" s="403">
        <v>45135</v>
      </c>
      <c r="F2133" s="403">
        <v>46962</v>
      </c>
      <c r="G2133" s="283" t="s">
        <v>154</v>
      </c>
      <c r="H2133" s="283" t="s">
        <v>3195</v>
      </c>
      <c r="I2133" s="283" t="s">
        <v>590</v>
      </c>
      <c r="J2133" s="282" t="s">
        <v>156</v>
      </c>
      <c r="K2133" s="283" t="s">
        <v>3196</v>
      </c>
      <c r="L2133" s="286" t="s">
        <v>321</v>
      </c>
      <c r="M2133" s="293"/>
      <c r="N2133" s="293">
        <v>7.74</v>
      </c>
      <c r="O2133" s="287"/>
      <c r="P2133" s="287"/>
      <c r="Q2133" s="288">
        <v>22.695789999999999</v>
      </c>
      <c r="R2133" s="288">
        <v>22.7</v>
      </c>
      <c r="S2133" s="288">
        <v>-4.2100000000000002E-3</v>
      </c>
      <c r="T2133" s="288"/>
      <c r="U2133" s="288">
        <v>0</v>
      </c>
      <c r="V2133" s="289">
        <v>22.7</v>
      </c>
      <c r="W2133" s="289">
        <v>0</v>
      </c>
      <c r="X2133" s="288">
        <v>2.9322726098191212</v>
      </c>
      <c r="Y2133" s="288">
        <v>2.9328165374677</v>
      </c>
      <c r="Z2133" s="288">
        <v>-5.4392764857881136E-4</v>
      </c>
      <c r="AA2133" s="288">
        <v>0</v>
      </c>
      <c r="AB2133" s="288">
        <v>0</v>
      </c>
      <c r="AC2133" s="289">
        <v>2.9328165374677</v>
      </c>
      <c r="AD2133" s="289">
        <v>0</v>
      </c>
    </row>
    <row r="2134" spans="1:30" ht="15" customHeight="1" x14ac:dyDescent="0.25">
      <c r="A2134" s="282" t="s">
        <v>3172</v>
      </c>
      <c r="B2134" s="282" t="s">
        <v>3172</v>
      </c>
      <c r="C2134" s="282" t="s">
        <v>3173</v>
      </c>
      <c r="D2134" s="286" t="s">
        <v>3218</v>
      </c>
      <c r="E2134" s="403">
        <v>45076</v>
      </c>
      <c r="F2134" s="403">
        <v>46903</v>
      </c>
      <c r="G2134" s="283" t="s">
        <v>154</v>
      </c>
      <c r="H2134" s="283" t="s">
        <v>3175</v>
      </c>
      <c r="I2134" s="283" t="s">
        <v>590</v>
      </c>
      <c r="J2134" s="282" t="s">
        <v>156</v>
      </c>
      <c r="K2134" s="283" t="s">
        <v>3176</v>
      </c>
      <c r="L2134" s="286" t="s">
        <v>321</v>
      </c>
      <c r="M2134" s="293"/>
      <c r="N2134" s="293">
        <v>3.12</v>
      </c>
      <c r="O2134" s="287"/>
      <c r="P2134" s="287"/>
      <c r="Q2134" s="288">
        <v>9.9982100000000003</v>
      </c>
      <c r="R2134" s="288">
        <v>10</v>
      </c>
      <c r="S2134" s="288">
        <v>-1.7899999999999999E-3</v>
      </c>
      <c r="T2134" s="288"/>
      <c r="U2134" s="288">
        <v>0</v>
      </c>
      <c r="V2134" s="289">
        <v>10</v>
      </c>
      <c r="W2134" s="289">
        <v>0</v>
      </c>
      <c r="X2134" s="288">
        <v>3.2045544871794873</v>
      </c>
      <c r="Y2134" s="288">
        <v>3.2051282051282048</v>
      </c>
      <c r="Z2134" s="288">
        <v>-5.7371794871794867E-4</v>
      </c>
      <c r="AA2134" s="288">
        <v>0</v>
      </c>
      <c r="AB2134" s="288">
        <v>0</v>
      </c>
      <c r="AC2134" s="289">
        <v>3.2051282051282048</v>
      </c>
      <c r="AD2134" s="289">
        <v>0</v>
      </c>
    </row>
    <row r="2135" spans="1:30" ht="15" customHeight="1" x14ac:dyDescent="0.25">
      <c r="A2135" s="282" t="s">
        <v>3172</v>
      </c>
      <c r="B2135" s="282" t="s">
        <v>3172</v>
      </c>
      <c r="C2135" s="282" t="s">
        <v>3173</v>
      </c>
      <c r="D2135" s="286" t="s">
        <v>3219</v>
      </c>
      <c r="E2135" s="403">
        <v>45135</v>
      </c>
      <c r="F2135" s="403">
        <v>46962</v>
      </c>
      <c r="G2135" s="283" t="s">
        <v>154</v>
      </c>
      <c r="H2135" s="283" t="s">
        <v>3195</v>
      </c>
      <c r="I2135" s="283" t="s">
        <v>590</v>
      </c>
      <c r="J2135" s="282" t="s">
        <v>156</v>
      </c>
      <c r="K2135" s="283" t="s">
        <v>3196</v>
      </c>
      <c r="L2135" s="286" t="s">
        <v>321</v>
      </c>
      <c r="M2135" s="293"/>
      <c r="N2135" s="293">
        <v>7.99</v>
      </c>
      <c r="O2135" s="287"/>
      <c r="P2135" s="287"/>
      <c r="Q2135" s="288">
        <v>22.696059999999999</v>
      </c>
      <c r="R2135" s="288">
        <v>22.7</v>
      </c>
      <c r="S2135" s="288">
        <v>-3.9399999999999999E-3</v>
      </c>
      <c r="T2135" s="288"/>
      <c r="U2135" s="288">
        <v>0</v>
      </c>
      <c r="V2135" s="289">
        <v>22.7</v>
      </c>
      <c r="W2135" s="289">
        <v>0</v>
      </c>
      <c r="X2135" s="288">
        <v>2.8405581977471837</v>
      </c>
      <c r="Y2135" s="288">
        <v>2.8410513141426783</v>
      </c>
      <c r="Z2135" s="288">
        <v>-4.9311639549436798E-4</v>
      </c>
      <c r="AA2135" s="288">
        <v>0</v>
      </c>
      <c r="AB2135" s="288">
        <v>0</v>
      </c>
      <c r="AC2135" s="289">
        <v>2.8410513141426783</v>
      </c>
      <c r="AD2135" s="289">
        <v>0</v>
      </c>
    </row>
    <row r="2136" spans="1:30" ht="15" customHeight="1" x14ac:dyDescent="0.25">
      <c r="A2136" s="282" t="s">
        <v>3172</v>
      </c>
      <c r="B2136" s="282" t="s">
        <v>3172</v>
      </c>
      <c r="C2136" s="282" t="s">
        <v>3173</v>
      </c>
      <c r="D2136" s="286" t="s">
        <v>3220</v>
      </c>
      <c r="E2136" s="403">
        <v>45135</v>
      </c>
      <c r="F2136" s="403">
        <v>46962</v>
      </c>
      <c r="G2136" s="283" t="s">
        <v>154</v>
      </c>
      <c r="H2136" s="283" t="s">
        <v>3195</v>
      </c>
      <c r="I2136" s="283" t="s">
        <v>590</v>
      </c>
      <c r="J2136" s="282" t="s">
        <v>156</v>
      </c>
      <c r="K2136" s="283" t="s">
        <v>3196</v>
      </c>
      <c r="L2136" s="286" t="s">
        <v>321</v>
      </c>
      <c r="M2136" s="293"/>
      <c r="N2136" s="293">
        <v>8.1300000000000008</v>
      </c>
      <c r="O2136" s="287"/>
      <c r="P2136" s="287"/>
      <c r="Q2136" s="288">
        <v>23.696110000000001</v>
      </c>
      <c r="R2136" s="288">
        <v>23.7</v>
      </c>
      <c r="S2136" s="288">
        <v>-3.8899999999999998E-3</v>
      </c>
      <c r="T2136" s="288"/>
      <c r="U2136" s="288">
        <v>0</v>
      </c>
      <c r="V2136" s="289">
        <v>23.7</v>
      </c>
      <c r="W2136" s="289">
        <v>0</v>
      </c>
      <c r="X2136" s="288">
        <v>2.9146506765067648</v>
      </c>
      <c r="Y2136" s="288">
        <v>2.9151291512915125</v>
      </c>
      <c r="Z2136" s="288">
        <v>-4.7847478474784743E-4</v>
      </c>
      <c r="AA2136" s="288">
        <v>0</v>
      </c>
      <c r="AB2136" s="288">
        <v>0</v>
      </c>
      <c r="AC2136" s="289">
        <v>2.9151291512915125</v>
      </c>
      <c r="AD2136" s="289">
        <v>0</v>
      </c>
    </row>
    <row r="2137" spans="1:30" ht="15" customHeight="1" x14ac:dyDescent="0.25">
      <c r="A2137" s="282" t="s">
        <v>3172</v>
      </c>
      <c r="B2137" s="282" t="s">
        <v>3172</v>
      </c>
      <c r="C2137" s="282" t="s">
        <v>3173</v>
      </c>
      <c r="D2137" s="286" t="s">
        <v>3221</v>
      </c>
      <c r="E2137" s="403">
        <v>45076</v>
      </c>
      <c r="F2137" s="403">
        <v>46903</v>
      </c>
      <c r="G2137" s="283" t="s">
        <v>154</v>
      </c>
      <c r="H2137" s="283" t="s">
        <v>3175</v>
      </c>
      <c r="I2137" s="283" t="s">
        <v>590</v>
      </c>
      <c r="J2137" s="282" t="s">
        <v>156</v>
      </c>
      <c r="K2137" s="283" t="s">
        <v>3176</v>
      </c>
      <c r="L2137" s="286" t="s">
        <v>321</v>
      </c>
      <c r="M2137" s="293"/>
      <c r="N2137" s="293">
        <v>3.27</v>
      </c>
      <c r="O2137" s="287"/>
      <c r="P2137" s="287"/>
      <c r="Q2137" s="288">
        <v>10.498329999999999</v>
      </c>
      <c r="R2137" s="288">
        <v>10.5</v>
      </c>
      <c r="S2137" s="288">
        <v>-1.67E-3</v>
      </c>
      <c r="T2137" s="288"/>
      <c r="U2137" s="288">
        <v>0</v>
      </c>
      <c r="V2137" s="289">
        <v>10.5</v>
      </c>
      <c r="W2137" s="289">
        <v>0</v>
      </c>
      <c r="X2137" s="288">
        <v>3.210498470948012</v>
      </c>
      <c r="Y2137" s="288">
        <v>3.2110091743119265</v>
      </c>
      <c r="Z2137" s="288">
        <v>-5.1070336391437308E-4</v>
      </c>
      <c r="AA2137" s="288">
        <v>0</v>
      </c>
      <c r="AB2137" s="288">
        <v>0</v>
      </c>
      <c r="AC2137" s="289">
        <v>3.2110091743119265</v>
      </c>
      <c r="AD2137" s="289">
        <v>0</v>
      </c>
    </row>
    <row r="2138" spans="1:30" ht="15" customHeight="1" x14ac:dyDescent="0.25">
      <c r="A2138" s="282" t="s">
        <v>3172</v>
      </c>
      <c r="B2138" s="282" t="s">
        <v>3172</v>
      </c>
      <c r="C2138" s="282" t="s">
        <v>3173</v>
      </c>
      <c r="D2138" s="286" t="s">
        <v>3222</v>
      </c>
      <c r="E2138" s="403">
        <v>45076</v>
      </c>
      <c r="F2138" s="403">
        <v>46903</v>
      </c>
      <c r="G2138" s="283" t="s">
        <v>154</v>
      </c>
      <c r="H2138" s="283" t="s">
        <v>3175</v>
      </c>
      <c r="I2138" s="283" t="s">
        <v>590</v>
      </c>
      <c r="J2138" s="282" t="s">
        <v>156</v>
      </c>
      <c r="K2138" s="283" t="s">
        <v>3176</v>
      </c>
      <c r="L2138" s="286" t="s">
        <v>321</v>
      </c>
      <c r="M2138" s="293"/>
      <c r="N2138" s="293">
        <v>3.43</v>
      </c>
      <c r="O2138" s="287"/>
      <c r="P2138" s="287"/>
      <c r="Q2138" s="288">
        <v>10.89846</v>
      </c>
      <c r="R2138" s="288">
        <v>10.9</v>
      </c>
      <c r="S2138" s="288">
        <v>-1.5399999999999999E-3</v>
      </c>
      <c r="T2138" s="288"/>
      <c r="U2138" s="288">
        <v>0</v>
      </c>
      <c r="V2138" s="289">
        <v>10.9</v>
      </c>
      <c r="W2138" s="289">
        <v>0</v>
      </c>
      <c r="X2138" s="288">
        <v>3.1773935860058309</v>
      </c>
      <c r="Y2138" s="288">
        <v>3.1778425655976674</v>
      </c>
      <c r="Z2138" s="288">
        <v>-4.4897959183673463E-4</v>
      </c>
      <c r="AA2138" s="288">
        <v>0</v>
      </c>
      <c r="AB2138" s="288">
        <v>0</v>
      </c>
      <c r="AC2138" s="289">
        <v>3.1778425655976674</v>
      </c>
      <c r="AD2138" s="289">
        <v>0</v>
      </c>
    </row>
    <row r="2139" spans="1:30" ht="15" customHeight="1" x14ac:dyDescent="0.25">
      <c r="A2139" s="282" t="s">
        <v>3172</v>
      </c>
      <c r="B2139" s="282" t="s">
        <v>3172</v>
      </c>
      <c r="C2139" s="282" t="s">
        <v>3173</v>
      </c>
      <c r="D2139" s="286" t="s">
        <v>3223</v>
      </c>
      <c r="E2139" s="403">
        <v>45135</v>
      </c>
      <c r="F2139" s="403">
        <v>46962</v>
      </c>
      <c r="G2139" s="283" t="s">
        <v>154</v>
      </c>
      <c r="H2139" s="283" t="s">
        <v>3195</v>
      </c>
      <c r="I2139" s="283" t="s">
        <v>590</v>
      </c>
      <c r="J2139" s="282" t="s">
        <v>156</v>
      </c>
      <c r="K2139" s="283" t="s">
        <v>3196</v>
      </c>
      <c r="L2139" s="286" t="s">
        <v>321</v>
      </c>
      <c r="M2139" s="293"/>
      <c r="N2139" s="293">
        <v>8.92</v>
      </c>
      <c r="O2139" s="287"/>
      <c r="P2139" s="287"/>
      <c r="Q2139" s="288">
        <v>25.79673</v>
      </c>
      <c r="R2139" s="288">
        <v>25.8</v>
      </c>
      <c r="S2139" s="288">
        <v>-3.2699999999999999E-3</v>
      </c>
      <c r="T2139" s="288"/>
      <c r="U2139" s="288">
        <v>0</v>
      </c>
      <c r="V2139" s="289">
        <v>25.8</v>
      </c>
      <c r="W2139" s="289">
        <v>0</v>
      </c>
      <c r="X2139" s="288">
        <v>2.8920100896860985</v>
      </c>
      <c r="Y2139" s="288">
        <v>2.8923766816143499</v>
      </c>
      <c r="Z2139" s="288">
        <v>-3.6659192825112108E-4</v>
      </c>
      <c r="AA2139" s="288">
        <v>0</v>
      </c>
      <c r="AB2139" s="288">
        <v>0</v>
      </c>
      <c r="AC2139" s="289">
        <v>2.8923766816143499</v>
      </c>
      <c r="AD2139" s="289">
        <v>0</v>
      </c>
    </row>
    <row r="2140" spans="1:30" ht="15" customHeight="1" x14ac:dyDescent="0.25">
      <c r="A2140" s="282" t="s">
        <v>3172</v>
      </c>
      <c r="B2140" s="282" t="s">
        <v>3172</v>
      </c>
      <c r="C2140" s="282" t="s">
        <v>3173</v>
      </c>
      <c r="D2140" s="286" t="s">
        <v>3224</v>
      </c>
      <c r="E2140" s="403">
        <v>45135</v>
      </c>
      <c r="F2140" s="403">
        <v>46962</v>
      </c>
      <c r="G2140" s="283" t="s">
        <v>154</v>
      </c>
      <c r="H2140" s="283" t="s">
        <v>3195</v>
      </c>
      <c r="I2140" s="283" t="s">
        <v>590</v>
      </c>
      <c r="J2140" s="282" t="s">
        <v>156</v>
      </c>
      <c r="K2140" s="283" t="s">
        <v>3196</v>
      </c>
      <c r="L2140" s="286" t="s">
        <v>321</v>
      </c>
      <c r="M2140" s="293"/>
      <c r="N2140" s="293">
        <v>9.31</v>
      </c>
      <c r="O2140" s="287"/>
      <c r="P2140" s="287"/>
      <c r="Q2140" s="288">
        <v>26.797039999999999</v>
      </c>
      <c r="R2140" s="288">
        <v>26.8</v>
      </c>
      <c r="S2140" s="288">
        <v>-2.96E-3</v>
      </c>
      <c r="T2140" s="288"/>
      <c r="U2140" s="288">
        <v>0</v>
      </c>
      <c r="V2140" s="289">
        <v>26.8</v>
      </c>
      <c r="W2140" s="289">
        <v>0</v>
      </c>
      <c r="X2140" s="288">
        <v>2.8783071965628353</v>
      </c>
      <c r="Y2140" s="288">
        <v>2.8786251342642317</v>
      </c>
      <c r="Z2140" s="288">
        <v>-3.1793770139634797E-4</v>
      </c>
      <c r="AA2140" s="288">
        <v>0</v>
      </c>
      <c r="AB2140" s="288">
        <v>0</v>
      </c>
      <c r="AC2140" s="289">
        <v>2.8786251342642317</v>
      </c>
      <c r="AD2140" s="289">
        <v>0</v>
      </c>
    </row>
    <row r="2141" spans="1:30" ht="15" customHeight="1" x14ac:dyDescent="0.25">
      <c r="A2141" s="282" t="s">
        <v>3172</v>
      </c>
      <c r="B2141" s="282" t="s">
        <v>3172</v>
      </c>
      <c r="C2141" s="282" t="s">
        <v>3173</v>
      </c>
      <c r="D2141" s="286" t="s">
        <v>3225</v>
      </c>
      <c r="E2141" s="403">
        <v>45076</v>
      </c>
      <c r="F2141" s="403">
        <v>46903</v>
      </c>
      <c r="G2141" s="283" t="s">
        <v>154</v>
      </c>
      <c r="H2141" s="283" t="s">
        <v>3175</v>
      </c>
      <c r="I2141" s="283" t="s">
        <v>590</v>
      </c>
      <c r="J2141" s="282" t="s">
        <v>156</v>
      </c>
      <c r="K2141" s="283" t="s">
        <v>3176</v>
      </c>
      <c r="L2141" s="286" t="s">
        <v>321</v>
      </c>
      <c r="M2141" s="293"/>
      <c r="N2141" s="293">
        <v>3.9</v>
      </c>
      <c r="O2141" s="287"/>
      <c r="P2141" s="287"/>
      <c r="Q2141" s="288">
        <v>12.09883</v>
      </c>
      <c r="R2141" s="288">
        <v>12.1</v>
      </c>
      <c r="S2141" s="288">
        <v>-1.17E-3</v>
      </c>
      <c r="T2141" s="288"/>
      <c r="U2141" s="288">
        <v>0</v>
      </c>
      <c r="V2141" s="289">
        <v>12.1</v>
      </c>
      <c r="W2141" s="289">
        <v>0</v>
      </c>
      <c r="X2141" s="288">
        <v>3.1022641025641025</v>
      </c>
      <c r="Y2141" s="288">
        <v>3.1025641025641026</v>
      </c>
      <c r="Z2141" s="288">
        <v>-3.0000000000000003E-4</v>
      </c>
      <c r="AA2141" s="288">
        <v>0</v>
      </c>
      <c r="AB2141" s="288">
        <v>0</v>
      </c>
      <c r="AC2141" s="289">
        <v>3.1025641025641026</v>
      </c>
      <c r="AD2141" s="289">
        <v>0</v>
      </c>
    </row>
    <row r="2142" spans="1:30" ht="15" customHeight="1" x14ac:dyDescent="0.25">
      <c r="A2142" s="282" t="s">
        <v>3172</v>
      </c>
      <c r="B2142" s="282" t="s">
        <v>3172</v>
      </c>
      <c r="C2142" s="282" t="s">
        <v>3173</v>
      </c>
      <c r="D2142" s="286" t="s">
        <v>3226</v>
      </c>
      <c r="E2142" s="403">
        <v>45135</v>
      </c>
      <c r="F2142" s="403">
        <v>46962</v>
      </c>
      <c r="G2142" s="283" t="s">
        <v>154</v>
      </c>
      <c r="H2142" s="283" t="s">
        <v>3195</v>
      </c>
      <c r="I2142" s="283" t="s">
        <v>590</v>
      </c>
      <c r="J2142" s="282" t="s">
        <v>156</v>
      </c>
      <c r="K2142" s="283" t="s">
        <v>3196</v>
      </c>
      <c r="L2142" s="286" t="s">
        <v>321</v>
      </c>
      <c r="M2142" s="293"/>
      <c r="N2142" s="293">
        <v>9.6999999999999993</v>
      </c>
      <c r="O2142" s="287"/>
      <c r="P2142" s="287"/>
      <c r="Q2142" s="288">
        <v>27.797360000000001</v>
      </c>
      <c r="R2142" s="288">
        <v>27.8</v>
      </c>
      <c r="S2142" s="288">
        <v>-2.64E-3</v>
      </c>
      <c r="T2142" s="288"/>
      <c r="U2142" s="288">
        <v>0</v>
      </c>
      <c r="V2142" s="289">
        <v>27.8</v>
      </c>
      <c r="W2142" s="289">
        <v>0</v>
      </c>
      <c r="X2142" s="288">
        <v>2.8657072164948456</v>
      </c>
      <c r="Y2142" s="288">
        <v>2.8659793814432994</v>
      </c>
      <c r="Z2142" s="288">
        <v>-2.7216494845360827E-4</v>
      </c>
      <c r="AA2142" s="288">
        <v>0</v>
      </c>
      <c r="AB2142" s="288">
        <v>0</v>
      </c>
      <c r="AC2142" s="289">
        <v>2.8659793814432994</v>
      </c>
      <c r="AD2142" s="289">
        <v>0</v>
      </c>
    </row>
    <row r="2143" spans="1:30" ht="15" customHeight="1" x14ac:dyDescent="0.25">
      <c r="A2143" s="282" t="s">
        <v>3172</v>
      </c>
      <c r="B2143" s="282" t="s">
        <v>3172</v>
      </c>
      <c r="C2143" s="282" t="s">
        <v>3173</v>
      </c>
      <c r="D2143" s="286" t="s">
        <v>3227</v>
      </c>
      <c r="E2143" s="403">
        <v>45076</v>
      </c>
      <c r="F2143" s="403">
        <v>46903</v>
      </c>
      <c r="G2143" s="283" t="s">
        <v>154</v>
      </c>
      <c r="H2143" s="283" t="s">
        <v>3175</v>
      </c>
      <c r="I2143" s="283" t="s">
        <v>590</v>
      </c>
      <c r="J2143" s="282" t="s">
        <v>156</v>
      </c>
      <c r="K2143" s="283" t="s">
        <v>3176</v>
      </c>
      <c r="L2143" s="286" t="s">
        <v>321</v>
      </c>
      <c r="M2143" s="293"/>
      <c r="N2143" s="293">
        <v>4.0599999999999996</v>
      </c>
      <c r="O2143" s="287"/>
      <c r="P2143" s="287"/>
      <c r="Q2143" s="288">
        <v>12.49896</v>
      </c>
      <c r="R2143" s="288">
        <v>12.5</v>
      </c>
      <c r="S2143" s="288">
        <v>-1.0399999999999999E-3</v>
      </c>
      <c r="T2143" s="288"/>
      <c r="U2143" s="288">
        <v>0</v>
      </c>
      <c r="V2143" s="289">
        <v>12.5</v>
      </c>
      <c r="W2143" s="289">
        <v>0</v>
      </c>
      <c r="X2143" s="288">
        <v>3.0785615763546801</v>
      </c>
      <c r="Y2143" s="288">
        <v>3.0788177339901481</v>
      </c>
      <c r="Z2143" s="288">
        <v>-2.5615763546798029E-4</v>
      </c>
      <c r="AA2143" s="288">
        <v>0</v>
      </c>
      <c r="AB2143" s="288">
        <v>0</v>
      </c>
      <c r="AC2143" s="289">
        <v>3.0788177339901481</v>
      </c>
      <c r="AD2143" s="289">
        <v>0</v>
      </c>
    </row>
    <row r="2144" spans="1:30" ht="15" customHeight="1" x14ac:dyDescent="0.25">
      <c r="A2144" s="282" t="s">
        <v>3172</v>
      </c>
      <c r="B2144" s="282" t="s">
        <v>3172</v>
      </c>
      <c r="C2144" s="282" t="s">
        <v>3173</v>
      </c>
      <c r="D2144" s="286" t="s">
        <v>3228</v>
      </c>
      <c r="E2144" s="403">
        <v>45076</v>
      </c>
      <c r="F2144" s="403">
        <v>46903</v>
      </c>
      <c r="G2144" s="283" t="s">
        <v>154</v>
      </c>
      <c r="H2144" s="283" t="s">
        <v>3175</v>
      </c>
      <c r="I2144" s="283" t="s">
        <v>590</v>
      </c>
      <c r="J2144" s="282" t="s">
        <v>156</v>
      </c>
      <c r="K2144" s="283" t="s">
        <v>3176</v>
      </c>
      <c r="L2144" s="286" t="s">
        <v>321</v>
      </c>
      <c r="M2144" s="293"/>
      <c r="N2144" s="293">
        <v>4.45</v>
      </c>
      <c r="O2144" s="287"/>
      <c r="P2144" s="287"/>
      <c r="Q2144" s="288">
        <v>13.499271999999999</v>
      </c>
      <c r="R2144" s="288">
        <v>13.5</v>
      </c>
      <c r="S2144" s="288">
        <v>-7.2800000000000002E-4</v>
      </c>
      <c r="T2144" s="288"/>
      <c r="U2144" s="288">
        <v>0</v>
      </c>
      <c r="V2144" s="289">
        <v>13.5</v>
      </c>
      <c r="W2144" s="289">
        <v>0</v>
      </c>
      <c r="X2144" s="288">
        <v>3.0335442696629209</v>
      </c>
      <c r="Y2144" s="288">
        <v>3.0337078651685392</v>
      </c>
      <c r="Z2144" s="288">
        <v>-1.6359550561797752E-4</v>
      </c>
      <c r="AA2144" s="288">
        <v>0</v>
      </c>
      <c r="AB2144" s="288">
        <v>0</v>
      </c>
      <c r="AC2144" s="289">
        <v>3.0337078651685392</v>
      </c>
      <c r="AD2144" s="289">
        <v>0</v>
      </c>
    </row>
    <row r="2145" spans="1:30" ht="15" customHeight="1" x14ac:dyDescent="0.25">
      <c r="A2145" s="282" t="s">
        <v>3172</v>
      </c>
      <c r="B2145" s="282" t="s">
        <v>3172</v>
      </c>
      <c r="C2145" s="282" t="s">
        <v>3173</v>
      </c>
      <c r="D2145" s="286" t="s">
        <v>3229</v>
      </c>
      <c r="E2145" s="403">
        <v>45076</v>
      </c>
      <c r="F2145" s="403">
        <v>46903</v>
      </c>
      <c r="G2145" s="283" t="s">
        <v>154</v>
      </c>
      <c r="H2145" s="283" t="s">
        <v>3175</v>
      </c>
      <c r="I2145" s="283" t="s">
        <v>590</v>
      </c>
      <c r="J2145" s="282" t="s">
        <v>156</v>
      </c>
      <c r="K2145" s="283" t="s">
        <v>3176</v>
      </c>
      <c r="L2145" s="286" t="s">
        <v>321</v>
      </c>
      <c r="M2145" s="293"/>
      <c r="N2145" s="293">
        <v>4.84</v>
      </c>
      <c r="O2145" s="287"/>
      <c r="P2145" s="287"/>
      <c r="Q2145" s="288">
        <v>14.599584999999999</v>
      </c>
      <c r="R2145" s="288">
        <v>14.6</v>
      </c>
      <c r="S2145" s="288">
        <v>-4.15E-4</v>
      </c>
      <c r="T2145" s="288"/>
      <c r="U2145" s="288">
        <v>0</v>
      </c>
      <c r="V2145" s="289">
        <v>14.6</v>
      </c>
      <c r="W2145" s="289">
        <v>0</v>
      </c>
      <c r="X2145" s="288">
        <v>3.0164431818181816</v>
      </c>
      <c r="Y2145" s="288">
        <v>3.0165289256198347</v>
      </c>
      <c r="Z2145" s="288">
        <v>-8.5743801652892569E-5</v>
      </c>
      <c r="AA2145" s="288">
        <v>0</v>
      </c>
      <c r="AB2145" s="288">
        <v>0</v>
      </c>
      <c r="AC2145" s="289">
        <v>3.0165289256198347</v>
      </c>
      <c r="AD2145" s="289">
        <v>0</v>
      </c>
    </row>
    <row r="2146" spans="1:30" ht="15" customHeight="1" x14ac:dyDescent="0.25">
      <c r="A2146" s="282" t="s">
        <v>3172</v>
      </c>
      <c r="B2146" s="282" t="s">
        <v>3172</v>
      </c>
      <c r="C2146" s="282" t="s">
        <v>3173</v>
      </c>
      <c r="D2146" s="286" t="s">
        <v>3230</v>
      </c>
      <c r="E2146" s="403">
        <v>45135</v>
      </c>
      <c r="F2146" s="403">
        <v>46962</v>
      </c>
      <c r="G2146" s="283" t="s">
        <v>154</v>
      </c>
      <c r="H2146" s="283" t="s">
        <v>3195</v>
      </c>
      <c r="I2146" s="283" t="s">
        <v>590</v>
      </c>
      <c r="J2146" s="282" t="s">
        <v>156</v>
      </c>
      <c r="K2146" s="283" t="s">
        <v>3196</v>
      </c>
      <c r="L2146" s="286" t="s">
        <v>321</v>
      </c>
      <c r="M2146" s="293"/>
      <c r="N2146" s="293">
        <v>12.06</v>
      </c>
      <c r="O2146" s="287"/>
      <c r="P2146" s="287"/>
      <c r="Q2146" s="288">
        <v>33.999231000000002</v>
      </c>
      <c r="R2146" s="288">
        <v>34</v>
      </c>
      <c r="S2146" s="288">
        <v>-7.6900000000000004E-4</v>
      </c>
      <c r="T2146" s="288"/>
      <c r="U2146" s="288">
        <v>0</v>
      </c>
      <c r="V2146" s="289">
        <v>34</v>
      </c>
      <c r="W2146" s="289">
        <v>0</v>
      </c>
      <c r="X2146" s="288">
        <v>2.8191733830845771</v>
      </c>
      <c r="Y2146" s="288">
        <v>2.8192371475953566</v>
      </c>
      <c r="Z2146" s="288">
        <v>-6.3764510779436157E-5</v>
      </c>
      <c r="AA2146" s="288">
        <v>0</v>
      </c>
      <c r="AB2146" s="288">
        <v>0</v>
      </c>
      <c r="AC2146" s="289">
        <v>2.8192371475953566</v>
      </c>
      <c r="AD2146" s="289">
        <v>0</v>
      </c>
    </row>
    <row r="2147" spans="1:30" ht="15" customHeight="1" x14ac:dyDescent="0.25">
      <c r="A2147" s="282" t="s">
        <v>3172</v>
      </c>
      <c r="B2147" s="282" t="s">
        <v>3172</v>
      </c>
      <c r="C2147" s="282" t="s">
        <v>3173</v>
      </c>
      <c r="D2147" s="286" t="s">
        <v>3231</v>
      </c>
      <c r="E2147" s="403">
        <v>45135</v>
      </c>
      <c r="F2147" s="403">
        <v>46962</v>
      </c>
      <c r="G2147" s="283" t="s">
        <v>154</v>
      </c>
      <c r="H2147" s="283" t="s">
        <v>3195</v>
      </c>
      <c r="I2147" s="283" t="s">
        <v>590</v>
      </c>
      <c r="J2147" s="282" t="s">
        <v>156</v>
      </c>
      <c r="K2147" s="283" t="s">
        <v>3196</v>
      </c>
      <c r="L2147" s="286" t="s">
        <v>321</v>
      </c>
      <c r="M2147" s="293"/>
      <c r="N2147" s="293">
        <v>12.45</v>
      </c>
      <c r="O2147" s="287"/>
      <c r="P2147" s="287"/>
      <c r="Q2147" s="288">
        <v>34.999543000000003</v>
      </c>
      <c r="R2147" s="288">
        <v>35</v>
      </c>
      <c r="S2147" s="288">
        <v>-4.57E-4</v>
      </c>
      <c r="T2147" s="288"/>
      <c r="U2147" s="288">
        <v>0</v>
      </c>
      <c r="V2147" s="289">
        <v>35</v>
      </c>
      <c r="W2147" s="289">
        <v>0</v>
      </c>
      <c r="X2147" s="288">
        <v>2.8112082730923698</v>
      </c>
      <c r="Y2147" s="288">
        <v>2.811244979919679</v>
      </c>
      <c r="Z2147" s="288">
        <v>-3.670682730923695E-5</v>
      </c>
      <c r="AA2147" s="288">
        <v>0</v>
      </c>
      <c r="AB2147" s="288">
        <v>0</v>
      </c>
      <c r="AC2147" s="289">
        <v>2.811244979919679</v>
      </c>
      <c r="AD2147" s="289">
        <v>0</v>
      </c>
    </row>
    <row r="2148" spans="1:30" ht="15" customHeight="1" x14ac:dyDescent="0.25">
      <c r="A2148" s="282" t="s">
        <v>3172</v>
      </c>
      <c r="B2148" s="282" t="s">
        <v>3172</v>
      </c>
      <c r="C2148" s="282" t="s">
        <v>3173</v>
      </c>
      <c r="D2148" s="286" t="s">
        <v>3232</v>
      </c>
      <c r="E2148" s="403">
        <v>45135</v>
      </c>
      <c r="F2148" s="403">
        <v>46962</v>
      </c>
      <c r="G2148" s="283" t="s">
        <v>154</v>
      </c>
      <c r="H2148" s="283" t="s">
        <v>3195</v>
      </c>
      <c r="I2148" s="283" t="s">
        <v>590</v>
      </c>
      <c r="J2148" s="282" t="s">
        <v>156</v>
      </c>
      <c r="K2148" s="283" t="s">
        <v>3196</v>
      </c>
      <c r="L2148" s="286" t="s">
        <v>321</v>
      </c>
      <c r="M2148" s="293"/>
      <c r="N2148" s="293">
        <v>12.84</v>
      </c>
      <c r="O2148" s="287"/>
      <c r="P2148" s="287"/>
      <c r="Q2148" s="288">
        <v>35.999856000000001</v>
      </c>
      <c r="R2148" s="288">
        <v>36</v>
      </c>
      <c r="S2148" s="288">
        <v>-1.44E-4</v>
      </c>
      <c r="T2148" s="288"/>
      <c r="U2148" s="288">
        <v>0</v>
      </c>
      <c r="V2148" s="289">
        <v>36</v>
      </c>
      <c r="W2148" s="289">
        <v>0</v>
      </c>
      <c r="X2148" s="288">
        <v>2.8037271028037383</v>
      </c>
      <c r="Y2148" s="288">
        <v>2.8037383177570092</v>
      </c>
      <c r="Z2148" s="288">
        <v>-1.1214953271028037E-5</v>
      </c>
      <c r="AA2148" s="288">
        <v>0</v>
      </c>
      <c r="AB2148" s="288">
        <v>0</v>
      </c>
      <c r="AC2148" s="289">
        <v>2.8037383177570092</v>
      </c>
      <c r="AD2148" s="289">
        <v>0</v>
      </c>
    </row>
    <row r="2149" spans="1:30" ht="15" customHeight="1" x14ac:dyDescent="0.25">
      <c r="A2149" s="282" t="s">
        <v>3172</v>
      </c>
      <c r="B2149" s="282" t="s">
        <v>3172</v>
      </c>
      <c r="C2149" s="282" t="s">
        <v>3173</v>
      </c>
      <c r="D2149" s="286" t="s">
        <v>3233</v>
      </c>
      <c r="E2149" s="403">
        <v>45135</v>
      </c>
      <c r="F2149" s="403">
        <v>46962</v>
      </c>
      <c r="G2149" s="283" t="s">
        <v>154</v>
      </c>
      <c r="H2149" s="283" t="s">
        <v>3195</v>
      </c>
      <c r="I2149" s="283" t="s">
        <v>590</v>
      </c>
      <c r="J2149" s="282" t="s">
        <v>156</v>
      </c>
      <c r="K2149" s="283" t="s">
        <v>3196</v>
      </c>
      <c r="L2149" s="286" t="s">
        <v>321</v>
      </c>
      <c r="M2149" s="293"/>
      <c r="N2149" s="293">
        <v>11.2</v>
      </c>
      <c r="O2149" s="287"/>
      <c r="P2149" s="287"/>
      <c r="Q2149" s="288">
        <v>31.200403999999999</v>
      </c>
      <c r="R2149" s="288">
        <v>31.2</v>
      </c>
      <c r="S2149" s="288">
        <v>4.0400000000000001E-4</v>
      </c>
      <c r="T2149" s="288"/>
      <c r="U2149" s="288">
        <v>0</v>
      </c>
      <c r="V2149" s="289">
        <v>31.200403999999999</v>
      </c>
      <c r="W2149" s="289">
        <v>0</v>
      </c>
      <c r="X2149" s="288">
        <v>2.7857503571428572</v>
      </c>
      <c r="Y2149" s="288">
        <v>2.785714285714286</v>
      </c>
      <c r="Z2149" s="288">
        <v>3.6071428571428577E-5</v>
      </c>
      <c r="AA2149" s="288">
        <v>0</v>
      </c>
      <c r="AB2149" s="288">
        <v>0</v>
      </c>
      <c r="AC2149" s="289">
        <v>2.7857503571428577</v>
      </c>
      <c r="AD2149" s="289">
        <v>0</v>
      </c>
    </row>
    <row r="2150" spans="1:30" ht="15" customHeight="1" x14ac:dyDescent="0.25">
      <c r="A2150" s="282" t="s">
        <v>3172</v>
      </c>
      <c r="B2150" s="282" t="s">
        <v>3172</v>
      </c>
      <c r="C2150" s="282" t="s">
        <v>3173</v>
      </c>
      <c r="D2150" s="286" t="s">
        <v>3234</v>
      </c>
      <c r="E2150" s="403">
        <v>45135</v>
      </c>
      <c r="F2150" s="403">
        <v>46962</v>
      </c>
      <c r="G2150" s="283" t="s">
        <v>154</v>
      </c>
      <c r="H2150" s="283" t="s">
        <v>3195</v>
      </c>
      <c r="I2150" s="283" t="s">
        <v>590</v>
      </c>
      <c r="J2150" s="282" t="s">
        <v>156</v>
      </c>
      <c r="K2150" s="283" t="s">
        <v>3196</v>
      </c>
      <c r="L2150" s="286" t="s">
        <v>321</v>
      </c>
      <c r="M2150" s="293"/>
      <c r="N2150" s="293">
        <v>15.2</v>
      </c>
      <c r="O2150" s="287"/>
      <c r="P2150" s="287"/>
      <c r="Q2150" s="288">
        <v>42.201730000000005</v>
      </c>
      <c r="R2150" s="288">
        <v>42.2</v>
      </c>
      <c r="S2150" s="288">
        <v>1.73E-3</v>
      </c>
      <c r="T2150" s="288"/>
      <c r="U2150" s="288">
        <v>0</v>
      </c>
      <c r="V2150" s="289">
        <v>42.201730000000005</v>
      </c>
      <c r="W2150" s="289">
        <v>0</v>
      </c>
      <c r="X2150" s="288">
        <v>2.7764296052631585</v>
      </c>
      <c r="Y2150" s="288">
        <v>2.7763157894736845</v>
      </c>
      <c r="Z2150" s="288">
        <v>1.1381578947368421E-4</v>
      </c>
      <c r="AA2150" s="288">
        <v>0</v>
      </c>
      <c r="AB2150" s="288">
        <v>0</v>
      </c>
      <c r="AC2150" s="289">
        <v>2.7764296052631581</v>
      </c>
      <c r="AD2150" s="289">
        <v>0</v>
      </c>
    </row>
    <row r="2151" spans="1:30" ht="15" customHeight="1" x14ac:dyDescent="0.25">
      <c r="A2151" s="282" t="s">
        <v>3172</v>
      </c>
      <c r="B2151" s="282" t="s">
        <v>3172</v>
      </c>
      <c r="C2151" s="282" t="s">
        <v>3173</v>
      </c>
      <c r="D2151" s="286" t="s">
        <v>3235</v>
      </c>
      <c r="E2151" s="403">
        <v>45135</v>
      </c>
      <c r="F2151" s="403">
        <v>46962</v>
      </c>
      <c r="G2151" s="283" t="s">
        <v>154</v>
      </c>
      <c r="H2151" s="283" t="s">
        <v>3195</v>
      </c>
      <c r="I2151" s="283" t="s">
        <v>590</v>
      </c>
      <c r="J2151" s="282" t="s">
        <v>156</v>
      </c>
      <c r="K2151" s="283" t="s">
        <v>3196</v>
      </c>
      <c r="L2151" s="286" t="s">
        <v>321</v>
      </c>
      <c r="M2151" s="293"/>
      <c r="N2151" s="293">
        <v>15.59</v>
      </c>
      <c r="O2151" s="287"/>
      <c r="P2151" s="287"/>
      <c r="Q2151" s="288">
        <v>43.202040000000004</v>
      </c>
      <c r="R2151" s="288">
        <v>43.2</v>
      </c>
      <c r="S2151" s="288">
        <v>2.0400000000000001E-3</v>
      </c>
      <c r="T2151" s="288"/>
      <c r="U2151" s="288">
        <v>0</v>
      </c>
      <c r="V2151" s="289">
        <v>43.202040000000004</v>
      </c>
      <c r="W2151" s="289">
        <v>0</v>
      </c>
      <c r="X2151" s="288">
        <v>2.7711379089159722</v>
      </c>
      <c r="Y2151" s="288">
        <v>2.7710070558050033</v>
      </c>
      <c r="Z2151" s="288">
        <v>1.3085311096856959E-4</v>
      </c>
      <c r="AA2151" s="288">
        <v>0</v>
      </c>
      <c r="AB2151" s="288">
        <v>0</v>
      </c>
      <c r="AC2151" s="289">
        <v>2.7711379089159718</v>
      </c>
      <c r="AD2151" s="289">
        <v>0</v>
      </c>
    </row>
    <row r="2152" spans="1:30" ht="15" customHeight="1" x14ac:dyDescent="0.25">
      <c r="A2152" s="282" t="s">
        <v>3172</v>
      </c>
      <c r="B2152" s="282" t="s">
        <v>3172</v>
      </c>
      <c r="C2152" s="282" t="s">
        <v>3173</v>
      </c>
      <c r="D2152" s="286" t="s">
        <v>3236</v>
      </c>
      <c r="E2152" s="403">
        <v>45135</v>
      </c>
      <c r="F2152" s="403">
        <v>46962</v>
      </c>
      <c r="G2152" s="283" t="s">
        <v>154</v>
      </c>
      <c r="H2152" s="283" t="s">
        <v>3195</v>
      </c>
      <c r="I2152" s="283" t="s">
        <v>590</v>
      </c>
      <c r="J2152" s="282" t="s">
        <v>156</v>
      </c>
      <c r="K2152" s="283" t="s">
        <v>3196</v>
      </c>
      <c r="L2152" s="286" t="s">
        <v>321</v>
      </c>
      <c r="M2152" s="293"/>
      <c r="N2152" s="293">
        <v>19.12</v>
      </c>
      <c r="O2152" s="287"/>
      <c r="P2152" s="287"/>
      <c r="Q2152" s="288">
        <v>52.504860000000001</v>
      </c>
      <c r="R2152" s="288">
        <v>52.5</v>
      </c>
      <c r="S2152" s="288">
        <v>4.8599999999999997E-3</v>
      </c>
      <c r="T2152" s="288"/>
      <c r="U2152" s="288">
        <v>0</v>
      </c>
      <c r="V2152" s="289">
        <v>52.504860000000001</v>
      </c>
      <c r="W2152" s="289">
        <v>0</v>
      </c>
      <c r="X2152" s="288">
        <v>2.7460700836820084</v>
      </c>
      <c r="Y2152" s="288">
        <v>2.74581589958159</v>
      </c>
      <c r="Z2152" s="288">
        <v>2.5418410041841004E-4</v>
      </c>
      <c r="AA2152" s="288">
        <v>0</v>
      </c>
      <c r="AB2152" s="288">
        <v>0</v>
      </c>
      <c r="AC2152" s="289">
        <v>2.7460700836820084</v>
      </c>
      <c r="AD2152" s="289">
        <v>0</v>
      </c>
    </row>
    <row r="2153" spans="1:30" ht="15" customHeight="1" x14ac:dyDescent="0.25">
      <c r="A2153" s="282" t="s">
        <v>3172</v>
      </c>
      <c r="B2153" s="282" t="s">
        <v>3172</v>
      </c>
      <c r="C2153" s="282" t="s">
        <v>3173</v>
      </c>
      <c r="D2153" s="286" t="s">
        <v>3237</v>
      </c>
      <c r="E2153" s="403">
        <v>45135</v>
      </c>
      <c r="F2153" s="403">
        <v>46962</v>
      </c>
      <c r="G2153" s="283" t="s">
        <v>154</v>
      </c>
      <c r="H2153" s="283" t="s">
        <v>3195</v>
      </c>
      <c r="I2153" s="283" t="s">
        <v>590</v>
      </c>
      <c r="J2153" s="282" t="s">
        <v>156</v>
      </c>
      <c r="K2153" s="283" t="s">
        <v>3196</v>
      </c>
      <c r="L2153" s="286" t="s">
        <v>321</v>
      </c>
      <c r="M2153" s="293"/>
      <c r="N2153" s="293">
        <v>23.05</v>
      </c>
      <c r="O2153" s="287"/>
      <c r="P2153" s="287"/>
      <c r="Q2153" s="288">
        <v>62.707980000000006</v>
      </c>
      <c r="R2153" s="288">
        <v>62.7</v>
      </c>
      <c r="S2153" s="288">
        <v>7.9799999999999992E-3</v>
      </c>
      <c r="T2153" s="288"/>
      <c r="U2153" s="288">
        <v>0</v>
      </c>
      <c r="V2153" s="289">
        <v>62.707980000000006</v>
      </c>
      <c r="W2153" s="289">
        <v>0</v>
      </c>
      <c r="X2153" s="288">
        <v>2.7205197396963126</v>
      </c>
      <c r="Y2153" s="288">
        <v>2.7201735357917571</v>
      </c>
      <c r="Z2153" s="288">
        <v>3.462039045553145E-4</v>
      </c>
      <c r="AA2153" s="288">
        <v>0</v>
      </c>
      <c r="AB2153" s="288">
        <v>0</v>
      </c>
      <c r="AC2153" s="289">
        <v>2.7205197396963126</v>
      </c>
      <c r="AD2153" s="289">
        <v>0</v>
      </c>
    </row>
    <row r="2154" spans="1:30" ht="15" customHeight="1" x14ac:dyDescent="0.25">
      <c r="A2154" s="282" t="s">
        <v>3172</v>
      </c>
      <c r="B2154" s="282" t="s">
        <v>3172</v>
      </c>
      <c r="C2154" s="282" t="s">
        <v>3173</v>
      </c>
      <c r="D2154" s="286" t="s">
        <v>3238</v>
      </c>
      <c r="E2154" s="403">
        <v>45076</v>
      </c>
      <c r="F2154" s="403">
        <v>46903</v>
      </c>
      <c r="G2154" s="283" t="s">
        <v>154</v>
      </c>
      <c r="H2154" s="283" t="s">
        <v>3175</v>
      </c>
      <c r="I2154" s="283" t="s">
        <v>590</v>
      </c>
      <c r="J2154" s="282" t="s">
        <v>156</v>
      </c>
      <c r="K2154" s="283" t="s">
        <v>3176</v>
      </c>
      <c r="L2154" s="286" t="s">
        <v>321</v>
      </c>
      <c r="M2154" s="293"/>
      <c r="N2154" s="293">
        <v>5.63</v>
      </c>
      <c r="O2154" s="287"/>
      <c r="P2154" s="287"/>
      <c r="Q2154" s="288">
        <v>16.600210000000001</v>
      </c>
      <c r="R2154" s="288">
        <v>16.600000000000001</v>
      </c>
      <c r="S2154" s="288">
        <v>2.1000000000000001E-4</v>
      </c>
      <c r="T2154" s="288"/>
      <c r="U2154" s="288">
        <v>0</v>
      </c>
      <c r="V2154" s="289">
        <v>16.600210000000001</v>
      </c>
      <c r="W2154" s="289">
        <v>0</v>
      </c>
      <c r="X2154" s="288">
        <v>2.9485275310834815</v>
      </c>
      <c r="Y2154" s="288">
        <v>2.9484902309058616</v>
      </c>
      <c r="Z2154" s="288">
        <v>3.7300177619893428E-5</v>
      </c>
      <c r="AA2154" s="288">
        <v>0</v>
      </c>
      <c r="AB2154" s="288">
        <v>0</v>
      </c>
      <c r="AC2154" s="289">
        <v>2.9485275310834815</v>
      </c>
      <c r="AD2154" s="289">
        <v>0</v>
      </c>
    </row>
    <row r="2155" spans="1:30" ht="15" customHeight="1" x14ac:dyDescent="0.25">
      <c r="A2155" s="282" t="s">
        <v>3172</v>
      </c>
      <c r="B2155" s="282" t="s">
        <v>3172</v>
      </c>
      <c r="C2155" s="282" t="s">
        <v>3173</v>
      </c>
      <c r="D2155" s="286" t="s">
        <v>3239</v>
      </c>
      <c r="E2155" s="403">
        <v>45076</v>
      </c>
      <c r="F2155" s="403">
        <v>46903</v>
      </c>
      <c r="G2155" s="283" t="s">
        <v>154</v>
      </c>
      <c r="H2155" s="283" t="s">
        <v>3175</v>
      </c>
      <c r="I2155" s="283" t="s">
        <v>590</v>
      </c>
      <c r="J2155" s="282" t="s">
        <v>156</v>
      </c>
      <c r="K2155" s="283" t="s">
        <v>3176</v>
      </c>
      <c r="L2155" s="286" t="s">
        <v>321</v>
      </c>
      <c r="M2155" s="293"/>
      <c r="N2155" s="293">
        <v>6.02</v>
      </c>
      <c r="O2155" s="287"/>
      <c r="P2155" s="287"/>
      <c r="Q2155" s="288">
        <v>17.600522000000002</v>
      </c>
      <c r="R2155" s="288">
        <v>17.600000000000001</v>
      </c>
      <c r="S2155" s="288">
        <v>5.22E-4</v>
      </c>
      <c r="T2155" s="288"/>
      <c r="U2155" s="288">
        <v>0</v>
      </c>
      <c r="V2155" s="289">
        <v>17.600522000000002</v>
      </c>
      <c r="W2155" s="289">
        <v>0</v>
      </c>
      <c r="X2155" s="288">
        <v>2.9236747508305654</v>
      </c>
      <c r="Y2155" s="288">
        <v>2.9235880398671101</v>
      </c>
      <c r="Z2155" s="288">
        <v>8.6710963455149511E-5</v>
      </c>
      <c r="AA2155" s="288">
        <v>0</v>
      </c>
      <c r="AB2155" s="288">
        <v>0</v>
      </c>
      <c r="AC2155" s="289">
        <v>2.9236747508305654</v>
      </c>
      <c r="AD2155" s="289">
        <v>0</v>
      </c>
    </row>
    <row r="2156" spans="1:30" ht="15" customHeight="1" x14ac:dyDescent="0.25">
      <c r="A2156" s="282" t="s">
        <v>3172</v>
      </c>
      <c r="B2156" s="282" t="s">
        <v>3172</v>
      </c>
      <c r="C2156" s="282" t="s">
        <v>3173</v>
      </c>
      <c r="D2156" s="286" t="s">
        <v>3240</v>
      </c>
      <c r="E2156" s="403">
        <v>45076</v>
      </c>
      <c r="F2156" s="403">
        <v>46903</v>
      </c>
      <c r="G2156" s="283" t="s">
        <v>154</v>
      </c>
      <c r="H2156" s="283" t="s">
        <v>3175</v>
      </c>
      <c r="I2156" s="283" t="s">
        <v>590</v>
      </c>
      <c r="J2156" s="282" t="s">
        <v>156</v>
      </c>
      <c r="K2156" s="283" t="s">
        <v>3176</v>
      </c>
      <c r="L2156" s="286" t="s">
        <v>321</v>
      </c>
      <c r="M2156" s="293"/>
      <c r="N2156" s="293">
        <v>7.59</v>
      </c>
      <c r="O2156" s="287"/>
      <c r="P2156" s="287"/>
      <c r="Q2156" s="288">
        <v>21.70177</v>
      </c>
      <c r="R2156" s="288">
        <v>21.7</v>
      </c>
      <c r="S2156" s="288">
        <v>1.7700000000000001E-3</v>
      </c>
      <c r="T2156" s="288"/>
      <c r="U2156" s="288">
        <v>0</v>
      </c>
      <c r="V2156" s="289">
        <v>21.70177</v>
      </c>
      <c r="W2156" s="289">
        <v>0</v>
      </c>
      <c r="X2156" s="288">
        <v>2.8592582345191042</v>
      </c>
      <c r="Y2156" s="288">
        <v>2.8590250329380762</v>
      </c>
      <c r="Z2156" s="288">
        <v>2.33201581027668E-4</v>
      </c>
      <c r="AA2156" s="288">
        <v>0</v>
      </c>
      <c r="AB2156" s="288">
        <v>0</v>
      </c>
      <c r="AC2156" s="289">
        <v>2.8592582345191038</v>
      </c>
      <c r="AD2156" s="289">
        <v>0</v>
      </c>
    </row>
    <row r="2157" spans="1:30" ht="15" customHeight="1" x14ac:dyDescent="0.25">
      <c r="A2157" s="282" t="s">
        <v>3172</v>
      </c>
      <c r="B2157" s="282" t="s">
        <v>3172</v>
      </c>
      <c r="C2157" s="282" t="s">
        <v>3173</v>
      </c>
      <c r="D2157" s="286" t="s">
        <v>3241</v>
      </c>
      <c r="E2157" s="403">
        <v>45076</v>
      </c>
      <c r="F2157" s="403">
        <v>46903</v>
      </c>
      <c r="G2157" s="283" t="s">
        <v>154</v>
      </c>
      <c r="H2157" s="283" t="s">
        <v>3175</v>
      </c>
      <c r="I2157" s="283" t="s">
        <v>590</v>
      </c>
      <c r="J2157" s="282" t="s">
        <v>156</v>
      </c>
      <c r="K2157" s="283" t="s">
        <v>3176</v>
      </c>
      <c r="L2157" s="286" t="s">
        <v>321</v>
      </c>
      <c r="M2157" s="293"/>
      <c r="N2157" s="293">
        <v>7.98</v>
      </c>
      <c r="O2157" s="287"/>
      <c r="P2157" s="287"/>
      <c r="Q2157" s="288">
        <v>22.80209</v>
      </c>
      <c r="R2157" s="288">
        <v>22.8</v>
      </c>
      <c r="S2157" s="288">
        <v>2.0899999999999998E-3</v>
      </c>
      <c r="T2157" s="288"/>
      <c r="U2157" s="288">
        <v>0</v>
      </c>
      <c r="V2157" s="289">
        <v>22.80209</v>
      </c>
      <c r="W2157" s="289">
        <v>0</v>
      </c>
      <c r="X2157" s="288">
        <v>2.8574047619047618</v>
      </c>
      <c r="Y2157" s="288">
        <v>2.8571428571428572</v>
      </c>
      <c r="Z2157" s="288">
        <v>2.6190476190476186E-4</v>
      </c>
      <c r="AA2157" s="288">
        <v>0</v>
      </c>
      <c r="AB2157" s="288">
        <v>0</v>
      </c>
      <c r="AC2157" s="289">
        <v>2.8574047619047618</v>
      </c>
      <c r="AD2157" s="289">
        <v>0</v>
      </c>
    </row>
    <row r="2158" spans="1:30" ht="15" customHeight="1" x14ac:dyDescent="0.25">
      <c r="A2158" s="282" t="s">
        <v>3172</v>
      </c>
      <c r="B2158" s="282" t="s">
        <v>3172</v>
      </c>
      <c r="C2158" s="282" t="s">
        <v>3173</v>
      </c>
      <c r="D2158" s="286" t="s">
        <v>3242</v>
      </c>
      <c r="E2158" s="403">
        <v>45076</v>
      </c>
      <c r="F2158" s="403">
        <v>46903</v>
      </c>
      <c r="G2158" s="283" t="s">
        <v>154</v>
      </c>
      <c r="H2158" s="283" t="s">
        <v>3175</v>
      </c>
      <c r="I2158" s="283" t="s">
        <v>590</v>
      </c>
      <c r="J2158" s="282" t="s">
        <v>156</v>
      </c>
      <c r="K2158" s="283" t="s">
        <v>3176</v>
      </c>
      <c r="L2158" s="286" t="s">
        <v>321</v>
      </c>
      <c r="M2158" s="293"/>
      <c r="N2158" s="293">
        <v>9.16</v>
      </c>
      <c r="O2158" s="287"/>
      <c r="P2158" s="287"/>
      <c r="Q2158" s="288">
        <v>25.80302</v>
      </c>
      <c r="R2158" s="288">
        <v>25.8</v>
      </c>
      <c r="S2158" s="288">
        <v>3.0200000000000001E-3</v>
      </c>
      <c r="T2158" s="288"/>
      <c r="U2158" s="288">
        <v>0</v>
      </c>
      <c r="V2158" s="289">
        <v>25.80302</v>
      </c>
      <c r="W2158" s="289">
        <v>0</v>
      </c>
      <c r="X2158" s="288">
        <v>2.816923580786026</v>
      </c>
      <c r="Y2158" s="288">
        <v>2.8165938864628823</v>
      </c>
      <c r="Z2158" s="288">
        <v>3.296943231441048E-4</v>
      </c>
      <c r="AA2158" s="288">
        <v>0</v>
      </c>
      <c r="AB2158" s="288">
        <v>0</v>
      </c>
      <c r="AC2158" s="289">
        <v>2.8169235807860264</v>
      </c>
      <c r="AD2158" s="289">
        <v>0</v>
      </c>
    </row>
    <row r="2159" spans="1:30" ht="15" customHeight="1" x14ac:dyDescent="0.25">
      <c r="A2159" s="282" t="s">
        <v>3172</v>
      </c>
      <c r="B2159" s="282" t="s">
        <v>3172</v>
      </c>
      <c r="C2159" s="282" t="s">
        <v>3173</v>
      </c>
      <c r="D2159" s="286" t="s">
        <v>3243</v>
      </c>
      <c r="E2159" s="403">
        <v>45076</v>
      </c>
      <c r="F2159" s="403">
        <v>46903</v>
      </c>
      <c r="G2159" s="283" t="s">
        <v>154</v>
      </c>
      <c r="H2159" s="283" t="s">
        <v>3175</v>
      </c>
      <c r="I2159" s="283" t="s">
        <v>590</v>
      </c>
      <c r="J2159" s="282" t="s">
        <v>156</v>
      </c>
      <c r="K2159" s="283" t="s">
        <v>3176</v>
      </c>
      <c r="L2159" s="286" t="s">
        <v>321</v>
      </c>
      <c r="M2159" s="293"/>
      <c r="N2159" s="293">
        <v>9.5500000000000007</v>
      </c>
      <c r="O2159" s="287"/>
      <c r="P2159" s="287"/>
      <c r="Q2159" s="288">
        <v>26.90334</v>
      </c>
      <c r="R2159" s="288">
        <v>26.9</v>
      </c>
      <c r="S2159" s="288">
        <v>3.3400000000000001E-3</v>
      </c>
      <c r="T2159" s="288"/>
      <c r="U2159" s="288">
        <v>0</v>
      </c>
      <c r="V2159" s="289">
        <v>26.90334</v>
      </c>
      <c r="W2159" s="289">
        <v>0</v>
      </c>
      <c r="X2159" s="288">
        <v>2.8171036649214658</v>
      </c>
      <c r="Y2159" s="288">
        <v>2.8167539267015704</v>
      </c>
      <c r="Z2159" s="288">
        <v>3.4973821989528795E-4</v>
      </c>
      <c r="AA2159" s="288">
        <v>0</v>
      </c>
      <c r="AB2159" s="288">
        <v>0</v>
      </c>
      <c r="AC2159" s="289">
        <v>2.8171036649214658</v>
      </c>
      <c r="AD2159" s="289">
        <v>0</v>
      </c>
    </row>
    <row r="2160" spans="1:30" ht="15" customHeight="1" x14ac:dyDescent="0.25">
      <c r="A2160" s="282" t="s">
        <v>3172</v>
      </c>
      <c r="B2160" s="282" t="s">
        <v>3172</v>
      </c>
      <c r="C2160" s="282" t="s">
        <v>3173</v>
      </c>
      <c r="D2160" s="283" t="s">
        <v>3244</v>
      </c>
      <c r="E2160" s="403">
        <v>43641</v>
      </c>
      <c r="F2160" s="403">
        <v>45468</v>
      </c>
      <c r="G2160" s="283" t="s">
        <v>216</v>
      </c>
      <c r="H2160" s="282" t="s">
        <v>3245</v>
      </c>
      <c r="I2160" s="285"/>
      <c r="J2160" s="282" t="s">
        <v>184</v>
      </c>
      <c r="K2160" s="283" t="s">
        <v>218</v>
      </c>
      <c r="L2160" s="286" t="s">
        <v>321</v>
      </c>
      <c r="M2160" s="287">
        <v>7850</v>
      </c>
      <c r="N2160" s="287">
        <v>3.2969999999999997</v>
      </c>
      <c r="O2160" s="287" t="s">
        <v>159</v>
      </c>
      <c r="P2160" s="287" t="s">
        <v>159</v>
      </c>
      <c r="Q2160" s="288">
        <v>11.9</v>
      </c>
      <c r="R2160" s="288"/>
      <c r="S2160" s="288"/>
      <c r="T2160" s="288"/>
      <c r="U2160" s="288">
        <v>0</v>
      </c>
      <c r="V2160" s="289">
        <v>11.9</v>
      </c>
      <c r="W2160" s="289">
        <v>0</v>
      </c>
      <c r="X2160" s="288">
        <v>3.609341825902336</v>
      </c>
      <c r="Y2160" s="288">
        <v>0</v>
      </c>
      <c r="Z2160" s="288">
        <v>0</v>
      </c>
      <c r="AA2160" s="288">
        <v>0</v>
      </c>
      <c r="AB2160" s="288">
        <v>0</v>
      </c>
      <c r="AC2160" s="289">
        <v>3.609341825902336</v>
      </c>
      <c r="AD2160" s="289">
        <v>0</v>
      </c>
    </row>
    <row r="2161" spans="1:30" ht="15" customHeight="1" x14ac:dyDescent="0.25">
      <c r="A2161" s="282" t="s">
        <v>3172</v>
      </c>
      <c r="B2161" s="282" t="s">
        <v>3172</v>
      </c>
      <c r="C2161" s="282" t="s">
        <v>3173</v>
      </c>
      <c r="D2161" s="283" t="s">
        <v>3246</v>
      </c>
      <c r="E2161" s="403">
        <v>43641</v>
      </c>
      <c r="F2161" s="403">
        <v>45468</v>
      </c>
      <c r="G2161" s="283" t="s">
        <v>216</v>
      </c>
      <c r="H2161" s="282" t="s">
        <v>3247</v>
      </c>
      <c r="I2161" s="285"/>
      <c r="J2161" s="282" t="s">
        <v>184</v>
      </c>
      <c r="K2161" s="283" t="s">
        <v>218</v>
      </c>
      <c r="L2161" s="286" t="s">
        <v>321</v>
      </c>
      <c r="M2161" s="287">
        <v>7850</v>
      </c>
      <c r="N2161" s="287">
        <v>3.7679999999999998</v>
      </c>
      <c r="O2161" s="287" t="s">
        <v>159</v>
      </c>
      <c r="P2161" s="287" t="s">
        <v>159</v>
      </c>
      <c r="Q2161" s="288">
        <v>13.3</v>
      </c>
      <c r="R2161" s="288"/>
      <c r="S2161" s="288"/>
      <c r="T2161" s="288"/>
      <c r="U2161" s="288">
        <v>0</v>
      </c>
      <c r="V2161" s="289">
        <v>13.3</v>
      </c>
      <c r="W2161" s="289">
        <v>0</v>
      </c>
      <c r="X2161" s="288">
        <v>3.5297239915074314</v>
      </c>
      <c r="Y2161" s="288">
        <v>0</v>
      </c>
      <c r="Z2161" s="288">
        <v>0</v>
      </c>
      <c r="AA2161" s="288">
        <v>0</v>
      </c>
      <c r="AB2161" s="288">
        <v>0</v>
      </c>
      <c r="AC2161" s="289">
        <v>3.5297239915074314</v>
      </c>
      <c r="AD2161" s="289">
        <v>0</v>
      </c>
    </row>
    <row r="2162" spans="1:30" ht="15" customHeight="1" x14ac:dyDescent="0.25">
      <c r="A2162" s="282" t="s">
        <v>3248</v>
      </c>
      <c r="B2162" s="282" t="s">
        <v>3248</v>
      </c>
      <c r="C2162" s="282" t="s">
        <v>3248</v>
      </c>
      <c r="D2162" s="286" t="s">
        <v>3249</v>
      </c>
      <c r="E2162" s="403">
        <v>45005</v>
      </c>
      <c r="F2162" s="403">
        <v>46832</v>
      </c>
      <c r="G2162" s="283" t="s">
        <v>154</v>
      </c>
      <c r="H2162" s="283" t="s">
        <v>3250</v>
      </c>
      <c r="I2162" s="283" t="s">
        <v>3251</v>
      </c>
      <c r="J2162" s="282" t="s">
        <v>156</v>
      </c>
      <c r="K2162" s="283" t="s">
        <v>3252</v>
      </c>
      <c r="L2162" s="286" t="s">
        <v>321</v>
      </c>
      <c r="M2162" s="293"/>
      <c r="N2162" s="293">
        <v>8.01</v>
      </c>
      <c r="O2162" s="287"/>
      <c r="P2162" s="287"/>
      <c r="Q2162" s="288">
        <v>24.690999999999999</v>
      </c>
      <c r="R2162" s="288">
        <v>24.9</v>
      </c>
      <c r="S2162" s="288">
        <v>-0.20899999999999999</v>
      </c>
      <c r="T2162" s="288"/>
      <c r="U2162" s="288">
        <v>0</v>
      </c>
      <c r="V2162" s="289">
        <v>24.9</v>
      </c>
      <c r="W2162" s="289">
        <v>0</v>
      </c>
      <c r="X2162" s="288">
        <v>3.0825218476903871</v>
      </c>
      <c r="Y2162" s="288">
        <v>3.1086142322097379</v>
      </c>
      <c r="Z2162" s="288">
        <v>-2.6092384519350812E-2</v>
      </c>
      <c r="AA2162" s="288">
        <v>0</v>
      </c>
      <c r="AB2162" s="288">
        <v>0</v>
      </c>
      <c r="AC2162" s="289">
        <v>3.1086142322097379</v>
      </c>
      <c r="AD2162" s="289">
        <v>0</v>
      </c>
    </row>
    <row r="2163" spans="1:30" ht="15" customHeight="1" x14ac:dyDescent="0.25">
      <c r="A2163" s="282" t="s">
        <v>3248</v>
      </c>
      <c r="B2163" s="282" t="s">
        <v>3248</v>
      </c>
      <c r="C2163" s="282" t="s">
        <v>3248</v>
      </c>
      <c r="D2163" s="286" t="s">
        <v>3253</v>
      </c>
      <c r="E2163" s="403">
        <v>45008</v>
      </c>
      <c r="F2163" s="403">
        <v>46835</v>
      </c>
      <c r="G2163" s="283" t="s">
        <v>154</v>
      </c>
      <c r="H2163" s="283" t="s">
        <v>3254</v>
      </c>
      <c r="I2163" s="283" t="s">
        <v>590</v>
      </c>
      <c r="J2163" s="282" t="s">
        <v>156</v>
      </c>
      <c r="K2163" s="283" t="s">
        <v>3255</v>
      </c>
      <c r="L2163" s="286" t="s">
        <v>321</v>
      </c>
      <c r="M2163" s="293"/>
      <c r="N2163" s="293">
        <v>4.5</v>
      </c>
      <c r="O2163" s="287"/>
      <c r="P2163" s="287"/>
      <c r="Q2163" s="288">
        <v>15.174000000000001</v>
      </c>
      <c r="R2163" s="288">
        <v>15.3</v>
      </c>
      <c r="S2163" s="288">
        <v>-0.126</v>
      </c>
      <c r="T2163" s="288"/>
      <c r="U2163" s="288">
        <v>0</v>
      </c>
      <c r="V2163" s="289">
        <v>15.3</v>
      </c>
      <c r="W2163" s="289">
        <v>0</v>
      </c>
      <c r="X2163" s="288">
        <v>3.3720000000000003</v>
      </c>
      <c r="Y2163" s="288">
        <v>3.4000000000000004</v>
      </c>
      <c r="Z2163" s="288">
        <v>-2.8000000000000001E-2</v>
      </c>
      <c r="AA2163" s="288">
        <v>0</v>
      </c>
      <c r="AB2163" s="288">
        <v>0</v>
      </c>
      <c r="AC2163" s="289">
        <v>3.4000000000000004</v>
      </c>
      <c r="AD2163" s="289">
        <v>0</v>
      </c>
    </row>
    <row r="2164" spans="1:30" ht="15" customHeight="1" x14ac:dyDescent="0.25">
      <c r="A2164" s="282" t="s">
        <v>3248</v>
      </c>
      <c r="B2164" s="282" t="s">
        <v>3248</v>
      </c>
      <c r="C2164" s="282" t="s">
        <v>3248</v>
      </c>
      <c r="D2164" s="286" t="s">
        <v>3256</v>
      </c>
      <c r="E2164" s="403">
        <v>45005</v>
      </c>
      <c r="F2164" s="403">
        <v>46832</v>
      </c>
      <c r="G2164" s="283" t="s">
        <v>154</v>
      </c>
      <c r="H2164" s="283" t="s">
        <v>3250</v>
      </c>
      <c r="I2164" s="283" t="s">
        <v>3251</v>
      </c>
      <c r="J2164" s="282" t="s">
        <v>156</v>
      </c>
      <c r="K2164" s="283" t="s">
        <v>3252</v>
      </c>
      <c r="L2164" s="286" t="s">
        <v>321</v>
      </c>
      <c r="M2164" s="293"/>
      <c r="N2164" s="293">
        <v>6.05</v>
      </c>
      <c r="O2164" s="287"/>
      <c r="P2164" s="287"/>
      <c r="Q2164" s="288">
        <v>19.34</v>
      </c>
      <c r="R2164" s="288">
        <v>19.5</v>
      </c>
      <c r="S2164" s="288">
        <v>-0.16</v>
      </c>
      <c r="T2164" s="288"/>
      <c r="U2164" s="288">
        <v>0</v>
      </c>
      <c r="V2164" s="289">
        <v>19.5</v>
      </c>
      <c r="W2164" s="289">
        <v>0</v>
      </c>
      <c r="X2164" s="288">
        <v>3.1966942148760333</v>
      </c>
      <c r="Y2164" s="288">
        <v>3.2231404958677685</v>
      </c>
      <c r="Z2164" s="288">
        <v>-2.644628099173554E-2</v>
      </c>
      <c r="AA2164" s="288">
        <v>0</v>
      </c>
      <c r="AB2164" s="288">
        <v>0</v>
      </c>
      <c r="AC2164" s="289">
        <v>3.2231404958677685</v>
      </c>
      <c r="AD2164" s="289">
        <v>0</v>
      </c>
    </row>
    <row r="2165" spans="1:30" ht="15" customHeight="1" x14ac:dyDescent="0.25">
      <c r="A2165" s="282" t="s">
        <v>3248</v>
      </c>
      <c r="B2165" s="282" t="s">
        <v>3248</v>
      </c>
      <c r="C2165" s="282" t="s">
        <v>3248</v>
      </c>
      <c r="D2165" s="286" t="s">
        <v>3257</v>
      </c>
      <c r="E2165" s="403">
        <v>45005</v>
      </c>
      <c r="F2165" s="403">
        <v>46832</v>
      </c>
      <c r="G2165" s="283" t="s">
        <v>154</v>
      </c>
      <c r="H2165" s="283" t="s">
        <v>3250</v>
      </c>
      <c r="I2165" s="283" t="s">
        <v>3251</v>
      </c>
      <c r="J2165" s="282" t="s">
        <v>156</v>
      </c>
      <c r="K2165" s="283" t="s">
        <v>3252</v>
      </c>
      <c r="L2165" s="286" t="s">
        <v>321</v>
      </c>
      <c r="M2165" s="293"/>
      <c r="N2165" s="293">
        <v>5.65</v>
      </c>
      <c r="O2165" s="287"/>
      <c r="P2165" s="287"/>
      <c r="Q2165" s="288">
        <v>18.25</v>
      </c>
      <c r="R2165" s="288">
        <v>18.399999999999999</v>
      </c>
      <c r="S2165" s="288">
        <v>-0.15</v>
      </c>
      <c r="T2165" s="288"/>
      <c r="U2165" s="288">
        <v>0</v>
      </c>
      <c r="V2165" s="289">
        <v>18.399999999999999</v>
      </c>
      <c r="W2165" s="289">
        <v>0</v>
      </c>
      <c r="X2165" s="288">
        <v>3.2300884955752212</v>
      </c>
      <c r="Y2165" s="288">
        <v>3.2566371681415927</v>
      </c>
      <c r="Z2165" s="288">
        <v>-2.6548672566371678E-2</v>
      </c>
      <c r="AA2165" s="288">
        <v>0</v>
      </c>
      <c r="AB2165" s="288">
        <v>0</v>
      </c>
      <c r="AC2165" s="289">
        <v>3.2566371681415927</v>
      </c>
      <c r="AD2165" s="289">
        <v>0</v>
      </c>
    </row>
    <row r="2166" spans="1:30" ht="15" customHeight="1" x14ac:dyDescent="0.25">
      <c r="A2166" s="282" t="s">
        <v>3248</v>
      </c>
      <c r="B2166" s="282" t="s">
        <v>3248</v>
      </c>
      <c r="C2166" s="282" t="s">
        <v>3248</v>
      </c>
      <c r="D2166" s="286" t="s">
        <v>3258</v>
      </c>
      <c r="E2166" s="403">
        <v>45008</v>
      </c>
      <c r="F2166" s="403">
        <v>46835</v>
      </c>
      <c r="G2166" s="283" t="s">
        <v>154</v>
      </c>
      <c r="H2166" s="283" t="s">
        <v>3254</v>
      </c>
      <c r="I2166" s="283" t="s">
        <v>590</v>
      </c>
      <c r="J2166" s="282" t="s">
        <v>156</v>
      </c>
      <c r="K2166" s="283" t="s">
        <v>3255</v>
      </c>
      <c r="L2166" s="286" t="s">
        <v>321</v>
      </c>
      <c r="M2166" s="293"/>
      <c r="N2166" s="293">
        <v>3.95</v>
      </c>
      <c r="O2166" s="287"/>
      <c r="P2166" s="287"/>
      <c r="Q2166" s="288">
        <v>13.688000000000001</v>
      </c>
      <c r="R2166" s="288">
        <v>13.8</v>
      </c>
      <c r="S2166" s="288">
        <v>-0.112</v>
      </c>
      <c r="T2166" s="288"/>
      <c r="U2166" s="288">
        <v>0</v>
      </c>
      <c r="V2166" s="289">
        <v>13.8</v>
      </c>
      <c r="W2166" s="289">
        <v>0</v>
      </c>
      <c r="X2166" s="288">
        <v>3.4653164556962026</v>
      </c>
      <c r="Y2166" s="288">
        <v>3.4936708860759493</v>
      </c>
      <c r="Z2166" s="288">
        <v>-2.8354430379746835E-2</v>
      </c>
      <c r="AA2166" s="288">
        <v>0</v>
      </c>
      <c r="AB2166" s="288">
        <v>0</v>
      </c>
      <c r="AC2166" s="289">
        <v>3.4936708860759493</v>
      </c>
      <c r="AD2166" s="289">
        <v>0</v>
      </c>
    </row>
    <row r="2167" spans="1:30" ht="15" customHeight="1" x14ac:dyDescent="0.25">
      <c r="A2167" s="282" t="s">
        <v>3248</v>
      </c>
      <c r="B2167" s="282" t="s">
        <v>3248</v>
      </c>
      <c r="C2167" s="282" t="s">
        <v>3248</v>
      </c>
      <c r="D2167" s="286" t="s">
        <v>3259</v>
      </c>
      <c r="E2167" s="403">
        <v>45005</v>
      </c>
      <c r="F2167" s="403">
        <v>46832</v>
      </c>
      <c r="G2167" s="283" t="s">
        <v>154</v>
      </c>
      <c r="H2167" s="283" t="s">
        <v>3250</v>
      </c>
      <c r="I2167" s="283" t="s">
        <v>3251</v>
      </c>
      <c r="J2167" s="282" t="s">
        <v>156</v>
      </c>
      <c r="K2167" s="283" t="s">
        <v>3252</v>
      </c>
      <c r="L2167" s="286" t="s">
        <v>321</v>
      </c>
      <c r="M2167" s="293"/>
      <c r="N2167" s="293">
        <v>4.87</v>
      </c>
      <c r="O2167" s="287"/>
      <c r="P2167" s="287"/>
      <c r="Q2167" s="288">
        <v>16.169</v>
      </c>
      <c r="R2167" s="288">
        <v>16.3</v>
      </c>
      <c r="S2167" s="288">
        <v>-0.13100000000000001</v>
      </c>
      <c r="T2167" s="288"/>
      <c r="U2167" s="288">
        <v>0</v>
      </c>
      <c r="V2167" s="289">
        <v>16.3</v>
      </c>
      <c r="W2167" s="289">
        <v>0</v>
      </c>
      <c r="X2167" s="288">
        <v>3.3201232032854211</v>
      </c>
      <c r="Y2167" s="288">
        <v>3.3470225872689938</v>
      </c>
      <c r="Z2167" s="288">
        <v>-2.6899383983572896E-2</v>
      </c>
      <c r="AA2167" s="288">
        <v>0</v>
      </c>
      <c r="AB2167" s="288">
        <v>0</v>
      </c>
      <c r="AC2167" s="289">
        <v>3.3470225872689938</v>
      </c>
      <c r="AD2167" s="289">
        <v>0</v>
      </c>
    </row>
    <row r="2168" spans="1:30" ht="15" customHeight="1" x14ac:dyDescent="0.25">
      <c r="A2168" s="282" t="s">
        <v>3248</v>
      </c>
      <c r="B2168" s="282" t="s">
        <v>3248</v>
      </c>
      <c r="C2168" s="282" t="s">
        <v>3248</v>
      </c>
      <c r="D2168" s="286" t="s">
        <v>3260</v>
      </c>
      <c r="E2168" s="403">
        <v>45008</v>
      </c>
      <c r="F2168" s="403">
        <v>46835</v>
      </c>
      <c r="G2168" s="283" t="s">
        <v>154</v>
      </c>
      <c r="H2168" s="283" t="s">
        <v>3254</v>
      </c>
      <c r="I2168" s="283" t="s">
        <v>590</v>
      </c>
      <c r="J2168" s="282" t="s">
        <v>156</v>
      </c>
      <c r="K2168" s="283" t="s">
        <v>3255</v>
      </c>
      <c r="L2168" s="286" t="s">
        <v>321</v>
      </c>
      <c r="M2168" s="293"/>
      <c r="N2168" s="293">
        <v>3.48</v>
      </c>
      <c r="O2168" s="287"/>
      <c r="P2168" s="287"/>
      <c r="Q2168" s="288">
        <v>12.4</v>
      </c>
      <c r="R2168" s="288">
        <v>12.5</v>
      </c>
      <c r="S2168" s="288">
        <v>-0.1</v>
      </c>
      <c r="T2168" s="288"/>
      <c r="U2168" s="288">
        <v>0</v>
      </c>
      <c r="V2168" s="289">
        <v>12.5</v>
      </c>
      <c r="W2168" s="289">
        <v>0</v>
      </c>
      <c r="X2168" s="288">
        <v>3.563218390804598</v>
      </c>
      <c r="Y2168" s="288">
        <v>3.5919540229885056</v>
      </c>
      <c r="Z2168" s="288">
        <v>-2.8735632183908049E-2</v>
      </c>
      <c r="AA2168" s="288">
        <v>0</v>
      </c>
      <c r="AB2168" s="288">
        <v>0</v>
      </c>
      <c r="AC2168" s="289">
        <v>3.5919540229885056</v>
      </c>
      <c r="AD2168" s="289">
        <v>0</v>
      </c>
    </row>
    <row r="2169" spans="1:30" ht="15" customHeight="1" x14ac:dyDescent="0.25">
      <c r="A2169" s="282" t="s">
        <v>3248</v>
      </c>
      <c r="B2169" s="282" t="s">
        <v>3248</v>
      </c>
      <c r="C2169" s="282" t="s">
        <v>3248</v>
      </c>
      <c r="D2169" s="286" t="s">
        <v>3261</v>
      </c>
      <c r="E2169" s="403">
        <v>45005</v>
      </c>
      <c r="F2169" s="403">
        <v>46832</v>
      </c>
      <c r="G2169" s="283" t="s">
        <v>154</v>
      </c>
      <c r="H2169" s="283" t="s">
        <v>3250</v>
      </c>
      <c r="I2169" s="283" t="s">
        <v>3251</v>
      </c>
      <c r="J2169" s="282" t="s">
        <v>156</v>
      </c>
      <c r="K2169" s="283" t="s">
        <v>3252</v>
      </c>
      <c r="L2169" s="286" t="s">
        <v>321</v>
      </c>
      <c r="M2169" s="293"/>
      <c r="N2169" s="293">
        <v>4.4800000000000004</v>
      </c>
      <c r="O2169" s="287"/>
      <c r="P2169" s="287"/>
      <c r="Q2169" s="288">
        <v>15.078999999999999</v>
      </c>
      <c r="R2169" s="288">
        <v>15.2</v>
      </c>
      <c r="S2169" s="288">
        <v>-0.121</v>
      </c>
      <c r="T2169" s="288"/>
      <c r="U2169" s="288">
        <v>0</v>
      </c>
      <c r="V2169" s="289">
        <v>15.2</v>
      </c>
      <c r="W2169" s="289">
        <v>0</v>
      </c>
      <c r="X2169" s="288">
        <v>3.3658482142857138</v>
      </c>
      <c r="Y2169" s="288">
        <v>3.3928571428571423</v>
      </c>
      <c r="Z2169" s="288">
        <v>-2.7008928571428569E-2</v>
      </c>
      <c r="AA2169" s="288">
        <v>0</v>
      </c>
      <c r="AB2169" s="288">
        <v>0</v>
      </c>
      <c r="AC2169" s="289">
        <v>3.3928571428571423</v>
      </c>
      <c r="AD2169" s="289">
        <v>0</v>
      </c>
    </row>
    <row r="2170" spans="1:30" ht="15" customHeight="1" x14ac:dyDescent="0.25">
      <c r="A2170" s="282" t="s">
        <v>3248</v>
      </c>
      <c r="B2170" s="282" t="s">
        <v>3248</v>
      </c>
      <c r="C2170" s="282" t="s">
        <v>3248</v>
      </c>
      <c r="D2170" s="286" t="s">
        <v>3262</v>
      </c>
      <c r="E2170" s="403">
        <v>45005</v>
      </c>
      <c r="F2170" s="403">
        <v>46832</v>
      </c>
      <c r="G2170" s="283" t="s">
        <v>154</v>
      </c>
      <c r="H2170" s="283" t="s">
        <v>3250</v>
      </c>
      <c r="I2170" s="283" t="s">
        <v>3251</v>
      </c>
      <c r="J2170" s="282" t="s">
        <v>156</v>
      </c>
      <c r="K2170" s="283" t="s">
        <v>3252</v>
      </c>
      <c r="L2170" s="286" t="s">
        <v>321</v>
      </c>
      <c r="M2170" s="293"/>
      <c r="N2170" s="293">
        <v>3.93</v>
      </c>
      <c r="O2170" s="287"/>
      <c r="P2170" s="287"/>
      <c r="Q2170" s="288">
        <v>13.593</v>
      </c>
      <c r="R2170" s="288">
        <v>13.7</v>
      </c>
      <c r="S2170" s="288">
        <v>-0.107</v>
      </c>
      <c r="T2170" s="288"/>
      <c r="U2170" s="288">
        <v>0</v>
      </c>
      <c r="V2170" s="289">
        <v>13.7</v>
      </c>
      <c r="W2170" s="289">
        <v>0</v>
      </c>
      <c r="X2170" s="288">
        <v>3.4587786259541984</v>
      </c>
      <c r="Y2170" s="288">
        <v>3.4860050890585237</v>
      </c>
      <c r="Z2170" s="288">
        <v>-2.7226463104325697E-2</v>
      </c>
      <c r="AA2170" s="288">
        <v>0</v>
      </c>
      <c r="AB2170" s="288">
        <v>0</v>
      </c>
      <c r="AC2170" s="289">
        <v>3.4860050890585237</v>
      </c>
      <c r="AD2170" s="289">
        <v>0</v>
      </c>
    </row>
    <row r="2171" spans="1:30" ht="15" customHeight="1" x14ac:dyDescent="0.25">
      <c r="A2171" s="282" t="s">
        <v>3248</v>
      </c>
      <c r="B2171" s="282" t="s">
        <v>3248</v>
      </c>
      <c r="C2171" s="282" t="s">
        <v>3248</v>
      </c>
      <c r="D2171" s="286" t="s">
        <v>3263</v>
      </c>
      <c r="E2171" s="403">
        <v>45005</v>
      </c>
      <c r="F2171" s="403">
        <v>46832</v>
      </c>
      <c r="G2171" s="283" t="s">
        <v>154</v>
      </c>
      <c r="H2171" s="283" t="s">
        <v>3250</v>
      </c>
      <c r="I2171" s="283" t="s">
        <v>3251</v>
      </c>
      <c r="J2171" s="282" t="s">
        <v>156</v>
      </c>
      <c r="K2171" s="283" t="s">
        <v>3252</v>
      </c>
      <c r="L2171" s="286" t="s">
        <v>321</v>
      </c>
      <c r="M2171" s="293"/>
      <c r="N2171" s="293">
        <v>3.69</v>
      </c>
      <c r="O2171" s="287"/>
      <c r="P2171" s="287"/>
      <c r="Q2171" s="288">
        <v>12.998999999999999</v>
      </c>
      <c r="R2171" s="288">
        <v>13.1</v>
      </c>
      <c r="S2171" s="288">
        <v>-0.10100000000000001</v>
      </c>
      <c r="T2171" s="288"/>
      <c r="U2171" s="288">
        <v>0</v>
      </c>
      <c r="V2171" s="289">
        <v>13.1</v>
      </c>
      <c r="W2171" s="289">
        <v>0</v>
      </c>
      <c r="X2171" s="288">
        <v>3.5227642276422761</v>
      </c>
      <c r="Y2171" s="288">
        <v>3.5501355013550135</v>
      </c>
      <c r="Z2171" s="288">
        <v>-2.7371273712737128E-2</v>
      </c>
      <c r="AA2171" s="288">
        <v>0</v>
      </c>
      <c r="AB2171" s="288">
        <v>0</v>
      </c>
      <c r="AC2171" s="289">
        <v>3.5501355013550135</v>
      </c>
      <c r="AD2171" s="289">
        <v>0</v>
      </c>
    </row>
    <row r="2172" spans="1:30" ht="15" customHeight="1" x14ac:dyDescent="0.25">
      <c r="A2172" s="282" t="s">
        <v>3248</v>
      </c>
      <c r="B2172" s="282" t="s">
        <v>3248</v>
      </c>
      <c r="C2172" s="282" t="s">
        <v>3248</v>
      </c>
      <c r="D2172" s="286" t="s">
        <v>3264</v>
      </c>
      <c r="E2172" s="403">
        <v>45005</v>
      </c>
      <c r="F2172" s="403">
        <v>46832</v>
      </c>
      <c r="G2172" s="283" t="s">
        <v>154</v>
      </c>
      <c r="H2172" s="283" t="s">
        <v>3250</v>
      </c>
      <c r="I2172" s="283" t="s">
        <v>3251</v>
      </c>
      <c r="J2172" s="282" t="s">
        <v>156</v>
      </c>
      <c r="K2172" s="283" t="s">
        <v>3252</v>
      </c>
      <c r="L2172" s="286" t="s">
        <v>321</v>
      </c>
      <c r="M2172" s="293"/>
      <c r="N2172" s="293">
        <v>3.46</v>
      </c>
      <c r="O2172" s="287"/>
      <c r="P2172" s="287"/>
      <c r="Q2172" s="288">
        <v>12.3048</v>
      </c>
      <c r="R2172" s="288">
        <v>12.4</v>
      </c>
      <c r="S2172" s="288">
        <v>-9.5200000000000007E-2</v>
      </c>
      <c r="T2172" s="288"/>
      <c r="U2172" s="288">
        <v>0</v>
      </c>
      <c r="V2172" s="289">
        <v>12.4</v>
      </c>
      <c r="W2172" s="289">
        <v>0</v>
      </c>
      <c r="X2172" s="288">
        <v>3.5563005780346821</v>
      </c>
      <c r="Y2172" s="288">
        <v>3.5838150289017343</v>
      </c>
      <c r="Z2172" s="288">
        <v>-2.7514450867052027E-2</v>
      </c>
      <c r="AA2172" s="288">
        <v>0</v>
      </c>
      <c r="AB2172" s="288">
        <v>0</v>
      </c>
      <c r="AC2172" s="289">
        <v>3.5838150289017343</v>
      </c>
      <c r="AD2172" s="289">
        <v>0</v>
      </c>
    </row>
    <row r="2173" spans="1:30" ht="15" customHeight="1" x14ac:dyDescent="0.25">
      <c r="A2173" s="282" t="s">
        <v>3248</v>
      </c>
      <c r="B2173" s="282" t="s">
        <v>3248</v>
      </c>
      <c r="C2173" s="282" t="s">
        <v>3248</v>
      </c>
      <c r="D2173" s="286" t="s">
        <v>3265</v>
      </c>
      <c r="E2173" s="403">
        <v>45005</v>
      </c>
      <c r="F2173" s="403">
        <v>46832</v>
      </c>
      <c r="G2173" s="283" t="s">
        <v>154</v>
      </c>
      <c r="H2173" s="283" t="s">
        <v>3250</v>
      </c>
      <c r="I2173" s="283" t="s">
        <v>3251</v>
      </c>
      <c r="J2173" s="282" t="s">
        <v>156</v>
      </c>
      <c r="K2173" s="283" t="s">
        <v>3252</v>
      </c>
      <c r="L2173" s="286" t="s">
        <v>321</v>
      </c>
      <c r="M2173" s="293"/>
      <c r="N2173" s="293">
        <v>3.3</v>
      </c>
      <c r="O2173" s="287"/>
      <c r="P2173" s="287"/>
      <c r="Q2173" s="288">
        <v>11.908799999999999</v>
      </c>
      <c r="R2173" s="288">
        <v>12</v>
      </c>
      <c r="S2173" s="288">
        <v>-9.1200000000000003E-2</v>
      </c>
      <c r="T2173" s="288"/>
      <c r="U2173" s="288">
        <v>0</v>
      </c>
      <c r="V2173" s="289">
        <v>12</v>
      </c>
      <c r="W2173" s="289">
        <v>0</v>
      </c>
      <c r="X2173" s="288">
        <v>3.6087272727272728</v>
      </c>
      <c r="Y2173" s="288">
        <v>3.6363636363636367</v>
      </c>
      <c r="Z2173" s="288">
        <v>-2.7636363636363639E-2</v>
      </c>
      <c r="AA2173" s="288">
        <v>0</v>
      </c>
      <c r="AB2173" s="288">
        <v>0</v>
      </c>
      <c r="AC2173" s="289">
        <v>3.6363636363636367</v>
      </c>
      <c r="AD2173" s="289">
        <v>0</v>
      </c>
    </row>
    <row r="2174" spans="1:30" ht="15" customHeight="1" x14ac:dyDescent="0.25">
      <c r="A2174" s="282" t="s">
        <v>3248</v>
      </c>
      <c r="B2174" s="282" t="s">
        <v>3248</v>
      </c>
      <c r="C2174" s="282" t="s">
        <v>3248</v>
      </c>
      <c r="D2174" s="286" t="s">
        <v>3266</v>
      </c>
      <c r="E2174" s="403">
        <v>45005</v>
      </c>
      <c r="F2174" s="403">
        <v>46832</v>
      </c>
      <c r="G2174" s="283" t="s">
        <v>154</v>
      </c>
      <c r="H2174" s="283" t="s">
        <v>3250</v>
      </c>
      <c r="I2174" s="283" t="s">
        <v>3251</v>
      </c>
      <c r="J2174" s="282" t="s">
        <v>156</v>
      </c>
      <c r="K2174" s="283" t="s">
        <v>3252</v>
      </c>
      <c r="L2174" s="286" t="s">
        <v>321</v>
      </c>
      <c r="M2174" s="293"/>
      <c r="N2174" s="293">
        <v>2.91</v>
      </c>
      <c r="O2174" s="287"/>
      <c r="P2174" s="287"/>
      <c r="Q2174" s="288">
        <v>10.8186</v>
      </c>
      <c r="R2174" s="288">
        <v>10.9</v>
      </c>
      <c r="S2174" s="288">
        <v>-8.14E-2</v>
      </c>
      <c r="T2174" s="288"/>
      <c r="U2174" s="288">
        <v>0</v>
      </c>
      <c r="V2174" s="289">
        <v>10.9</v>
      </c>
      <c r="W2174" s="289">
        <v>0</v>
      </c>
      <c r="X2174" s="288">
        <v>3.7177319587628865</v>
      </c>
      <c r="Y2174" s="288">
        <v>3.7457044673539519</v>
      </c>
      <c r="Z2174" s="288">
        <v>-2.7972508591065291E-2</v>
      </c>
      <c r="AA2174" s="288">
        <v>0</v>
      </c>
      <c r="AB2174" s="288">
        <v>0</v>
      </c>
      <c r="AC2174" s="289">
        <v>3.7457044673539519</v>
      </c>
      <c r="AD2174" s="289">
        <v>0</v>
      </c>
    </row>
    <row r="2175" spans="1:30" ht="15" customHeight="1" x14ac:dyDescent="0.25">
      <c r="A2175" s="282" t="s">
        <v>3248</v>
      </c>
      <c r="B2175" s="282" t="s">
        <v>3248</v>
      </c>
      <c r="C2175" s="282" t="s">
        <v>3248</v>
      </c>
      <c r="D2175" s="286" t="s">
        <v>3267</v>
      </c>
      <c r="E2175" s="403">
        <v>45005</v>
      </c>
      <c r="F2175" s="403">
        <v>46832</v>
      </c>
      <c r="G2175" s="283" t="s">
        <v>154</v>
      </c>
      <c r="H2175" s="283" t="s">
        <v>3250</v>
      </c>
      <c r="I2175" s="283" t="s">
        <v>3251</v>
      </c>
      <c r="J2175" s="282" t="s">
        <v>156</v>
      </c>
      <c r="K2175" s="283" t="s">
        <v>3252</v>
      </c>
      <c r="L2175" s="286" t="s">
        <v>321</v>
      </c>
      <c r="M2175" s="293"/>
      <c r="N2175" s="293">
        <v>2.5099999999999998</v>
      </c>
      <c r="O2175" s="287"/>
      <c r="P2175" s="287"/>
      <c r="Q2175" s="288">
        <v>9.7683999999999997</v>
      </c>
      <c r="R2175" s="288">
        <v>9.84</v>
      </c>
      <c r="S2175" s="288">
        <v>-7.1599999999999997E-2</v>
      </c>
      <c r="T2175" s="288"/>
      <c r="U2175" s="288">
        <v>0</v>
      </c>
      <c r="V2175" s="289">
        <v>9.84</v>
      </c>
      <c r="W2175" s="289">
        <v>0</v>
      </c>
      <c r="X2175" s="288">
        <v>3.8917928286852592</v>
      </c>
      <c r="Y2175" s="288">
        <v>3.9203187250996017</v>
      </c>
      <c r="Z2175" s="288">
        <v>-2.8525896414342632E-2</v>
      </c>
      <c r="AA2175" s="288">
        <v>0</v>
      </c>
      <c r="AB2175" s="288">
        <v>0</v>
      </c>
      <c r="AC2175" s="289">
        <v>3.9203187250996017</v>
      </c>
      <c r="AD2175" s="289">
        <v>0</v>
      </c>
    </row>
    <row r="2176" spans="1:30" ht="15" customHeight="1" x14ac:dyDescent="0.25">
      <c r="A2176" s="282" t="s">
        <v>3248</v>
      </c>
      <c r="B2176" s="282" t="s">
        <v>3248</v>
      </c>
      <c r="C2176" s="282" t="s">
        <v>3248</v>
      </c>
      <c r="D2176" s="286" t="s">
        <v>3268</v>
      </c>
      <c r="E2176" s="403">
        <v>45008</v>
      </c>
      <c r="F2176" s="403">
        <v>46835</v>
      </c>
      <c r="G2176" s="283" t="s">
        <v>154</v>
      </c>
      <c r="H2176" s="283" t="s">
        <v>3254</v>
      </c>
      <c r="I2176" s="283" t="s">
        <v>590</v>
      </c>
      <c r="J2176" s="282" t="s">
        <v>156</v>
      </c>
      <c r="K2176" s="283" t="s">
        <v>3255</v>
      </c>
      <c r="L2176" s="286" t="s">
        <v>321</v>
      </c>
      <c r="M2176" s="293"/>
      <c r="N2176" s="293">
        <v>3.48</v>
      </c>
      <c r="O2176" s="287"/>
      <c r="P2176" s="287"/>
      <c r="Q2176" s="288">
        <v>12.0898</v>
      </c>
      <c r="R2176" s="288">
        <v>12.1</v>
      </c>
      <c r="S2176" s="288">
        <v>-1.0200000000000001E-2</v>
      </c>
      <c r="T2176" s="288"/>
      <c r="U2176" s="288">
        <v>0</v>
      </c>
      <c r="V2176" s="289">
        <v>12.1</v>
      </c>
      <c r="W2176" s="289">
        <v>0</v>
      </c>
      <c r="X2176" s="288">
        <v>3.4740804597701151</v>
      </c>
      <c r="Y2176" s="288">
        <v>3.4770114942528734</v>
      </c>
      <c r="Z2176" s="288">
        <v>-2.9310344827586207E-3</v>
      </c>
      <c r="AA2176" s="288">
        <v>0</v>
      </c>
      <c r="AB2176" s="288">
        <v>0</v>
      </c>
      <c r="AC2176" s="289">
        <v>3.4770114942528734</v>
      </c>
      <c r="AD2176" s="289">
        <v>0</v>
      </c>
    </row>
    <row r="2177" spans="1:30" ht="15" customHeight="1" x14ac:dyDescent="0.25">
      <c r="A2177" s="282" t="s">
        <v>3248</v>
      </c>
      <c r="B2177" s="282" t="s">
        <v>3248</v>
      </c>
      <c r="C2177" s="282" t="s">
        <v>3248</v>
      </c>
      <c r="D2177" s="286" t="s">
        <v>3269</v>
      </c>
      <c r="E2177" s="403">
        <v>45138</v>
      </c>
      <c r="F2177" s="403">
        <v>46965</v>
      </c>
      <c r="G2177" s="283" t="s">
        <v>154</v>
      </c>
      <c r="H2177" s="283" t="s">
        <v>3270</v>
      </c>
      <c r="I2177" s="283" t="s">
        <v>590</v>
      </c>
      <c r="J2177" s="282" t="s">
        <v>156</v>
      </c>
      <c r="K2177" s="283" t="s">
        <v>3271</v>
      </c>
      <c r="L2177" s="286" t="s">
        <v>321</v>
      </c>
      <c r="M2177" s="293"/>
      <c r="N2177" s="293">
        <v>3.47</v>
      </c>
      <c r="O2177" s="287"/>
      <c r="P2177" s="287"/>
      <c r="Q2177" s="288">
        <v>12.3901</v>
      </c>
      <c r="R2177" s="288">
        <v>12.4</v>
      </c>
      <c r="S2177" s="288">
        <v>-9.9000000000000008E-3</v>
      </c>
      <c r="T2177" s="288"/>
      <c r="U2177" s="288">
        <v>0</v>
      </c>
      <c r="V2177" s="289">
        <v>12.4</v>
      </c>
      <c r="W2177" s="289">
        <v>0</v>
      </c>
      <c r="X2177" s="288">
        <v>3.5706340057636887</v>
      </c>
      <c r="Y2177" s="288">
        <v>3.5734870317002883</v>
      </c>
      <c r="Z2177" s="288">
        <v>-2.8530259365994238E-3</v>
      </c>
      <c r="AA2177" s="288">
        <v>0</v>
      </c>
      <c r="AB2177" s="288">
        <v>0</v>
      </c>
      <c r="AC2177" s="289">
        <v>3.5734870317002883</v>
      </c>
      <c r="AD2177" s="289">
        <v>0</v>
      </c>
    </row>
    <row r="2178" spans="1:30" ht="15" customHeight="1" x14ac:dyDescent="0.25">
      <c r="A2178" s="282" t="s">
        <v>3248</v>
      </c>
      <c r="B2178" s="282" t="s">
        <v>3248</v>
      </c>
      <c r="C2178" s="282" t="s">
        <v>3248</v>
      </c>
      <c r="D2178" s="286" t="s">
        <v>3272</v>
      </c>
      <c r="E2178" s="403">
        <v>45008</v>
      </c>
      <c r="F2178" s="403">
        <v>46835</v>
      </c>
      <c r="G2178" s="283" t="s">
        <v>154</v>
      </c>
      <c r="H2178" s="283" t="s">
        <v>3254</v>
      </c>
      <c r="I2178" s="283" t="s">
        <v>590</v>
      </c>
      <c r="J2178" s="282" t="s">
        <v>156</v>
      </c>
      <c r="K2178" s="283" t="s">
        <v>3255</v>
      </c>
      <c r="L2178" s="286" t="s">
        <v>321</v>
      </c>
      <c r="M2178" s="293"/>
      <c r="N2178" s="293">
        <v>3.95</v>
      </c>
      <c r="O2178" s="287"/>
      <c r="P2178" s="287"/>
      <c r="Q2178" s="288">
        <v>13.290190000000001</v>
      </c>
      <c r="R2178" s="288">
        <v>13.3</v>
      </c>
      <c r="S2178" s="288">
        <v>-9.8099999999999993E-3</v>
      </c>
      <c r="T2178" s="288"/>
      <c r="U2178" s="288">
        <v>0</v>
      </c>
      <c r="V2178" s="289">
        <v>13.3</v>
      </c>
      <c r="W2178" s="289">
        <v>0</v>
      </c>
      <c r="X2178" s="288">
        <v>3.3646050632911395</v>
      </c>
      <c r="Y2178" s="288">
        <v>3.3670886075949369</v>
      </c>
      <c r="Z2178" s="288">
        <v>-2.4835443037974679E-3</v>
      </c>
      <c r="AA2178" s="288">
        <v>0</v>
      </c>
      <c r="AB2178" s="288">
        <v>0</v>
      </c>
      <c r="AC2178" s="289">
        <v>3.3670886075949369</v>
      </c>
      <c r="AD2178" s="289">
        <v>0</v>
      </c>
    </row>
    <row r="2179" spans="1:30" ht="15" customHeight="1" x14ac:dyDescent="0.25">
      <c r="A2179" s="282" t="s">
        <v>3248</v>
      </c>
      <c r="B2179" s="282" t="s">
        <v>3248</v>
      </c>
      <c r="C2179" s="282" t="s">
        <v>3248</v>
      </c>
      <c r="D2179" s="286" t="s">
        <v>3273</v>
      </c>
      <c r="E2179" s="403">
        <v>45138</v>
      </c>
      <c r="F2179" s="403">
        <v>46965</v>
      </c>
      <c r="G2179" s="283" t="s">
        <v>154</v>
      </c>
      <c r="H2179" s="283" t="s">
        <v>3270</v>
      </c>
      <c r="I2179" s="283" t="s">
        <v>590</v>
      </c>
      <c r="J2179" s="282" t="s">
        <v>156</v>
      </c>
      <c r="K2179" s="283" t="s">
        <v>3271</v>
      </c>
      <c r="L2179" s="286" t="s">
        <v>321</v>
      </c>
      <c r="M2179" s="293"/>
      <c r="N2179" s="293">
        <v>3.94</v>
      </c>
      <c r="O2179" s="287"/>
      <c r="P2179" s="287"/>
      <c r="Q2179" s="288">
        <v>13.690469999999999</v>
      </c>
      <c r="R2179" s="288">
        <v>13.7</v>
      </c>
      <c r="S2179" s="288">
        <v>-9.5300000000000003E-3</v>
      </c>
      <c r="T2179" s="288"/>
      <c r="U2179" s="288">
        <v>0</v>
      </c>
      <c r="V2179" s="289">
        <v>13.7</v>
      </c>
      <c r="W2179" s="289">
        <v>0</v>
      </c>
      <c r="X2179" s="288">
        <v>3.4747385786802027</v>
      </c>
      <c r="Y2179" s="288">
        <v>3.4771573604060912</v>
      </c>
      <c r="Z2179" s="288">
        <v>-2.4187817258883248E-3</v>
      </c>
      <c r="AA2179" s="288">
        <v>0</v>
      </c>
      <c r="AB2179" s="288">
        <v>0</v>
      </c>
      <c r="AC2179" s="289">
        <v>3.4771573604060912</v>
      </c>
      <c r="AD2179" s="289">
        <v>0</v>
      </c>
    </row>
    <row r="2180" spans="1:30" ht="15" customHeight="1" x14ac:dyDescent="0.25">
      <c r="A2180" s="282" t="s">
        <v>3248</v>
      </c>
      <c r="B2180" s="282" t="s">
        <v>3248</v>
      </c>
      <c r="C2180" s="282" t="s">
        <v>3248</v>
      </c>
      <c r="D2180" s="286" t="s">
        <v>3274</v>
      </c>
      <c r="E2180" s="403">
        <v>45005</v>
      </c>
      <c r="F2180" s="403">
        <v>46832</v>
      </c>
      <c r="G2180" s="283" t="s">
        <v>154</v>
      </c>
      <c r="H2180" s="283" t="s">
        <v>3250</v>
      </c>
      <c r="I2180" s="283" t="s">
        <v>3251</v>
      </c>
      <c r="J2180" s="282" t="s">
        <v>156</v>
      </c>
      <c r="K2180" s="283" t="s">
        <v>3252</v>
      </c>
      <c r="L2180" s="286" t="s">
        <v>321</v>
      </c>
      <c r="M2180" s="293"/>
      <c r="N2180" s="293">
        <v>2.5099999999999998</v>
      </c>
      <c r="O2180" s="287"/>
      <c r="P2180" s="287"/>
      <c r="Q2180" s="288">
        <v>9.4834700000000005</v>
      </c>
      <c r="R2180" s="288">
        <v>9.49</v>
      </c>
      <c r="S2180" s="288">
        <v>-6.5300000000000002E-3</v>
      </c>
      <c r="T2180" s="288"/>
      <c r="U2180" s="288">
        <v>0</v>
      </c>
      <c r="V2180" s="289">
        <v>9.49</v>
      </c>
      <c r="W2180" s="289">
        <v>0</v>
      </c>
      <c r="X2180" s="288">
        <v>3.7782749003984071</v>
      </c>
      <c r="Y2180" s="288">
        <v>3.7808764940239046</v>
      </c>
      <c r="Z2180" s="288">
        <v>-2.6015936254980081E-3</v>
      </c>
      <c r="AA2180" s="288">
        <v>0</v>
      </c>
      <c r="AB2180" s="288">
        <v>0</v>
      </c>
      <c r="AC2180" s="289">
        <v>3.7808764940239046</v>
      </c>
      <c r="AD2180" s="289">
        <v>0</v>
      </c>
    </row>
    <row r="2181" spans="1:30" ht="15" customHeight="1" x14ac:dyDescent="0.25">
      <c r="A2181" s="282" t="s">
        <v>3248</v>
      </c>
      <c r="B2181" s="282" t="s">
        <v>3248</v>
      </c>
      <c r="C2181" s="282" t="s">
        <v>3248</v>
      </c>
      <c r="D2181" s="286" t="s">
        <v>3275</v>
      </c>
      <c r="E2181" s="403">
        <v>45008</v>
      </c>
      <c r="F2181" s="403">
        <v>46835</v>
      </c>
      <c r="G2181" s="283" t="s">
        <v>154</v>
      </c>
      <c r="H2181" s="283" t="s">
        <v>3254</v>
      </c>
      <c r="I2181" s="283" t="s">
        <v>590</v>
      </c>
      <c r="J2181" s="282" t="s">
        <v>156</v>
      </c>
      <c r="K2181" s="283" t="s">
        <v>3255</v>
      </c>
      <c r="L2181" s="286" t="s">
        <v>321</v>
      </c>
      <c r="M2181" s="293"/>
      <c r="N2181" s="293">
        <v>4.5</v>
      </c>
      <c r="O2181" s="287"/>
      <c r="P2181" s="287"/>
      <c r="Q2181" s="288">
        <v>14.79063</v>
      </c>
      <c r="R2181" s="288">
        <v>14.8</v>
      </c>
      <c r="S2181" s="288">
        <v>-9.3699999999999999E-3</v>
      </c>
      <c r="T2181" s="288"/>
      <c r="U2181" s="288">
        <v>0</v>
      </c>
      <c r="V2181" s="289">
        <v>14.8</v>
      </c>
      <c r="W2181" s="289">
        <v>0</v>
      </c>
      <c r="X2181" s="288">
        <v>3.2868066666666667</v>
      </c>
      <c r="Y2181" s="288">
        <v>3.2888888888888892</v>
      </c>
      <c r="Z2181" s="288">
        <v>-2.0822222222222223E-3</v>
      </c>
      <c r="AA2181" s="288">
        <v>0</v>
      </c>
      <c r="AB2181" s="288">
        <v>0</v>
      </c>
      <c r="AC2181" s="289">
        <v>3.2888888888888892</v>
      </c>
      <c r="AD2181" s="289">
        <v>0</v>
      </c>
    </row>
    <row r="2182" spans="1:30" ht="15" customHeight="1" x14ac:dyDescent="0.25">
      <c r="A2182" s="282" t="s">
        <v>3248</v>
      </c>
      <c r="B2182" s="282" t="s">
        <v>3248</v>
      </c>
      <c r="C2182" s="282" t="s">
        <v>3248</v>
      </c>
      <c r="D2182" s="286" t="s">
        <v>3276</v>
      </c>
      <c r="E2182" s="403">
        <v>45138</v>
      </c>
      <c r="F2182" s="403">
        <v>46965</v>
      </c>
      <c r="G2182" s="283" t="s">
        <v>154</v>
      </c>
      <c r="H2182" s="283" t="s">
        <v>3270</v>
      </c>
      <c r="I2182" s="283" t="s">
        <v>590</v>
      </c>
      <c r="J2182" s="282" t="s">
        <v>156</v>
      </c>
      <c r="K2182" s="283" t="s">
        <v>3271</v>
      </c>
      <c r="L2182" s="286" t="s">
        <v>321</v>
      </c>
      <c r="M2182" s="293"/>
      <c r="N2182" s="293">
        <v>4.49</v>
      </c>
      <c r="O2182" s="287"/>
      <c r="P2182" s="287"/>
      <c r="Q2182" s="288">
        <v>15.090909999999999</v>
      </c>
      <c r="R2182" s="288">
        <v>15.1</v>
      </c>
      <c r="S2182" s="288">
        <v>-9.0900000000000009E-3</v>
      </c>
      <c r="T2182" s="288"/>
      <c r="U2182" s="288">
        <v>0</v>
      </c>
      <c r="V2182" s="289">
        <v>15.1</v>
      </c>
      <c r="W2182" s="289">
        <v>0</v>
      </c>
      <c r="X2182" s="288">
        <v>3.361004454342984</v>
      </c>
      <c r="Y2182" s="288">
        <v>3.3630289532293984</v>
      </c>
      <c r="Z2182" s="288">
        <v>-2.0244988864142541E-3</v>
      </c>
      <c r="AA2182" s="288">
        <v>0</v>
      </c>
      <c r="AB2182" s="288">
        <v>0</v>
      </c>
      <c r="AC2182" s="289">
        <v>3.3630289532293984</v>
      </c>
      <c r="AD2182" s="289">
        <v>0</v>
      </c>
    </row>
    <row r="2183" spans="1:30" ht="15" customHeight="1" x14ac:dyDescent="0.25">
      <c r="A2183" s="282" t="s">
        <v>3248</v>
      </c>
      <c r="B2183" s="282" t="s">
        <v>3248</v>
      </c>
      <c r="C2183" s="282" t="s">
        <v>3248</v>
      </c>
      <c r="D2183" s="286" t="s">
        <v>3277</v>
      </c>
      <c r="E2183" s="403">
        <v>45005</v>
      </c>
      <c r="F2183" s="403">
        <v>46832</v>
      </c>
      <c r="G2183" s="283" t="s">
        <v>154</v>
      </c>
      <c r="H2183" s="283" t="s">
        <v>3250</v>
      </c>
      <c r="I2183" s="283" t="s">
        <v>3251</v>
      </c>
      <c r="J2183" s="282" t="s">
        <v>156</v>
      </c>
      <c r="K2183" s="283" t="s">
        <v>3252</v>
      </c>
      <c r="L2183" s="286" t="s">
        <v>321</v>
      </c>
      <c r="M2183" s="293"/>
      <c r="N2183" s="293">
        <v>2.91</v>
      </c>
      <c r="O2183" s="287"/>
      <c r="P2183" s="287"/>
      <c r="Q2183" s="288">
        <v>10.493790000000001</v>
      </c>
      <c r="R2183" s="288">
        <v>10.5</v>
      </c>
      <c r="S2183" s="288">
        <v>-6.2100000000000002E-3</v>
      </c>
      <c r="T2183" s="288"/>
      <c r="U2183" s="288">
        <v>0</v>
      </c>
      <c r="V2183" s="289">
        <v>10.5</v>
      </c>
      <c r="W2183" s="289">
        <v>0</v>
      </c>
      <c r="X2183" s="288">
        <v>3.6061134020618555</v>
      </c>
      <c r="Y2183" s="288">
        <v>3.608247422680412</v>
      </c>
      <c r="Z2183" s="288">
        <v>-2.134020618556701E-3</v>
      </c>
      <c r="AA2183" s="288">
        <v>0</v>
      </c>
      <c r="AB2183" s="288">
        <v>0</v>
      </c>
      <c r="AC2183" s="289">
        <v>3.608247422680412</v>
      </c>
      <c r="AD2183" s="289">
        <v>0</v>
      </c>
    </row>
    <row r="2184" spans="1:30" ht="15" customHeight="1" x14ac:dyDescent="0.25">
      <c r="A2184" s="282" t="s">
        <v>3248</v>
      </c>
      <c r="B2184" s="282" t="s">
        <v>3248</v>
      </c>
      <c r="C2184" s="282" t="s">
        <v>3248</v>
      </c>
      <c r="D2184" s="286" t="s">
        <v>3278</v>
      </c>
      <c r="E2184" s="403">
        <v>45138</v>
      </c>
      <c r="F2184" s="403">
        <v>46965</v>
      </c>
      <c r="G2184" s="283" t="s">
        <v>154</v>
      </c>
      <c r="H2184" s="283" t="s">
        <v>3270</v>
      </c>
      <c r="I2184" s="283" t="s">
        <v>590</v>
      </c>
      <c r="J2184" s="282" t="s">
        <v>156</v>
      </c>
      <c r="K2184" s="283" t="s">
        <v>3271</v>
      </c>
      <c r="L2184" s="286" t="s">
        <v>321</v>
      </c>
      <c r="M2184" s="293"/>
      <c r="N2184" s="293">
        <v>4.88</v>
      </c>
      <c r="O2184" s="287"/>
      <c r="P2184" s="287"/>
      <c r="Q2184" s="288">
        <v>16.09122</v>
      </c>
      <c r="R2184" s="288">
        <v>16.100000000000001</v>
      </c>
      <c r="S2184" s="288">
        <v>-8.7799999999999996E-3</v>
      </c>
      <c r="T2184" s="288"/>
      <c r="U2184" s="288">
        <v>0</v>
      </c>
      <c r="V2184" s="289">
        <v>16.100000000000001</v>
      </c>
      <c r="W2184" s="289">
        <v>0</v>
      </c>
      <c r="X2184" s="288">
        <v>3.2973811475409835</v>
      </c>
      <c r="Y2184" s="288">
        <v>3.2991803278688527</v>
      </c>
      <c r="Z2184" s="288">
        <v>-1.7991803278688523E-3</v>
      </c>
      <c r="AA2184" s="288">
        <v>0</v>
      </c>
      <c r="AB2184" s="288">
        <v>0</v>
      </c>
      <c r="AC2184" s="289">
        <v>3.2991803278688527</v>
      </c>
      <c r="AD2184" s="289">
        <v>0</v>
      </c>
    </row>
    <row r="2185" spans="1:30" ht="15" customHeight="1" x14ac:dyDescent="0.25">
      <c r="A2185" s="282" t="s">
        <v>3248</v>
      </c>
      <c r="B2185" s="282" t="s">
        <v>3248</v>
      </c>
      <c r="C2185" s="282" t="s">
        <v>3248</v>
      </c>
      <c r="D2185" s="286" t="s">
        <v>3279</v>
      </c>
      <c r="E2185" s="403">
        <v>45005</v>
      </c>
      <c r="F2185" s="403">
        <v>46832</v>
      </c>
      <c r="G2185" s="283" t="s">
        <v>154</v>
      </c>
      <c r="H2185" s="283" t="s">
        <v>3250</v>
      </c>
      <c r="I2185" s="283" t="s">
        <v>3251</v>
      </c>
      <c r="J2185" s="282" t="s">
        <v>156</v>
      </c>
      <c r="K2185" s="283" t="s">
        <v>3252</v>
      </c>
      <c r="L2185" s="286" t="s">
        <v>321</v>
      </c>
      <c r="M2185" s="293"/>
      <c r="N2185" s="293">
        <v>3.3</v>
      </c>
      <c r="O2185" s="287"/>
      <c r="P2185" s="287"/>
      <c r="Q2185" s="288">
        <v>11.4941</v>
      </c>
      <c r="R2185" s="288">
        <v>11.5</v>
      </c>
      <c r="S2185" s="288">
        <v>-5.8999999999999999E-3</v>
      </c>
      <c r="T2185" s="288"/>
      <c r="U2185" s="288">
        <v>0</v>
      </c>
      <c r="V2185" s="289">
        <v>11.5</v>
      </c>
      <c r="W2185" s="289">
        <v>0</v>
      </c>
      <c r="X2185" s="288">
        <v>3.4830606060606062</v>
      </c>
      <c r="Y2185" s="288">
        <v>3.4848484848484849</v>
      </c>
      <c r="Z2185" s="288">
        <v>-1.7878787878787879E-3</v>
      </c>
      <c r="AA2185" s="288">
        <v>0</v>
      </c>
      <c r="AB2185" s="288">
        <v>0</v>
      </c>
      <c r="AC2185" s="289">
        <v>3.4848484848484849</v>
      </c>
      <c r="AD2185" s="289">
        <v>0</v>
      </c>
    </row>
    <row r="2186" spans="1:30" ht="15" customHeight="1" x14ac:dyDescent="0.25">
      <c r="A2186" s="282" t="s">
        <v>3248</v>
      </c>
      <c r="B2186" s="282" t="s">
        <v>3248</v>
      </c>
      <c r="C2186" s="282" t="s">
        <v>3248</v>
      </c>
      <c r="D2186" s="286" t="s">
        <v>3280</v>
      </c>
      <c r="E2186" s="403">
        <v>45005</v>
      </c>
      <c r="F2186" s="403">
        <v>46832</v>
      </c>
      <c r="G2186" s="283" t="s">
        <v>154</v>
      </c>
      <c r="H2186" s="283" t="s">
        <v>3250</v>
      </c>
      <c r="I2186" s="283" t="s">
        <v>3251</v>
      </c>
      <c r="J2186" s="282" t="s">
        <v>156</v>
      </c>
      <c r="K2186" s="283" t="s">
        <v>3252</v>
      </c>
      <c r="L2186" s="286" t="s">
        <v>321</v>
      </c>
      <c r="M2186" s="293"/>
      <c r="N2186" s="293">
        <v>3.46</v>
      </c>
      <c r="O2186" s="287"/>
      <c r="P2186" s="287"/>
      <c r="Q2186" s="288">
        <v>11.99422</v>
      </c>
      <c r="R2186" s="288">
        <v>12</v>
      </c>
      <c r="S2186" s="288">
        <v>-5.7800000000000004E-3</v>
      </c>
      <c r="T2186" s="288"/>
      <c r="U2186" s="288">
        <v>0</v>
      </c>
      <c r="V2186" s="289">
        <v>12</v>
      </c>
      <c r="W2186" s="289">
        <v>0</v>
      </c>
      <c r="X2186" s="288">
        <v>3.4665375722543352</v>
      </c>
      <c r="Y2186" s="288">
        <v>3.4682080924855492</v>
      </c>
      <c r="Z2186" s="288">
        <v>-1.6705202312138729E-3</v>
      </c>
      <c r="AA2186" s="288">
        <v>0</v>
      </c>
      <c r="AB2186" s="288">
        <v>0</v>
      </c>
      <c r="AC2186" s="289">
        <v>3.4682080924855492</v>
      </c>
      <c r="AD2186" s="289">
        <v>0</v>
      </c>
    </row>
    <row r="2187" spans="1:30" ht="15" customHeight="1" x14ac:dyDescent="0.25">
      <c r="A2187" s="282" t="s">
        <v>3248</v>
      </c>
      <c r="B2187" s="282" t="s">
        <v>3248</v>
      </c>
      <c r="C2187" s="282" t="s">
        <v>3248</v>
      </c>
      <c r="D2187" s="286" t="s">
        <v>3281</v>
      </c>
      <c r="E2187" s="403">
        <v>45138</v>
      </c>
      <c r="F2187" s="403">
        <v>46965</v>
      </c>
      <c r="G2187" s="283" t="s">
        <v>154</v>
      </c>
      <c r="H2187" s="283" t="s">
        <v>3270</v>
      </c>
      <c r="I2187" s="283" t="s">
        <v>590</v>
      </c>
      <c r="J2187" s="282" t="s">
        <v>156</v>
      </c>
      <c r="K2187" s="283" t="s">
        <v>3271</v>
      </c>
      <c r="L2187" s="286" t="s">
        <v>321</v>
      </c>
      <c r="M2187" s="293"/>
      <c r="N2187" s="293">
        <v>5.67</v>
      </c>
      <c r="O2187" s="287"/>
      <c r="P2187" s="287"/>
      <c r="Q2187" s="288">
        <v>18.191849999999999</v>
      </c>
      <c r="R2187" s="288">
        <v>18.2</v>
      </c>
      <c r="S2187" s="288">
        <v>-8.1499999999999993E-3</v>
      </c>
      <c r="T2187" s="288"/>
      <c r="U2187" s="288">
        <v>0</v>
      </c>
      <c r="V2187" s="289">
        <v>18.2</v>
      </c>
      <c r="W2187" s="289">
        <v>0</v>
      </c>
      <c r="X2187" s="288">
        <v>3.2084391534391532</v>
      </c>
      <c r="Y2187" s="288">
        <v>3.2098765432098766</v>
      </c>
      <c r="Z2187" s="288">
        <v>-1.4373897707231039E-3</v>
      </c>
      <c r="AA2187" s="288">
        <v>0</v>
      </c>
      <c r="AB2187" s="288">
        <v>0</v>
      </c>
      <c r="AC2187" s="289">
        <v>3.2098765432098766</v>
      </c>
      <c r="AD2187" s="289">
        <v>0</v>
      </c>
    </row>
    <row r="2188" spans="1:30" ht="15" customHeight="1" x14ac:dyDescent="0.25">
      <c r="A2188" s="282" t="s">
        <v>3248</v>
      </c>
      <c r="B2188" s="282" t="s">
        <v>3248</v>
      </c>
      <c r="C2188" s="282" t="s">
        <v>3248</v>
      </c>
      <c r="D2188" s="286" t="s">
        <v>3282</v>
      </c>
      <c r="E2188" s="403">
        <v>45005</v>
      </c>
      <c r="F2188" s="403">
        <v>46832</v>
      </c>
      <c r="G2188" s="283" t="s">
        <v>154</v>
      </c>
      <c r="H2188" s="283" t="s">
        <v>3250</v>
      </c>
      <c r="I2188" s="283" t="s">
        <v>3251</v>
      </c>
      <c r="J2188" s="282" t="s">
        <v>156</v>
      </c>
      <c r="K2188" s="283" t="s">
        <v>3252</v>
      </c>
      <c r="L2188" s="286" t="s">
        <v>321</v>
      </c>
      <c r="M2188" s="293"/>
      <c r="N2188" s="293">
        <v>3.69</v>
      </c>
      <c r="O2188" s="287"/>
      <c r="P2188" s="287"/>
      <c r="Q2188" s="288">
        <v>12.59441</v>
      </c>
      <c r="R2188" s="288">
        <v>12.6</v>
      </c>
      <c r="S2188" s="288">
        <v>-5.5900000000000004E-3</v>
      </c>
      <c r="T2188" s="288"/>
      <c r="U2188" s="288">
        <v>0</v>
      </c>
      <c r="V2188" s="289">
        <v>12.6</v>
      </c>
      <c r="W2188" s="289">
        <v>0</v>
      </c>
      <c r="X2188" s="288">
        <v>3.4131192411924118</v>
      </c>
      <c r="Y2188" s="288">
        <v>3.4146341463414633</v>
      </c>
      <c r="Z2188" s="288">
        <v>-1.5149051490514905E-3</v>
      </c>
      <c r="AA2188" s="288">
        <v>0</v>
      </c>
      <c r="AB2188" s="288">
        <v>0</v>
      </c>
      <c r="AC2188" s="289">
        <v>3.4146341463414633</v>
      </c>
      <c r="AD2188" s="289">
        <v>0</v>
      </c>
    </row>
    <row r="2189" spans="1:30" ht="15" customHeight="1" x14ac:dyDescent="0.25">
      <c r="A2189" s="282" t="s">
        <v>3248</v>
      </c>
      <c r="B2189" s="282" t="s">
        <v>3248</v>
      </c>
      <c r="C2189" s="282" t="s">
        <v>3248</v>
      </c>
      <c r="D2189" s="286" t="s">
        <v>3283</v>
      </c>
      <c r="E2189" s="403">
        <v>45005</v>
      </c>
      <c r="F2189" s="403">
        <v>46832</v>
      </c>
      <c r="G2189" s="283" t="s">
        <v>154</v>
      </c>
      <c r="H2189" s="283" t="s">
        <v>3250</v>
      </c>
      <c r="I2189" s="283" t="s">
        <v>3251</v>
      </c>
      <c r="J2189" s="282" t="s">
        <v>156</v>
      </c>
      <c r="K2189" s="283" t="s">
        <v>3252</v>
      </c>
      <c r="L2189" s="286" t="s">
        <v>321</v>
      </c>
      <c r="M2189" s="293"/>
      <c r="N2189" s="293">
        <v>3.93</v>
      </c>
      <c r="O2189" s="287"/>
      <c r="P2189" s="287"/>
      <c r="Q2189" s="288">
        <v>13.194599999999999</v>
      </c>
      <c r="R2189" s="288">
        <v>13.2</v>
      </c>
      <c r="S2189" s="288">
        <v>-5.4000000000000003E-3</v>
      </c>
      <c r="T2189" s="288"/>
      <c r="U2189" s="288">
        <v>0</v>
      </c>
      <c r="V2189" s="289">
        <v>13.2</v>
      </c>
      <c r="W2189" s="289">
        <v>0</v>
      </c>
      <c r="X2189" s="288">
        <v>3.3574045801526715</v>
      </c>
      <c r="Y2189" s="288">
        <v>3.3587786259541983</v>
      </c>
      <c r="Z2189" s="288">
        <v>-1.3740458015267176E-3</v>
      </c>
      <c r="AA2189" s="288">
        <v>0</v>
      </c>
      <c r="AB2189" s="288">
        <v>0</v>
      </c>
      <c r="AC2189" s="289">
        <v>3.3587786259541983</v>
      </c>
      <c r="AD2189" s="289">
        <v>0</v>
      </c>
    </row>
    <row r="2190" spans="1:30" ht="15" customHeight="1" x14ac:dyDescent="0.25">
      <c r="A2190" s="282" t="s">
        <v>3248</v>
      </c>
      <c r="B2190" s="282" t="s">
        <v>3248</v>
      </c>
      <c r="C2190" s="282" t="s">
        <v>3248</v>
      </c>
      <c r="D2190" s="286" t="s">
        <v>3284</v>
      </c>
      <c r="E2190" s="403">
        <v>45138</v>
      </c>
      <c r="F2190" s="403">
        <v>46965</v>
      </c>
      <c r="G2190" s="283" t="s">
        <v>154</v>
      </c>
      <c r="H2190" s="283" t="s">
        <v>3270</v>
      </c>
      <c r="I2190" s="283" t="s">
        <v>590</v>
      </c>
      <c r="J2190" s="282" t="s">
        <v>156</v>
      </c>
      <c r="K2190" s="283" t="s">
        <v>3271</v>
      </c>
      <c r="L2190" s="286" t="s">
        <v>321</v>
      </c>
      <c r="M2190" s="293"/>
      <c r="N2190" s="293">
        <v>6.06</v>
      </c>
      <c r="O2190" s="287"/>
      <c r="P2190" s="287"/>
      <c r="Q2190" s="288">
        <v>19.192159999999998</v>
      </c>
      <c r="R2190" s="288">
        <v>19.2</v>
      </c>
      <c r="S2190" s="288">
        <v>-7.8399999999999997E-3</v>
      </c>
      <c r="T2190" s="288"/>
      <c r="U2190" s="288">
        <v>0</v>
      </c>
      <c r="V2190" s="289">
        <v>19.2</v>
      </c>
      <c r="W2190" s="289">
        <v>0</v>
      </c>
      <c r="X2190" s="288">
        <v>3.1670231023102309</v>
      </c>
      <c r="Y2190" s="288">
        <v>3.1683168316831685</v>
      </c>
      <c r="Z2190" s="288">
        <v>-1.2937293729372939E-3</v>
      </c>
      <c r="AA2190" s="288">
        <v>0</v>
      </c>
      <c r="AB2190" s="288">
        <v>0</v>
      </c>
      <c r="AC2190" s="289">
        <v>3.1683168316831685</v>
      </c>
      <c r="AD2190" s="289">
        <v>0</v>
      </c>
    </row>
    <row r="2191" spans="1:30" ht="15" customHeight="1" x14ac:dyDescent="0.25">
      <c r="A2191" s="282" t="s">
        <v>3248</v>
      </c>
      <c r="B2191" s="282" t="s">
        <v>3248</v>
      </c>
      <c r="C2191" s="282" t="s">
        <v>3248</v>
      </c>
      <c r="D2191" s="286" t="s">
        <v>3285</v>
      </c>
      <c r="E2191" s="403">
        <v>45005</v>
      </c>
      <c r="F2191" s="403">
        <v>46832</v>
      </c>
      <c r="G2191" s="283" t="s">
        <v>154</v>
      </c>
      <c r="H2191" s="283" t="s">
        <v>3250</v>
      </c>
      <c r="I2191" s="283" t="s">
        <v>3251</v>
      </c>
      <c r="J2191" s="282" t="s">
        <v>156</v>
      </c>
      <c r="K2191" s="283" t="s">
        <v>3252</v>
      </c>
      <c r="L2191" s="286" t="s">
        <v>321</v>
      </c>
      <c r="M2191" s="293"/>
      <c r="N2191" s="293">
        <v>4.4800000000000004</v>
      </c>
      <c r="O2191" s="287"/>
      <c r="P2191" s="287"/>
      <c r="Q2191" s="288">
        <v>14.595039999999999</v>
      </c>
      <c r="R2191" s="288">
        <v>14.6</v>
      </c>
      <c r="S2191" s="288">
        <v>-4.96E-3</v>
      </c>
      <c r="T2191" s="288"/>
      <c r="U2191" s="288">
        <v>0</v>
      </c>
      <c r="V2191" s="289">
        <v>14.6</v>
      </c>
      <c r="W2191" s="289">
        <v>0</v>
      </c>
      <c r="X2191" s="288">
        <v>3.257821428571428</v>
      </c>
      <c r="Y2191" s="288">
        <v>3.2589285714285712</v>
      </c>
      <c r="Z2191" s="288">
        <v>-1.1071428571428571E-3</v>
      </c>
      <c r="AA2191" s="288">
        <v>0</v>
      </c>
      <c r="AB2191" s="288">
        <v>0</v>
      </c>
      <c r="AC2191" s="289">
        <v>3.2589285714285712</v>
      </c>
      <c r="AD2191" s="289">
        <v>0</v>
      </c>
    </row>
    <row r="2192" spans="1:30" ht="15" customHeight="1" x14ac:dyDescent="0.25">
      <c r="A2192" s="282" t="s">
        <v>3248</v>
      </c>
      <c r="B2192" s="282" t="s">
        <v>3248</v>
      </c>
      <c r="C2192" s="282" t="s">
        <v>3248</v>
      </c>
      <c r="D2192" s="286" t="s">
        <v>3286</v>
      </c>
      <c r="E2192" s="403">
        <v>45138</v>
      </c>
      <c r="F2192" s="403">
        <v>46965</v>
      </c>
      <c r="G2192" s="283" t="s">
        <v>154</v>
      </c>
      <c r="H2192" s="283" t="s">
        <v>3287</v>
      </c>
      <c r="I2192" s="283" t="s">
        <v>590</v>
      </c>
      <c r="J2192" s="282" t="s">
        <v>156</v>
      </c>
      <c r="K2192" s="283" t="s">
        <v>3288</v>
      </c>
      <c r="L2192" s="286" t="s">
        <v>321</v>
      </c>
      <c r="M2192" s="293"/>
      <c r="N2192" s="293">
        <v>3.51</v>
      </c>
      <c r="O2192" s="287"/>
      <c r="P2192" s="287"/>
      <c r="Q2192" s="288">
        <v>12.696009999999999</v>
      </c>
      <c r="R2192" s="288">
        <v>12.7</v>
      </c>
      <c r="S2192" s="288">
        <v>-3.9899999999999996E-3</v>
      </c>
      <c r="T2192" s="288"/>
      <c r="U2192" s="288">
        <v>0</v>
      </c>
      <c r="V2192" s="289">
        <v>12.7</v>
      </c>
      <c r="W2192" s="289">
        <v>0</v>
      </c>
      <c r="X2192" s="288">
        <v>3.6170968660968663</v>
      </c>
      <c r="Y2192" s="288">
        <v>3.6182336182336181</v>
      </c>
      <c r="Z2192" s="288">
        <v>-1.1367521367521367E-3</v>
      </c>
      <c r="AA2192" s="288">
        <v>0</v>
      </c>
      <c r="AB2192" s="288">
        <v>0</v>
      </c>
      <c r="AC2192" s="289">
        <v>3.6182336182336181</v>
      </c>
      <c r="AD2192" s="289">
        <v>0</v>
      </c>
    </row>
    <row r="2193" spans="1:30" ht="15" customHeight="1" x14ac:dyDescent="0.25">
      <c r="A2193" s="282" t="s">
        <v>3248</v>
      </c>
      <c r="B2193" s="282" t="s">
        <v>3248</v>
      </c>
      <c r="C2193" s="282" t="s">
        <v>3248</v>
      </c>
      <c r="D2193" s="286" t="s">
        <v>3289</v>
      </c>
      <c r="E2193" s="403">
        <v>45005</v>
      </c>
      <c r="F2193" s="403">
        <v>46832</v>
      </c>
      <c r="G2193" s="283" t="s">
        <v>154</v>
      </c>
      <c r="H2193" s="283" t="s">
        <v>3250</v>
      </c>
      <c r="I2193" s="283" t="s">
        <v>3251</v>
      </c>
      <c r="J2193" s="282" t="s">
        <v>156</v>
      </c>
      <c r="K2193" s="283" t="s">
        <v>3252</v>
      </c>
      <c r="L2193" s="286" t="s">
        <v>321</v>
      </c>
      <c r="M2193" s="293"/>
      <c r="N2193" s="293">
        <v>4.87</v>
      </c>
      <c r="O2193" s="287"/>
      <c r="P2193" s="287"/>
      <c r="Q2193" s="288">
        <v>15.695349999999999</v>
      </c>
      <c r="R2193" s="288">
        <v>15.7</v>
      </c>
      <c r="S2193" s="288">
        <v>-4.6499999999999996E-3</v>
      </c>
      <c r="T2193" s="288"/>
      <c r="U2193" s="288">
        <v>0</v>
      </c>
      <c r="V2193" s="289">
        <v>15.7</v>
      </c>
      <c r="W2193" s="289">
        <v>0</v>
      </c>
      <c r="X2193" s="288">
        <v>3.2228644763860368</v>
      </c>
      <c r="Y2193" s="288">
        <v>3.223819301848049</v>
      </c>
      <c r="Z2193" s="288">
        <v>-9.5482546201232019E-4</v>
      </c>
      <c r="AA2193" s="288">
        <v>0</v>
      </c>
      <c r="AB2193" s="288">
        <v>0</v>
      </c>
      <c r="AC2193" s="289">
        <v>3.223819301848049</v>
      </c>
      <c r="AD2193" s="289">
        <v>0</v>
      </c>
    </row>
    <row r="2194" spans="1:30" ht="15" customHeight="1" x14ac:dyDescent="0.25">
      <c r="A2194" s="282" t="s">
        <v>3248</v>
      </c>
      <c r="B2194" s="282" t="s">
        <v>3248</v>
      </c>
      <c r="C2194" s="282" t="s">
        <v>3248</v>
      </c>
      <c r="D2194" s="286" t="s">
        <v>3290</v>
      </c>
      <c r="E2194" s="403">
        <v>45138</v>
      </c>
      <c r="F2194" s="403">
        <v>46965</v>
      </c>
      <c r="G2194" s="283" t="s">
        <v>154</v>
      </c>
      <c r="H2194" s="283" t="s">
        <v>3287</v>
      </c>
      <c r="I2194" s="283" t="s">
        <v>590</v>
      </c>
      <c r="J2194" s="282" t="s">
        <v>156</v>
      </c>
      <c r="K2194" s="283" t="s">
        <v>3288</v>
      </c>
      <c r="L2194" s="286" t="s">
        <v>321</v>
      </c>
      <c r="M2194" s="293"/>
      <c r="N2194" s="293">
        <v>3.98</v>
      </c>
      <c r="O2194" s="287"/>
      <c r="P2194" s="287"/>
      <c r="Q2194" s="288">
        <v>13.89639</v>
      </c>
      <c r="R2194" s="288">
        <v>13.9</v>
      </c>
      <c r="S2194" s="288">
        <v>-3.6099999999999999E-3</v>
      </c>
      <c r="T2194" s="288"/>
      <c r="U2194" s="288">
        <v>0</v>
      </c>
      <c r="V2194" s="289">
        <v>13.9</v>
      </c>
      <c r="W2194" s="289">
        <v>0</v>
      </c>
      <c r="X2194" s="288">
        <v>3.4915552763819098</v>
      </c>
      <c r="Y2194" s="288">
        <v>3.4924623115577891</v>
      </c>
      <c r="Z2194" s="288">
        <v>-9.0703517587939692E-4</v>
      </c>
      <c r="AA2194" s="288">
        <v>0</v>
      </c>
      <c r="AB2194" s="288">
        <v>0</v>
      </c>
      <c r="AC2194" s="289">
        <v>3.4924623115577891</v>
      </c>
      <c r="AD2194" s="289">
        <v>0</v>
      </c>
    </row>
    <row r="2195" spans="1:30" ht="15" customHeight="1" x14ac:dyDescent="0.25">
      <c r="A2195" s="282" t="s">
        <v>3248</v>
      </c>
      <c r="B2195" s="282" t="s">
        <v>3248</v>
      </c>
      <c r="C2195" s="282" t="s">
        <v>3248</v>
      </c>
      <c r="D2195" s="286" t="s">
        <v>3291</v>
      </c>
      <c r="E2195" s="403">
        <v>45005</v>
      </c>
      <c r="F2195" s="403">
        <v>46832</v>
      </c>
      <c r="G2195" s="283" t="s">
        <v>154</v>
      </c>
      <c r="H2195" s="283" t="s">
        <v>3250</v>
      </c>
      <c r="I2195" s="283" t="s">
        <v>3251</v>
      </c>
      <c r="J2195" s="282" t="s">
        <v>156</v>
      </c>
      <c r="K2195" s="283" t="s">
        <v>3252</v>
      </c>
      <c r="L2195" s="286" t="s">
        <v>321</v>
      </c>
      <c r="M2195" s="293"/>
      <c r="N2195" s="293">
        <v>5.65</v>
      </c>
      <c r="O2195" s="287"/>
      <c r="P2195" s="287"/>
      <c r="Q2195" s="288">
        <v>17.695979999999999</v>
      </c>
      <c r="R2195" s="288">
        <v>17.7</v>
      </c>
      <c r="S2195" s="288">
        <v>-4.0200000000000001E-3</v>
      </c>
      <c r="T2195" s="288"/>
      <c r="U2195" s="288">
        <v>0</v>
      </c>
      <c r="V2195" s="289">
        <v>17.7</v>
      </c>
      <c r="W2195" s="289">
        <v>0</v>
      </c>
      <c r="X2195" s="288">
        <v>3.1320318584070792</v>
      </c>
      <c r="Y2195" s="288">
        <v>3.1327433628318579</v>
      </c>
      <c r="Z2195" s="288">
        <v>-7.1150442477876106E-4</v>
      </c>
      <c r="AA2195" s="288">
        <v>0</v>
      </c>
      <c r="AB2195" s="288">
        <v>0</v>
      </c>
      <c r="AC2195" s="289">
        <v>3.1327433628318579</v>
      </c>
      <c r="AD2195" s="289">
        <v>0</v>
      </c>
    </row>
    <row r="2196" spans="1:30" ht="15" customHeight="1" x14ac:dyDescent="0.25">
      <c r="A2196" s="282" t="s">
        <v>3248</v>
      </c>
      <c r="B2196" s="282" t="s">
        <v>3248</v>
      </c>
      <c r="C2196" s="282" t="s">
        <v>3248</v>
      </c>
      <c r="D2196" s="286" t="s">
        <v>3292</v>
      </c>
      <c r="E2196" s="403">
        <v>45138</v>
      </c>
      <c r="F2196" s="403">
        <v>46965</v>
      </c>
      <c r="G2196" s="283" t="s">
        <v>154</v>
      </c>
      <c r="H2196" s="283" t="s">
        <v>3287</v>
      </c>
      <c r="I2196" s="283" t="s">
        <v>590</v>
      </c>
      <c r="J2196" s="282" t="s">
        <v>156</v>
      </c>
      <c r="K2196" s="283" t="s">
        <v>3288</v>
      </c>
      <c r="L2196" s="286" t="s">
        <v>321</v>
      </c>
      <c r="M2196" s="293"/>
      <c r="N2196" s="293">
        <v>4.53</v>
      </c>
      <c r="O2196" s="287"/>
      <c r="P2196" s="287"/>
      <c r="Q2196" s="288">
        <v>15.39683</v>
      </c>
      <c r="R2196" s="288">
        <v>15.4</v>
      </c>
      <c r="S2196" s="288">
        <v>-3.1700000000000001E-3</v>
      </c>
      <c r="T2196" s="288"/>
      <c r="U2196" s="288">
        <v>0</v>
      </c>
      <c r="V2196" s="289">
        <v>15.4</v>
      </c>
      <c r="W2196" s="289">
        <v>0</v>
      </c>
      <c r="X2196" s="288">
        <v>3.3988587196467988</v>
      </c>
      <c r="Y2196" s="288">
        <v>3.3995584988962473</v>
      </c>
      <c r="Z2196" s="288">
        <v>-6.997792494481236E-4</v>
      </c>
      <c r="AA2196" s="288">
        <v>0</v>
      </c>
      <c r="AB2196" s="288">
        <v>0</v>
      </c>
      <c r="AC2196" s="289">
        <v>3.3995584988962473</v>
      </c>
      <c r="AD2196" s="289">
        <v>0</v>
      </c>
    </row>
    <row r="2197" spans="1:30" ht="15" customHeight="1" x14ac:dyDescent="0.25">
      <c r="A2197" s="282" t="s">
        <v>3248</v>
      </c>
      <c r="B2197" s="282" t="s">
        <v>3248</v>
      </c>
      <c r="C2197" s="282" t="s">
        <v>3248</v>
      </c>
      <c r="D2197" s="286" t="s">
        <v>3293</v>
      </c>
      <c r="E2197" s="403">
        <v>45005</v>
      </c>
      <c r="F2197" s="403">
        <v>46832</v>
      </c>
      <c r="G2197" s="283" t="s">
        <v>154</v>
      </c>
      <c r="H2197" s="283" t="s">
        <v>3250</v>
      </c>
      <c r="I2197" s="283" t="s">
        <v>3251</v>
      </c>
      <c r="J2197" s="282" t="s">
        <v>156</v>
      </c>
      <c r="K2197" s="283" t="s">
        <v>3252</v>
      </c>
      <c r="L2197" s="286" t="s">
        <v>321</v>
      </c>
      <c r="M2197" s="293"/>
      <c r="N2197" s="293">
        <v>6.05</v>
      </c>
      <c r="O2197" s="287"/>
      <c r="P2197" s="287"/>
      <c r="Q2197" s="288">
        <v>18.796289999999999</v>
      </c>
      <c r="R2197" s="288">
        <v>18.8</v>
      </c>
      <c r="S2197" s="288">
        <v>-3.7100000000000002E-3</v>
      </c>
      <c r="T2197" s="288"/>
      <c r="U2197" s="288">
        <v>0</v>
      </c>
      <c r="V2197" s="289">
        <v>18.8</v>
      </c>
      <c r="W2197" s="289">
        <v>0</v>
      </c>
      <c r="X2197" s="288">
        <v>3.1068247933884297</v>
      </c>
      <c r="Y2197" s="288">
        <v>3.1074380165289259</v>
      </c>
      <c r="Z2197" s="288">
        <v>-6.1322314049586785E-4</v>
      </c>
      <c r="AA2197" s="288">
        <v>0</v>
      </c>
      <c r="AB2197" s="288">
        <v>0</v>
      </c>
      <c r="AC2197" s="289">
        <v>3.1074380165289259</v>
      </c>
      <c r="AD2197" s="289">
        <v>0</v>
      </c>
    </row>
    <row r="2198" spans="1:30" ht="15" customHeight="1" x14ac:dyDescent="0.25">
      <c r="A2198" s="282" t="s">
        <v>3248</v>
      </c>
      <c r="B2198" s="282" t="s">
        <v>3248</v>
      </c>
      <c r="C2198" s="282" t="s">
        <v>3248</v>
      </c>
      <c r="D2198" s="286" t="s">
        <v>3294</v>
      </c>
      <c r="E2198" s="403">
        <v>45138</v>
      </c>
      <c r="F2198" s="403">
        <v>46965</v>
      </c>
      <c r="G2198" s="283" t="s">
        <v>154</v>
      </c>
      <c r="H2198" s="283" t="s">
        <v>3287</v>
      </c>
      <c r="I2198" s="283" t="s">
        <v>590</v>
      </c>
      <c r="J2198" s="282" t="s">
        <v>156</v>
      </c>
      <c r="K2198" s="283" t="s">
        <v>3288</v>
      </c>
      <c r="L2198" s="286" t="s">
        <v>321</v>
      </c>
      <c r="M2198" s="293"/>
      <c r="N2198" s="293">
        <v>4.92</v>
      </c>
      <c r="O2198" s="287"/>
      <c r="P2198" s="287"/>
      <c r="Q2198" s="288">
        <v>16.39714</v>
      </c>
      <c r="R2198" s="288">
        <v>16.399999999999999</v>
      </c>
      <c r="S2198" s="288">
        <v>-2.8600000000000001E-3</v>
      </c>
      <c r="T2198" s="288"/>
      <c r="U2198" s="288">
        <v>0</v>
      </c>
      <c r="V2198" s="289">
        <v>16.399999999999999</v>
      </c>
      <c r="W2198" s="289">
        <v>0</v>
      </c>
      <c r="X2198" s="288">
        <v>3.3327520325203253</v>
      </c>
      <c r="Y2198" s="288">
        <v>3.333333333333333</v>
      </c>
      <c r="Z2198" s="288">
        <v>-5.8130081300813009E-4</v>
      </c>
      <c r="AA2198" s="288">
        <v>0</v>
      </c>
      <c r="AB2198" s="288">
        <v>0</v>
      </c>
      <c r="AC2198" s="289">
        <v>3.333333333333333</v>
      </c>
      <c r="AD2198" s="289">
        <v>0</v>
      </c>
    </row>
    <row r="2199" spans="1:30" ht="15" customHeight="1" x14ac:dyDescent="0.25">
      <c r="A2199" s="282" t="s">
        <v>3248</v>
      </c>
      <c r="B2199" s="282" t="s">
        <v>3248</v>
      </c>
      <c r="C2199" s="282" t="s">
        <v>3248</v>
      </c>
      <c r="D2199" s="286" t="s">
        <v>3295</v>
      </c>
      <c r="E2199" s="403">
        <v>45138</v>
      </c>
      <c r="F2199" s="403">
        <v>46965</v>
      </c>
      <c r="G2199" s="283" t="s">
        <v>154</v>
      </c>
      <c r="H2199" s="283" t="s">
        <v>3287</v>
      </c>
      <c r="I2199" s="283" t="s">
        <v>590</v>
      </c>
      <c r="J2199" s="282" t="s">
        <v>156</v>
      </c>
      <c r="K2199" s="283" t="s">
        <v>3288</v>
      </c>
      <c r="L2199" s="286" t="s">
        <v>321</v>
      </c>
      <c r="M2199" s="293"/>
      <c r="N2199" s="293">
        <v>5.7</v>
      </c>
      <c r="O2199" s="287"/>
      <c r="P2199" s="287"/>
      <c r="Q2199" s="288">
        <v>18.397759999999998</v>
      </c>
      <c r="R2199" s="288">
        <v>18.399999999999999</v>
      </c>
      <c r="S2199" s="288">
        <v>-2.2399999999999998E-3</v>
      </c>
      <c r="T2199" s="288"/>
      <c r="U2199" s="288">
        <v>0</v>
      </c>
      <c r="V2199" s="289">
        <v>18.399999999999999</v>
      </c>
      <c r="W2199" s="289">
        <v>0</v>
      </c>
      <c r="X2199" s="288">
        <v>3.2276771929824557</v>
      </c>
      <c r="Y2199" s="288">
        <v>3.2280701754385963</v>
      </c>
      <c r="Z2199" s="288">
        <v>-3.929824561403508E-4</v>
      </c>
      <c r="AA2199" s="288">
        <v>0</v>
      </c>
      <c r="AB2199" s="288">
        <v>0</v>
      </c>
      <c r="AC2199" s="289">
        <v>3.2280701754385963</v>
      </c>
      <c r="AD2199" s="289">
        <v>0</v>
      </c>
    </row>
    <row r="2200" spans="1:30" ht="15" customHeight="1" x14ac:dyDescent="0.25">
      <c r="A2200" s="282" t="s">
        <v>3248</v>
      </c>
      <c r="B2200" s="282" t="s">
        <v>3248</v>
      </c>
      <c r="C2200" s="282" t="s">
        <v>3248</v>
      </c>
      <c r="D2200" s="286" t="s">
        <v>3296</v>
      </c>
      <c r="E2200" s="403">
        <v>45138</v>
      </c>
      <c r="F2200" s="403">
        <v>46965</v>
      </c>
      <c r="G2200" s="283" t="s">
        <v>154</v>
      </c>
      <c r="H2200" s="283" t="s">
        <v>3287</v>
      </c>
      <c r="I2200" s="283" t="s">
        <v>590</v>
      </c>
      <c r="J2200" s="282" t="s">
        <v>156</v>
      </c>
      <c r="K2200" s="283" t="s">
        <v>3288</v>
      </c>
      <c r="L2200" s="286" t="s">
        <v>321</v>
      </c>
      <c r="M2200" s="293"/>
      <c r="N2200" s="293">
        <v>6.1</v>
      </c>
      <c r="O2200" s="287"/>
      <c r="P2200" s="287"/>
      <c r="Q2200" s="288">
        <v>19.498080000000002</v>
      </c>
      <c r="R2200" s="288">
        <v>19.5</v>
      </c>
      <c r="S2200" s="288">
        <v>-1.92E-3</v>
      </c>
      <c r="T2200" s="288"/>
      <c r="U2200" s="288">
        <v>0</v>
      </c>
      <c r="V2200" s="289">
        <v>19.5</v>
      </c>
      <c r="W2200" s="289">
        <v>0</v>
      </c>
      <c r="X2200" s="288">
        <v>3.1964065573770495</v>
      </c>
      <c r="Y2200" s="288">
        <v>3.1967213114754101</v>
      </c>
      <c r="Z2200" s="288">
        <v>-3.1475409836065576E-4</v>
      </c>
      <c r="AA2200" s="288">
        <v>0</v>
      </c>
      <c r="AB2200" s="288">
        <v>0</v>
      </c>
      <c r="AC2200" s="289">
        <v>3.1967213114754101</v>
      </c>
      <c r="AD2200" s="289">
        <v>0</v>
      </c>
    </row>
    <row r="2201" spans="1:30" ht="15" customHeight="1" x14ac:dyDescent="0.25">
      <c r="A2201" s="282" t="s">
        <v>3248</v>
      </c>
      <c r="B2201" s="282" t="s">
        <v>3248</v>
      </c>
      <c r="C2201" s="282" t="s">
        <v>3248</v>
      </c>
      <c r="D2201" s="286" t="s">
        <v>3297</v>
      </c>
      <c r="E2201" s="403">
        <v>45005</v>
      </c>
      <c r="F2201" s="403">
        <v>46832</v>
      </c>
      <c r="G2201" s="283" t="s">
        <v>154</v>
      </c>
      <c r="H2201" s="283" t="s">
        <v>3250</v>
      </c>
      <c r="I2201" s="283" t="s">
        <v>3251</v>
      </c>
      <c r="J2201" s="282" t="s">
        <v>156</v>
      </c>
      <c r="K2201" s="283" t="s">
        <v>3252</v>
      </c>
      <c r="L2201" s="286" t="s">
        <v>321</v>
      </c>
      <c r="M2201" s="293"/>
      <c r="N2201" s="293">
        <v>8.01</v>
      </c>
      <c r="O2201" s="287"/>
      <c r="P2201" s="287"/>
      <c r="Q2201" s="288">
        <v>23.897859999999998</v>
      </c>
      <c r="R2201" s="288">
        <v>23.9</v>
      </c>
      <c r="S2201" s="288">
        <v>-2.14E-3</v>
      </c>
      <c r="T2201" s="288"/>
      <c r="U2201" s="288">
        <v>0</v>
      </c>
      <c r="V2201" s="289">
        <v>23.9</v>
      </c>
      <c r="W2201" s="289">
        <v>0</v>
      </c>
      <c r="X2201" s="288">
        <v>2.9835031210986265</v>
      </c>
      <c r="Y2201" s="288">
        <v>2.9837702871410734</v>
      </c>
      <c r="Z2201" s="288">
        <v>-2.671660424469413E-4</v>
      </c>
      <c r="AA2201" s="288">
        <v>0</v>
      </c>
      <c r="AB2201" s="288">
        <v>0</v>
      </c>
      <c r="AC2201" s="289">
        <v>2.9837702871410734</v>
      </c>
      <c r="AD2201" s="289">
        <v>0</v>
      </c>
    </row>
    <row r="2202" spans="1:30" ht="15" customHeight="1" x14ac:dyDescent="0.25">
      <c r="A2202" s="282" t="s">
        <v>3248</v>
      </c>
      <c r="B2202" s="282" t="s">
        <v>3248</v>
      </c>
      <c r="C2202" s="282" t="s">
        <v>3248</v>
      </c>
      <c r="D2202" s="283" t="s">
        <v>3298</v>
      </c>
      <c r="E2202" s="403">
        <v>43641</v>
      </c>
      <c r="F2202" s="403">
        <v>45468</v>
      </c>
      <c r="G2202" s="283" t="s">
        <v>216</v>
      </c>
      <c r="H2202" s="282" t="s">
        <v>3299</v>
      </c>
      <c r="I2202" s="285"/>
      <c r="J2202" s="282" t="s">
        <v>184</v>
      </c>
      <c r="K2202" s="283" t="s">
        <v>218</v>
      </c>
      <c r="L2202" s="286" t="s">
        <v>321</v>
      </c>
      <c r="M2202" s="287">
        <v>7850</v>
      </c>
      <c r="N2202" s="287">
        <v>3.2969999999999997</v>
      </c>
      <c r="O2202" s="287" t="s">
        <v>159</v>
      </c>
      <c r="P2202" s="287" t="s">
        <v>159</v>
      </c>
      <c r="Q2202" s="288">
        <v>14.7</v>
      </c>
      <c r="R2202" s="288"/>
      <c r="S2202" s="288"/>
      <c r="T2202" s="288"/>
      <c r="U2202" s="288">
        <v>0</v>
      </c>
      <c r="V2202" s="289">
        <v>14.7</v>
      </c>
      <c r="W2202" s="289">
        <v>0</v>
      </c>
      <c r="X2202" s="288">
        <v>4.4585987261146496</v>
      </c>
      <c r="Y2202" s="288">
        <v>0</v>
      </c>
      <c r="Z2202" s="288">
        <v>0</v>
      </c>
      <c r="AA2202" s="288">
        <v>0</v>
      </c>
      <c r="AB2202" s="288">
        <v>0</v>
      </c>
      <c r="AC2202" s="289">
        <v>4.4585987261146496</v>
      </c>
      <c r="AD2202" s="289">
        <v>0</v>
      </c>
    </row>
    <row r="2203" spans="1:30" ht="15" customHeight="1" x14ac:dyDescent="0.25">
      <c r="A2203" s="282" t="s">
        <v>3248</v>
      </c>
      <c r="B2203" s="282" t="s">
        <v>3248</v>
      </c>
      <c r="C2203" s="282" t="s">
        <v>3248</v>
      </c>
      <c r="D2203" s="283" t="s">
        <v>3300</v>
      </c>
      <c r="E2203" s="403">
        <v>43641</v>
      </c>
      <c r="F2203" s="403">
        <v>45468</v>
      </c>
      <c r="G2203" s="283" t="s">
        <v>216</v>
      </c>
      <c r="H2203" s="282" t="s">
        <v>3301</v>
      </c>
      <c r="I2203" s="285"/>
      <c r="J2203" s="282" t="s">
        <v>184</v>
      </c>
      <c r="K2203" s="283" t="s">
        <v>218</v>
      </c>
      <c r="L2203" s="286" t="s">
        <v>321</v>
      </c>
      <c r="M2203" s="287">
        <v>7850</v>
      </c>
      <c r="N2203" s="287">
        <v>3.7679999999999998</v>
      </c>
      <c r="O2203" s="287" t="s">
        <v>159</v>
      </c>
      <c r="P2203" s="287" t="s">
        <v>159</v>
      </c>
      <c r="Q2203" s="288">
        <v>16.399999999999999</v>
      </c>
      <c r="R2203" s="288"/>
      <c r="S2203" s="288"/>
      <c r="T2203" s="288"/>
      <c r="U2203" s="288">
        <v>0</v>
      </c>
      <c r="V2203" s="289">
        <v>16.399999999999999</v>
      </c>
      <c r="W2203" s="289">
        <v>0</v>
      </c>
      <c r="X2203" s="288">
        <v>4.3524416135881099</v>
      </c>
      <c r="Y2203" s="288">
        <v>0</v>
      </c>
      <c r="Z2203" s="288">
        <v>0</v>
      </c>
      <c r="AA2203" s="288">
        <v>0</v>
      </c>
      <c r="AB2203" s="288">
        <v>0</v>
      </c>
      <c r="AC2203" s="289">
        <v>4.3524416135881099</v>
      </c>
      <c r="AD2203" s="289">
        <v>0</v>
      </c>
    </row>
    <row r="2204" spans="1:30" ht="15" customHeight="1" x14ac:dyDescent="0.25">
      <c r="A2204" s="282" t="s">
        <v>3302</v>
      </c>
      <c r="B2204" s="282" t="s">
        <v>3302</v>
      </c>
      <c r="C2204" s="282" t="s">
        <v>3248</v>
      </c>
      <c r="D2204" s="283" t="s">
        <v>3303</v>
      </c>
      <c r="E2204" s="403">
        <v>45145</v>
      </c>
      <c r="F2204" s="403">
        <v>46971</v>
      </c>
      <c r="G2204" s="283" t="s">
        <v>237</v>
      </c>
      <c r="H2204" s="282" t="s">
        <v>3304</v>
      </c>
      <c r="I2204" s="285"/>
      <c r="J2204" s="282" t="s">
        <v>184</v>
      </c>
      <c r="K2204" s="283" t="s">
        <v>3305</v>
      </c>
      <c r="L2204" s="286" t="s">
        <v>321</v>
      </c>
      <c r="M2204" s="287" t="s">
        <v>159</v>
      </c>
      <c r="N2204" s="287">
        <v>2.5099999999999998</v>
      </c>
      <c r="O2204" s="287" t="s">
        <v>159</v>
      </c>
      <c r="P2204" s="287" t="s">
        <v>159</v>
      </c>
      <c r="Q2204" s="288">
        <v>13.503799999999998</v>
      </c>
      <c r="R2204" s="288">
        <v>13.4536</v>
      </c>
      <c r="S2204" s="288">
        <v>3.4638000000000002E-2</v>
      </c>
      <c r="T2204" s="288">
        <v>1.0968699999999998E-2</v>
      </c>
      <c r="U2204" s="288">
        <v>0</v>
      </c>
      <c r="V2204" s="289">
        <v>13.499206699999998</v>
      </c>
      <c r="W2204" s="289">
        <v>0</v>
      </c>
      <c r="X2204" s="288">
        <v>5.38</v>
      </c>
      <c r="Y2204" s="288">
        <v>5.36</v>
      </c>
      <c r="Z2204" s="288">
        <v>1.3800000000000002E-2</v>
      </c>
      <c r="AA2204" s="288">
        <v>4.3699999999999998E-3</v>
      </c>
      <c r="AB2204" s="288">
        <v>0</v>
      </c>
      <c r="AC2204" s="289">
        <v>5.3781699999999999</v>
      </c>
      <c r="AD2204" s="289">
        <v>0</v>
      </c>
    </row>
    <row r="2205" spans="1:30" ht="15" customHeight="1" x14ac:dyDescent="0.25">
      <c r="A2205" s="282" t="s">
        <v>3302</v>
      </c>
      <c r="B2205" s="282" t="s">
        <v>3302</v>
      </c>
      <c r="C2205" s="282" t="s">
        <v>3248</v>
      </c>
      <c r="D2205" s="283" t="s">
        <v>3306</v>
      </c>
      <c r="E2205" s="403">
        <v>45145</v>
      </c>
      <c r="F2205" s="403">
        <v>46971</v>
      </c>
      <c r="G2205" s="283" t="s">
        <v>237</v>
      </c>
      <c r="H2205" s="282" t="s">
        <v>3307</v>
      </c>
      <c r="I2205" s="285"/>
      <c r="J2205" s="282" t="s">
        <v>184</v>
      </c>
      <c r="K2205" s="283" t="s">
        <v>3308</v>
      </c>
      <c r="L2205" s="286" t="s">
        <v>321</v>
      </c>
      <c r="M2205" s="287" t="s">
        <v>159</v>
      </c>
      <c r="N2205" s="287">
        <v>2.5099999999999998</v>
      </c>
      <c r="O2205" s="287" t="s">
        <v>159</v>
      </c>
      <c r="P2205" s="287" t="s">
        <v>159</v>
      </c>
      <c r="Q2205" s="288">
        <v>10.8432</v>
      </c>
      <c r="R2205" s="288">
        <v>10.792999999999999</v>
      </c>
      <c r="S2205" s="288">
        <v>3.2880999999999994E-2</v>
      </c>
      <c r="T2205" s="288">
        <v>7.0279999999999995E-3</v>
      </c>
      <c r="U2205" s="288">
        <v>0</v>
      </c>
      <c r="V2205" s="289">
        <v>10.832908999999999</v>
      </c>
      <c r="W2205" s="289">
        <v>0</v>
      </c>
      <c r="X2205" s="288">
        <v>4.32</v>
      </c>
      <c r="Y2205" s="288">
        <v>4.3</v>
      </c>
      <c r="Z2205" s="288">
        <v>1.3099999999999999E-2</v>
      </c>
      <c r="AA2205" s="288">
        <v>2.8E-3</v>
      </c>
      <c r="AB2205" s="288">
        <v>0</v>
      </c>
      <c r="AC2205" s="289">
        <v>4.3158999999999992</v>
      </c>
      <c r="AD2205" s="289">
        <v>0</v>
      </c>
    </row>
    <row r="2206" spans="1:30" ht="15" customHeight="1" x14ac:dyDescent="0.25">
      <c r="A2206" s="282" t="s">
        <v>3309</v>
      </c>
      <c r="B2206" s="283" t="s">
        <v>3310</v>
      </c>
      <c r="C2206" s="282" t="s">
        <v>3310</v>
      </c>
      <c r="D2206" s="283" t="s">
        <v>3311</v>
      </c>
      <c r="E2206" s="403">
        <v>45061</v>
      </c>
      <c r="F2206" s="403">
        <v>46888</v>
      </c>
      <c r="G2206" s="283" t="s">
        <v>154</v>
      </c>
      <c r="H2206" s="282" t="s">
        <v>3312</v>
      </c>
      <c r="I2206" s="282" t="s">
        <v>590</v>
      </c>
      <c r="J2206" s="282" t="s">
        <v>156</v>
      </c>
      <c r="K2206" s="283" t="s">
        <v>3313</v>
      </c>
      <c r="L2206" s="286" t="s">
        <v>321</v>
      </c>
      <c r="M2206" s="287"/>
      <c r="N2206" s="287">
        <v>11.8</v>
      </c>
      <c r="O2206" s="287"/>
      <c r="P2206" s="287"/>
      <c r="Q2206" s="288">
        <v>39.700000000000003</v>
      </c>
      <c r="R2206" s="288">
        <v>43.9</v>
      </c>
      <c r="S2206" s="288">
        <v>-0.308</v>
      </c>
      <c r="T2206" s="288"/>
      <c r="U2206" s="288">
        <v>0</v>
      </c>
      <c r="V2206" s="289">
        <v>43.9</v>
      </c>
      <c r="W2206" s="289">
        <v>0</v>
      </c>
      <c r="X2206" s="288">
        <v>3.3644067796610169</v>
      </c>
      <c r="Y2206" s="288">
        <v>3.7203389830508473</v>
      </c>
      <c r="Z2206" s="288">
        <v>-2.6101694915254235E-2</v>
      </c>
      <c r="AA2206" s="288">
        <v>0</v>
      </c>
      <c r="AB2206" s="288">
        <v>0</v>
      </c>
      <c r="AC2206" s="289">
        <v>3.7203389830508473</v>
      </c>
      <c r="AD2206" s="289">
        <v>0</v>
      </c>
    </row>
    <row r="2207" spans="1:30" ht="15" customHeight="1" x14ac:dyDescent="0.25">
      <c r="A2207" s="282" t="s">
        <v>3309</v>
      </c>
      <c r="B2207" s="283" t="s">
        <v>3314</v>
      </c>
      <c r="C2207" s="282" t="s">
        <v>3314</v>
      </c>
      <c r="D2207" s="283" t="s">
        <v>3315</v>
      </c>
      <c r="E2207" s="403">
        <v>45061</v>
      </c>
      <c r="F2207" s="403">
        <v>46888</v>
      </c>
      <c r="G2207" s="283" t="s">
        <v>154</v>
      </c>
      <c r="H2207" s="282" t="s">
        <v>3312</v>
      </c>
      <c r="I2207" s="282" t="s">
        <v>590</v>
      </c>
      <c r="J2207" s="282" t="s">
        <v>156</v>
      </c>
      <c r="K2207" s="283" t="s">
        <v>3313</v>
      </c>
      <c r="L2207" s="286" t="s">
        <v>321</v>
      </c>
      <c r="M2207" s="287"/>
      <c r="N2207" s="287">
        <v>12.5</v>
      </c>
      <c r="O2207" s="287"/>
      <c r="P2207" s="287"/>
      <c r="Q2207" s="288">
        <v>42.5</v>
      </c>
      <c r="R2207" s="288">
        <v>46.9</v>
      </c>
      <c r="S2207" s="288">
        <v>-0.49099999999999999</v>
      </c>
      <c r="T2207" s="288"/>
      <c r="U2207" s="288">
        <v>0</v>
      </c>
      <c r="V2207" s="289">
        <v>46.9</v>
      </c>
      <c r="W2207" s="289">
        <v>0</v>
      </c>
      <c r="X2207" s="288">
        <v>3.4</v>
      </c>
      <c r="Y2207" s="288">
        <v>3.7519999999999998</v>
      </c>
      <c r="Z2207" s="288">
        <v>-3.9280000000000002E-2</v>
      </c>
      <c r="AA2207" s="288">
        <v>0</v>
      </c>
      <c r="AB2207" s="288">
        <v>0</v>
      </c>
      <c r="AC2207" s="289">
        <v>3.7519999999999998</v>
      </c>
      <c r="AD2207" s="289">
        <v>0</v>
      </c>
    </row>
    <row r="2208" spans="1:30" ht="15" customHeight="1" x14ac:dyDescent="0.25">
      <c r="A2208" s="282" t="s">
        <v>3309</v>
      </c>
      <c r="B2208" s="283" t="s">
        <v>3314</v>
      </c>
      <c r="C2208" s="282" t="s">
        <v>3314</v>
      </c>
      <c r="D2208" s="283" t="s">
        <v>3316</v>
      </c>
      <c r="E2208" s="403">
        <v>45061</v>
      </c>
      <c r="F2208" s="403">
        <v>46888</v>
      </c>
      <c r="G2208" s="283" t="s">
        <v>154</v>
      </c>
      <c r="H2208" s="282" t="s">
        <v>3312</v>
      </c>
      <c r="I2208" s="282" t="s">
        <v>590</v>
      </c>
      <c r="J2208" s="282" t="s">
        <v>156</v>
      </c>
      <c r="K2208" s="283" t="s">
        <v>3313</v>
      </c>
      <c r="L2208" s="286" t="s">
        <v>321</v>
      </c>
      <c r="M2208" s="287"/>
      <c r="N2208" s="287">
        <v>14</v>
      </c>
      <c r="O2208" s="287"/>
      <c r="P2208" s="287"/>
      <c r="Q2208" s="288">
        <v>51.3</v>
      </c>
      <c r="R2208" s="288">
        <v>52.5</v>
      </c>
      <c r="S2208" s="288">
        <v>-1.2</v>
      </c>
      <c r="T2208" s="288"/>
      <c r="U2208" s="288">
        <v>0</v>
      </c>
      <c r="V2208" s="289">
        <v>52.5</v>
      </c>
      <c r="W2208" s="289">
        <v>0</v>
      </c>
      <c r="X2208" s="288">
        <v>3.6642857142857141</v>
      </c>
      <c r="Y2208" s="288">
        <v>3.75</v>
      </c>
      <c r="Z2208" s="288">
        <v>-8.5714285714285715E-2</v>
      </c>
      <c r="AA2208" s="288">
        <v>0</v>
      </c>
      <c r="AB2208" s="288">
        <v>0</v>
      </c>
      <c r="AC2208" s="289">
        <v>3.75</v>
      </c>
      <c r="AD2208" s="289">
        <v>0</v>
      </c>
    </row>
    <row r="2209" spans="1:30" ht="15" customHeight="1" x14ac:dyDescent="0.25">
      <c r="A2209" s="282" t="s">
        <v>3309</v>
      </c>
      <c r="B2209" s="283" t="s">
        <v>3314</v>
      </c>
      <c r="C2209" s="282" t="s">
        <v>3314</v>
      </c>
      <c r="D2209" s="283" t="s">
        <v>3317</v>
      </c>
      <c r="E2209" s="403">
        <v>45061</v>
      </c>
      <c r="F2209" s="403">
        <v>46888</v>
      </c>
      <c r="G2209" s="283" t="s">
        <v>154</v>
      </c>
      <c r="H2209" s="282" t="s">
        <v>3312</v>
      </c>
      <c r="I2209" s="282" t="s">
        <v>590</v>
      </c>
      <c r="J2209" s="282" t="s">
        <v>156</v>
      </c>
      <c r="K2209" s="283" t="s">
        <v>3313</v>
      </c>
      <c r="L2209" s="286" t="s">
        <v>321</v>
      </c>
      <c r="M2209" s="287"/>
      <c r="N2209" s="287">
        <v>14.9</v>
      </c>
      <c r="O2209" s="287"/>
      <c r="P2209" s="287"/>
      <c r="Q2209" s="288">
        <v>43.2</v>
      </c>
      <c r="R2209" s="288">
        <v>44</v>
      </c>
      <c r="S2209" s="288">
        <v>-0.81899999999999995</v>
      </c>
      <c r="T2209" s="288"/>
      <c r="U2209" s="288">
        <v>0</v>
      </c>
      <c r="V2209" s="289">
        <v>44</v>
      </c>
      <c r="W2209" s="289">
        <v>0</v>
      </c>
      <c r="X2209" s="288">
        <v>2.8993288590604029</v>
      </c>
      <c r="Y2209" s="288">
        <v>2.9530201342281877</v>
      </c>
      <c r="Z2209" s="288">
        <v>-5.4966442953020132E-2</v>
      </c>
      <c r="AA2209" s="288">
        <v>0</v>
      </c>
      <c r="AB2209" s="288">
        <v>0</v>
      </c>
      <c r="AC2209" s="289">
        <v>2.9530201342281877</v>
      </c>
      <c r="AD2209" s="289">
        <v>0</v>
      </c>
    </row>
    <row r="2210" spans="1:30" ht="15" customHeight="1" x14ac:dyDescent="0.25">
      <c r="A2210" s="282" t="s">
        <v>3309</v>
      </c>
      <c r="B2210" s="283" t="s">
        <v>3314</v>
      </c>
      <c r="C2210" s="282" t="s">
        <v>3314</v>
      </c>
      <c r="D2210" s="283" t="s">
        <v>3318</v>
      </c>
      <c r="E2210" s="403">
        <v>45061</v>
      </c>
      <c r="F2210" s="403">
        <v>46888</v>
      </c>
      <c r="G2210" s="283" t="s">
        <v>154</v>
      </c>
      <c r="H2210" s="282" t="s">
        <v>3312</v>
      </c>
      <c r="I2210" s="282" t="s">
        <v>590</v>
      </c>
      <c r="J2210" s="282" t="s">
        <v>156</v>
      </c>
      <c r="K2210" s="283" t="s">
        <v>3313</v>
      </c>
      <c r="L2210" s="286" t="s">
        <v>321</v>
      </c>
      <c r="M2210" s="287"/>
      <c r="N2210" s="287">
        <v>14.9</v>
      </c>
      <c r="O2210" s="287"/>
      <c r="P2210" s="287"/>
      <c r="Q2210" s="288">
        <v>55.4</v>
      </c>
      <c r="R2210" s="288">
        <v>56.3</v>
      </c>
      <c r="S2210" s="288">
        <v>-0.86499999999999999</v>
      </c>
      <c r="T2210" s="288"/>
      <c r="U2210" s="288">
        <v>0</v>
      </c>
      <c r="V2210" s="289">
        <v>56.3</v>
      </c>
      <c r="W2210" s="289">
        <v>0</v>
      </c>
      <c r="X2210" s="288">
        <v>3.7181208053691273</v>
      </c>
      <c r="Y2210" s="288">
        <v>3.7785234899328857</v>
      </c>
      <c r="Z2210" s="288">
        <v>-5.8053691275167782E-2</v>
      </c>
      <c r="AA2210" s="288">
        <v>0</v>
      </c>
      <c r="AB2210" s="288">
        <v>0</v>
      </c>
      <c r="AC2210" s="289">
        <v>3.7785234899328857</v>
      </c>
      <c r="AD2210" s="289">
        <v>0</v>
      </c>
    </row>
    <row r="2211" spans="1:30" ht="15" customHeight="1" x14ac:dyDescent="0.25">
      <c r="A2211" s="282" t="s">
        <v>3309</v>
      </c>
      <c r="B2211" s="283" t="s">
        <v>3314</v>
      </c>
      <c r="C2211" s="282" t="s">
        <v>3314</v>
      </c>
      <c r="D2211" s="283" t="s">
        <v>3319</v>
      </c>
      <c r="E2211" s="403">
        <v>45061</v>
      </c>
      <c r="F2211" s="403">
        <v>46888</v>
      </c>
      <c r="G2211" s="283" t="s">
        <v>154</v>
      </c>
      <c r="H2211" s="282" t="s">
        <v>3312</v>
      </c>
      <c r="I2211" s="282" t="s">
        <v>590</v>
      </c>
      <c r="J2211" s="282" t="s">
        <v>156</v>
      </c>
      <c r="K2211" s="283" t="s">
        <v>3313</v>
      </c>
      <c r="L2211" s="286" t="s">
        <v>321</v>
      </c>
      <c r="M2211" s="287"/>
      <c r="N2211" s="287">
        <v>14.9</v>
      </c>
      <c r="O2211" s="287"/>
      <c r="P2211" s="287"/>
      <c r="Q2211" s="288">
        <v>51.7</v>
      </c>
      <c r="R2211" s="288">
        <v>52.5</v>
      </c>
      <c r="S2211" s="288">
        <v>-0.86499999999999999</v>
      </c>
      <c r="T2211" s="288"/>
      <c r="U2211" s="288">
        <v>0</v>
      </c>
      <c r="V2211" s="289">
        <v>52.5</v>
      </c>
      <c r="W2211" s="289">
        <v>0</v>
      </c>
      <c r="X2211" s="288">
        <v>3.4697986577181208</v>
      </c>
      <c r="Y2211" s="288">
        <v>3.523489932885906</v>
      </c>
      <c r="Z2211" s="288">
        <v>-5.8053691275167782E-2</v>
      </c>
      <c r="AA2211" s="288">
        <v>0</v>
      </c>
      <c r="AB2211" s="288">
        <v>0</v>
      </c>
      <c r="AC2211" s="289">
        <v>3.523489932885906</v>
      </c>
      <c r="AD2211" s="289">
        <v>0</v>
      </c>
    </row>
    <row r="2212" spans="1:30" ht="15" customHeight="1" x14ac:dyDescent="0.25">
      <c r="A2212" s="282" t="s">
        <v>3309</v>
      </c>
      <c r="B2212" s="283" t="s">
        <v>3314</v>
      </c>
      <c r="C2212" s="282" t="s">
        <v>3314</v>
      </c>
      <c r="D2212" s="283" t="s">
        <v>3320</v>
      </c>
      <c r="E2212" s="403">
        <v>45061</v>
      </c>
      <c r="F2212" s="403">
        <v>46888</v>
      </c>
      <c r="G2212" s="283" t="s">
        <v>154</v>
      </c>
      <c r="H2212" s="282" t="s">
        <v>3312</v>
      </c>
      <c r="I2212" s="282" t="s">
        <v>590</v>
      </c>
      <c r="J2212" s="282" t="s">
        <v>156</v>
      </c>
      <c r="K2212" s="283" t="s">
        <v>3313</v>
      </c>
      <c r="L2212" s="286" t="s">
        <v>321</v>
      </c>
      <c r="M2212" s="287"/>
      <c r="N2212" s="287">
        <v>17.485714285714295</v>
      </c>
      <c r="O2212" s="287"/>
      <c r="P2212" s="287"/>
      <c r="Q2212" s="288">
        <v>52.5</v>
      </c>
      <c r="R2212" s="288">
        <v>53.3</v>
      </c>
      <c r="S2212" s="288">
        <v>-0.82099999999999995</v>
      </c>
      <c r="T2212" s="288"/>
      <c r="U2212" s="288">
        <v>0</v>
      </c>
      <c r="V2212" s="289">
        <v>53.3</v>
      </c>
      <c r="W2212" s="289">
        <v>0</v>
      </c>
      <c r="X2212" s="288">
        <v>3.0024509803921555</v>
      </c>
      <c r="Y2212" s="288">
        <v>3.0482026143790835</v>
      </c>
      <c r="Z2212" s="288">
        <v>-4.6952614379084941E-2</v>
      </c>
      <c r="AA2212" s="288">
        <v>0</v>
      </c>
      <c r="AB2212" s="288">
        <v>0</v>
      </c>
      <c r="AC2212" s="289">
        <v>3.0482026143790835</v>
      </c>
      <c r="AD2212" s="289">
        <v>0</v>
      </c>
    </row>
    <row r="2213" spans="1:30" ht="15" customHeight="1" x14ac:dyDescent="0.25">
      <c r="A2213" s="282" t="s">
        <v>3309</v>
      </c>
      <c r="B2213" s="283" t="s">
        <v>3314</v>
      </c>
      <c r="C2213" s="282" t="s">
        <v>3314</v>
      </c>
      <c r="D2213" s="283" t="s">
        <v>3321</v>
      </c>
      <c r="E2213" s="403">
        <v>45061</v>
      </c>
      <c r="F2213" s="403">
        <v>46888</v>
      </c>
      <c r="G2213" s="283" t="s">
        <v>154</v>
      </c>
      <c r="H2213" s="282" t="s">
        <v>3312</v>
      </c>
      <c r="I2213" s="282" t="s">
        <v>590</v>
      </c>
      <c r="J2213" s="282" t="s">
        <v>156</v>
      </c>
      <c r="K2213" s="283" t="s">
        <v>3313</v>
      </c>
      <c r="L2213" s="286" t="s">
        <v>321</v>
      </c>
      <c r="M2213" s="287"/>
      <c r="N2213" s="287">
        <v>20.07142857142858</v>
      </c>
      <c r="O2213" s="287"/>
      <c r="P2213" s="287"/>
      <c r="Q2213" s="288">
        <v>43.7</v>
      </c>
      <c r="R2213" s="288">
        <v>44.3</v>
      </c>
      <c r="S2213" s="288">
        <v>-0.54700000000000004</v>
      </c>
      <c r="T2213" s="288"/>
      <c r="U2213" s="288">
        <v>0</v>
      </c>
      <c r="V2213" s="289">
        <v>44.3</v>
      </c>
      <c r="W2213" s="289">
        <v>0</v>
      </c>
      <c r="X2213" s="288">
        <v>2.1772241992882555</v>
      </c>
      <c r="Y2213" s="288">
        <v>2.207117437722419</v>
      </c>
      <c r="Z2213" s="288">
        <v>-2.7252669039145899E-2</v>
      </c>
      <c r="AA2213" s="288">
        <v>0</v>
      </c>
      <c r="AB2213" s="288">
        <v>0</v>
      </c>
      <c r="AC2213" s="289">
        <v>2.207117437722419</v>
      </c>
      <c r="AD2213" s="289">
        <v>0</v>
      </c>
    </row>
    <row r="2214" spans="1:30" ht="15" customHeight="1" x14ac:dyDescent="0.25">
      <c r="A2214" s="282" t="s">
        <v>3309</v>
      </c>
      <c r="B2214" s="283" t="s">
        <v>3314</v>
      </c>
      <c r="C2214" s="282" t="s">
        <v>3314</v>
      </c>
      <c r="D2214" s="283" t="s">
        <v>3322</v>
      </c>
      <c r="E2214" s="403">
        <v>45061</v>
      </c>
      <c r="F2214" s="403">
        <v>46888</v>
      </c>
      <c r="G2214" s="283" t="s">
        <v>154</v>
      </c>
      <c r="H2214" s="282" t="s">
        <v>3312</v>
      </c>
      <c r="I2214" s="282" t="s">
        <v>590</v>
      </c>
      <c r="J2214" s="282" t="s">
        <v>156</v>
      </c>
      <c r="K2214" s="283" t="s">
        <v>3313</v>
      </c>
      <c r="L2214" s="286" t="s">
        <v>321</v>
      </c>
      <c r="M2214" s="287"/>
      <c r="N2214" s="287">
        <v>12.3</v>
      </c>
      <c r="O2214" s="287"/>
      <c r="P2214" s="287"/>
      <c r="Q2214" s="288">
        <v>44.2</v>
      </c>
      <c r="R2214" s="288">
        <v>44.8</v>
      </c>
      <c r="S2214" s="288">
        <v>-0.59599999999999997</v>
      </c>
      <c r="T2214" s="288"/>
      <c r="U2214" s="288">
        <v>0</v>
      </c>
      <c r="V2214" s="289">
        <v>44.8</v>
      </c>
      <c r="W2214" s="289">
        <v>0</v>
      </c>
      <c r="X2214" s="288">
        <v>3.5934959349593498</v>
      </c>
      <c r="Y2214" s="288">
        <v>3.642276422764227</v>
      </c>
      <c r="Z2214" s="288">
        <v>-4.8455284552845521E-2</v>
      </c>
      <c r="AA2214" s="288">
        <v>0</v>
      </c>
      <c r="AB2214" s="288">
        <v>0</v>
      </c>
      <c r="AC2214" s="289">
        <v>3.642276422764227</v>
      </c>
      <c r="AD2214" s="289">
        <v>0</v>
      </c>
    </row>
    <row r="2215" spans="1:30" ht="15" customHeight="1" x14ac:dyDescent="0.25">
      <c r="A2215" s="282" t="s">
        <v>3309</v>
      </c>
      <c r="B2215" s="283" t="s">
        <v>3314</v>
      </c>
      <c r="C2215" s="282" t="s">
        <v>3314</v>
      </c>
      <c r="D2215" s="283" t="s">
        <v>3323</v>
      </c>
      <c r="E2215" s="403">
        <v>45061</v>
      </c>
      <c r="F2215" s="403">
        <v>46888</v>
      </c>
      <c r="G2215" s="283" t="s">
        <v>154</v>
      </c>
      <c r="H2215" s="282" t="s">
        <v>3312</v>
      </c>
      <c r="I2215" s="282" t="s">
        <v>590</v>
      </c>
      <c r="J2215" s="282" t="s">
        <v>156</v>
      </c>
      <c r="K2215" s="283" t="s">
        <v>3313</v>
      </c>
      <c r="L2215" s="286" t="s">
        <v>321</v>
      </c>
      <c r="M2215" s="287"/>
      <c r="N2215" s="287">
        <v>26.228571428571438</v>
      </c>
      <c r="O2215" s="287"/>
      <c r="P2215" s="287"/>
      <c r="Q2215" s="288">
        <v>40.1</v>
      </c>
      <c r="R2215" s="288">
        <v>40.6</v>
      </c>
      <c r="S2215" s="288">
        <v>-0.54500000000000004</v>
      </c>
      <c r="T2215" s="288"/>
      <c r="U2215" s="288">
        <v>0</v>
      </c>
      <c r="V2215" s="289">
        <v>40.6</v>
      </c>
      <c r="W2215" s="289">
        <v>0</v>
      </c>
      <c r="X2215" s="288">
        <v>1.5288671023965137</v>
      </c>
      <c r="Y2215" s="288">
        <v>1.5479302832244004</v>
      </c>
      <c r="Z2215" s="288">
        <v>-2.0778867102396507E-2</v>
      </c>
      <c r="AA2215" s="288">
        <v>0</v>
      </c>
      <c r="AB2215" s="288">
        <v>0</v>
      </c>
      <c r="AC2215" s="289">
        <v>1.5479302832244004</v>
      </c>
      <c r="AD2215" s="289">
        <v>0</v>
      </c>
    </row>
    <row r="2216" spans="1:30" ht="15" customHeight="1" x14ac:dyDescent="0.25">
      <c r="A2216" s="282" t="s">
        <v>3309</v>
      </c>
      <c r="B2216" s="283" t="s">
        <v>3314</v>
      </c>
      <c r="C2216" s="282" t="s">
        <v>3314</v>
      </c>
      <c r="D2216" s="283" t="s">
        <v>3324</v>
      </c>
      <c r="E2216" s="403">
        <v>45061</v>
      </c>
      <c r="F2216" s="403">
        <v>46888</v>
      </c>
      <c r="G2216" s="283" t="s">
        <v>154</v>
      </c>
      <c r="H2216" s="282" t="s">
        <v>3312</v>
      </c>
      <c r="I2216" s="282" t="s">
        <v>590</v>
      </c>
      <c r="J2216" s="282" t="s">
        <v>156</v>
      </c>
      <c r="K2216" s="283" t="s">
        <v>3313</v>
      </c>
      <c r="L2216" s="286" t="s">
        <v>321</v>
      </c>
      <c r="M2216" s="287"/>
      <c r="N2216" s="287">
        <v>16.057142857142864</v>
      </c>
      <c r="O2216" s="287"/>
      <c r="P2216" s="287"/>
      <c r="Q2216" s="288">
        <v>49.7</v>
      </c>
      <c r="R2216" s="288">
        <v>50.3</v>
      </c>
      <c r="S2216" s="288">
        <v>-0.64600000000000002</v>
      </c>
      <c r="T2216" s="288"/>
      <c r="U2216" s="288">
        <v>0</v>
      </c>
      <c r="V2216" s="289">
        <v>50.3</v>
      </c>
      <c r="W2216" s="289">
        <v>0</v>
      </c>
      <c r="X2216" s="288">
        <v>3.0951957295373655</v>
      </c>
      <c r="Y2216" s="288">
        <v>3.1325622775800697</v>
      </c>
      <c r="Z2216" s="288">
        <v>-4.0231316725978634E-2</v>
      </c>
      <c r="AA2216" s="288">
        <v>0</v>
      </c>
      <c r="AB2216" s="288">
        <v>0</v>
      </c>
      <c r="AC2216" s="289">
        <v>3.1325622775800697</v>
      </c>
      <c r="AD2216" s="289">
        <v>0</v>
      </c>
    </row>
    <row r="2217" spans="1:30" ht="15" customHeight="1" x14ac:dyDescent="0.25">
      <c r="A2217" s="282" t="s">
        <v>3309</v>
      </c>
      <c r="B2217" s="283" t="s">
        <v>3314</v>
      </c>
      <c r="C2217" s="282" t="s">
        <v>3314</v>
      </c>
      <c r="D2217" s="283" t="s">
        <v>3325</v>
      </c>
      <c r="E2217" s="403">
        <v>45061</v>
      </c>
      <c r="F2217" s="403">
        <v>46888</v>
      </c>
      <c r="G2217" s="283" t="s">
        <v>154</v>
      </c>
      <c r="H2217" s="282" t="s">
        <v>3312</v>
      </c>
      <c r="I2217" s="282" t="s">
        <v>590</v>
      </c>
      <c r="J2217" s="282" t="s">
        <v>156</v>
      </c>
      <c r="K2217" s="283" t="s">
        <v>3313</v>
      </c>
      <c r="L2217" s="286" t="s">
        <v>321</v>
      </c>
      <c r="M2217" s="287"/>
      <c r="N2217" s="287">
        <v>12.7</v>
      </c>
      <c r="O2217" s="287"/>
      <c r="P2217" s="287"/>
      <c r="Q2217" s="288">
        <v>46.3</v>
      </c>
      <c r="R2217" s="288">
        <v>46.8</v>
      </c>
      <c r="S2217" s="288">
        <v>-0.55400000000000005</v>
      </c>
      <c r="T2217" s="288"/>
      <c r="U2217" s="288">
        <v>0</v>
      </c>
      <c r="V2217" s="289">
        <v>46.8</v>
      </c>
      <c r="W2217" s="289">
        <v>0</v>
      </c>
      <c r="X2217" s="288">
        <v>3.6456692913385829</v>
      </c>
      <c r="Y2217" s="288">
        <v>3.6850393700787403</v>
      </c>
      <c r="Z2217" s="288">
        <v>-4.3622047244094492E-2</v>
      </c>
      <c r="AA2217" s="288">
        <v>0</v>
      </c>
      <c r="AB2217" s="288">
        <v>0</v>
      </c>
      <c r="AC2217" s="289">
        <v>3.6850393700787403</v>
      </c>
      <c r="AD2217" s="289">
        <v>0</v>
      </c>
    </row>
    <row r="2218" spans="1:30" ht="15" customHeight="1" x14ac:dyDescent="0.25">
      <c r="A2218" s="282" t="s">
        <v>3309</v>
      </c>
      <c r="B2218" s="283" t="s">
        <v>3310</v>
      </c>
      <c r="C2218" s="282" t="s">
        <v>3310</v>
      </c>
      <c r="D2218" s="283" t="s">
        <v>3326</v>
      </c>
      <c r="E2218" s="403">
        <v>45061</v>
      </c>
      <c r="F2218" s="403">
        <v>46888</v>
      </c>
      <c r="G2218" s="283" t="s">
        <v>154</v>
      </c>
      <c r="H2218" s="282" t="s">
        <v>3327</v>
      </c>
      <c r="I2218" s="282" t="s">
        <v>590</v>
      </c>
      <c r="J2218" s="282" t="s">
        <v>156</v>
      </c>
      <c r="K2218" s="283" t="s">
        <v>3328</v>
      </c>
      <c r="L2218" s="286" t="s">
        <v>321</v>
      </c>
      <c r="M2218" s="287"/>
      <c r="N2218" s="287">
        <v>15.6</v>
      </c>
      <c r="O2218" s="287"/>
      <c r="P2218" s="287"/>
      <c r="Q2218" s="288">
        <v>52.6</v>
      </c>
      <c r="R2218" s="288">
        <v>52.9</v>
      </c>
      <c r="S2218" s="288">
        <v>0.26100000000000001</v>
      </c>
      <c r="T2218" s="288"/>
      <c r="U2218" s="288">
        <v>0</v>
      </c>
      <c r="V2218" s="289">
        <v>53.161000000000001</v>
      </c>
      <c r="W2218" s="289">
        <v>0</v>
      </c>
      <c r="X2218" s="288">
        <v>3.3717948717948718</v>
      </c>
      <c r="Y2218" s="288">
        <v>3.391025641025641</v>
      </c>
      <c r="Z2218" s="288">
        <v>1.6730769230769233E-2</v>
      </c>
      <c r="AA2218" s="288">
        <v>0</v>
      </c>
      <c r="AB2218" s="288">
        <v>0</v>
      </c>
      <c r="AC2218" s="289">
        <v>3.4077564102564102</v>
      </c>
      <c r="AD2218" s="289">
        <v>0</v>
      </c>
    </row>
    <row r="2219" spans="1:30" ht="15" customHeight="1" x14ac:dyDescent="0.25">
      <c r="A2219" s="282" t="s">
        <v>3309</v>
      </c>
      <c r="B2219" s="283" t="s">
        <v>3314</v>
      </c>
      <c r="C2219" s="282" t="s">
        <v>3314</v>
      </c>
      <c r="D2219" s="283" t="s">
        <v>3329</v>
      </c>
      <c r="E2219" s="403">
        <v>45061</v>
      </c>
      <c r="F2219" s="403">
        <v>46888</v>
      </c>
      <c r="G2219" s="283" t="s">
        <v>154</v>
      </c>
      <c r="H2219" s="282" t="s">
        <v>3312</v>
      </c>
      <c r="I2219" s="282" t="s">
        <v>590</v>
      </c>
      <c r="J2219" s="282" t="s">
        <v>156</v>
      </c>
      <c r="K2219" s="283" t="s">
        <v>3313</v>
      </c>
      <c r="L2219" s="286" t="s">
        <v>321</v>
      </c>
      <c r="M2219" s="287"/>
      <c r="N2219" s="287">
        <v>14</v>
      </c>
      <c r="O2219" s="287"/>
      <c r="P2219" s="287"/>
      <c r="Q2219" s="288">
        <v>48.6</v>
      </c>
      <c r="R2219" s="288">
        <v>49.1</v>
      </c>
      <c r="S2219" s="288">
        <v>-0.45400000000000001</v>
      </c>
      <c r="T2219" s="288"/>
      <c r="U2219" s="288">
        <v>0</v>
      </c>
      <c r="V2219" s="289">
        <v>49.1</v>
      </c>
      <c r="W2219" s="289">
        <v>0</v>
      </c>
      <c r="X2219" s="288">
        <v>3.4714285714285715</v>
      </c>
      <c r="Y2219" s="288">
        <v>3.5071428571428571</v>
      </c>
      <c r="Z2219" s="288">
        <v>-3.2428571428571432E-2</v>
      </c>
      <c r="AA2219" s="288">
        <v>0</v>
      </c>
      <c r="AB2219" s="288">
        <v>0</v>
      </c>
      <c r="AC2219" s="289">
        <v>3.5071428571428571</v>
      </c>
      <c r="AD2219" s="289">
        <v>0</v>
      </c>
    </row>
    <row r="2220" spans="1:30" ht="15" customHeight="1" x14ac:dyDescent="0.25">
      <c r="A2220" s="282" t="s">
        <v>3309</v>
      </c>
      <c r="B2220" s="283" t="s">
        <v>3310</v>
      </c>
      <c r="C2220" s="282" t="s">
        <v>3310</v>
      </c>
      <c r="D2220" s="283" t="s">
        <v>3330</v>
      </c>
      <c r="E2220" s="403">
        <v>44860</v>
      </c>
      <c r="F2220" s="403">
        <v>46686</v>
      </c>
      <c r="G2220" s="283" t="s">
        <v>3331</v>
      </c>
      <c r="H2220" s="282" t="s">
        <v>3332</v>
      </c>
      <c r="I2220" s="282" t="s">
        <v>590</v>
      </c>
      <c r="J2220" s="282" t="s">
        <v>156</v>
      </c>
      <c r="K2220" s="283" t="s">
        <v>3333</v>
      </c>
      <c r="L2220" s="286" t="s">
        <v>321</v>
      </c>
      <c r="M2220" s="287"/>
      <c r="N2220" s="287">
        <v>12</v>
      </c>
      <c r="O2220" s="287"/>
      <c r="P2220" s="287"/>
      <c r="Q2220" s="288">
        <v>42.7</v>
      </c>
      <c r="R2220" s="288">
        <v>42.9</v>
      </c>
      <c r="S2220" s="288">
        <v>0.23499999999999999</v>
      </c>
      <c r="T2220" s="288"/>
      <c r="U2220" s="288">
        <v>0</v>
      </c>
      <c r="V2220" s="289">
        <v>43.134999999999998</v>
      </c>
      <c r="W2220" s="289">
        <v>0</v>
      </c>
      <c r="X2220" s="288">
        <v>3.5583333333333336</v>
      </c>
      <c r="Y2220" s="288">
        <v>3.5749999999999997</v>
      </c>
      <c r="Z2220" s="288">
        <v>1.9583333333333331E-2</v>
      </c>
      <c r="AA2220" s="288">
        <v>0</v>
      </c>
      <c r="AB2220" s="288">
        <v>0</v>
      </c>
      <c r="AC2220" s="289">
        <v>3.594583333333333</v>
      </c>
      <c r="AD2220" s="289">
        <v>0</v>
      </c>
    </row>
    <row r="2221" spans="1:30" ht="15" customHeight="1" x14ac:dyDescent="0.25">
      <c r="A2221" s="282" t="s">
        <v>3309</v>
      </c>
      <c r="B2221" s="283" t="s">
        <v>3310</v>
      </c>
      <c r="C2221" s="282" t="s">
        <v>3310</v>
      </c>
      <c r="D2221" s="283" t="s">
        <v>3334</v>
      </c>
      <c r="E2221" s="403">
        <v>44860</v>
      </c>
      <c r="F2221" s="403">
        <v>46686</v>
      </c>
      <c r="G2221" s="283" t="s">
        <v>3331</v>
      </c>
      <c r="H2221" s="282" t="s">
        <v>3335</v>
      </c>
      <c r="I2221" s="282" t="s">
        <v>3336</v>
      </c>
      <c r="J2221" s="282" t="s">
        <v>156</v>
      </c>
      <c r="K2221" s="283" t="s">
        <v>3337</v>
      </c>
      <c r="L2221" s="286" t="s">
        <v>321</v>
      </c>
      <c r="M2221" s="287"/>
      <c r="N2221" s="287">
        <v>10</v>
      </c>
      <c r="O2221" s="287"/>
      <c r="P2221" s="287"/>
      <c r="Q2221" s="288">
        <v>39.700000000000003</v>
      </c>
      <c r="R2221" s="288">
        <v>40.1</v>
      </c>
      <c r="S2221" s="288">
        <v>-0.35099999999999998</v>
      </c>
      <c r="T2221" s="288"/>
      <c r="U2221" s="288">
        <v>0</v>
      </c>
      <c r="V2221" s="289">
        <v>40.1</v>
      </c>
      <c r="W2221" s="289">
        <v>0</v>
      </c>
      <c r="X2221" s="288">
        <v>3.97</v>
      </c>
      <c r="Y2221" s="288">
        <v>4.01</v>
      </c>
      <c r="Z2221" s="288">
        <v>-3.5099999999999999E-2</v>
      </c>
      <c r="AA2221" s="288">
        <v>0</v>
      </c>
      <c r="AB2221" s="288">
        <v>0</v>
      </c>
      <c r="AC2221" s="289">
        <v>4.01</v>
      </c>
      <c r="AD2221" s="289">
        <v>0</v>
      </c>
    </row>
    <row r="2222" spans="1:30" ht="15" customHeight="1" x14ac:dyDescent="0.25">
      <c r="A2222" s="282" t="s">
        <v>3309</v>
      </c>
      <c r="B2222" s="283" t="s">
        <v>3310</v>
      </c>
      <c r="C2222" s="282" t="s">
        <v>3310</v>
      </c>
      <c r="D2222" s="283" t="s">
        <v>3338</v>
      </c>
      <c r="E2222" s="403">
        <v>45061</v>
      </c>
      <c r="F2222" s="403">
        <v>46888</v>
      </c>
      <c r="G2222" s="283" t="s">
        <v>154</v>
      </c>
      <c r="H2222" s="282" t="s">
        <v>3327</v>
      </c>
      <c r="I2222" s="282" t="s">
        <v>590</v>
      </c>
      <c r="J2222" s="282" t="s">
        <v>156</v>
      </c>
      <c r="K2222" s="283" t="s">
        <v>3328</v>
      </c>
      <c r="L2222" s="286" t="s">
        <v>321</v>
      </c>
      <c r="M2222" s="287"/>
      <c r="N2222" s="287">
        <v>15.514285714285716</v>
      </c>
      <c r="O2222" s="287"/>
      <c r="P2222" s="287"/>
      <c r="Q2222" s="288">
        <v>51.7</v>
      </c>
      <c r="R2222" s="288">
        <v>52</v>
      </c>
      <c r="S2222" s="288">
        <v>0.21</v>
      </c>
      <c r="T2222" s="288"/>
      <c r="U2222" s="288">
        <v>0</v>
      </c>
      <c r="V2222" s="289">
        <v>52.21</v>
      </c>
      <c r="W2222" s="289">
        <v>0</v>
      </c>
      <c r="X2222" s="288">
        <v>3.3324125230202575</v>
      </c>
      <c r="Y2222" s="288">
        <v>3.3517495395948429</v>
      </c>
      <c r="Z2222" s="288">
        <v>1.3535911602209943E-2</v>
      </c>
      <c r="AA2222" s="288">
        <v>0</v>
      </c>
      <c r="AB2222" s="288">
        <v>0</v>
      </c>
      <c r="AC2222" s="289">
        <v>3.3652854511970527</v>
      </c>
      <c r="AD2222" s="289">
        <v>0</v>
      </c>
    </row>
    <row r="2223" spans="1:30" ht="15" customHeight="1" x14ac:dyDescent="0.25">
      <c r="A2223" s="282" t="s">
        <v>3309</v>
      </c>
      <c r="B2223" s="283" t="s">
        <v>3310</v>
      </c>
      <c r="C2223" s="282" t="s">
        <v>3310</v>
      </c>
      <c r="D2223" s="283" t="s">
        <v>3339</v>
      </c>
      <c r="E2223" s="403">
        <v>45061</v>
      </c>
      <c r="F2223" s="403">
        <v>46888</v>
      </c>
      <c r="G2223" s="283" t="s">
        <v>154</v>
      </c>
      <c r="H2223" s="282" t="s">
        <v>3312</v>
      </c>
      <c r="I2223" s="282" t="s">
        <v>590</v>
      </c>
      <c r="J2223" s="282" t="s">
        <v>156</v>
      </c>
      <c r="K2223" s="283" t="s">
        <v>3313</v>
      </c>
      <c r="L2223" s="286" t="s">
        <v>321</v>
      </c>
      <c r="M2223" s="287"/>
      <c r="N2223" s="287">
        <v>18.100000000000001</v>
      </c>
      <c r="O2223" s="287"/>
      <c r="P2223" s="287"/>
      <c r="Q2223" s="288">
        <v>41.4</v>
      </c>
      <c r="R2223" s="288">
        <v>41.8</v>
      </c>
      <c r="S2223" s="288">
        <v>-0.32800000000000001</v>
      </c>
      <c r="T2223" s="288"/>
      <c r="U2223" s="288">
        <v>0</v>
      </c>
      <c r="V2223" s="289">
        <v>41.8</v>
      </c>
      <c r="W2223" s="289">
        <v>0</v>
      </c>
      <c r="X2223" s="288">
        <v>2.2872928176795577</v>
      </c>
      <c r="Y2223" s="288">
        <v>2.3093922651933698</v>
      </c>
      <c r="Z2223" s="288">
        <v>-1.8121546961325966E-2</v>
      </c>
      <c r="AA2223" s="288">
        <v>0</v>
      </c>
      <c r="AB2223" s="288">
        <v>0</v>
      </c>
      <c r="AC2223" s="289">
        <v>2.3093922651933698</v>
      </c>
      <c r="AD2223" s="289">
        <v>0</v>
      </c>
    </row>
    <row r="2224" spans="1:30" ht="15" customHeight="1" x14ac:dyDescent="0.25">
      <c r="A2224" s="282" t="s">
        <v>3309</v>
      </c>
      <c r="B2224" s="283" t="s">
        <v>3314</v>
      </c>
      <c r="C2224" s="282" t="s">
        <v>3314</v>
      </c>
      <c r="D2224" s="283" t="s">
        <v>3340</v>
      </c>
      <c r="E2224" s="403">
        <v>45061</v>
      </c>
      <c r="F2224" s="403">
        <v>46888</v>
      </c>
      <c r="G2224" s="283" t="s">
        <v>154</v>
      </c>
      <c r="H2224" s="282" t="s">
        <v>3312</v>
      </c>
      <c r="I2224" s="282" t="s">
        <v>590</v>
      </c>
      <c r="J2224" s="282" t="s">
        <v>156</v>
      </c>
      <c r="K2224" s="283" t="s">
        <v>3313</v>
      </c>
      <c r="L2224" s="286" t="s">
        <v>321</v>
      </c>
      <c r="M2224" s="287"/>
      <c r="N2224" s="287">
        <v>12.6</v>
      </c>
      <c r="O2224" s="287"/>
      <c r="P2224" s="287"/>
      <c r="Q2224" s="288">
        <v>42.7</v>
      </c>
      <c r="R2224" s="288">
        <v>43.1</v>
      </c>
      <c r="S2224" s="288">
        <v>-0.39300000000000002</v>
      </c>
      <c r="T2224" s="288"/>
      <c r="U2224" s="288">
        <v>0</v>
      </c>
      <c r="V2224" s="289">
        <v>43.1</v>
      </c>
      <c r="W2224" s="289">
        <v>0</v>
      </c>
      <c r="X2224" s="288">
        <v>3.3888888888888893</v>
      </c>
      <c r="Y2224" s="288">
        <v>3.4206349206349209</v>
      </c>
      <c r="Z2224" s="288">
        <v>-3.1190476190476192E-2</v>
      </c>
      <c r="AA2224" s="288">
        <v>0</v>
      </c>
      <c r="AB2224" s="288">
        <v>0</v>
      </c>
      <c r="AC2224" s="289">
        <v>3.4206349206349209</v>
      </c>
      <c r="AD2224" s="289">
        <v>0</v>
      </c>
    </row>
    <row r="2225" spans="1:30" ht="15" customHeight="1" x14ac:dyDescent="0.25">
      <c r="A2225" s="282" t="s">
        <v>3309</v>
      </c>
      <c r="B2225" s="283" t="s">
        <v>3314</v>
      </c>
      <c r="C2225" s="282" t="s">
        <v>3314</v>
      </c>
      <c r="D2225" s="283" t="s">
        <v>3341</v>
      </c>
      <c r="E2225" s="403">
        <v>45061</v>
      </c>
      <c r="F2225" s="403">
        <v>46888</v>
      </c>
      <c r="G2225" s="283" t="s">
        <v>154</v>
      </c>
      <c r="H2225" s="282" t="s">
        <v>3312</v>
      </c>
      <c r="I2225" s="282" t="s">
        <v>590</v>
      </c>
      <c r="J2225" s="282" t="s">
        <v>156</v>
      </c>
      <c r="K2225" s="283" t="s">
        <v>3313</v>
      </c>
      <c r="L2225" s="286" t="s">
        <v>321</v>
      </c>
      <c r="M2225" s="287"/>
      <c r="N2225" s="287">
        <v>13.7</v>
      </c>
      <c r="O2225" s="287"/>
      <c r="P2225" s="287"/>
      <c r="Q2225" s="288">
        <v>45</v>
      </c>
      <c r="R2225" s="288">
        <v>45.4</v>
      </c>
      <c r="S2225" s="288">
        <v>-0.45300000000000001</v>
      </c>
      <c r="T2225" s="288"/>
      <c r="U2225" s="288">
        <v>0</v>
      </c>
      <c r="V2225" s="289">
        <v>45.4</v>
      </c>
      <c r="W2225" s="289">
        <v>0</v>
      </c>
      <c r="X2225" s="288">
        <v>3.2846715328467155</v>
      </c>
      <c r="Y2225" s="288">
        <v>3.3138686131386863</v>
      </c>
      <c r="Z2225" s="288">
        <v>-3.3065693430656934E-2</v>
      </c>
      <c r="AA2225" s="288">
        <v>0</v>
      </c>
      <c r="AB2225" s="288">
        <v>0</v>
      </c>
      <c r="AC2225" s="289">
        <v>3.3138686131386863</v>
      </c>
      <c r="AD2225" s="289">
        <v>0</v>
      </c>
    </row>
    <row r="2226" spans="1:30" ht="15" customHeight="1" x14ac:dyDescent="0.25">
      <c r="A2226" s="282" t="s">
        <v>3309</v>
      </c>
      <c r="B2226" s="283" t="s">
        <v>3314</v>
      </c>
      <c r="C2226" s="282" t="s">
        <v>3314</v>
      </c>
      <c r="D2226" s="283" t="s">
        <v>3342</v>
      </c>
      <c r="E2226" s="403">
        <v>45061</v>
      </c>
      <c r="F2226" s="403">
        <v>46888</v>
      </c>
      <c r="G2226" s="283" t="s">
        <v>154</v>
      </c>
      <c r="H2226" s="282" t="s">
        <v>3312</v>
      </c>
      <c r="I2226" s="282" t="s">
        <v>590</v>
      </c>
      <c r="J2226" s="282" t="s">
        <v>156</v>
      </c>
      <c r="K2226" s="283" t="s">
        <v>3313</v>
      </c>
      <c r="L2226" s="286" t="s">
        <v>321</v>
      </c>
      <c r="M2226" s="287"/>
      <c r="N2226" s="287">
        <v>12.6</v>
      </c>
      <c r="O2226" s="287"/>
      <c r="P2226" s="287"/>
      <c r="Q2226" s="288">
        <v>46</v>
      </c>
      <c r="R2226" s="288">
        <v>46.4</v>
      </c>
      <c r="S2226" s="288">
        <v>-0.39400000000000002</v>
      </c>
      <c r="T2226" s="288"/>
      <c r="U2226" s="288">
        <v>0</v>
      </c>
      <c r="V2226" s="289">
        <v>46.4</v>
      </c>
      <c r="W2226" s="289">
        <v>0</v>
      </c>
      <c r="X2226" s="288">
        <v>3.6507936507936507</v>
      </c>
      <c r="Y2226" s="288">
        <v>3.6825396825396823</v>
      </c>
      <c r="Z2226" s="288">
        <v>-3.1269841269841274E-2</v>
      </c>
      <c r="AA2226" s="288">
        <v>0</v>
      </c>
      <c r="AB2226" s="288">
        <v>0</v>
      </c>
      <c r="AC2226" s="289">
        <v>3.6825396825396823</v>
      </c>
      <c r="AD2226" s="289">
        <v>0</v>
      </c>
    </row>
    <row r="2227" spans="1:30" ht="15" customHeight="1" x14ac:dyDescent="0.25">
      <c r="A2227" s="282" t="s">
        <v>3309</v>
      </c>
      <c r="B2227" s="283" t="s">
        <v>3310</v>
      </c>
      <c r="C2227" s="282" t="s">
        <v>3310</v>
      </c>
      <c r="D2227" s="283" t="s">
        <v>3343</v>
      </c>
      <c r="E2227" s="403">
        <v>44130</v>
      </c>
      <c r="F2227" s="403">
        <v>46686</v>
      </c>
      <c r="G2227" s="283" t="s">
        <v>3331</v>
      </c>
      <c r="H2227" s="282" t="s">
        <v>3344</v>
      </c>
      <c r="I2227" s="282" t="s">
        <v>590</v>
      </c>
      <c r="J2227" s="282" t="s">
        <v>156</v>
      </c>
      <c r="K2227" s="283" t="s">
        <v>3345</v>
      </c>
      <c r="L2227" s="286" t="s">
        <v>321</v>
      </c>
      <c r="M2227" s="287"/>
      <c r="N2227" s="287">
        <v>10.3</v>
      </c>
      <c r="O2227" s="287"/>
      <c r="P2227" s="287"/>
      <c r="Q2227" s="288">
        <v>34.6</v>
      </c>
      <c r="R2227" s="288">
        <v>34.9</v>
      </c>
      <c r="S2227" s="288">
        <v>-0.26700000000000002</v>
      </c>
      <c r="T2227" s="288"/>
      <c r="U2227" s="288">
        <v>0</v>
      </c>
      <c r="V2227" s="289">
        <v>34.9</v>
      </c>
      <c r="W2227" s="289">
        <v>0</v>
      </c>
      <c r="X2227" s="288">
        <v>3.3592233009708736</v>
      </c>
      <c r="Y2227" s="288">
        <v>3.3883495145631066</v>
      </c>
      <c r="Z2227" s="288">
        <v>-2.5922330097087377E-2</v>
      </c>
      <c r="AA2227" s="288">
        <v>0</v>
      </c>
      <c r="AB2227" s="288">
        <v>0</v>
      </c>
      <c r="AC2227" s="289">
        <v>3.3883495145631066</v>
      </c>
      <c r="AD2227" s="289">
        <v>0</v>
      </c>
    </row>
    <row r="2228" spans="1:30" ht="15" customHeight="1" x14ac:dyDescent="0.25">
      <c r="A2228" s="282" t="s">
        <v>3309</v>
      </c>
      <c r="B2228" s="283" t="s">
        <v>3310</v>
      </c>
      <c r="C2228" s="282" t="s">
        <v>3310</v>
      </c>
      <c r="D2228" s="283" t="s">
        <v>3346</v>
      </c>
      <c r="E2228" s="403">
        <v>44860</v>
      </c>
      <c r="F2228" s="403">
        <v>46686</v>
      </c>
      <c r="G2228" s="283" t="s">
        <v>3331</v>
      </c>
      <c r="H2228" s="282" t="s">
        <v>3347</v>
      </c>
      <c r="I2228" s="282" t="s">
        <v>3336</v>
      </c>
      <c r="J2228" s="282" t="s">
        <v>156</v>
      </c>
      <c r="K2228" s="283" t="s">
        <v>3348</v>
      </c>
      <c r="L2228" s="286" t="s">
        <v>321</v>
      </c>
      <c r="M2228" s="287"/>
      <c r="N2228" s="287">
        <v>10.3</v>
      </c>
      <c r="O2228" s="287"/>
      <c r="P2228" s="287"/>
      <c r="Q2228" s="288">
        <v>34.6</v>
      </c>
      <c r="R2228" s="288">
        <v>34.9</v>
      </c>
      <c r="S2228" s="288">
        <v>-0.26700000000000002</v>
      </c>
      <c r="T2228" s="288"/>
      <c r="U2228" s="288">
        <v>0</v>
      </c>
      <c r="V2228" s="289">
        <v>34.9</v>
      </c>
      <c r="W2228" s="289">
        <v>0</v>
      </c>
      <c r="X2228" s="288">
        <v>3.3592233009708736</v>
      </c>
      <c r="Y2228" s="288">
        <v>3.3883495145631066</v>
      </c>
      <c r="Z2228" s="288">
        <v>-2.5922330097087377E-2</v>
      </c>
      <c r="AA2228" s="288">
        <v>0</v>
      </c>
      <c r="AB2228" s="288">
        <v>0</v>
      </c>
      <c r="AC2228" s="289">
        <v>3.3883495145631066</v>
      </c>
      <c r="AD2228" s="289">
        <v>0</v>
      </c>
    </row>
    <row r="2229" spans="1:30" ht="15" customHeight="1" x14ac:dyDescent="0.25">
      <c r="A2229" s="282" t="s">
        <v>3309</v>
      </c>
      <c r="B2229" s="283" t="s">
        <v>3314</v>
      </c>
      <c r="C2229" s="282" t="s">
        <v>3314</v>
      </c>
      <c r="D2229" s="283" t="s">
        <v>3349</v>
      </c>
      <c r="E2229" s="403">
        <v>45061</v>
      </c>
      <c r="F2229" s="403">
        <v>46888</v>
      </c>
      <c r="G2229" s="283" t="s">
        <v>154</v>
      </c>
      <c r="H2229" s="282" t="s">
        <v>3312</v>
      </c>
      <c r="I2229" s="282" t="s">
        <v>590</v>
      </c>
      <c r="J2229" s="282" t="s">
        <v>156</v>
      </c>
      <c r="K2229" s="283" t="s">
        <v>3313</v>
      </c>
      <c r="L2229" s="286" t="s">
        <v>321</v>
      </c>
      <c r="M2229" s="287"/>
      <c r="N2229" s="287">
        <v>12.3</v>
      </c>
      <c r="O2229" s="287"/>
      <c r="P2229" s="287"/>
      <c r="Q2229" s="288">
        <v>46.5</v>
      </c>
      <c r="R2229" s="288">
        <v>46.9</v>
      </c>
      <c r="S2229" s="288">
        <v>-0.39400000000000002</v>
      </c>
      <c r="T2229" s="288"/>
      <c r="U2229" s="288">
        <v>0</v>
      </c>
      <c r="V2229" s="289">
        <v>46.9</v>
      </c>
      <c r="W2229" s="289">
        <v>0</v>
      </c>
      <c r="X2229" s="288">
        <v>3.7804878048780486</v>
      </c>
      <c r="Y2229" s="288">
        <v>3.8130081300813004</v>
      </c>
      <c r="Z2229" s="288">
        <v>-3.2032520325203248E-2</v>
      </c>
      <c r="AA2229" s="288">
        <v>0</v>
      </c>
      <c r="AB2229" s="288">
        <v>0</v>
      </c>
      <c r="AC2229" s="289">
        <v>3.8130081300813004</v>
      </c>
      <c r="AD2229" s="289">
        <v>0</v>
      </c>
    </row>
    <row r="2230" spans="1:30" ht="15" customHeight="1" x14ac:dyDescent="0.25">
      <c r="A2230" s="282" t="s">
        <v>3309</v>
      </c>
      <c r="B2230" s="283" t="s">
        <v>3314</v>
      </c>
      <c r="C2230" s="282" t="s">
        <v>3314</v>
      </c>
      <c r="D2230" s="283" t="s">
        <v>3350</v>
      </c>
      <c r="E2230" s="403">
        <v>45061</v>
      </c>
      <c r="F2230" s="403">
        <v>46888</v>
      </c>
      <c r="G2230" s="283" t="s">
        <v>154</v>
      </c>
      <c r="H2230" s="282" t="s">
        <v>3312</v>
      </c>
      <c r="I2230" s="282" t="s">
        <v>590</v>
      </c>
      <c r="J2230" s="282" t="s">
        <v>156</v>
      </c>
      <c r="K2230" s="283" t="s">
        <v>3313</v>
      </c>
      <c r="L2230" s="286" t="s">
        <v>321</v>
      </c>
      <c r="M2230" s="287"/>
      <c r="N2230" s="287">
        <v>14.628571428571433</v>
      </c>
      <c r="O2230" s="287"/>
      <c r="P2230" s="287"/>
      <c r="Q2230" s="288">
        <v>46.9</v>
      </c>
      <c r="R2230" s="288">
        <v>47.3</v>
      </c>
      <c r="S2230" s="288">
        <v>-0.442</v>
      </c>
      <c r="T2230" s="288"/>
      <c r="U2230" s="288">
        <v>0</v>
      </c>
      <c r="V2230" s="289">
        <v>47.3</v>
      </c>
      <c r="W2230" s="289">
        <v>0</v>
      </c>
      <c r="X2230" s="288">
        <v>3.2060546874999987</v>
      </c>
      <c r="Y2230" s="288">
        <v>3.2333984374999987</v>
      </c>
      <c r="Z2230" s="288">
        <v>-3.0214843749999991E-2</v>
      </c>
      <c r="AA2230" s="288">
        <v>0</v>
      </c>
      <c r="AB2230" s="288">
        <v>0</v>
      </c>
      <c r="AC2230" s="289">
        <v>3.2333984374999987</v>
      </c>
      <c r="AD2230" s="289">
        <v>0</v>
      </c>
    </row>
    <row r="2231" spans="1:30" ht="15" customHeight="1" x14ac:dyDescent="0.25">
      <c r="A2231" s="282" t="s">
        <v>3309</v>
      </c>
      <c r="B2231" s="283" t="s">
        <v>3314</v>
      </c>
      <c r="C2231" s="282" t="s">
        <v>3314</v>
      </c>
      <c r="D2231" s="283" t="s">
        <v>3351</v>
      </c>
      <c r="E2231" s="403">
        <v>45061</v>
      </c>
      <c r="F2231" s="403">
        <v>46888</v>
      </c>
      <c r="G2231" s="283" t="s">
        <v>154</v>
      </c>
      <c r="H2231" s="282" t="s">
        <v>3312</v>
      </c>
      <c r="I2231" s="282" t="s">
        <v>590</v>
      </c>
      <c r="J2231" s="282" t="s">
        <v>156</v>
      </c>
      <c r="K2231" s="283" t="s">
        <v>3313</v>
      </c>
      <c r="L2231" s="286" t="s">
        <v>321</v>
      </c>
      <c r="M2231" s="287"/>
      <c r="N2231" s="287">
        <v>13.7</v>
      </c>
      <c r="O2231" s="287"/>
      <c r="P2231" s="287"/>
      <c r="Q2231" s="288">
        <v>48.1</v>
      </c>
      <c r="R2231" s="288">
        <v>48.5</v>
      </c>
      <c r="S2231" s="288">
        <v>-0.45400000000000001</v>
      </c>
      <c r="T2231" s="288"/>
      <c r="U2231" s="288">
        <v>0</v>
      </c>
      <c r="V2231" s="289">
        <v>48.5</v>
      </c>
      <c r="W2231" s="289">
        <v>0</v>
      </c>
      <c r="X2231" s="288">
        <v>3.5109489051094895</v>
      </c>
      <c r="Y2231" s="288">
        <v>3.5401459854014599</v>
      </c>
      <c r="Z2231" s="288">
        <v>-3.3138686131386867E-2</v>
      </c>
      <c r="AA2231" s="288">
        <v>0</v>
      </c>
      <c r="AB2231" s="288">
        <v>0</v>
      </c>
      <c r="AC2231" s="289">
        <v>3.5401459854014599</v>
      </c>
      <c r="AD2231" s="289">
        <v>0</v>
      </c>
    </row>
    <row r="2232" spans="1:30" ht="15" customHeight="1" x14ac:dyDescent="0.25">
      <c r="A2232" s="282" t="s">
        <v>3309</v>
      </c>
      <c r="B2232" s="283" t="s">
        <v>3314</v>
      </c>
      <c r="C2232" s="282" t="s">
        <v>3314</v>
      </c>
      <c r="D2232" s="283" t="s">
        <v>3352</v>
      </c>
      <c r="E2232" s="403">
        <v>45061</v>
      </c>
      <c r="F2232" s="403">
        <v>46888</v>
      </c>
      <c r="G2232" s="283" t="s">
        <v>154</v>
      </c>
      <c r="H2232" s="282" t="s">
        <v>3312</v>
      </c>
      <c r="I2232" s="282" t="s">
        <v>590</v>
      </c>
      <c r="J2232" s="282" t="s">
        <v>156</v>
      </c>
      <c r="K2232" s="283" t="s">
        <v>3313</v>
      </c>
      <c r="L2232" s="286" t="s">
        <v>321</v>
      </c>
      <c r="M2232" s="287"/>
      <c r="N2232" s="287">
        <v>13.2</v>
      </c>
      <c r="O2232" s="287"/>
      <c r="P2232" s="287"/>
      <c r="Q2232" s="288">
        <v>36.200000000000003</v>
      </c>
      <c r="R2232" s="288">
        <v>36.5</v>
      </c>
      <c r="S2232" s="288">
        <v>-0.32600000000000001</v>
      </c>
      <c r="T2232" s="288"/>
      <c r="U2232" s="288">
        <v>0</v>
      </c>
      <c r="V2232" s="289">
        <v>36.5</v>
      </c>
      <c r="W2232" s="289">
        <v>0</v>
      </c>
      <c r="X2232" s="288">
        <v>2.7424242424242427</v>
      </c>
      <c r="Y2232" s="288">
        <v>2.7651515151515151</v>
      </c>
      <c r="Z2232" s="288">
        <v>-2.46969696969697E-2</v>
      </c>
      <c r="AA2232" s="288">
        <v>0</v>
      </c>
      <c r="AB2232" s="288">
        <v>0</v>
      </c>
      <c r="AC2232" s="289">
        <v>2.7651515151515151</v>
      </c>
      <c r="AD2232" s="289">
        <v>0</v>
      </c>
    </row>
    <row r="2233" spans="1:30" ht="15" customHeight="1" x14ac:dyDescent="0.25">
      <c r="A2233" s="282" t="s">
        <v>3309</v>
      </c>
      <c r="B2233" s="283" t="s">
        <v>3314</v>
      </c>
      <c r="C2233" s="282" t="s">
        <v>3314</v>
      </c>
      <c r="D2233" s="283" t="s">
        <v>3353</v>
      </c>
      <c r="E2233" s="403">
        <v>45061</v>
      </c>
      <c r="F2233" s="403">
        <v>46888</v>
      </c>
      <c r="G2233" s="283" t="s">
        <v>154</v>
      </c>
      <c r="H2233" s="282" t="s">
        <v>3312</v>
      </c>
      <c r="I2233" s="282" t="s">
        <v>590</v>
      </c>
      <c r="J2233" s="282" t="s">
        <v>156</v>
      </c>
      <c r="K2233" s="283" t="s">
        <v>3313</v>
      </c>
      <c r="L2233" s="286" t="s">
        <v>321</v>
      </c>
      <c r="M2233" s="287"/>
      <c r="N2233" s="287">
        <v>13.2</v>
      </c>
      <c r="O2233" s="287"/>
      <c r="P2233" s="287"/>
      <c r="Q2233" s="288">
        <v>48.4</v>
      </c>
      <c r="R2233" s="288">
        <v>48.8</v>
      </c>
      <c r="S2233" s="288">
        <v>-0.372</v>
      </c>
      <c r="T2233" s="288"/>
      <c r="U2233" s="288">
        <v>0</v>
      </c>
      <c r="V2233" s="289">
        <v>48.8</v>
      </c>
      <c r="W2233" s="289">
        <v>0</v>
      </c>
      <c r="X2233" s="288">
        <v>3.666666666666667</v>
      </c>
      <c r="Y2233" s="288">
        <v>3.6969696969696968</v>
      </c>
      <c r="Z2233" s="288">
        <v>-2.8181818181818183E-2</v>
      </c>
      <c r="AA2233" s="288">
        <v>0</v>
      </c>
      <c r="AB2233" s="288">
        <v>0</v>
      </c>
      <c r="AC2233" s="289">
        <v>3.6969696969696968</v>
      </c>
      <c r="AD2233" s="289">
        <v>0</v>
      </c>
    </row>
    <row r="2234" spans="1:30" ht="15" customHeight="1" x14ac:dyDescent="0.25">
      <c r="A2234" s="282" t="s">
        <v>3309</v>
      </c>
      <c r="B2234" s="283" t="s">
        <v>3314</v>
      </c>
      <c r="C2234" s="282" t="s">
        <v>3314</v>
      </c>
      <c r="D2234" s="283" t="s">
        <v>3354</v>
      </c>
      <c r="E2234" s="403">
        <v>45061</v>
      </c>
      <c r="F2234" s="403">
        <v>46888</v>
      </c>
      <c r="G2234" s="283" t="s">
        <v>154</v>
      </c>
      <c r="H2234" s="282" t="s">
        <v>3312</v>
      </c>
      <c r="I2234" s="282" t="s">
        <v>590</v>
      </c>
      <c r="J2234" s="282" t="s">
        <v>156</v>
      </c>
      <c r="K2234" s="283" t="s">
        <v>3313</v>
      </c>
      <c r="L2234" s="286" t="s">
        <v>321</v>
      </c>
      <c r="M2234" s="287"/>
      <c r="N2234" s="287">
        <v>11.314285714285715</v>
      </c>
      <c r="O2234" s="287"/>
      <c r="P2234" s="287"/>
      <c r="Q2234" s="288">
        <v>37.5</v>
      </c>
      <c r="R2234" s="288">
        <v>37.799999999999997</v>
      </c>
      <c r="S2234" s="288">
        <v>-0.249</v>
      </c>
      <c r="T2234" s="288"/>
      <c r="U2234" s="288">
        <v>0</v>
      </c>
      <c r="V2234" s="289">
        <v>37.799999999999997</v>
      </c>
      <c r="W2234" s="289">
        <v>0</v>
      </c>
      <c r="X2234" s="288">
        <v>3.314393939393939</v>
      </c>
      <c r="Y2234" s="288">
        <v>3.3409090909090904</v>
      </c>
      <c r="Z2234" s="288">
        <v>-2.2007575757575757E-2</v>
      </c>
      <c r="AA2234" s="288">
        <v>0</v>
      </c>
      <c r="AB2234" s="288">
        <v>0</v>
      </c>
      <c r="AC2234" s="289">
        <v>3.3409090909090904</v>
      </c>
      <c r="AD2234" s="289">
        <v>0</v>
      </c>
    </row>
    <row r="2235" spans="1:30" ht="15" customHeight="1" x14ac:dyDescent="0.25">
      <c r="A2235" s="282" t="s">
        <v>3309</v>
      </c>
      <c r="B2235" s="283" t="s">
        <v>3314</v>
      </c>
      <c r="C2235" s="282" t="s">
        <v>3314</v>
      </c>
      <c r="D2235" s="283" t="s">
        <v>3355</v>
      </c>
      <c r="E2235" s="403">
        <v>45061</v>
      </c>
      <c r="F2235" s="403">
        <v>46888</v>
      </c>
      <c r="G2235" s="283" t="s">
        <v>154</v>
      </c>
      <c r="H2235" s="282" t="s">
        <v>3327</v>
      </c>
      <c r="I2235" s="282" t="s">
        <v>590</v>
      </c>
      <c r="J2235" s="282" t="s">
        <v>156</v>
      </c>
      <c r="K2235" s="283" t="s">
        <v>3328</v>
      </c>
      <c r="L2235" s="286" t="s">
        <v>321</v>
      </c>
      <c r="M2235" s="287"/>
      <c r="N2235" s="287">
        <v>21.942857142857147</v>
      </c>
      <c r="O2235" s="287"/>
      <c r="P2235" s="287"/>
      <c r="Q2235" s="288">
        <v>65.400000000000006</v>
      </c>
      <c r="R2235" s="288">
        <v>65.900000000000006</v>
      </c>
      <c r="S2235" s="288">
        <v>-0.52700000000000002</v>
      </c>
      <c r="T2235" s="288"/>
      <c r="U2235" s="288">
        <v>0</v>
      </c>
      <c r="V2235" s="289">
        <v>65.900000000000006</v>
      </c>
      <c r="W2235" s="289">
        <v>0</v>
      </c>
      <c r="X2235" s="288">
        <v>2.9804687499999996</v>
      </c>
      <c r="Y2235" s="288">
        <v>3.003255208333333</v>
      </c>
      <c r="Z2235" s="288">
        <v>-2.401692708333333E-2</v>
      </c>
      <c r="AA2235" s="288">
        <v>0</v>
      </c>
      <c r="AB2235" s="288">
        <v>0</v>
      </c>
      <c r="AC2235" s="289">
        <v>3.003255208333333</v>
      </c>
      <c r="AD2235" s="289">
        <v>0</v>
      </c>
    </row>
    <row r="2236" spans="1:30" ht="15" customHeight="1" x14ac:dyDescent="0.25">
      <c r="A2236" s="282" t="s">
        <v>3309</v>
      </c>
      <c r="B2236" s="283" t="s">
        <v>3310</v>
      </c>
      <c r="C2236" s="282" t="s">
        <v>3310</v>
      </c>
      <c r="D2236" s="283" t="s">
        <v>3356</v>
      </c>
      <c r="E2236" s="403">
        <v>44860</v>
      </c>
      <c r="F2236" s="403">
        <v>46686</v>
      </c>
      <c r="G2236" s="283" t="s">
        <v>3331</v>
      </c>
      <c r="H2236" s="282" t="s">
        <v>3357</v>
      </c>
      <c r="I2236" s="282" t="s">
        <v>3336</v>
      </c>
      <c r="J2236" s="282" t="s">
        <v>156</v>
      </c>
      <c r="K2236" s="283" t="s">
        <v>3358</v>
      </c>
      <c r="L2236" s="286" t="s">
        <v>321</v>
      </c>
      <c r="M2236" s="287"/>
      <c r="N2236" s="287">
        <v>13.5</v>
      </c>
      <c r="O2236" s="287"/>
      <c r="P2236" s="287"/>
      <c r="Q2236" s="288">
        <v>39.9</v>
      </c>
      <c r="R2236" s="288">
        <v>40.200000000000003</v>
      </c>
      <c r="S2236" s="288">
        <v>-0.255</v>
      </c>
      <c r="T2236" s="288"/>
      <c r="U2236" s="288">
        <v>0</v>
      </c>
      <c r="V2236" s="289">
        <v>40.200000000000003</v>
      </c>
      <c r="W2236" s="289">
        <v>0</v>
      </c>
      <c r="X2236" s="288">
        <v>2.9555555555555553</v>
      </c>
      <c r="Y2236" s="288">
        <v>2.9777777777777779</v>
      </c>
      <c r="Z2236" s="288">
        <v>-1.8888888888888889E-2</v>
      </c>
      <c r="AA2236" s="288">
        <v>0</v>
      </c>
      <c r="AB2236" s="288">
        <v>0</v>
      </c>
      <c r="AC2236" s="289">
        <v>2.9777777777777779</v>
      </c>
      <c r="AD2236" s="289">
        <v>0</v>
      </c>
    </row>
    <row r="2237" spans="1:30" ht="15" customHeight="1" x14ac:dyDescent="0.25">
      <c r="A2237" s="282" t="s">
        <v>3309</v>
      </c>
      <c r="B2237" s="283" t="s">
        <v>3310</v>
      </c>
      <c r="C2237" s="282" t="s">
        <v>3310</v>
      </c>
      <c r="D2237" s="283" t="s">
        <v>3359</v>
      </c>
      <c r="E2237" s="403">
        <v>45061</v>
      </c>
      <c r="F2237" s="403">
        <v>46888</v>
      </c>
      <c r="G2237" s="283" t="s">
        <v>154</v>
      </c>
      <c r="H2237" s="282" t="s">
        <v>3312</v>
      </c>
      <c r="I2237" s="282" t="s">
        <v>590</v>
      </c>
      <c r="J2237" s="282" t="s">
        <v>156</v>
      </c>
      <c r="K2237" s="283" t="s">
        <v>3313</v>
      </c>
      <c r="L2237" s="286" t="s">
        <v>321</v>
      </c>
      <c r="M2237" s="287"/>
      <c r="N2237" s="287">
        <v>11.3</v>
      </c>
      <c r="O2237" s="287"/>
      <c r="P2237" s="287"/>
      <c r="Q2237" s="288">
        <v>40.1</v>
      </c>
      <c r="R2237" s="288">
        <v>40.4</v>
      </c>
      <c r="S2237" s="288">
        <v>-0.36799999999999999</v>
      </c>
      <c r="T2237" s="288"/>
      <c r="U2237" s="288">
        <v>0</v>
      </c>
      <c r="V2237" s="289">
        <v>40.4</v>
      </c>
      <c r="W2237" s="289">
        <v>0</v>
      </c>
      <c r="X2237" s="288">
        <v>3.5486725663716814</v>
      </c>
      <c r="Y2237" s="288">
        <v>3.5752212389380529</v>
      </c>
      <c r="Z2237" s="288">
        <v>-3.2566371681415927E-2</v>
      </c>
      <c r="AA2237" s="288">
        <v>0</v>
      </c>
      <c r="AB2237" s="288">
        <v>0</v>
      </c>
      <c r="AC2237" s="289">
        <v>3.5752212389380529</v>
      </c>
      <c r="AD2237" s="289">
        <v>0</v>
      </c>
    </row>
    <row r="2238" spans="1:30" ht="15" customHeight="1" x14ac:dyDescent="0.25">
      <c r="A2238" s="282" t="s">
        <v>3309</v>
      </c>
      <c r="B2238" s="283" t="s">
        <v>3314</v>
      </c>
      <c r="C2238" s="282" t="s">
        <v>3314</v>
      </c>
      <c r="D2238" s="283" t="s">
        <v>3360</v>
      </c>
      <c r="E2238" s="403">
        <v>45061</v>
      </c>
      <c r="F2238" s="403">
        <v>46888</v>
      </c>
      <c r="G2238" s="283" t="s">
        <v>154</v>
      </c>
      <c r="H2238" s="282" t="s">
        <v>3312</v>
      </c>
      <c r="I2238" s="282" t="s">
        <v>590</v>
      </c>
      <c r="J2238" s="282" t="s">
        <v>156</v>
      </c>
      <c r="K2238" s="283" t="s">
        <v>3313</v>
      </c>
      <c r="L2238" s="286" t="s">
        <v>321</v>
      </c>
      <c r="M2238" s="287"/>
      <c r="N2238" s="287">
        <v>9.4285714285714288</v>
      </c>
      <c r="O2238" s="287"/>
      <c r="P2238" s="287"/>
      <c r="Q2238" s="288">
        <v>41.3</v>
      </c>
      <c r="R2238" s="288">
        <v>41.6</v>
      </c>
      <c r="S2238" s="288">
        <v>-0.25</v>
      </c>
      <c r="T2238" s="288"/>
      <c r="U2238" s="288">
        <v>0</v>
      </c>
      <c r="V2238" s="289">
        <v>41.6</v>
      </c>
      <c r="W2238" s="289">
        <v>0</v>
      </c>
      <c r="X2238" s="288">
        <v>4.3803030303030299</v>
      </c>
      <c r="Y2238" s="288">
        <v>4.4121212121212121</v>
      </c>
      <c r="Z2238" s="288">
        <v>-2.6515151515151516E-2</v>
      </c>
      <c r="AA2238" s="288">
        <v>0</v>
      </c>
      <c r="AB2238" s="288">
        <v>0</v>
      </c>
      <c r="AC2238" s="289">
        <v>4.4121212121212121</v>
      </c>
      <c r="AD2238" s="289">
        <v>0</v>
      </c>
    </row>
    <row r="2239" spans="1:30" ht="15" customHeight="1" x14ac:dyDescent="0.25">
      <c r="A2239" s="282" t="s">
        <v>3309</v>
      </c>
      <c r="B2239" s="283" t="s">
        <v>3314</v>
      </c>
      <c r="C2239" s="282" t="s">
        <v>3314</v>
      </c>
      <c r="D2239" s="283" t="s">
        <v>3361</v>
      </c>
      <c r="E2239" s="403">
        <v>45061</v>
      </c>
      <c r="F2239" s="403">
        <v>46888</v>
      </c>
      <c r="G2239" s="283" t="s">
        <v>154</v>
      </c>
      <c r="H2239" s="282" t="s">
        <v>3327</v>
      </c>
      <c r="I2239" s="282" t="s">
        <v>590</v>
      </c>
      <c r="J2239" s="282" t="s">
        <v>156</v>
      </c>
      <c r="K2239" s="283" t="s">
        <v>3328</v>
      </c>
      <c r="L2239" s="286" t="s">
        <v>321</v>
      </c>
      <c r="M2239" s="287"/>
      <c r="N2239" s="287">
        <v>25.6</v>
      </c>
      <c r="O2239" s="287"/>
      <c r="P2239" s="287"/>
      <c r="Q2239" s="288">
        <v>69.2</v>
      </c>
      <c r="R2239" s="288">
        <v>69.7</v>
      </c>
      <c r="S2239" s="288">
        <v>-0.52800000000000002</v>
      </c>
      <c r="T2239" s="288"/>
      <c r="U2239" s="288">
        <v>0</v>
      </c>
      <c r="V2239" s="289">
        <v>69.7</v>
      </c>
      <c r="W2239" s="289">
        <v>0</v>
      </c>
      <c r="X2239" s="288">
        <v>2.703125</v>
      </c>
      <c r="Y2239" s="288">
        <v>2.72265625</v>
      </c>
      <c r="Z2239" s="288">
        <v>-2.0625000000000001E-2</v>
      </c>
      <c r="AA2239" s="288">
        <v>0</v>
      </c>
      <c r="AB2239" s="288">
        <v>0</v>
      </c>
      <c r="AC2239" s="289">
        <v>2.72265625</v>
      </c>
      <c r="AD2239" s="289">
        <v>0</v>
      </c>
    </row>
    <row r="2240" spans="1:30" ht="15" customHeight="1" x14ac:dyDescent="0.25">
      <c r="A2240" s="282" t="s">
        <v>3309</v>
      </c>
      <c r="B2240" s="283" t="s">
        <v>3310</v>
      </c>
      <c r="C2240" s="282" t="s">
        <v>3310</v>
      </c>
      <c r="D2240" s="283" t="s">
        <v>3362</v>
      </c>
      <c r="E2240" s="403">
        <v>44860</v>
      </c>
      <c r="F2240" s="403">
        <v>46686</v>
      </c>
      <c r="G2240" s="283" t="s">
        <v>3331</v>
      </c>
      <c r="H2240" s="282" t="s">
        <v>3363</v>
      </c>
      <c r="I2240" s="282" t="s">
        <v>590</v>
      </c>
      <c r="J2240" s="282" t="s">
        <v>156</v>
      </c>
      <c r="K2240" s="283" t="s">
        <v>3364</v>
      </c>
      <c r="L2240" s="286" t="s">
        <v>321</v>
      </c>
      <c r="M2240" s="287"/>
      <c r="N2240" s="287">
        <v>12</v>
      </c>
      <c r="O2240" s="287"/>
      <c r="P2240" s="287"/>
      <c r="Q2240" s="288">
        <v>42.5</v>
      </c>
      <c r="R2240" s="288">
        <v>42.8</v>
      </c>
      <c r="S2240" s="288">
        <v>-0.23499999999999999</v>
      </c>
      <c r="T2240" s="288"/>
      <c r="U2240" s="288">
        <v>0</v>
      </c>
      <c r="V2240" s="289">
        <v>42.8</v>
      </c>
      <c r="W2240" s="289">
        <v>0</v>
      </c>
      <c r="X2240" s="288">
        <v>3.5416666666666665</v>
      </c>
      <c r="Y2240" s="288">
        <v>3.5666666666666664</v>
      </c>
      <c r="Z2240" s="288">
        <v>-1.9583333333333331E-2</v>
      </c>
      <c r="AA2240" s="288">
        <v>0</v>
      </c>
      <c r="AB2240" s="288">
        <v>0</v>
      </c>
      <c r="AC2240" s="289">
        <v>3.5666666666666664</v>
      </c>
      <c r="AD2240" s="289">
        <v>0</v>
      </c>
    </row>
    <row r="2241" spans="1:30" ht="15" customHeight="1" x14ac:dyDescent="0.25">
      <c r="A2241" s="282" t="s">
        <v>3309</v>
      </c>
      <c r="B2241" s="283" t="s">
        <v>3310</v>
      </c>
      <c r="C2241" s="282" t="s">
        <v>3310</v>
      </c>
      <c r="D2241" s="283" t="s">
        <v>3365</v>
      </c>
      <c r="E2241" s="403">
        <v>44860</v>
      </c>
      <c r="F2241" s="403">
        <v>46686</v>
      </c>
      <c r="G2241" s="283" t="s">
        <v>3331</v>
      </c>
      <c r="H2241" s="282" t="s">
        <v>3366</v>
      </c>
      <c r="I2241" s="282" t="s">
        <v>590</v>
      </c>
      <c r="J2241" s="282" t="s">
        <v>156</v>
      </c>
      <c r="K2241" s="283" t="s">
        <v>3367</v>
      </c>
      <c r="L2241" s="286" t="s">
        <v>321</v>
      </c>
      <c r="M2241" s="287"/>
      <c r="N2241" s="287">
        <v>10.700000000000001</v>
      </c>
      <c r="O2241" s="287"/>
      <c r="P2241" s="287"/>
      <c r="Q2241" s="288">
        <v>42.5</v>
      </c>
      <c r="R2241" s="288">
        <v>42.8</v>
      </c>
      <c r="S2241" s="288">
        <v>-0.255</v>
      </c>
      <c r="T2241" s="288"/>
      <c r="U2241" s="288">
        <v>0</v>
      </c>
      <c r="V2241" s="289">
        <v>42.8</v>
      </c>
      <c r="W2241" s="289">
        <v>0</v>
      </c>
      <c r="X2241" s="288">
        <v>3.9719626168224296</v>
      </c>
      <c r="Y2241" s="288">
        <v>3.9999999999999996</v>
      </c>
      <c r="Z2241" s="288">
        <v>-2.3831775700934577E-2</v>
      </c>
      <c r="AA2241" s="288">
        <v>0</v>
      </c>
      <c r="AB2241" s="288">
        <v>0</v>
      </c>
      <c r="AC2241" s="289">
        <v>3.9999999999999996</v>
      </c>
      <c r="AD2241" s="289">
        <v>0</v>
      </c>
    </row>
    <row r="2242" spans="1:30" ht="15" customHeight="1" x14ac:dyDescent="0.25">
      <c r="A2242" s="282" t="s">
        <v>3309</v>
      </c>
      <c r="B2242" s="283" t="s">
        <v>3310</v>
      </c>
      <c r="C2242" s="282" t="s">
        <v>3310</v>
      </c>
      <c r="D2242" s="283" t="s">
        <v>3368</v>
      </c>
      <c r="E2242" s="403">
        <v>44860</v>
      </c>
      <c r="F2242" s="403">
        <v>46686</v>
      </c>
      <c r="G2242" s="283" t="s">
        <v>3331</v>
      </c>
      <c r="H2242" s="282" t="s">
        <v>3335</v>
      </c>
      <c r="I2242" s="282" t="s">
        <v>3336</v>
      </c>
      <c r="J2242" s="282" t="s">
        <v>156</v>
      </c>
      <c r="K2242" s="283" t="s">
        <v>3337</v>
      </c>
      <c r="L2242" s="286" t="s">
        <v>321</v>
      </c>
      <c r="M2242" s="287"/>
      <c r="N2242" s="287">
        <v>10</v>
      </c>
      <c r="O2242" s="287"/>
      <c r="P2242" s="287"/>
      <c r="Q2242" s="288">
        <v>43</v>
      </c>
      <c r="R2242" s="288">
        <v>43.3</v>
      </c>
      <c r="S2242" s="288">
        <v>-0.28499999999999998</v>
      </c>
      <c r="T2242" s="288"/>
      <c r="U2242" s="288">
        <v>0</v>
      </c>
      <c r="V2242" s="289">
        <v>43.3</v>
      </c>
      <c r="W2242" s="289">
        <v>0</v>
      </c>
      <c r="X2242" s="288">
        <v>4.3</v>
      </c>
      <c r="Y2242" s="288">
        <v>4.33</v>
      </c>
      <c r="Z2242" s="288">
        <v>-2.8499999999999998E-2</v>
      </c>
      <c r="AA2242" s="288">
        <v>0</v>
      </c>
      <c r="AB2242" s="288">
        <v>0</v>
      </c>
      <c r="AC2242" s="289">
        <v>4.33</v>
      </c>
      <c r="AD2242" s="289">
        <v>0</v>
      </c>
    </row>
    <row r="2243" spans="1:30" ht="15" customHeight="1" x14ac:dyDescent="0.25">
      <c r="A2243" s="282" t="s">
        <v>3309</v>
      </c>
      <c r="B2243" s="283" t="s">
        <v>3310</v>
      </c>
      <c r="C2243" s="282" t="s">
        <v>3310</v>
      </c>
      <c r="D2243" s="283" t="s">
        <v>3369</v>
      </c>
      <c r="E2243" s="403">
        <v>45061</v>
      </c>
      <c r="F2243" s="403">
        <v>46888</v>
      </c>
      <c r="G2243" s="283" t="s">
        <v>154</v>
      </c>
      <c r="H2243" s="282" t="s">
        <v>3312</v>
      </c>
      <c r="I2243" s="282" t="s">
        <v>590</v>
      </c>
      <c r="J2243" s="282" t="s">
        <v>156</v>
      </c>
      <c r="K2243" s="283" t="s">
        <v>3313</v>
      </c>
      <c r="L2243" s="286" t="s">
        <v>321</v>
      </c>
      <c r="M2243" s="287"/>
      <c r="N2243" s="287">
        <v>11.771428571428574</v>
      </c>
      <c r="O2243" s="287"/>
      <c r="P2243" s="287"/>
      <c r="Q2243" s="288">
        <v>44.1</v>
      </c>
      <c r="R2243" s="288">
        <v>44.4</v>
      </c>
      <c r="S2243" s="288">
        <v>-0.25900000000000001</v>
      </c>
      <c r="T2243" s="288"/>
      <c r="U2243" s="288">
        <v>0</v>
      </c>
      <c r="V2243" s="289">
        <v>44.4</v>
      </c>
      <c r="W2243" s="289">
        <v>0</v>
      </c>
      <c r="X2243" s="288">
        <v>3.7463592233009702</v>
      </c>
      <c r="Y2243" s="288">
        <v>3.7718446601941737</v>
      </c>
      <c r="Z2243" s="288">
        <v>-2.2002427184466017E-2</v>
      </c>
      <c r="AA2243" s="288">
        <v>0</v>
      </c>
      <c r="AB2243" s="288">
        <v>0</v>
      </c>
      <c r="AC2243" s="289">
        <v>3.7718446601941737</v>
      </c>
      <c r="AD2243" s="289">
        <v>0</v>
      </c>
    </row>
    <row r="2244" spans="1:30" ht="15" customHeight="1" x14ac:dyDescent="0.25">
      <c r="A2244" s="282" t="s">
        <v>3309</v>
      </c>
      <c r="B2244" s="283" t="s">
        <v>3314</v>
      </c>
      <c r="C2244" s="282" t="s">
        <v>3314</v>
      </c>
      <c r="D2244" s="283" t="s">
        <v>3370</v>
      </c>
      <c r="E2244" s="403">
        <v>45061</v>
      </c>
      <c r="F2244" s="403">
        <v>46888</v>
      </c>
      <c r="G2244" s="283" t="s">
        <v>154</v>
      </c>
      <c r="H2244" s="282" t="s">
        <v>3312</v>
      </c>
      <c r="I2244" s="282" t="s">
        <v>590</v>
      </c>
      <c r="J2244" s="282" t="s">
        <v>156</v>
      </c>
      <c r="K2244" s="283" t="s">
        <v>3313</v>
      </c>
      <c r="L2244" s="286" t="s">
        <v>321</v>
      </c>
      <c r="M2244" s="287"/>
      <c r="N2244" s="287">
        <v>13.2</v>
      </c>
      <c r="O2244" s="287"/>
      <c r="P2244" s="287"/>
      <c r="Q2244" s="288">
        <v>44.7</v>
      </c>
      <c r="R2244" s="288">
        <v>45</v>
      </c>
      <c r="S2244" s="288">
        <v>-0.371</v>
      </c>
      <c r="T2244" s="288"/>
      <c r="U2244" s="288">
        <v>0</v>
      </c>
      <c r="V2244" s="289">
        <v>45</v>
      </c>
      <c r="W2244" s="289">
        <v>0</v>
      </c>
      <c r="X2244" s="288">
        <v>3.3863636363636367</v>
      </c>
      <c r="Y2244" s="288">
        <v>3.4090909090909092</v>
      </c>
      <c r="Z2244" s="288">
        <v>-2.8106060606060607E-2</v>
      </c>
      <c r="AA2244" s="288">
        <v>0</v>
      </c>
      <c r="AB2244" s="288">
        <v>0</v>
      </c>
      <c r="AC2244" s="289">
        <v>3.4090909090909092</v>
      </c>
      <c r="AD2244" s="289">
        <v>0</v>
      </c>
    </row>
    <row r="2245" spans="1:30" ht="15" customHeight="1" x14ac:dyDescent="0.25">
      <c r="A2245" s="282" t="s">
        <v>3309</v>
      </c>
      <c r="B2245" s="283" t="s">
        <v>3310</v>
      </c>
      <c r="C2245" s="282" t="s">
        <v>3310</v>
      </c>
      <c r="D2245" s="283" t="s">
        <v>3371</v>
      </c>
      <c r="E2245" s="403">
        <v>45061</v>
      </c>
      <c r="F2245" s="403">
        <v>46888</v>
      </c>
      <c r="G2245" s="283" t="s">
        <v>154</v>
      </c>
      <c r="H2245" s="282" t="s">
        <v>3327</v>
      </c>
      <c r="I2245" s="282" t="s">
        <v>590</v>
      </c>
      <c r="J2245" s="282" t="s">
        <v>156</v>
      </c>
      <c r="K2245" s="283" t="s">
        <v>3328</v>
      </c>
      <c r="L2245" s="286" t="s">
        <v>321</v>
      </c>
      <c r="M2245" s="287"/>
      <c r="N2245" s="287">
        <v>20.6</v>
      </c>
      <c r="O2245" s="287"/>
      <c r="P2245" s="287"/>
      <c r="Q2245" s="288">
        <v>60.1</v>
      </c>
      <c r="R2245" s="288">
        <v>60.5</v>
      </c>
      <c r="S2245" s="288">
        <v>-0.32300000000000001</v>
      </c>
      <c r="T2245" s="288"/>
      <c r="U2245" s="288">
        <v>0</v>
      </c>
      <c r="V2245" s="289">
        <v>60.5</v>
      </c>
      <c r="W2245" s="289">
        <v>0</v>
      </c>
      <c r="X2245" s="288">
        <v>2.9174757281553396</v>
      </c>
      <c r="Y2245" s="288">
        <v>2.936893203883495</v>
      </c>
      <c r="Z2245" s="288">
        <v>-1.5679611650485436E-2</v>
      </c>
      <c r="AA2245" s="288">
        <v>0</v>
      </c>
      <c r="AB2245" s="288">
        <v>0</v>
      </c>
      <c r="AC2245" s="289">
        <v>2.936893203883495</v>
      </c>
      <c r="AD2245" s="289">
        <v>0</v>
      </c>
    </row>
    <row r="2246" spans="1:30" ht="15" customHeight="1" x14ac:dyDescent="0.25">
      <c r="A2246" s="282" t="s">
        <v>3309</v>
      </c>
      <c r="B2246" s="283" t="s">
        <v>3314</v>
      </c>
      <c r="C2246" s="282" t="s">
        <v>3314</v>
      </c>
      <c r="D2246" s="283" t="s">
        <v>3372</v>
      </c>
      <c r="E2246" s="403">
        <v>45061</v>
      </c>
      <c r="F2246" s="403">
        <v>46888</v>
      </c>
      <c r="G2246" s="283" t="s">
        <v>154</v>
      </c>
      <c r="H2246" s="282" t="s">
        <v>3312</v>
      </c>
      <c r="I2246" s="282" t="s">
        <v>590</v>
      </c>
      <c r="J2246" s="282" t="s">
        <v>156</v>
      </c>
      <c r="K2246" s="283" t="s">
        <v>3313</v>
      </c>
      <c r="L2246" s="286" t="s">
        <v>321</v>
      </c>
      <c r="M2246" s="287"/>
      <c r="N2246" s="287">
        <v>13.200000000000003</v>
      </c>
      <c r="O2246" s="287"/>
      <c r="P2246" s="287"/>
      <c r="Q2246" s="288">
        <v>45.5</v>
      </c>
      <c r="R2246" s="288">
        <v>45.8</v>
      </c>
      <c r="S2246" s="288">
        <v>-0.32700000000000001</v>
      </c>
      <c r="T2246" s="288"/>
      <c r="U2246" s="288">
        <v>0</v>
      </c>
      <c r="V2246" s="289">
        <v>45.8</v>
      </c>
      <c r="W2246" s="289">
        <v>0</v>
      </c>
      <c r="X2246" s="288">
        <v>3.4469696969696964</v>
      </c>
      <c r="Y2246" s="288">
        <v>3.4696969696969688</v>
      </c>
      <c r="Z2246" s="288">
        <v>-2.4772727272727269E-2</v>
      </c>
      <c r="AA2246" s="288">
        <v>0</v>
      </c>
      <c r="AB2246" s="288">
        <v>0</v>
      </c>
      <c r="AC2246" s="289">
        <v>3.4696969696969688</v>
      </c>
      <c r="AD2246" s="289">
        <v>0</v>
      </c>
    </row>
    <row r="2247" spans="1:30" ht="15" customHeight="1" x14ac:dyDescent="0.25">
      <c r="A2247" s="282" t="s">
        <v>3309</v>
      </c>
      <c r="B2247" s="283" t="s">
        <v>3310</v>
      </c>
      <c r="C2247" s="282" t="s">
        <v>3310</v>
      </c>
      <c r="D2247" s="283" t="s">
        <v>3373</v>
      </c>
      <c r="E2247" s="403">
        <v>44860</v>
      </c>
      <c r="F2247" s="403">
        <v>46686</v>
      </c>
      <c r="G2247" s="283" t="s">
        <v>3331</v>
      </c>
      <c r="H2247" s="282" t="s">
        <v>3335</v>
      </c>
      <c r="I2247" s="282" t="s">
        <v>3336</v>
      </c>
      <c r="J2247" s="282" t="s">
        <v>156</v>
      </c>
      <c r="K2247" s="283" t="s">
        <v>3337</v>
      </c>
      <c r="L2247" s="286" t="s">
        <v>321</v>
      </c>
      <c r="M2247" s="287"/>
      <c r="N2247" s="287">
        <v>11.2</v>
      </c>
      <c r="O2247" s="287"/>
      <c r="P2247" s="287"/>
      <c r="Q2247" s="288">
        <v>47.7</v>
      </c>
      <c r="R2247" s="288">
        <v>48</v>
      </c>
      <c r="S2247" s="288">
        <v>-0.314</v>
      </c>
      <c r="T2247" s="288"/>
      <c r="U2247" s="288">
        <v>0</v>
      </c>
      <c r="V2247" s="289">
        <v>48</v>
      </c>
      <c r="W2247" s="289">
        <v>0</v>
      </c>
      <c r="X2247" s="288">
        <v>4.2589285714285721</v>
      </c>
      <c r="Y2247" s="288">
        <v>4.2857142857142856</v>
      </c>
      <c r="Z2247" s="288">
        <v>-2.8035714285714289E-2</v>
      </c>
      <c r="AA2247" s="288">
        <v>0</v>
      </c>
      <c r="AB2247" s="288">
        <v>0</v>
      </c>
      <c r="AC2247" s="289">
        <v>4.2857142857142856</v>
      </c>
      <c r="AD2247" s="289">
        <v>0</v>
      </c>
    </row>
    <row r="2248" spans="1:30" ht="15" customHeight="1" x14ac:dyDescent="0.25">
      <c r="A2248" s="282" t="s">
        <v>3309</v>
      </c>
      <c r="B2248" s="283" t="s">
        <v>3310</v>
      </c>
      <c r="C2248" s="282" t="s">
        <v>3310</v>
      </c>
      <c r="D2248" s="283" t="s">
        <v>3374</v>
      </c>
      <c r="E2248" s="403">
        <v>45061</v>
      </c>
      <c r="F2248" s="403">
        <v>46888</v>
      </c>
      <c r="G2248" s="283" t="s">
        <v>154</v>
      </c>
      <c r="H2248" s="282" t="s">
        <v>3327</v>
      </c>
      <c r="I2248" s="282" t="s">
        <v>590</v>
      </c>
      <c r="J2248" s="282" t="s">
        <v>156</v>
      </c>
      <c r="K2248" s="283" t="s">
        <v>3328</v>
      </c>
      <c r="L2248" s="286" t="s">
        <v>321</v>
      </c>
      <c r="M2248" s="287"/>
      <c r="N2248" s="287">
        <v>13.371428571428572</v>
      </c>
      <c r="O2248" s="287"/>
      <c r="P2248" s="287"/>
      <c r="Q2248" s="288">
        <v>48</v>
      </c>
      <c r="R2248" s="288">
        <v>48.3</v>
      </c>
      <c r="S2248" s="288">
        <v>-0.26300000000000001</v>
      </c>
      <c r="T2248" s="288"/>
      <c r="U2248" s="288">
        <v>0</v>
      </c>
      <c r="V2248" s="289">
        <v>48.3</v>
      </c>
      <c r="W2248" s="289">
        <v>0</v>
      </c>
      <c r="X2248" s="288">
        <v>3.5897435897435894</v>
      </c>
      <c r="Y2248" s="288">
        <v>3.6121794871794868</v>
      </c>
      <c r="Z2248" s="288">
        <v>-1.9668803418803418E-2</v>
      </c>
      <c r="AA2248" s="288">
        <v>0</v>
      </c>
      <c r="AB2248" s="288">
        <v>0</v>
      </c>
      <c r="AC2248" s="289">
        <v>3.6121794871794868</v>
      </c>
      <c r="AD2248" s="289">
        <v>0</v>
      </c>
    </row>
    <row r="2249" spans="1:30" ht="15" customHeight="1" x14ac:dyDescent="0.25">
      <c r="A2249" s="282" t="s">
        <v>3309</v>
      </c>
      <c r="B2249" s="283" t="s">
        <v>3310</v>
      </c>
      <c r="C2249" s="282" t="s">
        <v>3310</v>
      </c>
      <c r="D2249" s="283" t="s">
        <v>3375</v>
      </c>
      <c r="E2249" s="403">
        <v>45061</v>
      </c>
      <c r="F2249" s="403">
        <v>46888</v>
      </c>
      <c r="G2249" s="283" t="s">
        <v>154</v>
      </c>
      <c r="H2249" s="282" t="s">
        <v>3327</v>
      </c>
      <c r="I2249" s="282" t="s">
        <v>590</v>
      </c>
      <c r="J2249" s="282" t="s">
        <v>156</v>
      </c>
      <c r="K2249" s="283" t="s">
        <v>3328</v>
      </c>
      <c r="L2249" s="286" t="s">
        <v>321</v>
      </c>
      <c r="M2249" s="287"/>
      <c r="N2249" s="287">
        <v>15.514285714285716</v>
      </c>
      <c r="O2249" s="287"/>
      <c r="P2249" s="287"/>
      <c r="Q2249" s="288">
        <v>51.8</v>
      </c>
      <c r="R2249" s="288">
        <v>52.1</v>
      </c>
      <c r="S2249" s="288">
        <v>-0.26</v>
      </c>
      <c r="T2249" s="288"/>
      <c r="U2249" s="288">
        <v>0</v>
      </c>
      <c r="V2249" s="289">
        <v>52.1</v>
      </c>
      <c r="W2249" s="289">
        <v>0</v>
      </c>
      <c r="X2249" s="288">
        <v>3.338858195211786</v>
      </c>
      <c r="Y2249" s="288">
        <v>3.3581952117863718</v>
      </c>
      <c r="Z2249" s="288">
        <v>-1.6758747697974218E-2</v>
      </c>
      <c r="AA2249" s="288">
        <v>0</v>
      </c>
      <c r="AB2249" s="288">
        <v>0</v>
      </c>
      <c r="AC2249" s="289">
        <v>3.3581952117863718</v>
      </c>
      <c r="AD2249" s="289">
        <v>0</v>
      </c>
    </row>
    <row r="2250" spans="1:30" ht="15" customHeight="1" x14ac:dyDescent="0.25">
      <c r="A2250" s="282" t="s">
        <v>3309</v>
      </c>
      <c r="B2250" s="283" t="s">
        <v>3310</v>
      </c>
      <c r="C2250" s="282" t="s">
        <v>3310</v>
      </c>
      <c r="D2250" s="283" t="s">
        <v>3376</v>
      </c>
      <c r="E2250" s="403">
        <v>45061</v>
      </c>
      <c r="F2250" s="403">
        <v>46888</v>
      </c>
      <c r="G2250" s="283" t="s">
        <v>154</v>
      </c>
      <c r="H2250" s="282" t="s">
        <v>3327</v>
      </c>
      <c r="I2250" s="282" t="s">
        <v>590</v>
      </c>
      <c r="J2250" s="282" t="s">
        <v>156</v>
      </c>
      <c r="K2250" s="283" t="s">
        <v>3328</v>
      </c>
      <c r="L2250" s="286" t="s">
        <v>321</v>
      </c>
      <c r="M2250" s="287"/>
      <c r="N2250" s="287">
        <v>18.100000000000001</v>
      </c>
      <c r="O2250" s="287"/>
      <c r="P2250" s="287"/>
      <c r="Q2250" s="288">
        <v>55.5</v>
      </c>
      <c r="R2250" s="288">
        <v>55.8</v>
      </c>
      <c r="S2250" s="288">
        <v>-0.21099999999999999</v>
      </c>
      <c r="T2250" s="288"/>
      <c r="U2250" s="288">
        <v>0</v>
      </c>
      <c r="V2250" s="289">
        <v>55.8</v>
      </c>
      <c r="W2250" s="289">
        <v>0</v>
      </c>
      <c r="X2250" s="288">
        <v>3.0662983425414363</v>
      </c>
      <c r="Y2250" s="288">
        <v>3.082872928176795</v>
      </c>
      <c r="Z2250" s="288">
        <v>-1.165745856353591E-2</v>
      </c>
      <c r="AA2250" s="288">
        <v>0</v>
      </c>
      <c r="AB2250" s="288">
        <v>0</v>
      </c>
      <c r="AC2250" s="289">
        <v>3.082872928176795</v>
      </c>
      <c r="AD2250" s="289">
        <v>0</v>
      </c>
    </row>
    <row r="2251" spans="1:30" ht="15" customHeight="1" x14ac:dyDescent="0.25">
      <c r="A2251" s="282" t="s">
        <v>3309</v>
      </c>
      <c r="B2251" s="283" t="s">
        <v>3310</v>
      </c>
      <c r="C2251" s="282" t="s">
        <v>3310</v>
      </c>
      <c r="D2251" s="283" t="s">
        <v>3377</v>
      </c>
      <c r="E2251" s="403">
        <v>45061</v>
      </c>
      <c r="F2251" s="403">
        <v>46888</v>
      </c>
      <c r="G2251" s="283" t="s">
        <v>154</v>
      </c>
      <c r="H2251" s="282" t="s">
        <v>3312</v>
      </c>
      <c r="I2251" s="282" t="s">
        <v>590</v>
      </c>
      <c r="J2251" s="282" t="s">
        <v>156</v>
      </c>
      <c r="K2251" s="283" t="s">
        <v>3313</v>
      </c>
      <c r="L2251" s="286" t="s">
        <v>321</v>
      </c>
      <c r="M2251" s="287"/>
      <c r="N2251" s="287">
        <v>8.5714285714285712</v>
      </c>
      <c r="O2251" s="287"/>
      <c r="P2251" s="287"/>
      <c r="Q2251" s="288">
        <v>37.299999999999997</v>
      </c>
      <c r="R2251" s="288">
        <v>37.5</v>
      </c>
      <c r="S2251" s="288">
        <v>-0.14699999999999999</v>
      </c>
      <c r="T2251" s="288"/>
      <c r="U2251" s="288">
        <v>0</v>
      </c>
      <c r="V2251" s="289">
        <v>37.5</v>
      </c>
      <c r="W2251" s="289">
        <v>0</v>
      </c>
      <c r="X2251" s="288">
        <v>4.3516666666666666</v>
      </c>
      <c r="Y2251" s="288">
        <v>4.375</v>
      </c>
      <c r="Z2251" s="288">
        <v>-1.7149999999999999E-2</v>
      </c>
      <c r="AA2251" s="288">
        <v>0</v>
      </c>
      <c r="AB2251" s="288">
        <v>0</v>
      </c>
      <c r="AC2251" s="289">
        <v>4.375</v>
      </c>
      <c r="AD2251" s="289">
        <v>0</v>
      </c>
    </row>
    <row r="2252" spans="1:30" ht="15" customHeight="1" x14ac:dyDescent="0.25">
      <c r="A2252" s="282" t="s">
        <v>3309</v>
      </c>
      <c r="B2252" s="283" t="s">
        <v>3310</v>
      </c>
      <c r="C2252" s="282" t="s">
        <v>3310</v>
      </c>
      <c r="D2252" s="283" t="s">
        <v>3378</v>
      </c>
      <c r="E2252" s="403">
        <v>45061</v>
      </c>
      <c r="F2252" s="403">
        <v>46888</v>
      </c>
      <c r="G2252" s="283" t="s">
        <v>154</v>
      </c>
      <c r="H2252" s="282" t="s">
        <v>3327</v>
      </c>
      <c r="I2252" s="282" t="s">
        <v>590</v>
      </c>
      <c r="J2252" s="282" t="s">
        <v>156</v>
      </c>
      <c r="K2252" s="283" t="s">
        <v>3328</v>
      </c>
      <c r="L2252" s="286" t="s">
        <v>321</v>
      </c>
      <c r="M2252" s="287"/>
      <c r="N2252" s="287">
        <v>17.657142857142858</v>
      </c>
      <c r="O2252" s="287"/>
      <c r="P2252" s="287"/>
      <c r="Q2252" s="288">
        <v>56.3</v>
      </c>
      <c r="R2252" s="288">
        <v>56.6</v>
      </c>
      <c r="S2252" s="288">
        <v>-0.32200000000000001</v>
      </c>
      <c r="T2252" s="288"/>
      <c r="U2252" s="288">
        <v>0</v>
      </c>
      <c r="V2252" s="289">
        <v>56.6</v>
      </c>
      <c r="W2252" s="289">
        <v>0</v>
      </c>
      <c r="X2252" s="288">
        <v>3.1885113268608412</v>
      </c>
      <c r="Y2252" s="288">
        <v>3.2055016181229772</v>
      </c>
      <c r="Z2252" s="288">
        <v>-1.8236245954692556E-2</v>
      </c>
      <c r="AA2252" s="288">
        <v>0</v>
      </c>
      <c r="AB2252" s="288">
        <v>0</v>
      </c>
      <c r="AC2252" s="289">
        <v>3.2055016181229772</v>
      </c>
      <c r="AD2252" s="289">
        <v>0</v>
      </c>
    </row>
    <row r="2253" spans="1:30" ht="15" customHeight="1" x14ac:dyDescent="0.25">
      <c r="A2253" s="282" t="s">
        <v>3309</v>
      </c>
      <c r="B2253" s="283" t="s">
        <v>3310</v>
      </c>
      <c r="C2253" s="282" t="s">
        <v>3310</v>
      </c>
      <c r="D2253" s="283" t="s">
        <v>3379</v>
      </c>
      <c r="E2253" s="403">
        <v>45061</v>
      </c>
      <c r="F2253" s="403">
        <v>46888</v>
      </c>
      <c r="G2253" s="283" t="s">
        <v>154</v>
      </c>
      <c r="H2253" s="282" t="s">
        <v>3327</v>
      </c>
      <c r="I2253" s="282" t="s">
        <v>590</v>
      </c>
      <c r="J2253" s="282" t="s">
        <v>156</v>
      </c>
      <c r="K2253" s="283" t="s">
        <v>3328</v>
      </c>
      <c r="L2253" s="286" t="s">
        <v>321</v>
      </c>
      <c r="M2253" s="287"/>
      <c r="N2253" s="287">
        <v>18.100000000000001</v>
      </c>
      <c r="O2253" s="287"/>
      <c r="P2253" s="287"/>
      <c r="Q2253" s="288">
        <v>56.4</v>
      </c>
      <c r="R2253" s="288">
        <v>56.7</v>
      </c>
      <c r="S2253" s="288">
        <v>-0.25800000000000001</v>
      </c>
      <c r="T2253" s="288"/>
      <c r="U2253" s="288">
        <v>0</v>
      </c>
      <c r="V2253" s="289">
        <v>56.7</v>
      </c>
      <c r="W2253" s="289">
        <v>0</v>
      </c>
      <c r="X2253" s="288">
        <v>3.1160220994475134</v>
      </c>
      <c r="Y2253" s="288">
        <v>3.132596685082873</v>
      </c>
      <c r="Z2253" s="288">
        <v>-1.4254143646408838E-2</v>
      </c>
      <c r="AA2253" s="288">
        <v>0</v>
      </c>
      <c r="AB2253" s="288">
        <v>0</v>
      </c>
      <c r="AC2253" s="289">
        <v>3.132596685082873</v>
      </c>
      <c r="AD2253" s="289">
        <v>0</v>
      </c>
    </row>
    <row r="2254" spans="1:30" ht="15" customHeight="1" x14ac:dyDescent="0.25">
      <c r="A2254" s="282" t="s">
        <v>3309</v>
      </c>
      <c r="B2254" s="283" t="s">
        <v>3310</v>
      </c>
      <c r="C2254" s="282" t="s">
        <v>3310</v>
      </c>
      <c r="D2254" s="283" t="s">
        <v>3380</v>
      </c>
      <c r="E2254" s="403">
        <v>45061</v>
      </c>
      <c r="F2254" s="403">
        <v>46888</v>
      </c>
      <c r="G2254" s="283" t="s">
        <v>154</v>
      </c>
      <c r="H2254" s="282" t="s">
        <v>3312</v>
      </c>
      <c r="I2254" s="282" t="s">
        <v>590</v>
      </c>
      <c r="J2254" s="282" t="s">
        <v>156</v>
      </c>
      <c r="K2254" s="283" t="s">
        <v>3313</v>
      </c>
      <c r="L2254" s="286" t="s">
        <v>321</v>
      </c>
      <c r="M2254" s="287"/>
      <c r="N2254" s="287">
        <v>11.6</v>
      </c>
      <c r="O2254" s="287"/>
      <c r="P2254" s="287"/>
      <c r="Q2254" s="288">
        <v>38.5</v>
      </c>
      <c r="R2254" s="288">
        <v>38.700000000000003</v>
      </c>
      <c r="S2254" s="288">
        <v>-0.14499999999999999</v>
      </c>
      <c r="T2254" s="288"/>
      <c r="U2254" s="288">
        <v>0</v>
      </c>
      <c r="V2254" s="289">
        <v>38.700000000000003</v>
      </c>
      <c r="W2254" s="289">
        <v>0</v>
      </c>
      <c r="X2254" s="288">
        <v>3.3189655172413794</v>
      </c>
      <c r="Y2254" s="288">
        <v>3.3362068965517246</v>
      </c>
      <c r="Z2254" s="288">
        <v>-1.2499999999999999E-2</v>
      </c>
      <c r="AA2254" s="288">
        <v>0</v>
      </c>
      <c r="AB2254" s="288">
        <v>0</v>
      </c>
      <c r="AC2254" s="289">
        <v>3.3362068965517246</v>
      </c>
      <c r="AD2254" s="289">
        <v>0</v>
      </c>
    </row>
    <row r="2255" spans="1:30" ht="15" customHeight="1" x14ac:dyDescent="0.25">
      <c r="A2255" s="282" t="s">
        <v>3309</v>
      </c>
      <c r="B2255" s="283" t="s">
        <v>3310</v>
      </c>
      <c r="C2255" s="282" t="s">
        <v>3310</v>
      </c>
      <c r="D2255" s="283" t="s">
        <v>3381</v>
      </c>
      <c r="E2255" s="403">
        <v>45061</v>
      </c>
      <c r="F2255" s="403">
        <v>46888</v>
      </c>
      <c r="G2255" s="283" t="s">
        <v>154</v>
      </c>
      <c r="H2255" s="282" t="s">
        <v>3312</v>
      </c>
      <c r="I2255" s="282" t="s">
        <v>590</v>
      </c>
      <c r="J2255" s="282" t="s">
        <v>156</v>
      </c>
      <c r="K2255" s="283" t="s">
        <v>3313</v>
      </c>
      <c r="L2255" s="286" t="s">
        <v>321</v>
      </c>
      <c r="M2255" s="287"/>
      <c r="N2255" s="287">
        <v>15.6</v>
      </c>
      <c r="O2255" s="287"/>
      <c r="P2255" s="287"/>
      <c r="Q2255" s="288">
        <v>39.799999999999997</v>
      </c>
      <c r="R2255" s="288">
        <v>40</v>
      </c>
      <c r="S2255" s="288">
        <v>-0.14699999999999999</v>
      </c>
      <c r="T2255" s="288"/>
      <c r="U2255" s="288">
        <v>0</v>
      </c>
      <c r="V2255" s="289">
        <v>40</v>
      </c>
      <c r="W2255" s="289">
        <v>0</v>
      </c>
      <c r="X2255" s="288">
        <v>2.5512820512820511</v>
      </c>
      <c r="Y2255" s="288">
        <v>2.5641025641025643</v>
      </c>
      <c r="Z2255" s="288">
        <v>-9.4230769230769229E-3</v>
      </c>
      <c r="AA2255" s="288">
        <v>0</v>
      </c>
      <c r="AB2255" s="288">
        <v>0</v>
      </c>
      <c r="AC2255" s="289">
        <v>2.5641025641025643</v>
      </c>
      <c r="AD2255" s="289">
        <v>0</v>
      </c>
    </row>
    <row r="2256" spans="1:30" ht="15" customHeight="1" x14ac:dyDescent="0.25">
      <c r="A2256" s="282" t="s">
        <v>3309</v>
      </c>
      <c r="B2256" s="283" t="s">
        <v>3310</v>
      </c>
      <c r="C2256" s="282" t="s">
        <v>3310</v>
      </c>
      <c r="D2256" s="283" t="s">
        <v>3382</v>
      </c>
      <c r="E2256" s="403">
        <v>44130</v>
      </c>
      <c r="F2256" s="403">
        <v>46686</v>
      </c>
      <c r="G2256" s="283" t="s">
        <v>3331</v>
      </c>
      <c r="H2256" s="282" t="s">
        <v>3344</v>
      </c>
      <c r="I2256" s="282" t="s">
        <v>590</v>
      </c>
      <c r="J2256" s="282" t="s">
        <v>156</v>
      </c>
      <c r="K2256" s="283" t="s">
        <v>3345</v>
      </c>
      <c r="L2256" s="286" t="s">
        <v>321</v>
      </c>
      <c r="M2256" s="287"/>
      <c r="N2256" s="287">
        <v>10.7</v>
      </c>
      <c r="O2256" s="287"/>
      <c r="P2256" s="287"/>
      <c r="Q2256" s="288">
        <v>39.9</v>
      </c>
      <c r="R2256" s="288">
        <v>40.1</v>
      </c>
      <c r="S2256" s="288">
        <v>-0.24199999999999999</v>
      </c>
      <c r="T2256" s="288"/>
      <c r="U2256" s="288">
        <v>0</v>
      </c>
      <c r="V2256" s="289">
        <v>40.1</v>
      </c>
      <c r="W2256" s="289">
        <v>0</v>
      </c>
      <c r="X2256" s="288">
        <v>3.7289719626168227</v>
      </c>
      <c r="Y2256" s="288">
        <v>3.7476635514018697</v>
      </c>
      <c r="Z2256" s="288">
        <v>-2.2616822429906543E-2</v>
      </c>
      <c r="AA2256" s="288">
        <v>0</v>
      </c>
      <c r="AB2256" s="288">
        <v>0</v>
      </c>
      <c r="AC2256" s="289">
        <v>3.7476635514018697</v>
      </c>
      <c r="AD2256" s="289">
        <v>0</v>
      </c>
    </row>
    <row r="2257" spans="1:30" ht="15" customHeight="1" x14ac:dyDescent="0.25">
      <c r="A2257" s="282" t="s">
        <v>3309</v>
      </c>
      <c r="B2257" s="283" t="s">
        <v>3310</v>
      </c>
      <c r="C2257" s="282" t="s">
        <v>3310</v>
      </c>
      <c r="D2257" s="283" t="s">
        <v>3383</v>
      </c>
      <c r="E2257" s="403">
        <v>44860</v>
      </c>
      <c r="F2257" s="403">
        <v>46686</v>
      </c>
      <c r="G2257" s="283" t="s">
        <v>3331</v>
      </c>
      <c r="H2257" s="282" t="s">
        <v>3347</v>
      </c>
      <c r="I2257" s="282" t="s">
        <v>3336</v>
      </c>
      <c r="J2257" s="282" t="s">
        <v>156</v>
      </c>
      <c r="K2257" s="283" t="s">
        <v>3348</v>
      </c>
      <c r="L2257" s="286" t="s">
        <v>321</v>
      </c>
      <c r="M2257" s="287"/>
      <c r="N2257" s="287">
        <v>10.7</v>
      </c>
      <c r="O2257" s="287"/>
      <c r="P2257" s="287"/>
      <c r="Q2257" s="288">
        <v>39.9</v>
      </c>
      <c r="R2257" s="288">
        <v>40.1</v>
      </c>
      <c r="S2257" s="288">
        <v>-0.24199999999999999</v>
      </c>
      <c r="T2257" s="288"/>
      <c r="U2257" s="288">
        <v>0</v>
      </c>
      <c r="V2257" s="289">
        <v>40.1</v>
      </c>
      <c r="W2257" s="289">
        <v>0</v>
      </c>
      <c r="X2257" s="288">
        <v>3.7289719626168227</v>
      </c>
      <c r="Y2257" s="288">
        <v>3.7476635514018697</v>
      </c>
      <c r="Z2257" s="288">
        <v>-2.2616822429906543E-2</v>
      </c>
      <c r="AA2257" s="288">
        <v>0</v>
      </c>
      <c r="AB2257" s="288">
        <v>0</v>
      </c>
      <c r="AC2257" s="289">
        <v>3.7476635514018697</v>
      </c>
      <c r="AD2257" s="289">
        <v>0</v>
      </c>
    </row>
    <row r="2258" spans="1:30" ht="15" customHeight="1" x14ac:dyDescent="0.25">
      <c r="A2258" s="282" t="s">
        <v>3309</v>
      </c>
      <c r="B2258" s="283" t="s">
        <v>3310</v>
      </c>
      <c r="C2258" s="282" t="s">
        <v>3310</v>
      </c>
      <c r="D2258" s="283" t="s">
        <v>3384</v>
      </c>
      <c r="E2258" s="403">
        <v>45061</v>
      </c>
      <c r="F2258" s="403">
        <v>46888</v>
      </c>
      <c r="G2258" s="283" t="s">
        <v>154</v>
      </c>
      <c r="H2258" s="282" t="s">
        <v>3312</v>
      </c>
      <c r="I2258" s="282" t="s">
        <v>590</v>
      </c>
      <c r="J2258" s="282" t="s">
        <v>156</v>
      </c>
      <c r="K2258" s="283" t="s">
        <v>3313</v>
      </c>
      <c r="L2258" s="286" t="s">
        <v>321</v>
      </c>
      <c r="M2258" s="287"/>
      <c r="N2258" s="287">
        <v>18.100000000000001</v>
      </c>
      <c r="O2258" s="287"/>
      <c r="P2258" s="287"/>
      <c r="Q2258" s="288">
        <v>40.200000000000003</v>
      </c>
      <c r="R2258" s="288">
        <v>40.4</v>
      </c>
      <c r="S2258" s="288">
        <v>-0.20200000000000001</v>
      </c>
      <c r="T2258" s="288"/>
      <c r="U2258" s="288">
        <v>0</v>
      </c>
      <c r="V2258" s="289">
        <v>40.4</v>
      </c>
      <c r="W2258" s="289">
        <v>0</v>
      </c>
      <c r="X2258" s="288">
        <v>2.2209944751381214</v>
      </c>
      <c r="Y2258" s="288">
        <v>2.2320441988950273</v>
      </c>
      <c r="Z2258" s="288">
        <v>-1.1160220994475138E-2</v>
      </c>
      <c r="AA2258" s="288">
        <v>0</v>
      </c>
      <c r="AB2258" s="288">
        <v>0</v>
      </c>
      <c r="AC2258" s="289">
        <v>2.2320441988950273</v>
      </c>
      <c r="AD2258" s="289">
        <v>0</v>
      </c>
    </row>
    <row r="2259" spans="1:30" ht="15" customHeight="1" x14ac:dyDescent="0.25">
      <c r="A2259" s="282" t="s">
        <v>3309</v>
      </c>
      <c r="B2259" s="283" t="s">
        <v>3310</v>
      </c>
      <c r="C2259" s="282" t="s">
        <v>3310</v>
      </c>
      <c r="D2259" s="283" t="s">
        <v>3385</v>
      </c>
      <c r="E2259" s="403">
        <v>45061</v>
      </c>
      <c r="F2259" s="403">
        <v>46888</v>
      </c>
      <c r="G2259" s="283" t="s">
        <v>154</v>
      </c>
      <c r="H2259" s="282" t="s">
        <v>3312</v>
      </c>
      <c r="I2259" s="282" t="s">
        <v>590</v>
      </c>
      <c r="J2259" s="282" t="s">
        <v>156</v>
      </c>
      <c r="K2259" s="283" t="s">
        <v>3313</v>
      </c>
      <c r="L2259" s="286" t="s">
        <v>321</v>
      </c>
      <c r="M2259" s="287"/>
      <c r="N2259" s="287">
        <v>12</v>
      </c>
      <c r="O2259" s="287"/>
      <c r="P2259" s="287"/>
      <c r="Q2259" s="288">
        <v>40.5</v>
      </c>
      <c r="R2259" s="288">
        <v>40.700000000000003</v>
      </c>
      <c r="S2259" s="288">
        <v>-0.14599999999999999</v>
      </c>
      <c r="T2259" s="288"/>
      <c r="U2259" s="288">
        <v>0</v>
      </c>
      <c r="V2259" s="289">
        <v>40.700000000000003</v>
      </c>
      <c r="W2259" s="289">
        <v>0</v>
      </c>
      <c r="X2259" s="288">
        <v>3.375</v>
      </c>
      <c r="Y2259" s="288">
        <v>3.3916666666666671</v>
      </c>
      <c r="Z2259" s="288">
        <v>-1.2166666666666666E-2</v>
      </c>
      <c r="AA2259" s="288">
        <v>0</v>
      </c>
      <c r="AB2259" s="288">
        <v>0</v>
      </c>
      <c r="AC2259" s="289">
        <v>3.3916666666666671</v>
      </c>
      <c r="AD2259" s="289">
        <v>0</v>
      </c>
    </row>
    <row r="2260" spans="1:30" ht="15" customHeight="1" x14ac:dyDescent="0.25">
      <c r="A2260" s="282" t="s">
        <v>3309</v>
      </c>
      <c r="B2260" s="283" t="s">
        <v>3310</v>
      </c>
      <c r="C2260" s="282" t="s">
        <v>3310</v>
      </c>
      <c r="D2260" s="283" t="s">
        <v>3386</v>
      </c>
      <c r="E2260" s="403">
        <v>45061</v>
      </c>
      <c r="F2260" s="403">
        <v>46888</v>
      </c>
      <c r="G2260" s="283" t="s">
        <v>154</v>
      </c>
      <c r="H2260" s="282" t="s">
        <v>3312</v>
      </c>
      <c r="I2260" s="282" t="s">
        <v>590</v>
      </c>
      <c r="J2260" s="282" t="s">
        <v>156</v>
      </c>
      <c r="K2260" s="283" t="s">
        <v>3313</v>
      </c>
      <c r="L2260" s="286" t="s">
        <v>321</v>
      </c>
      <c r="M2260" s="287"/>
      <c r="N2260" s="287">
        <v>18.100000000000001</v>
      </c>
      <c r="O2260" s="287"/>
      <c r="P2260" s="287"/>
      <c r="Q2260" s="288">
        <v>41</v>
      </c>
      <c r="R2260" s="288">
        <v>41.2</v>
      </c>
      <c r="S2260" s="288">
        <v>-0.20200000000000001</v>
      </c>
      <c r="T2260" s="288"/>
      <c r="U2260" s="288">
        <v>0</v>
      </c>
      <c r="V2260" s="289">
        <v>41.2</v>
      </c>
      <c r="W2260" s="289">
        <v>0</v>
      </c>
      <c r="X2260" s="288">
        <v>2.2651933701657456</v>
      </c>
      <c r="Y2260" s="288">
        <v>2.2762430939226519</v>
      </c>
      <c r="Z2260" s="288">
        <v>-1.1160220994475138E-2</v>
      </c>
      <c r="AA2260" s="288">
        <v>0</v>
      </c>
      <c r="AB2260" s="288">
        <v>0</v>
      </c>
      <c r="AC2260" s="289">
        <v>2.2762430939226519</v>
      </c>
      <c r="AD2260" s="289">
        <v>0</v>
      </c>
    </row>
    <row r="2261" spans="1:30" ht="15" customHeight="1" x14ac:dyDescent="0.25">
      <c r="A2261" s="282" t="s">
        <v>3309</v>
      </c>
      <c r="B2261" s="283" t="s">
        <v>3310</v>
      </c>
      <c r="C2261" s="282" t="s">
        <v>3310</v>
      </c>
      <c r="D2261" s="283" t="s">
        <v>3387</v>
      </c>
      <c r="E2261" s="403">
        <v>44860</v>
      </c>
      <c r="F2261" s="403">
        <v>46686</v>
      </c>
      <c r="G2261" s="283" t="s">
        <v>3331</v>
      </c>
      <c r="H2261" s="282" t="s">
        <v>3388</v>
      </c>
      <c r="I2261" s="282" t="s">
        <v>3336</v>
      </c>
      <c r="J2261" s="282" t="s">
        <v>156</v>
      </c>
      <c r="K2261" s="283" t="s">
        <v>3389</v>
      </c>
      <c r="L2261" s="286" t="s">
        <v>321</v>
      </c>
      <c r="M2261" s="287"/>
      <c r="N2261" s="287">
        <v>12</v>
      </c>
      <c r="O2261" s="287"/>
      <c r="P2261" s="287"/>
      <c r="Q2261" s="288">
        <v>41.8</v>
      </c>
      <c r="R2261" s="288">
        <v>42</v>
      </c>
      <c r="S2261" s="288">
        <v>-0.21299999999999999</v>
      </c>
      <c r="T2261" s="288"/>
      <c r="U2261" s="288">
        <v>0</v>
      </c>
      <c r="V2261" s="289">
        <v>42</v>
      </c>
      <c r="W2261" s="289">
        <v>0</v>
      </c>
      <c r="X2261" s="288">
        <v>3.4833333333333329</v>
      </c>
      <c r="Y2261" s="288">
        <v>3.5</v>
      </c>
      <c r="Z2261" s="288">
        <v>-1.7749999999999998E-2</v>
      </c>
      <c r="AA2261" s="288">
        <v>0</v>
      </c>
      <c r="AB2261" s="288">
        <v>0</v>
      </c>
      <c r="AC2261" s="289">
        <v>3.5</v>
      </c>
      <c r="AD2261" s="289">
        <v>0</v>
      </c>
    </row>
    <row r="2262" spans="1:30" ht="15" customHeight="1" x14ac:dyDescent="0.25">
      <c r="A2262" s="282" t="s">
        <v>3309</v>
      </c>
      <c r="B2262" s="283" t="s">
        <v>3314</v>
      </c>
      <c r="C2262" s="282" t="s">
        <v>3314</v>
      </c>
      <c r="D2262" s="283" t="s">
        <v>3390</v>
      </c>
      <c r="E2262" s="403">
        <v>45061</v>
      </c>
      <c r="F2262" s="403">
        <v>46888</v>
      </c>
      <c r="G2262" s="283" t="s">
        <v>154</v>
      </c>
      <c r="H2262" s="282" t="s">
        <v>3312</v>
      </c>
      <c r="I2262" s="282" t="s">
        <v>590</v>
      </c>
      <c r="J2262" s="282" t="s">
        <v>156</v>
      </c>
      <c r="K2262" s="283" t="s">
        <v>3313</v>
      </c>
      <c r="L2262" s="286" t="s">
        <v>321</v>
      </c>
      <c r="M2262" s="287"/>
      <c r="N2262" s="287">
        <v>11.6</v>
      </c>
      <c r="O2262" s="287"/>
      <c r="P2262" s="287"/>
      <c r="Q2262" s="288">
        <v>42.1</v>
      </c>
      <c r="R2262" s="288">
        <v>42.3</v>
      </c>
      <c r="S2262" s="288">
        <v>-0.25800000000000001</v>
      </c>
      <c r="T2262" s="288"/>
      <c r="U2262" s="288">
        <v>0</v>
      </c>
      <c r="V2262" s="289">
        <v>42.3</v>
      </c>
      <c r="W2262" s="289">
        <v>0</v>
      </c>
      <c r="X2262" s="288">
        <v>3.6293103448275863</v>
      </c>
      <c r="Y2262" s="288">
        <v>3.646551724137931</v>
      </c>
      <c r="Z2262" s="288">
        <v>-2.2241379310344828E-2</v>
      </c>
      <c r="AA2262" s="288">
        <v>0</v>
      </c>
      <c r="AB2262" s="288">
        <v>0</v>
      </c>
      <c r="AC2262" s="289">
        <v>3.646551724137931</v>
      </c>
      <c r="AD2262" s="289">
        <v>0</v>
      </c>
    </row>
    <row r="2263" spans="1:30" ht="15" customHeight="1" x14ac:dyDescent="0.25">
      <c r="A2263" s="282" t="s">
        <v>3309</v>
      </c>
      <c r="B2263" s="283" t="s">
        <v>3310</v>
      </c>
      <c r="C2263" s="282" t="s">
        <v>3310</v>
      </c>
      <c r="D2263" s="283" t="s">
        <v>3391</v>
      </c>
      <c r="E2263" s="403">
        <v>45061</v>
      </c>
      <c r="F2263" s="403">
        <v>46888</v>
      </c>
      <c r="G2263" s="283" t="s">
        <v>154</v>
      </c>
      <c r="H2263" s="282" t="s">
        <v>3327</v>
      </c>
      <c r="I2263" s="282" t="s">
        <v>590</v>
      </c>
      <c r="J2263" s="282" t="s">
        <v>156</v>
      </c>
      <c r="K2263" s="283" t="s">
        <v>3328</v>
      </c>
      <c r="L2263" s="286" t="s">
        <v>321</v>
      </c>
      <c r="M2263" s="287"/>
      <c r="N2263" s="287">
        <v>15.6</v>
      </c>
      <c r="O2263" s="287"/>
      <c r="P2263" s="287"/>
      <c r="Q2263" s="288">
        <v>51.7</v>
      </c>
      <c r="R2263" s="288">
        <v>51.8</v>
      </c>
      <c r="S2263" s="288">
        <v>0.14399999999999999</v>
      </c>
      <c r="T2263" s="288"/>
      <c r="U2263" s="288">
        <v>0</v>
      </c>
      <c r="V2263" s="289">
        <v>51.943999999999996</v>
      </c>
      <c r="W2263" s="289">
        <v>0</v>
      </c>
      <c r="X2263" s="288">
        <v>3.3141025641025643</v>
      </c>
      <c r="Y2263" s="288">
        <v>3.3205128205128203</v>
      </c>
      <c r="Z2263" s="288">
        <v>9.2307692307692299E-3</v>
      </c>
      <c r="AA2263" s="288">
        <v>0</v>
      </c>
      <c r="AB2263" s="288">
        <v>0</v>
      </c>
      <c r="AC2263" s="289">
        <v>3.3297435897435896</v>
      </c>
      <c r="AD2263" s="289">
        <v>0</v>
      </c>
    </row>
    <row r="2264" spans="1:30" ht="15" customHeight="1" x14ac:dyDescent="0.25">
      <c r="A2264" s="282" t="s">
        <v>3309</v>
      </c>
      <c r="B2264" s="283" t="s">
        <v>3310</v>
      </c>
      <c r="C2264" s="282" t="s">
        <v>3310</v>
      </c>
      <c r="D2264" s="283" t="s">
        <v>3392</v>
      </c>
      <c r="E2264" s="403">
        <v>44130</v>
      </c>
      <c r="F2264" s="403">
        <v>46686</v>
      </c>
      <c r="G2264" s="283" t="s">
        <v>3331</v>
      </c>
      <c r="H2264" s="282" t="s">
        <v>3344</v>
      </c>
      <c r="I2264" s="282" t="s">
        <v>590</v>
      </c>
      <c r="J2264" s="282" t="s">
        <v>156</v>
      </c>
      <c r="K2264" s="283" t="s">
        <v>3345</v>
      </c>
      <c r="L2264" s="286" t="s">
        <v>321</v>
      </c>
      <c r="M2264" s="287"/>
      <c r="N2264" s="287">
        <v>11.1</v>
      </c>
      <c r="O2264" s="287"/>
      <c r="P2264" s="287"/>
      <c r="Q2264" s="288">
        <v>42.7</v>
      </c>
      <c r="R2264" s="288">
        <v>42.9</v>
      </c>
      <c r="S2264" s="288">
        <v>-0.22900000000000001</v>
      </c>
      <c r="T2264" s="288"/>
      <c r="U2264" s="288">
        <v>0</v>
      </c>
      <c r="V2264" s="289">
        <v>42.9</v>
      </c>
      <c r="W2264" s="289">
        <v>0</v>
      </c>
      <c r="X2264" s="288">
        <v>3.8468468468468471</v>
      </c>
      <c r="Y2264" s="288">
        <v>3.8648648648648649</v>
      </c>
      <c r="Z2264" s="288">
        <v>-2.0630630630630632E-2</v>
      </c>
      <c r="AA2264" s="288">
        <v>0</v>
      </c>
      <c r="AB2264" s="288">
        <v>0</v>
      </c>
      <c r="AC2264" s="289">
        <v>3.8648648648648649</v>
      </c>
      <c r="AD2264" s="289">
        <v>0</v>
      </c>
    </row>
    <row r="2265" spans="1:30" ht="15" customHeight="1" x14ac:dyDescent="0.25">
      <c r="A2265" s="282" t="s">
        <v>3309</v>
      </c>
      <c r="B2265" s="283" t="s">
        <v>3310</v>
      </c>
      <c r="C2265" s="282" t="s">
        <v>3310</v>
      </c>
      <c r="D2265" s="283" t="s">
        <v>3393</v>
      </c>
      <c r="E2265" s="403">
        <v>44860</v>
      </c>
      <c r="F2265" s="403">
        <v>46686</v>
      </c>
      <c r="G2265" s="283" t="s">
        <v>3331</v>
      </c>
      <c r="H2265" s="282" t="s">
        <v>3347</v>
      </c>
      <c r="I2265" s="282" t="s">
        <v>3336</v>
      </c>
      <c r="J2265" s="282" t="s">
        <v>156</v>
      </c>
      <c r="K2265" s="283" t="s">
        <v>3348</v>
      </c>
      <c r="L2265" s="286" t="s">
        <v>321</v>
      </c>
      <c r="M2265" s="287"/>
      <c r="N2265" s="287">
        <v>11.1</v>
      </c>
      <c r="O2265" s="287"/>
      <c r="P2265" s="287"/>
      <c r="Q2265" s="288">
        <v>42.7</v>
      </c>
      <c r="R2265" s="288">
        <v>42.9</v>
      </c>
      <c r="S2265" s="288">
        <v>-0.22900000000000001</v>
      </c>
      <c r="T2265" s="288"/>
      <c r="U2265" s="288">
        <v>0</v>
      </c>
      <c r="V2265" s="289">
        <v>42.9</v>
      </c>
      <c r="W2265" s="289">
        <v>0</v>
      </c>
      <c r="X2265" s="288">
        <v>3.8468468468468471</v>
      </c>
      <c r="Y2265" s="288">
        <v>3.8648648648648649</v>
      </c>
      <c r="Z2265" s="288">
        <v>-2.0630630630630632E-2</v>
      </c>
      <c r="AA2265" s="288">
        <v>0</v>
      </c>
      <c r="AB2265" s="288">
        <v>0</v>
      </c>
      <c r="AC2265" s="289">
        <v>3.8648648648648649</v>
      </c>
      <c r="AD2265" s="289">
        <v>0</v>
      </c>
    </row>
    <row r="2266" spans="1:30" ht="15" customHeight="1" x14ac:dyDescent="0.25">
      <c r="A2266" s="282" t="s">
        <v>3309</v>
      </c>
      <c r="B2266" s="283" t="s">
        <v>3310</v>
      </c>
      <c r="C2266" s="282" t="s">
        <v>3310</v>
      </c>
      <c r="D2266" s="283" t="s">
        <v>3394</v>
      </c>
      <c r="E2266" s="403">
        <v>44860</v>
      </c>
      <c r="F2266" s="403">
        <v>46686</v>
      </c>
      <c r="G2266" s="283" t="s">
        <v>3331</v>
      </c>
      <c r="H2266" s="282" t="s">
        <v>3357</v>
      </c>
      <c r="I2266" s="282" t="s">
        <v>3336</v>
      </c>
      <c r="J2266" s="282" t="s">
        <v>156</v>
      </c>
      <c r="K2266" s="283" t="s">
        <v>3358</v>
      </c>
      <c r="L2266" s="286" t="s">
        <v>321</v>
      </c>
      <c r="M2266" s="287"/>
      <c r="N2266" s="287">
        <v>11.9</v>
      </c>
      <c r="O2266" s="287"/>
      <c r="P2266" s="287"/>
      <c r="Q2266" s="288">
        <v>46.4</v>
      </c>
      <c r="R2266" s="288">
        <v>46.6</v>
      </c>
      <c r="S2266" s="288">
        <v>-0.216</v>
      </c>
      <c r="T2266" s="288"/>
      <c r="U2266" s="288">
        <v>0</v>
      </c>
      <c r="V2266" s="289">
        <v>46.6</v>
      </c>
      <c r="W2266" s="289">
        <v>0</v>
      </c>
      <c r="X2266" s="288">
        <v>3.8991596638655461</v>
      </c>
      <c r="Y2266" s="288">
        <v>3.9159663865546217</v>
      </c>
      <c r="Z2266" s="288">
        <v>-1.8151260504201679E-2</v>
      </c>
      <c r="AA2266" s="288">
        <v>0</v>
      </c>
      <c r="AB2266" s="288">
        <v>0</v>
      </c>
      <c r="AC2266" s="289">
        <v>3.9159663865546217</v>
      </c>
      <c r="AD2266" s="289">
        <v>0</v>
      </c>
    </row>
    <row r="2267" spans="1:30" ht="15" customHeight="1" x14ac:dyDescent="0.25">
      <c r="A2267" s="282" t="s">
        <v>3309</v>
      </c>
      <c r="B2267" s="283" t="s">
        <v>3310</v>
      </c>
      <c r="C2267" s="282" t="s">
        <v>3310</v>
      </c>
      <c r="D2267" s="283" t="s">
        <v>3395</v>
      </c>
      <c r="E2267" s="403">
        <v>45061</v>
      </c>
      <c r="F2267" s="403">
        <v>46888</v>
      </c>
      <c r="G2267" s="283" t="s">
        <v>154</v>
      </c>
      <c r="H2267" s="282" t="s">
        <v>3327</v>
      </c>
      <c r="I2267" s="282" t="s">
        <v>590</v>
      </c>
      <c r="J2267" s="282" t="s">
        <v>156</v>
      </c>
      <c r="K2267" s="283" t="s">
        <v>3328</v>
      </c>
      <c r="L2267" s="286" t="s">
        <v>321</v>
      </c>
      <c r="M2267" s="287"/>
      <c r="N2267" s="287">
        <v>13.371428571428572</v>
      </c>
      <c r="O2267" s="287"/>
      <c r="P2267" s="287"/>
      <c r="Q2267" s="288">
        <v>47.8</v>
      </c>
      <c r="R2267" s="288">
        <v>48</v>
      </c>
      <c r="S2267" s="288">
        <v>-0.14299999999999999</v>
      </c>
      <c r="T2267" s="288"/>
      <c r="U2267" s="288">
        <v>0</v>
      </c>
      <c r="V2267" s="289">
        <v>48</v>
      </c>
      <c r="W2267" s="289">
        <v>0</v>
      </c>
      <c r="X2267" s="288">
        <v>3.5747863247863245</v>
      </c>
      <c r="Y2267" s="288">
        <v>3.5897435897435894</v>
      </c>
      <c r="Z2267" s="288">
        <v>-1.0694444444444444E-2</v>
      </c>
      <c r="AA2267" s="288">
        <v>0</v>
      </c>
      <c r="AB2267" s="288">
        <v>0</v>
      </c>
      <c r="AC2267" s="289">
        <v>3.5897435897435894</v>
      </c>
      <c r="AD2267" s="289">
        <v>0</v>
      </c>
    </row>
    <row r="2268" spans="1:30" ht="15" customHeight="1" x14ac:dyDescent="0.25">
      <c r="A2268" s="282" t="s">
        <v>3309</v>
      </c>
      <c r="B2268" s="283" t="s">
        <v>3310</v>
      </c>
      <c r="C2268" s="282" t="s">
        <v>3310</v>
      </c>
      <c r="D2268" s="283" t="s">
        <v>3396</v>
      </c>
      <c r="E2268" s="403">
        <v>44860</v>
      </c>
      <c r="F2268" s="403">
        <v>46686</v>
      </c>
      <c r="G2268" s="283" t="s">
        <v>3331</v>
      </c>
      <c r="H2268" s="282" t="s">
        <v>3363</v>
      </c>
      <c r="I2268" s="282" t="s">
        <v>590</v>
      </c>
      <c r="J2268" s="282" t="s">
        <v>156</v>
      </c>
      <c r="K2268" s="283" t="s">
        <v>3364</v>
      </c>
      <c r="L2268" s="286" t="s">
        <v>321</v>
      </c>
      <c r="M2268" s="287"/>
      <c r="N2268" s="287">
        <v>13</v>
      </c>
      <c r="O2268" s="287"/>
      <c r="P2268" s="287"/>
      <c r="Q2268" s="288">
        <v>49.3</v>
      </c>
      <c r="R2268" s="288">
        <v>49.5</v>
      </c>
      <c r="S2268" s="288">
        <v>-0.20200000000000001</v>
      </c>
      <c r="T2268" s="288"/>
      <c r="U2268" s="288">
        <v>0</v>
      </c>
      <c r="V2268" s="289">
        <v>49.5</v>
      </c>
      <c r="W2268" s="289">
        <v>0</v>
      </c>
      <c r="X2268" s="288">
        <v>3.7923076923076922</v>
      </c>
      <c r="Y2268" s="288">
        <v>3.8076923076923075</v>
      </c>
      <c r="Z2268" s="288">
        <v>-1.5538461538461539E-2</v>
      </c>
      <c r="AA2268" s="288">
        <v>0</v>
      </c>
      <c r="AB2268" s="288">
        <v>0</v>
      </c>
      <c r="AC2268" s="289">
        <v>3.8076923076923075</v>
      </c>
      <c r="AD2268" s="289">
        <v>0</v>
      </c>
    </row>
    <row r="2269" spans="1:30" ht="15" customHeight="1" x14ac:dyDescent="0.25">
      <c r="A2269" s="282" t="s">
        <v>3309</v>
      </c>
      <c r="B2269" s="283" t="s">
        <v>3310</v>
      </c>
      <c r="C2269" s="282" t="s">
        <v>3310</v>
      </c>
      <c r="D2269" s="283" t="s">
        <v>3397</v>
      </c>
      <c r="E2269" s="403">
        <v>44860</v>
      </c>
      <c r="F2269" s="403">
        <v>46686</v>
      </c>
      <c r="G2269" s="283" t="s">
        <v>3331</v>
      </c>
      <c r="H2269" s="282" t="s">
        <v>3332</v>
      </c>
      <c r="I2269" s="282" t="s">
        <v>590</v>
      </c>
      <c r="J2269" s="282" t="s">
        <v>156</v>
      </c>
      <c r="K2269" s="283" t="s">
        <v>3333</v>
      </c>
      <c r="L2269" s="286" t="s">
        <v>321</v>
      </c>
      <c r="M2269" s="287"/>
      <c r="N2269" s="287">
        <v>13</v>
      </c>
      <c r="O2269" s="287"/>
      <c r="P2269" s="287"/>
      <c r="Q2269" s="288">
        <v>49.5</v>
      </c>
      <c r="R2269" s="288">
        <v>49.7</v>
      </c>
      <c r="S2269" s="288">
        <v>-0.20200000000000001</v>
      </c>
      <c r="T2269" s="288"/>
      <c r="U2269" s="288">
        <v>0</v>
      </c>
      <c r="V2269" s="289">
        <v>49.7</v>
      </c>
      <c r="W2269" s="289">
        <v>0</v>
      </c>
      <c r="X2269" s="288">
        <v>3.8076923076923075</v>
      </c>
      <c r="Y2269" s="288">
        <v>3.8230769230769233</v>
      </c>
      <c r="Z2269" s="288">
        <v>-1.5538461538461539E-2</v>
      </c>
      <c r="AA2269" s="288">
        <v>0</v>
      </c>
      <c r="AB2269" s="288">
        <v>0</v>
      </c>
      <c r="AC2269" s="289">
        <v>3.8230769230769233</v>
      </c>
      <c r="AD2269" s="289">
        <v>0</v>
      </c>
    </row>
    <row r="2270" spans="1:30" ht="15" customHeight="1" x14ac:dyDescent="0.25">
      <c r="A2270" s="282" t="s">
        <v>3309</v>
      </c>
      <c r="B2270" s="283" t="s">
        <v>3310</v>
      </c>
      <c r="C2270" s="282" t="s">
        <v>3310</v>
      </c>
      <c r="D2270" s="283" t="s">
        <v>3398</v>
      </c>
      <c r="E2270" s="403">
        <v>44130</v>
      </c>
      <c r="F2270" s="403">
        <v>46686</v>
      </c>
      <c r="G2270" s="283" t="s">
        <v>3331</v>
      </c>
      <c r="H2270" s="282" t="s">
        <v>3344</v>
      </c>
      <c r="I2270" s="282" t="s">
        <v>590</v>
      </c>
      <c r="J2270" s="282" t="s">
        <v>156</v>
      </c>
      <c r="K2270" s="283" t="s">
        <v>3345</v>
      </c>
      <c r="L2270" s="286" t="s">
        <v>321</v>
      </c>
      <c r="M2270" s="287"/>
      <c r="N2270" s="287">
        <v>12.3</v>
      </c>
      <c r="O2270" s="287"/>
      <c r="P2270" s="287"/>
      <c r="Q2270" s="288">
        <v>50.4</v>
      </c>
      <c r="R2270" s="288">
        <v>50.6</v>
      </c>
      <c r="S2270" s="288">
        <v>-0.192</v>
      </c>
      <c r="T2270" s="288"/>
      <c r="U2270" s="288">
        <v>0</v>
      </c>
      <c r="V2270" s="289">
        <v>50.6</v>
      </c>
      <c r="W2270" s="289">
        <v>0</v>
      </c>
      <c r="X2270" s="288">
        <v>4.0975609756097562</v>
      </c>
      <c r="Y2270" s="288">
        <v>4.1138211382113816</v>
      </c>
      <c r="Z2270" s="288">
        <v>-1.5609756097560976E-2</v>
      </c>
      <c r="AA2270" s="288">
        <v>0</v>
      </c>
      <c r="AB2270" s="288">
        <v>0</v>
      </c>
      <c r="AC2270" s="289">
        <v>4.1138211382113816</v>
      </c>
      <c r="AD2270" s="289">
        <v>0</v>
      </c>
    </row>
    <row r="2271" spans="1:30" ht="15" customHeight="1" x14ac:dyDescent="0.25">
      <c r="A2271" s="282" t="s">
        <v>3309</v>
      </c>
      <c r="B2271" s="283" t="s">
        <v>3310</v>
      </c>
      <c r="C2271" s="282" t="s">
        <v>3310</v>
      </c>
      <c r="D2271" s="283" t="s">
        <v>3399</v>
      </c>
      <c r="E2271" s="403">
        <v>44860</v>
      </c>
      <c r="F2271" s="403">
        <v>46686</v>
      </c>
      <c r="G2271" s="283" t="s">
        <v>3331</v>
      </c>
      <c r="H2271" s="282" t="s">
        <v>3347</v>
      </c>
      <c r="I2271" s="282" t="s">
        <v>3336</v>
      </c>
      <c r="J2271" s="282" t="s">
        <v>156</v>
      </c>
      <c r="K2271" s="283" t="s">
        <v>3348</v>
      </c>
      <c r="L2271" s="286" t="s">
        <v>321</v>
      </c>
      <c r="M2271" s="287"/>
      <c r="N2271" s="287">
        <v>12.3</v>
      </c>
      <c r="O2271" s="287"/>
      <c r="P2271" s="287"/>
      <c r="Q2271" s="288">
        <v>50.4</v>
      </c>
      <c r="R2271" s="288">
        <v>50.6</v>
      </c>
      <c r="S2271" s="288">
        <v>-0.192</v>
      </c>
      <c r="T2271" s="288"/>
      <c r="U2271" s="288">
        <v>0</v>
      </c>
      <c r="V2271" s="289">
        <v>50.6</v>
      </c>
      <c r="W2271" s="289">
        <v>0</v>
      </c>
      <c r="X2271" s="288">
        <v>4.0975609756097562</v>
      </c>
      <c r="Y2271" s="288">
        <v>4.1138211382113816</v>
      </c>
      <c r="Z2271" s="288">
        <v>-1.5609756097560976E-2</v>
      </c>
      <c r="AA2271" s="288">
        <v>0</v>
      </c>
      <c r="AB2271" s="288">
        <v>0</v>
      </c>
      <c r="AC2271" s="289">
        <v>4.1138211382113816</v>
      </c>
      <c r="AD2271" s="289">
        <v>0</v>
      </c>
    </row>
    <row r="2272" spans="1:30" ht="15" customHeight="1" x14ac:dyDescent="0.25">
      <c r="A2272" s="282" t="s">
        <v>3309</v>
      </c>
      <c r="B2272" s="283" t="s">
        <v>3310</v>
      </c>
      <c r="C2272" s="282" t="s">
        <v>3310</v>
      </c>
      <c r="D2272" s="283" t="s">
        <v>3400</v>
      </c>
      <c r="E2272" s="403">
        <v>44860</v>
      </c>
      <c r="F2272" s="403">
        <v>46686</v>
      </c>
      <c r="G2272" s="283" t="s">
        <v>3331</v>
      </c>
      <c r="H2272" s="282" t="s">
        <v>3366</v>
      </c>
      <c r="I2272" s="282" t="s">
        <v>590</v>
      </c>
      <c r="J2272" s="282" t="s">
        <v>156</v>
      </c>
      <c r="K2272" s="283" t="s">
        <v>3367</v>
      </c>
      <c r="L2272" s="286" t="s">
        <v>321</v>
      </c>
      <c r="M2272" s="287"/>
      <c r="N2272" s="287">
        <v>11.5</v>
      </c>
      <c r="O2272" s="287"/>
      <c r="P2272" s="287"/>
      <c r="Q2272" s="288">
        <v>50.6</v>
      </c>
      <c r="R2272" s="288">
        <v>50.8</v>
      </c>
      <c r="S2272" s="288">
        <v>-0.217</v>
      </c>
      <c r="T2272" s="288"/>
      <c r="U2272" s="288">
        <v>0</v>
      </c>
      <c r="V2272" s="289">
        <v>50.8</v>
      </c>
      <c r="W2272" s="289">
        <v>0</v>
      </c>
      <c r="X2272" s="288">
        <v>4.4000000000000004</v>
      </c>
      <c r="Y2272" s="288">
        <v>4.4173913043478255</v>
      </c>
      <c r="Z2272" s="288">
        <v>-1.8869565217391304E-2</v>
      </c>
      <c r="AA2272" s="288">
        <v>0</v>
      </c>
      <c r="AB2272" s="288">
        <v>0</v>
      </c>
      <c r="AC2272" s="289">
        <v>4.4173913043478255</v>
      </c>
      <c r="AD2272" s="289">
        <v>0</v>
      </c>
    </row>
    <row r="2273" spans="1:30" ht="15" customHeight="1" x14ac:dyDescent="0.25">
      <c r="A2273" s="282" t="s">
        <v>3309</v>
      </c>
      <c r="B2273" s="283" t="s">
        <v>3310</v>
      </c>
      <c r="C2273" s="282" t="s">
        <v>3310</v>
      </c>
      <c r="D2273" s="283" t="s">
        <v>3401</v>
      </c>
      <c r="E2273" s="403">
        <v>44860</v>
      </c>
      <c r="F2273" s="403">
        <v>46686</v>
      </c>
      <c r="G2273" s="283" t="s">
        <v>3331</v>
      </c>
      <c r="H2273" s="282" t="s">
        <v>3335</v>
      </c>
      <c r="I2273" s="282" t="s">
        <v>3336</v>
      </c>
      <c r="J2273" s="282" t="s">
        <v>156</v>
      </c>
      <c r="K2273" s="283" t="s">
        <v>3337</v>
      </c>
      <c r="L2273" s="286" t="s">
        <v>321</v>
      </c>
      <c r="M2273" s="287"/>
      <c r="N2273" s="287">
        <v>11.2</v>
      </c>
      <c r="O2273" s="287"/>
      <c r="P2273" s="287"/>
      <c r="Q2273" s="288">
        <v>51</v>
      </c>
      <c r="R2273" s="288">
        <v>51.2</v>
      </c>
      <c r="S2273" s="288">
        <v>-0.248</v>
      </c>
      <c r="T2273" s="288"/>
      <c r="U2273" s="288">
        <v>0</v>
      </c>
      <c r="V2273" s="289">
        <v>51.2</v>
      </c>
      <c r="W2273" s="289">
        <v>0</v>
      </c>
      <c r="X2273" s="288">
        <v>4.5535714285714288</v>
      </c>
      <c r="Y2273" s="288">
        <v>4.5714285714285721</v>
      </c>
      <c r="Z2273" s="288">
        <v>-2.2142857142857145E-2</v>
      </c>
      <c r="AA2273" s="288">
        <v>0</v>
      </c>
      <c r="AB2273" s="288">
        <v>0</v>
      </c>
      <c r="AC2273" s="289">
        <v>4.5714285714285721</v>
      </c>
      <c r="AD2273" s="289">
        <v>0</v>
      </c>
    </row>
    <row r="2274" spans="1:30" ht="15" customHeight="1" x14ac:dyDescent="0.25">
      <c r="A2274" s="282" t="s">
        <v>3309</v>
      </c>
      <c r="B2274" s="283" t="s">
        <v>3314</v>
      </c>
      <c r="C2274" s="282" t="s">
        <v>3314</v>
      </c>
      <c r="D2274" s="283" t="s">
        <v>3402</v>
      </c>
      <c r="E2274" s="403">
        <v>44130</v>
      </c>
      <c r="F2274" s="403">
        <v>46686</v>
      </c>
      <c r="G2274" s="283" t="s">
        <v>3331</v>
      </c>
      <c r="H2274" s="282" t="s">
        <v>3344</v>
      </c>
      <c r="I2274" s="282" t="s">
        <v>590</v>
      </c>
      <c r="J2274" s="282" t="s">
        <v>156</v>
      </c>
      <c r="K2274" s="283" t="s">
        <v>3345</v>
      </c>
      <c r="L2274" s="286" t="s">
        <v>321</v>
      </c>
      <c r="M2274" s="287"/>
      <c r="N2274" s="287">
        <v>13.1</v>
      </c>
      <c r="O2274" s="287"/>
      <c r="P2274" s="287"/>
      <c r="Q2274" s="288">
        <v>55.6</v>
      </c>
      <c r="R2274" s="288">
        <v>55.8</v>
      </c>
      <c r="S2274" s="288">
        <v>-0.16700000000000001</v>
      </c>
      <c r="T2274" s="288"/>
      <c r="U2274" s="288">
        <v>0</v>
      </c>
      <c r="V2274" s="289">
        <v>55.8</v>
      </c>
      <c r="W2274" s="289">
        <v>0</v>
      </c>
      <c r="X2274" s="288">
        <v>4.2442748091603058</v>
      </c>
      <c r="Y2274" s="288">
        <v>4.2595419847328246</v>
      </c>
      <c r="Z2274" s="288">
        <v>-1.2748091603053437E-2</v>
      </c>
      <c r="AA2274" s="288">
        <v>0</v>
      </c>
      <c r="AB2274" s="288">
        <v>0</v>
      </c>
      <c r="AC2274" s="289">
        <v>4.2595419847328246</v>
      </c>
      <c r="AD2274" s="289">
        <v>0</v>
      </c>
    </row>
    <row r="2275" spans="1:30" ht="15" customHeight="1" x14ac:dyDescent="0.25">
      <c r="A2275" s="282" t="s">
        <v>3309</v>
      </c>
      <c r="B2275" s="283" t="s">
        <v>3314</v>
      </c>
      <c r="C2275" s="282" t="s">
        <v>3314</v>
      </c>
      <c r="D2275" s="283" t="s">
        <v>3403</v>
      </c>
      <c r="E2275" s="403">
        <v>44860</v>
      </c>
      <c r="F2275" s="403">
        <v>46686</v>
      </c>
      <c r="G2275" s="283" t="s">
        <v>3331</v>
      </c>
      <c r="H2275" s="282" t="s">
        <v>3347</v>
      </c>
      <c r="I2275" s="282" t="s">
        <v>3336</v>
      </c>
      <c r="J2275" s="282" t="s">
        <v>156</v>
      </c>
      <c r="K2275" s="283" t="s">
        <v>3348</v>
      </c>
      <c r="L2275" s="286" t="s">
        <v>321</v>
      </c>
      <c r="M2275" s="287"/>
      <c r="N2275" s="287">
        <v>13.1</v>
      </c>
      <c r="O2275" s="287"/>
      <c r="P2275" s="287"/>
      <c r="Q2275" s="288">
        <v>55.6</v>
      </c>
      <c r="R2275" s="288">
        <v>55.8</v>
      </c>
      <c r="S2275" s="288">
        <v>-0.16700000000000001</v>
      </c>
      <c r="T2275" s="288"/>
      <c r="U2275" s="288">
        <v>0</v>
      </c>
      <c r="V2275" s="289">
        <v>55.8</v>
      </c>
      <c r="W2275" s="289">
        <v>0</v>
      </c>
      <c r="X2275" s="288">
        <v>4.2442748091603058</v>
      </c>
      <c r="Y2275" s="288">
        <v>4.2595419847328246</v>
      </c>
      <c r="Z2275" s="288">
        <v>-1.2748091603053437E-2</v>
      </c>
      <c r="AA2275" s="288">
        <v>0</v>
      </c>
      <c r="AB2275" s="288">
        <v>0</v>
      </c>
      <c r="AC2275" s="289">
        <v>4.2595419847328246</v>
      </c>
      <c r="AD2275" s="289">
        <v>0</v>
      </c>
    </row>
    <row r="2276" spans="1:30" ht="15" customHeight="1" x14ac:dyDescent="0.25">
      <c r="A2276" s="282" t="s">
        <v>3309</v>
      </c>
      <c r="B2276" s="283" t="s">
        <v>3310</v>
      </c>
      <c r="C2276" s="282" t="s">
        <v>3310</v>
      </c>
      <c r="D2276" s="283" t="s">
        <v>3404</v>
      </c>
      <c r="E2276" s="403">
        <v>44860</v>
      </c>
      <c r="F2276" s="403">
        <v>46686</v>
      </c>
      <c r="G2276" s="283" t="s">
        <v>3331</v>
      </c>
      <c r="H2276" s="282" t="s">
        <v>3332</v>
      </c>
      <c r="I2276" s="282" t="s">
        <v>590</v>
      </c>
      <c r="J2276" s="282" t="s">
        <v>156</v>
      </c>
      <c r="K2276" s="283" t="s">
        <v>3333</v>
      </c>
      <c r="L2276" s="286" t="s">
        <v>321</v>
      </c>
      <c r="M2276" s="287"/>
      <c r="N2276" s="287">
        <v>14</v>
      </c>
      <c r="O2276" s="287"/>
      <c r="P2276" s="287"/>
      <c r="Q2276" s="288">
        <v>55.8</v>
      </c>
      <c r="R2276" s="288">
        <v>56</v>
      </c>
      <c r="S2276" s="288">
        <v>-0.17199999999999999</v>
      </c>
      <c r="T2276" s="288"/>
      <c r="U2276" s="288">
        <v>0</v>
      </c>
      <c r="V2276" s="289">
        <v>56</v>
      </c>
      <c r="W2276" s="289">
        <v>0</v>
      </c>
      <c r="X2276" s="288">
        <v>3.9857142857142853</v>
      </c>
      <c r="Y2276" s="288">
        <v>4</v>
      </c>
      <c r="Z2276" s="288">
        <v>-1.2285714285714285E-2</v>
      </c>
      <c r="AA2276" s="288">
        <v>0</v>
      </c>
      <c r="AB2276" s="288">
        <v>0</v>
      </c>
      <c r="AC2276" s="289">
        <v>4</v>
      </c>
      <c r="AD2276" s="289">
        <v>0</v>
      </c>
    </row>
    <row r="2277" spans="1:30" ht="15" customHeight="1" x14ac:dyDescent="0.25">
      <c r="A2277" s="282" t="s">
        <v>3309</v>
      </c>
      <c r="B2277" s="283" t="s">
        <v>3310</v>
      </c>
      <c r="C2277" s="282" t="s">
        <v>3310</v>
      </c>
      <c r="D2277" s="283" t="s">
        <v>3405</v>
      </c>
      <c r="E2277" s="403">
        <v>45061</v>
      </c>
      <c r="F2277" s="403">
        <v>46888</v>
      </c>
      <c r="G2277" s="283" t="s">
        <v>154</v>
      </c>
      <c r="H2277" s="282" t="s">
        <v>3312</v>
      </c>
      <c r="I2277" s="282" t="s">
        <v>590</v>
      </c>
      <c r="J2277" s="282" t="s">
        <v>156</v>
      </c>
      <c r="K2277" s="283" t="s">
        <v>3313</v>
      </c>
      <c r="L2277" s="286" t="s">
        <v>321</v>
      </c>
      <c r="M2277" s="287"/>
      <c r="N2277" s="287">
        <v>12</v>
      </c>
      <c r="O2277" s="287"/>
      <c r="P2277" s="287"/>
      <c r="Q2277" s="288">
        <v>32.1</v>
      </c>
      <c r="R2277" s="288">
        <v>32.200000000000003</v>
      </c>
      <c r="S2277" s="288">
        <v>-0.10100000000000001</v>
      </c>
      <c r="T2277" s="288"/>
      <c r="U2277" s="288">
        <v>0</v>
      </c>
      <c r="V2277" s="289">
        <v>32.200000000000003</v>
      </c>
      <c r="W2277" s="289">
        <v>0</v>
      </c>
      <c r="X2277" s="288">
        <v>2.6750000000000003</v>
      </c>
      <c r="Y2277" s="288">
        <v>2.6833333333333336</v>
      </c>
      <c r="Z2277" s="288">
        <v>-8.4166666666666678E-3</v>
      </c>
      <c r="AA2277" s="288">
        <v>0</v>
      </c>
      <c r="AB2277" s="288">
        <v>0</v>
      </c>
      <c r="AC2277" s="289">
        <v>2.6833333333333336</v>
      </c>
      <c r="AD2277" s="289">
        <v>0</v>
      </c>
    </row>
    <row r="2278" spans="1:30" ht="15" customHeight="1" x14ac:dyDescent="0.25">
      <c r="A2278" s="282" t="s">
        <v>3309</v>
      </c>
      <c r="B2278" s="283" t="s">
        <v>3310</v>
      </c>
      <c r="C2278" s="282" t="s">
        <v>3310</v>
      </c>
      <c r="D2278" s="283" t="s">
        <v>3406</v>
      </c>
      <c r="E2278" s="403">
        <v>45061</v>
      </c>
      <c r="F2278" s="403">
        <v>46888</v>
      </c>
      <c r="G2278" s="283" t="s">
        <v>154</v>
      </c>
      <c r="H2278" s="282" t="s">
        <v>3312</v>
      </c>
      <c r="I2278" s="282" t="s">
        <v>590</v>
      </c>
      <c r="J2278" s="282" t="s">
        <v>156</v>
      </c>
      <c r="K2278" s="283" t="s">
        <v>3313</v>
      </c>
      <c r="L2278" s="286" t="s">
        <v>321</v>
      </c>
      <c r="M2278" s="287"/>
      <c r="N2278" s="287">
        <v>10.285714285714286</v>
      </c>
      <c r="O2278" s="287"/>
      <c r="P2278" s="287"/>
      <c r="Q2278" s="288">
        <v>33.5</v>
      </c>
      <c r="R2278" s="288">
        <v>33.6</v>
      </c>
      <c r="S2278" s="288">
        <v>-0.14599999999999999</v>
      </c>
      <c r="T2278" s="288"/>
      <c r="U2278" s="288">
        <v>0</v>
      </c>
      <c r="V2278" s="289">
        <v>33.6</v>
      </c>
      <c r="W2278" s="289">
        <v>0</v>
      </c>
      <c r="X2278" s="288">
        <v>3.2569444444444442</v>
      </c>
      <c r="Y2278" s="288">
        <v>3.2666666666666666</v>
      </c>
      <c r="Z2278" s="288">
        <v>-1.4194444444444442E-2</v>
      </c>
      <c r="AA2278" s="288">
        <v>0</v>
      </c>
      <c r="AB2278" s="288">
        <v>0</v>
      </c>
      <c r="AC2278" s="289">
        <v>3.2666666666666666</v>
      </c>
      <c r="AD2278" s="289">
        <v>0</v>
      </c>
    </row>
    <row r="2279" spans="1:30" ht="15" customHeight="1" x14ac:dyDescent="0.25">
      <c r="A2279" s="282" t="s">
        <v>3309</v>
      </c>
      <c r="B2279" s="283" t="s">
        <v>3310</v>
      </c>
      <c r="C2279" s="282" t="s">
        <v>3310</v>
      </c>
      <c r="D2279" s="283" t="s">
        <v>3407</v>
      </c>
      <c r="E2279" s="403">
        <v>45061</v>
      </c>
      <c r="F2279" s="403">
        <v>46888</v>
      </c>
      <c r="G2279" s="283" t="s">
        <v>154</v>
      </c>
      <c r="H2279" s="282" t="s">
        <v>3312</v>
      </c>
      <c r="I2279" s="282" t="s">
        <v>590</v>
      </c>
      <c r="J2279" s="282" t="s">
        <v>156</v>
      </c>
      <c r="K2279" s="283" t="s">
        <v>3313</v>
      </c>
      <c r="L2279" s="286" t="s">
        <v>321</v>
      </c>
      <c r="M2279" s="287"/>
      <c r="N2279" s="287">
        <v>10.6</v>
      </c>
      <c r="O2279" s="287"/>
      <c r="P2279" s="287"/>
      <c r="Q2279" s="288">
        <v>38.1</v>
      </c>
      <c r="R2279" s="288">
        <v>38.200000000000003</v>
      </c>
      <c r="S2279" s="288">
        <v>-0.155</v>
      </c>
      <c r="T2279" s="288"/>
      <c r="U2279" s="288">
        <v>0</v>
      </c>
      <c r="V2279" s="289">
        <v>38.200000000000003</v>
      </c>
      <c r="W2279" s="289">
        <v>0</v>
      </c>
      <c r="X2279" s="288">
        <v>3.5943396226415096</v>
      </c>
      <c r="Y2279" s="288">
        <v>3.6037735849056607</v>
      </c>
      <c r="Z2279" s="288">
        <v>-1.4622641509433962E-2</v>
      </c>
      <c r="AA2279" s="288">
        <v>0</v>
      </c>
      <c r="AB2279" s="288">
        <v>0</v>
      </c>
      <c r="AC2279" s="289">
        <v>3.6037735849056607</v>
      </c>
      <c r="AD2279" s="289">
        <v>0</v>
      </c>
    </row>
    <row r="2280" spans="1:30" ht="15" customHeight="1" x14ac:dyDescent="0.25">
      <c r="A2280" s="282" t="s">
        <v>3309</v>
      </c>
      <c r="B2280" s="283" t="s">
        <v>3310</v>
      </c>
      <c r="C2280" s="282" t="s">
        <v>3310</v>
      </c>
      <c r="D2280" s="283" t="s">
        <v>3408</v>
      </c>
      <c r="E2280" s="403">
        <v>45061</v>
      </c>
      <c r="F2280" s="403">
        <v>46888</v>
      </c>
      <c r="G2280" s="283" t="s">
        <v>154</v>
      </c>
      <c r="H2280" s="282" t="s">
        <v>3312</v>
      </c>
      <c r="I2280" s="282" t="s">
        <v>590</v>
      </c>
      <c r="J2280" s="282" t="s">
        <v>156</v>
      </c>
      <c r="K2280" s="283" t="s">
        <v>3313</v>
      </c>
      <c r="L2280" s="286" t="s">
        <v>321</v>
      </c>
      <c r="M2280" s="287"/>
      <c r="N2280" s="287">
        <v>15.6</v>
      </c>
      <c r="O2280" s="287"/>
      <c r="P2280" s="287"/>
      <c r="Q2280" s="288">
        <v>39.700000000000003</v>
      </c>
      <c r="R2280" s="288">
        <v>39.799999999999997</v>
      </c>
      <c r="S2280" s="288">
        <v>-0.14699999999999999</v>
      </c>
      <c r="T2280" s="288"/>
      <c r="U2280" s="288">
        <v>0</v>
      </c>
      <c r="V2280" s="289">
        <v>39.799999999999997</v>
      </c>
      <c r="W2280" s="289">
        <v>0</v>
      </c>
      <c r="X2280" s="288">
        <v>2.5448717948717952</v>
      </c>
      <c r="Y2280" s="288">
        <v>2.5512820512820511</v>
      </c>
      <c r="Z2280" s="288">
        <v>-9.4230769230769229E-3</v>
      </c>
      <c r="AA2280" s="288">
        <v>0</v>
      </c>
      <c r="AB2280" s="288">
        <v>0</v>
      </c>
      <c r="AC2280" s="289">
        <v>2.5512820512820511</v>
      </c>
      <c r="AD2280" s="289">
        <v>0</v>
      </c>
    </row>
    <row r="2281" spans="1:30" ht="15" customHeight="1" x14ac:dyDescent="0.25">
      <c r="A2281" s="282" t="s">
        <v>3309</v>
      </c>
      <c r="B2281" s="283" t="s">
        <v>3310</v>
      </c>
      <c r="C2281" s="282" t="s">
        <v>3310</v>
      </c>
      <c r="D2281" s="283" t="s">
        <v>3409</v>
      </c>
      <c r="E2281" s="403">
        <v>45061</v>
      </c>
      <c r="F2281" s="403">
        <v>46888</v>
      </c>
      <c r="G2281" s="283" t="s">
        <v>154</v>
      </c>
      <c r="H2281" s="282" t="s">
        <v>3312</v>
      </c>
      <c r="I2281" s="282" t="s">
        <v>590</v>
      </c>
      <c r="J2281" s="282" t="s">
        <v>156</v>
      </c>
      <c r="K2281" s="283" t="s">
        <v>3313</v>
      </c>
      <c r="L2281" s="286" t="s">
        <v>321</v>
      </c>
      <c r="M2281" s="287"/>
      <c r="N2281" s="287">
        <v>15.6</v>
      </c>
      <c r="O2281" s="287"/>
      <c r="P2281" s="287"/>
      <c r="Q2281" s="288">
        <v>40</v>
      </c>
      <c r="R2281" s="288">
        <v>40.1</v>
      </c>
      <c r="S2281" s="288">
        <v>-0.17899999999999999</v>
      </c>
      <c r="T2281" s="288"/>
      <c r="U2281" s="288">
        <v>0</v>
      </c>
      <c r="V2281" s="289">
        <v>40.1</v>
      </c>
      <c r="W2281" s="289">
        <v>0</v>
      </c>
      <c r="X2281" s="288">
        <v>2.5641025641025643</v>
      </c>
      <c r="Y2281" s="288">
        <v>2.5705128205128207</v>
      </c>
      <c r="Z2281" s="288">
        <v>-1.1474358974358974E-2</v>
      </c>
      <c r="AA2281" s="288">
        <v>0</v>
      </c>
      <c r="AB2281" s="288">
        <v>0</v>
      </c>
      <c r="AC2281" s="289">
        <v>2.5705128205128207</v>
      </c>
      <c r="AD2281" s="289">
        <v>0</v>
      </c>
    </row>
    <row r="2282" spans="1:30" ht="15" customHeight="1" x14ac:dyDescent="0.25">
      <c r="A2282" s="282" t="s">
        <v>3309</v>
      </c>
      <c r="B2282" s="283" t="s">
        <v>3310</v>
      </c>
      <c r="C2282" s="282" t="s">
        <v>3310</v>
      </c>
      <c r="D2282" s="283" t="s">
        <v>3410</v>
      </c>
      <c r="E2282" s="403">
        <v>45061</v>
      </c>
      <c r="F2282" s="403">
        <v>46888</v>
      </c>
      <c r="G2282" s="283" t="s">
        <v>154</v>
      </c>
      <c r="H2282" s="282" t="s">
        <v>3312</v>
      </c>
      <c r="I2282" s="282" t="s">
        <v>590</v>
      </c>
      <c r="J2282" s="282" t="s">
        <v>156</v>
      </c>
      <c r="K2282" s="283" t="s">
        <v>3313</v>
      </c>
      <c r="L2282" s="286" t="s">
        <v>321</v>
      </c>
      <c r="M2282" s="287"/>
      <c r="N2282" s="287">
        <v>8.9142857142857164</v>
      </c>
      <c r="O2282" s="287"/>
      <c r="P2282" s="287"/>
      <c r="Q2282" s="288">
        <v>41.3</v>
      </c>
      <c r="R2282" s="288">
        <v>41.4</v>
      </c>
      <c r="S2282" s="288">
        <v>-0.10299999999999999</v>
      </c>
      <c r="T2282" s="288"/>
      <c r="U2282" s="288">
        <v>0</v>
      </c>
      <c r="V2282" s="289">
        <v>41.4</v>
      </c>
      <c r="W2282" s="289">
        <v>0</v>
      </c>
      <c r="X2282" s="288">
        <v>4.6330128205128194</v>
      </c>
      <c r="Y2282" s="288">
        <v>4.6442307692307683</v>
      </c>
      <c r="Z2282" s="288">
        <v>-1.1554487179487176E-2</v>
      </c>
      <c r="AA2282" s="288">
        <v>0</v>
      </c>
      <c r="AB2282" s="288">
        <v>0</v>
      </c>
      <c r="AC2282" s="289">
        <v>4.6442307692307683</v>
      </c>
      <c r="AD2282" s="289">
        <v>0</v>
      </c>
    </row>
    <row r="2283" spans="1:30" ht="15" customHeight="1" x14ac:dyDescent="0.25">
      <c r="A2283" s="282" t="s">
        <v>3309</v>
      </c>
      <c r="B2283" s="283" t="s">
        <v>3310</v>
      </c>
      <c r="C2283" s="282" t="s">
        <v>3310</v>
      </c>
      <c r="D2283" s="283" t="s">
        <v>3411</v>
      </c>
      <c r="E2283" s="403">
        <v>45061</v>
      </c>
      <c r="F2283" s="403">
        <v>46888</v>
      </c>
      <c r="G2283" s="283" t="s">
        <v>154</v>
      </c>
      <c r="H2283" s="282" t="s">
        <v>3312</v>
      </c>
      <c r="I2283" s="282" t="s">
        <v>590</v>
      </c>
      <c r="J2283" s="282" t="s">
        <v>156</v>
      </c>
      <c r="K2283" s="283" t="s">
        <v>3313</v>
      </c>
      <c r="L2283" s="286" t="s">
        <v>321</v>
      </c>
      <c r="M2283" s="287"/>
      <c r="N2283" s="287">
        <v>11.6</v>
      </c>
      <c r="O2283" s="287"/>
      <c r="P2283" s="287"/>
      <c r="Q2283" s="288">
        <v>41.8</v>
      </c>
      <c r="R2283" s="288">
        <v>41.9</v>
      </c>
      <c r="S2283" s="288">
        <v>-0.14599999999999999</v>
      </c>
      <c r="T2283" s="288"/>
      <c r="U2283" s="288">
        <v>0</v>
      </c>
      <c r="V2283" s="289">
        <v>41.9</v>
      </c>
      <c r="W2283" s="289">
        <v>0</v>
      </c>
      <c r="X2283" s="288">
        <v>3.603448275862069</v>
      </c>
      <c r="Y2283" s="288">
        <v>3.6120689655172415</v>
      </c>
      <c r="Z2283" s="288">
        <v>-1.2586206896551724E-2</v>
      </c>
      <c r="AA2283" s="288">
        <v>0</v>
      </c>
      <c r="AB2283" s="288">
        <v>0</v>
      </c>
      <c r="AC2283" s="289">
        <v>3.6120689655172415</v>
      </c>
      <c r="AD2283" s="289">
        <v>0</v>
      </c>
    </row>
    <row r="2284" spans="1:30" ht="15" customHeight="1" x14ac:dyDescent="0.25">
      <c r="A2284" s="282" t="s">
        <v>3309</v>
      </c>
      <c r="B2284" s="283" t="s">
        <v>3310</v>
      </c>
      <c r="C2284" s="282" t="s">
        <v>3310</v>
      </c>
      <c r="D2284" s="283" t="s">
        <v>3412</v>
      </c>
      <c r="E2284" s="403">
        <v>45061</v>
      </c>
      <c r="F2284" s="403">
        <v>46888</v>
      </c>
      <c r="G2284" s="283" t="s">
        <v>154</v>
      </c>
      <c r="H2284" s="282" t="s">
        <v>3312</v>
      </c>
      <c r="I2284" s="282" t="s">
        <v>590</v>
      </c>
      <c r="J2284" s="282" t="s">
        <v>156</v>
      </c>
      <c r="K2284" s="283" t="s">
        <v>3313</v>
      </c>
      <c r="L2284" s="286" t="s">
        <v>321</v>
      </c>
      <c r="M2284" s="287"/>
      <c r="N2284" s="287">
        <v>11.3</v>
      </c>
      <c r="O2284" s="287"/>
      <c r="P2284" s="287"/>
      <c r="Q2284" s="288">
        <v>42.4</v>
      </c>
      <c r="R2284" s="288">
        <v>42.5</v>
      </c>
      <c r="S2284" s="288">
        <v>-0.14599999999999999</v>
      </c>
      <c r="T2284" s="288"/>
      <c r="U2284" s="288">
        <v>0</v>
      </c>
      <c r="V2284" s="289">
        <v>42.5</v>
      </c>
      <c r="W2284" s="289">
        <v>0</v>
      </c>
      <c r="X2284" s="288">
        <v>3.7522123893805306</v>
      </c>
      <c r="Y2284" s="288">
        <v>3.7610619469026547</v>
      </c>
      <c r="Z2284" s="288">
        <v>-1.2920353982300884E-2</v>
      </c>
      <c r="AA2284" s="288">
        <v>0</v>
      </c>
      <c r="AB2284" s="288">
        <v>0</v>
      </c>
      <c r="AC2284" s="289">
        <v>3.7610619469026547</v>
      </c>
      <c r="AD2284" s="289">
        <v>0</v>
      </c>
    </row>
    <row r="2285" spans="1:30" ht="15" customHeight="1" x14ac:dyDescent="0.25">
      <c r="A2285" s="282" t="s">
        <v>3309</v>
      </c>
      <c r="B2285" s="283" t="s">
        <v>3310</v>
      </c>
      <c r="C2285" s="282" t="s">
        <v>3310</v>
      </c>
      <c r="D2285" s="283" t="s">
        <v>3413</v>
      </c>
      <c r="E2285" s="403">
        <v>45061</v>
      </c>
      <c r="F2285" s="403">
        <v>46888</v>
      </c>
      <c r="G2285" s="283" t="s">
        <v>154</v>
      </c>
      <c r="H2285" s="282" t="s">
        <v>3312</v>
      </c>
      <c r="I2285" s="282" t="s">
        <v>590</v>
      </c>
      <c r="J2285" s="282" t="s">
        <v>156</v>
      </c>
      <c r="K2285" s="283" t="s">
        <v>3313</v>
      </c>
      <c r="L2285" s="286" t="s">
        <v>321</v>
      </c>
      <c r="M2285" s="287"/>
      <c r="N2285" s="287">
        <v>10.342857142857145</v>
      </c>
      <c r="O2285" s="287"/>
      <c r="P2285" s="287"/>
      <c r="Q2285" s="288">
        <v>42.7</v>
      </c>
      <c r="R2285" s="288">
        <v>42.8</v>
      </c>
      <c r="S2285" s="288">
        <v>-0.158</v>
      </c>
      <c r="T2285" s="288"/>
      <c r="U2285" s="288">
        <v>0</v>
      </c>
      <c r="V2285" s="289">
        <v>42.8</v>
      </c>
      <c r="W2285" s="289">
        <v>0</v>
      </c>
      <c r="X2285" s="288">
        <v>4.1284530386740323</v>
      </c>
      <c r="Y2285" s="288">
        <v>4.1381215469613251</v>
      </c>
      <c r="Z2285" s="288">
        <v>-1.5276243093922649E-2</v>
      </c>
      <c r="AA2285" s="288">
        <v>0</v>
      </c>
      <c r="AB2285" s="288">
        <v>0</v>
      </c>
      <c r="AC2285" s="289">
        <v>4.1381215469613251</v>
      </c>
      <c r="AD2285" s="289">
        <v>0</v>
      </c>
    </row>
    <row r="2286" spans="1:30" ht="15" customHeight="1" x14ac:dyDescent="0.25">
      <c r="A2286" s="282" t="s">
        <v>3309</v>
      </c>
      <c r="B2286" s="283" t="s">
        <v>3310</v>
      </c>
      <c r="C2286" s="282" t="s">
        <v>3310</v>
      </c>
      <c r="D2286" s="283" t="s">
        <v>3414</v>
      </c>
      <c r="E2286" s="403">
        <v>45061</v>
      </c>
      <c r="F2286" s="403">
        <v>46888</v>
      </c>
      <c r="G2286" s="283" t="s">
        <v>154</v>
      </c>
      <c r="H2286" s="282" t="s">
        <v>3312</v>
      </c>
      <c r="I2286" s="282" t="s">
        <v>590</v>
      </c>
      <c r="J2286" s="282" t="s">
        <v>156</v>
      </c>
      <c r="K2286" s="283" t="s">
        <v>3313</v>
      </c>
      <c r="L2286" s="286" t="s">
        <v>321</v>
      </c>
      <c r="M2286" s="287"/>
      <c r="N2286" s="287">
        <v>12</v>
      </c>
      <c r="O2286" s="287"/>
      <c r="P2286" s="287"/>
      <c r="Q2286" s="288">
        <v>44.3</v>
      </c>
      <c r="R2286" s="288">
        <v>44.4</v>
      </c>
      <c r="S2286" s="288">
        <v>-0.14699999999999999</v>
      </c>
      <c r="T2286" s="288"/>
      <c r="U2286" s="288">
        <v>0</v>
      </c>
      <c r="V2286" s="289">
        <v>44.4</v>
      </c>
      <c r="W2286" s="289">
        <v>0</v>
      </c>
      <c r="X2286" s="288">
        <v>3.6916666666666664</v>
      </c>
      <c r="Y2286" s="288">
        <v>3.6999999999999997</v>
      </c>
      <c r="Z2286" s="288">
        <v>-1.2249999999999999E-2</v>
      </c>
      <c r="AA2286" s="288">
        <v>0</v>
      </c>
      <c r="AB2286" s="288">
        <v>0</v>
      </c>
      <c r="AC2286" s="289">
        <v>3.6999999999999997</v>
      </c>
      <c r="AD2286" s="289">
        <v>0</v>
      </c>
    </row>
    <row r="2287" spans="1:30" ht="15" customHeight="1" x14ac:dyDescent="0.25">
      <c r="A2287" s="282" t="s">
        <v>3309</v>
      </c>
      <c r="B2287" s="283" t="s">
        <v>3310</v>
      </c>
      <c r="C2287" s="282" t="s">
        <v>3310</v>
      </c>
      <c r="D2287" s="283" t="s">
        <v>3415</v>
      </c>
      <c r="E2287" s="403">
        <v>44860</v>
      </c>
      <c r="F2287" s="403">
        <v>46686</v>
      </c>
      <c r="G2287" s="283" t="s">
        <v>3331</v>
      </c>
      <c r="H2287" s="282" t="s">
        <v>3388</v>
      </c>
      <c r="I2287" s="282" t="s">
        <v>3336</v>
      </c>
      <c r="J2287" s="282" t="s">
        <v>156</v>
      </c>
      <c r="K2287" s="283" t="s">
        <v>3389</v>
      </c>
      <c r="L2287" s="286" t="s">
        <v>321</v>
      </c>
      <c r="M2287" s="287"/>
      <c r="N2287" s="287">
        <v>13</v>
      </c>
      <c r="O2287" s="287"/>
      <c r="P2287" s="287"/>
      <c r="Q2287" s="288">
        <v>48.5</v>
      </c>
      <c r="R2287" s="288">
        <v>48.6</v>
      </c>
      <c r="S2287" s="288">
        <v>-0.18099999999999999</v>
      </c>
      <c r="T2287" s="288"/>
      <c r="U2287" s="288">
        <v>0</v>
      </c>
      <c r="V2287" s="289">
        <v>48.6</v>
      </c>
      <c r="W2287" s="289">
        <v>0</v>
      </c>
      <c r="X2287" s="288">
        <v>3.7307692307692308</v>
      </c>
      <c r="Y2287" s="288">
        <v>3.7384615384615385</v>
      </c>
      <c r="Z2287" s="288">
        <v>-1.3923076923076923E-2</v>
      </c>
      <c r="AA2287" s="288">
        <v>0</v>
      </c>
      <c r="AB2287" s="288">
        <v>0</v>
      </c>
      <c r="AC2287" s="289">
        <v>3.7384615384615385</v>
      </c>
      <c r="AD2287" s="289">
        <v>0</v>
      </c>
    </row>
    <row r="2288" spans="1:30" ht="15" customHeight="1" x14ac:dyDescent="0.25">
      <c r="A2288" s="282" t="s">
        <v>3309</v>
      </c>
      <c r="B2288" s="283" t="s">
        <v>3310</v>
      </c>
      <c r="C2288" s="282" t="s">
        <v>3310</v>
      </c>
      <c r="D2288" s="283" t="s">
        <v>3416</v>
      </c>
      <c r="E2288" s="403">
        <v>44860</v>
      </c>
      <c r="F2288" s="403">
        <v>46686</v>
      </c>
      <c r="G2288" s="283" t="s">
        <v>3331</v>
      </c>
      <c r="H2288" s="282" t="s">
        <v>3357</v>
      </c>
      <c r="I2288" s="282" t="s">
        <v>3336</v>
      </c>
      <c r="J2288" s="282" t="s">
        <v>156</v>
      </c>
      <c r="K2288" s="283" t="s">
        <v>3358</v>
      </c>
      <c r="L2288" s="286" t="s">
        <v>321</v>
      </c>
      <c r="M2288" s="287"/>
      <c r="N2288" s="287">
        <v>12.3</v>
      </c>
      <c r="O2288" s="287"/>
      <c r="P2288" s="287"/>
      <c r="Q2288" s="288">
        <v>53.1</v>
      </c>
      <c r="R2288" s="288">
        <v>53.2</v>
      </c>
      <c r="S2288" s="288">
        <v>-0.193</v>
      </c>
      <c r="T2288" s="288"/>
      <c r="U2288" s="288">
        <v>0</v>
      </c>
      <c r="V2288" s="289">
        <v>53.2</v>
      </c>
      <c r="W2288" s="289">
        <v>0</v>
      </c>
      <c r="X2288" s="288">
        <v>4.3170731707317076</v>
      </c>
      <c r="Y2288" s="288">
        <v>4.3252032520325203</v>
      </c>
      <c r="Z2288" s="288">
        <v>-1.5691056910569105E-2</v>
      </c>
      <c r="AA2288" s="288">
        <v>0</v>
      </c>
      <c r="AB2288" s="288">
        <v>0</v>
      </c>
      <c r="AC2288" s="289">
        <v>4.3252032520325203</v>
      </c>
      <c r="AD2288" s="289">
        <v>0</v>
      </c>
    </row>
    <row r="2289" spans="1:30" ht="15" customHeight="1" x14ac:dyDescent="0.25">
      <c r="A2289" s="282" t="s">
        <v>3309</v>
      </c>
      <c r="B2289" s="283" t="s">
        <v>3310</v>
      </c>
      <c r="C2289" s="282" t="s">
        <v>3310</v>
      </c>
      <c r="D2289" s="283" t="s">
        <v>3417</v>
      </c>
      <c r="E2289" s="403">
        <v>44860</v>
      </c>
      <c r="F2289" s="403">
        <v>46686</v>
      </c>
      <c r="G2289" s="283" t="s">
        <v>3331</v>
      </c>
      <c r="H2289" s="282" t="s">
        <v>3388</v>
      </c>
      <c r="I2289" s="282" t="s">
        <v>3336</v>
      </c>
      <c r="J2289" s="282" t="s">
        <v>156</v>
      </c>
      <c r="K2289" s="283" t="s">
        <v>3389</v>
      </c>
      <c r="L2289" s="286" t="s">
        <v>321</v>
      </c>
      <c r="M2289" s="287"/>
      <c r="N2289" s="287">
        <v>14</v>
      </c>
      <c r="O2289" s="287"/>
      <c r="P2289" s="287"/>
      <c r="Q2289" s="288">
        <v>55.1</v>
      </c>
      <c r="R2289" s="288">
        <v>55.2</v>
      </c>
      <c r="S2289" s="288">
        <v>-0.15</v>
      </c>
      <c r="T2289" s="288"/>
      <c r="U2289" s="288">
        <v>0</v>
      </c>
      <c r="V2289" s="289">
        <v>55.2</v>
      </c>
      <c r="W2289" s="289">
        <v>0</v>
      </c>
      <c r="X2289" s="288">
        <v>3.9357142857142859</v>
      </c>
      <c r="Y2289" s="288">
        <v>3.9428571428571431</v>
      </c>
      <c r="Z2289" s="288">
        <v>-1.0714285714285714E-2</v>
      </c>
      <c r="AA2289" s="288">
        <v>0</v>
      </c>
      <c r="AB2289" s="288">
        <v>0</v>
      </c>
      <c r="AC2289" s="289">
        <v>3.9428571428571431</v>
      </c>
      <c r="AD2289" s="289">
        <v>0</v>
      </c>
    </row>
    <row r="2290" spans="1:30" ht="15" customHeight="1" x14ac:dyDescent="0.25">
      <c r="A2290" s="282" t="s">
        <v>3309</v>
      </c>
      <c r="B2290" s="283" t="s">
        <v>3310</v>
      </c>
      <c r="C2290" s="282" t="s">
        <v>3310</v>
      </c>
      <c r="D2290" s="283" t="s">
        <v>3418</v>
      </c>
      <c r="E2290" s="403">
        <v>44860</v>
      </c>
      <c r="F2290" s="403">
        <v>46686</v>
      </c>
      <c r="G2290" s="283" t="s">
        <v>3331</v>
      </c>
      <c r="H2290" s="282" t="s">
        <v>3363</v>
      </c>
      <c r="I2290" s="282" t="s">
        <v>590</v>
      </c>
      <c r="J2290" s="282" t="s">
        <v>156</v>
      </c>
      <c r="K2290" s="283" t="s">
        <v>3364</v>
      </c>
      <c r="L2290" s="286" t="s">
        <v>321</v>
      </c>
      <c r="M2290" s="287"/>
      <c r="N2290" s="287">
        <v>14</v>
      </c>
      <c r="O2290" s="287"/>
      <c r="P2290" s="287"/>
      <c r="Q2290" s="288">
        <v>55.7</v>
      </c>
      <c r="R2290" s="288">
        <v>55.8</v>
      </c>
      <c r="S2290" s="288">
        <v>-0.17199999999999999</v>
      </c>
      <c r="T2290" s="288"/>
      <c r="U2290" s="288">
        <v>0</v>
      </c>
      <c r="V2290" s="289">
        <v>55.8</v>
      </c>
      <c r="W2290" s="289">
        <v>0</v>
      </c>
      <c r="X2290" s="288">
        <v>3.9785714285714286</v>
      </c>
      <c r="Y2290" s="288">
        <v>3.9857142857142853</v>
      </c>
      <c r="Z2290" s="288">
        <v>-1.2285714285714285E-2</v>
      </c>
      <c r="AA2290" s="288">
        <v>0</v>
      </c>
      <c r="AB2290" s="288">
        <v>0</v>
      </c>
      <c r="AC2290" s="289">
        <v>3.9857142857142853</v>
      </c>
      <c r="AD2290" s="289">
        <v>0</v>
      </c>
    </row>
    <row r="2291" spans="1:30" ht="15" customHeight="1" x14ac:dyDescent="0.25">
      <c r="A2291" s="282" t="s">
        <v>3309</v>
      </c>
      <c r="B2291" s="283" t="s">
        <v>3310</v>
      </c>
      <c r="C2291" s="282" t="s">
        <v>3310</v>
      </c>
      <c r="D2291" s="283" t="s">
        <v>3419</v>
      </c>
      <c r="E2291" s="403">
        <v>44860</v>
      </c>
      <c r="F2291" s="403">
        <v>46686</v>
      </c>
      <c r="G2291" s="283" t="s">
        <v>3331</v>
      </c>
      <c r="H2291" s="282" t="s">
        <v>3366</v>
      </c>
      <c r="I2291" s="282" t="s">
        <v>590</v>
      </c>
      <c r="J2291" s="282" t="s">
        <v>156</v>
      </c>
      <c r="K2291" s="283" t="s">
        <v>3367</v>
      </c>
      <c r="L2291" s="286" t="s">
        <v>321</v>
      </c>
      <c r="M2291" s="287"/>
      <c r="N2291" s="287">
        <v>12.3</v>
      </c>
      <c r="O2291" s="287"/>
      <c r="P2291" s="287"/>
      <c r="Q2291" s="288">
        <v>55.7</v>
      </c>
      <c r="R2291" s="288">
        <v>55.8</v>
      </c>
      <c r="S2291" s="288">
        <v>-0.193</v>
      </c>
      <c r="T2291" s="288"/>
      <c r="U2291" s="288">
        <v>0</v>
      </c>
      <c r="V2291" s="289">
        <v>55.8</v>
      </c>
      <c r="W2291" s="289">
        <v>0</v>
      </c>
      <c r="X2291" s="288">
        <v>4.5284552845528454</v>
      </c>
      <c r="Y2291" s="288">
        <v>4.5365853658536581</v>
      </c>
      <c r="Z2291" s="288">
        <v>-1.5691056910569105E-2</v>
      </c>
      <c r="AA2291" s="288">
        <v>0</v>
      </c>
      <c r="AB2291" s="288">
        <v>0</v>
      </c>
      <c r="AC2291" s="289">
        <v>4.5365853658536581</v>
      </c>
      <c r="AD2291" s="289">
        <v>0</v>
      </c>
    </row>
    <row r="2292" spans="1:30" ht="15" customHeight="1" x14ac:dyDescent="0.25">
      <c r="A2292" s="282" t="s">
        <v>3309</v>
      </c>
      <c r="B2292" s="283" t="s">
        <v>3314</v>
      </c>
      <c r="C2292" s="282" t="s">
        <v>3314</v>
      </c>
      <c r="D2292" s="283" t="s">
        <v>3420</v>
      </c>
      <c r="E2292" s="403">
        <v>44860</v>
      </c>
      <c r="F2292" s="403">
        <v>46686</v>
      </c>
      <c r="G2292" s="283" t="s">
        <v>3331</v>
      </c>
      <c r="H2292" s="282" t="s">
        <v>3388</v>
      </c>
      <c r="I2292" s="282" t="s">
        <v>3336</v>
      </c>
      <c r="J2292" s="282" t="s">
        <v>156</v>
      </c>
      <c r="K2292" s="283" t="s">
        <v>3389</v>
      </c>
      <c r="L2292" s="286" t="s">
        <v>321</v>
      </c>
      <c r="M2292" s="287"/>
      <c r="N2292" s="287">
        <v>14.7</v>
      </c>
      <c r="O2292" s="287"/>
      <c r="P2292" s="287"/>
      <c r="Q2292" s="288">
        <v>61.7</v>
      </c>
      <c r="R2292" s="288">
        <v>61.8</v>
      </c>
      <c r="S2292" s="288">
        <v>-0.11799999999999999</v>
      </c>
      <c r="T2292" s="288"/>
      <c r="U2292" s="288">
        <v>0</v>
      </c>
      <c r="V2292" s="289">
        <v>61.8</v>
      </c>
      <c r="W2292" s="289">
        <v>0</v>
      </c>
      <c r="X2292" s="288">
        <v>4.1972789115646263</v>
      </c>
      <c r="Y2292" s="288">
        <v>4.204081632653061</v>
      </c>
      <c r="Z2292" s="288">
        <v>-8.0272108843537412E-3</v>
      </c>
      <c r="AA2292" s="288">
        <v>0</v>
      </c>
      <c r="AB2292" s="288">
        <v>0</v>
      </c>
      <c r="AC2292" s="289">
        <v>4.204081632653061</v>
      </c>
      <c r="AD2292" s="289">
        <v>0</v>
      </c>
    </row>
    <row r="2293" spans="1:30" ht="15" customHeight="1" x14ac:dyDescent="0.25">
      <c r="A2293" s="282" t="s">
        <v>3309</v>
      </c>
      <c r="B2293" s="283" t="s">
        <v>3314</v>
      </c>
      <c r="C2293" s="282" t="s">
        <v>3314</v>
      </c>
      <c r="D2293" s="283" t="s">
        <v>3421</v>
      </c>
      <c r="E2293" s="403">
        <v>44860</v>
      </c>
      <c r="F2293" s="403">
        <v>46686</v>
      </c>
      <c r="G2293" s="283" t="s">
        <v>3331</v>
      </c>
      <c r="H2293" s="282" t="s">
        <v>3363</v>
      </c>
      <c r="I2293" s="282" t="s">
        <v>590</v>
      </c>
      <c r="J2293" s="282" t="s">
        <v>156</v>
      </c>
      <c r="K2293" s="283" t="s">
        <v>3364</v>
      </c>
      <c r="L2293" s="286" t="s">
        <v>321</v>
      </c>
      <c r="M2293" s="287"/>
      <c r="N2293" s="287">
        <v>14.7</v>
      </c>
      <c r="O2293" s="287"/>
      <c r="P2293" s="287"/>
      <c r="Q2293" s="288">
        <v>62.3</v>
      </c>
      <c r="R2293" s="288">
        <v>62.4</v>
      </c>
      <c r="S2293" s="288">
        <v>-0.14099999999999999</v>
      </c>
      <c r="T2293" s="288"/>
      <c r="U2293" s="288">
        <v>0</v>
      </c>
      <c r="V2293" s="289">
        <v>62.4</v>
      </c>
      <c r="W2293" s="289">
        <v>0</v>
      </c>
      <c r="X2293" s="288">
        <v>4.2380952380952381</v>
      </c>
      <c r="Y2293" s="288">
        <v>4.2448979591836737</v>
      </c>
      <c r="Z2293" s="288">
        <v>-9.5918367346938763E-3</v>
      </c>
      <c r="AA2293" s="288">
        <v>0</v>
      </c>
      <c r="AB2293" s="288">
        <v>0</v>
      </c>
      <c r="AC2293" s="289">
        <v>4.2448979591836737</v>
      </c>
      <c r="AD2293" s="289">
        <v>0</v>
      </c>
    </row>
    <row r="2294" spans="1:30" ht="15" customHeight="1" x14ac:dyDescent="0.25">
      <c r="A2294" s="282" t="s">
        <v>3309</v>
      </c>
      <c r="B2294" s="283" t="s">
        <v>3314</v>
      </c>
      <c r="C2294" s="282" t="s">
        <v>3314</v>
      </c>
      <c r="D2294" s="283" t="s">
        <v>3422</v>
      </c>
      <c r="E2294" s="403">
        <v>44860</v>
      </c>
      <c r="F2294" s="403">
        <v>46686</v>
      </c>
      <c r="G2294" s="283" t="s">
        <v>3331</v>
      </c>
      <c r="H2294" s="282" t="s">
        <v>3332</v>
      </c>
      <c r="I2294" s="282" t="s">
        <v>590</v>
      </c>
      <c r="J2294" s="282" t="s">
        <v>156</v>
      </c>
      <c r="K2294" s="283" t="s">
        <v>3333</v>
      </c>
      <c r="L2294" s="286" t="s">
        <v>321</v>
      </c>
      <c r="M2294" s="287"/>
      <c r="N2294" s="287">
        <v>14.7</v>
      </c>
      <c r="O2294" s="287"/>
      <c r="P2294" s="287"/>
      <c r="Q2294" s="288">
        <v>62.4</v>
      </c>
      <c r="R2294" s="288">
        <v>62.5</v>
      </c>
      <c r="S2294" s="288">
        <v>-0.14099999999999999</v>
      </c>
      <c r="T2294" s="288"/>
      <c r="U2294" s="288">
        <v>0</v>
      </c>
      <c r="V2294" s="289">
        <v>62.5</v>
      </c>
      <c r="W2294" s="289">
        <v>0</v>
      </c>
      <c r="X2294" s="288">
        <v>4.2448979591836737</v>
      </c>
      <c r="Y2294" s="288">
        <v>4.2517006802721093</v>
      </c>
      <c r="Z2294" s="288">
        <v>-9.5918367346938763E-3</v>
      </c>
      <c r="AA2294" s="288">
        <v>0</v>
      </c>
      <c r="AB2294" s="288">
        <v>0</v>
      </c>
      <c r="AC2294" s="289">
        <v>4.2517006802721093</v>
      </c>
      <c r="AD2294" s="289">
        <v>0</v>
      </c>
    </row>
    <row r="2295" spans="1:30" ht="15" customHeight="1" x14ac:dyDescent="0.25">
      <c r="A2295" s="282" t="s">
        <v>3309</v>
      </c>
      <c r="B2295" s="283" t="s">
        <v>3314</v>
      </c>
      <c r="C2295" s="282" t="s">
        <v>3314</v>
      </c>
      <c r="D2295" s="283" t="s">
        <v>3423</v>
      </c>
      <c r="E2295" s="403">
        <v>44860</v>
      </c>
      <c r="F2295" s="403">
        <v>46686</v>
      </c>
      <c r="G2295" s="283" t="s">
        <v>3331</v>
      </c>
      <c r="H2295" s="282" t="s">
        <v>3357</v>
      </c>
      <c r="I2295" s="282" t="s">
        <v>3336</v>
      </c>
      <c r="J2295" s="282" t="s">
        <v>156</v>
      </c>
      <c r="K2295" s="283" t="s">
        <v>3358</v>
      </c>
      <c r="L2295" s="286" t="s">
        <v>321</v>
      </c>
      <c r="M2295" s="287"/>
      <c r="N2295" s="287">
        <v>13.9</v>
      </c>
      <c r="O2295" s="287"/>
      <c r="P2295" s="287"/>
      <c r="Q2295" s="288">
        <v>63.6</v>
      </c>
      <c r="R2295" s="288">
        <v>63.7</v>
      </c>
      <c r="S2295" s="288">
        <v>-0.14299999999999999</v>
      </c>
      <c r="T2295" s="288"/>
      <c r="U2295" s="288">
        <v>0</v>
      </c>
      <c r="V2295" s="289">
        <v>63.7</v>
      </c>
      <c r="W2295" s="289">
        <v>0</v>
      </c>
      <c r="X2295" s="288">
        <v>4.5755395683453237</v>
      </c>
      <c r="Y2295" s="288">
        <v>4.5827338129496402</v>
      </c>
      <c r="Z2295" s="288">
        <v>-1.0287769784172661E-2</v>
      </c>
      <c r="AA2295" s="288">
        <v>0</v>
      </c>
      <c r="AB2295" s="288">
        <v>0</v>
      </c>
      <c r="AC2295" s="289">
        <v>4.5827338129496402</v>
      </c>
      <c r="AD2295" s="289">
        <v>0</v>
      </c>
    </row>
    <row r="2296" spans="1:30" ht="15" customHeight="1" x14ac:dyDescent="0.25">
      <c r="A2296" s="282" t="s">
        <v>3309</v>
      </c>
      <c r="B2296" s="283" t="s">
        <v>3314</v>
      </c>
      <c r="C2296" s="282" t="s">
        <v>3314</v>
      </c>
      <c r="D2296" s="283" t="s">
        <v>3424</v>
      </c>
      <c r="E2296" s="403">
        <v>44860</v>
      </c>
      <c r="F2296" s="403">
        <v>46686</v>
      </c>
      <c r="G2296" s="283" t="s">
        <v>3331</v>
      </c>
      <c r="H2296" s="282" t="s">
        <v>3366</v>
      </c>
      <c r="I2296" s="282" t="s">
        <v>590</v>
      </c>
      <c r="J2296" s="282" t="s">
        <v>156</v>
      </c>
      <c r="K2296" s="283" t="s">
        <v>3367</v>
      </c>
      <c r="L2296" s="286" t="s">
        <v>321</v>
      </c>
      <c r="M2296" s="287"/>
      <c r="N2296" s="287">
        <v>13.9</v>
      </c>
      <c r="O2296" s="287"/>
      <c r="P2296" s="287"/>
      <c r="Q2296" s="288">
        <v>66.2</v>
      </c>
      <c r="R2296" s="288">
        <v>66.3</v>
      </c>
      <c r="S2296" s="288">
        <v>-0.14299999999999999</v>
      </c>
      <c r="T2296" s="288"/>
      <c r="U2296" s="288">
        <v>0</v>
      </c>
      <c r="V2296" s="289">
        <v>66.3</v>
      </c>
      <c r="W2296" s="289">
        <v>0</v>
      </c>
      <c r="X2296" s="288">
        <v>4.7625899280575537</v>
      </c>
      <c r="Y2296" s="288">
        <v>4.7697841726618702</v>
      </c>
      <c r="Z2296" s="288">
        <v>-1.0287769784172661E-2</v>
      </c>
      <c r="AA2296" s="288">
        <v>0</v>
      </c>
      <c r="AB2296" s="288">
        <v>0</v>
      </c>
      <c r="AC2296" s="289">
        <v>4.7697841726618702</v>
      </c>
      <c r="AD2296" s="289">
        <v>0</v>
      </c>
    </row>
    <row r="2297" spans="1:30" ht="15" customHeight="1" x14ac:dyDescent="0.25">
      <c r="A2297" s="282" t="s">
        <v>3309</v>
      </c>
      <c r="B2297" s="283" t="s">
        <v>3314</v>
      </c>
      <c r="C2297" s="282" t="s">
        <v>3314</v>
      </c>
      <c r="D2297" s="283" t="s">
        <v>3425</v>
      </c>
      <c r="E2297" s="403">
        <v>44860</v>
      </c>
      <c r="F2297" s="403">
        <v>46686</v>
      </c>
      <c r="G2297" s="283" t="s">
        <v>3331</v>
      </c>
      <c r="H2297" s="282" t="s">
        <v>3363</v>
      </c>
      <c r="I2297" s="282" t="s">
        <v>590</v>
      </c>
      <c r="J2297" s="282" t="s">
        <v>156</v>
      </c>
      <c r="K2297" s="283" t="s">
        <v>3364</v>
      </c>
      <c r="L2297" s="286" t="s">
        <v>321</v>
      </c>
      <c r="M2297" s="287"/>
      <c r="N2297" s="287">
        <v>15.5</v>
      </c>
      <c r="O2297" s="287"/>
      <c r="P2297" s="287"/>
      <c r="Q2297" s="288">
        <v>69.2</v>
      </c>
      <c r="R2297" s="288">
        <v>69.3</v>
      </c>
      <c r="S2297" s="288">
        <v>-0.108</v>
      </c>
      <c r="T2297" s="288"/>
      <c r="U2297" s="288">
        <v>0</v>
      </c>
      <c r="V2297" s="289">
        <v>69.3</v>
      </c>
      <c r="W2297" s="289">
        <v>0</v>
      </c>
      <c r="X2297" s="288">
        <v>4.4645161290322584</v>
      </c>
      <c r="Y2297" s="288">
        <v>4.4709677419354836</v>
      </c>
      <c r="Z2297" s="288">
        <v>-6.9677419354838713E-3</v>
      </c>
      <c r="AA2297" s="288">
        <v>0</v>
      </c>
      <c r="AB2297" s="288">
        <v>0</v>
      </c>
      <c r="AC2297" s="289">
        <v>4.4709677419354836</v>
      </c>
      <c r="AD2297" s="289">
        <v>0</v>
      </c>
    </row>
    <row r="2298" spans="1:30" ht="15" customHeight="1" x14ac:dyDescent="0.25">
      <c r="A2298" s="282" t="s">
        <v>3309</v>
      </c>
      <c r="B2298" s="283" t="s">
        <v>3310</v>
      </c>
      <c r="C2298" s="282" t="s">
        <v>3310</v>
      </c>
      <c r="D2298" s="283" t="s">
        <v>3426</v>
      </c>
      <c r="E2298" s="403">
        <v>45061</v>
      </c>
      <c r="F2298" s="403">
        <v>46888</v>
      </c>
      <c r="G2298" s="283" t="s">
        <v>154</v>
      </c>
      <c r="H2298" s="282" t="s">
        <v>3427</v>
      </c>
      <c r="I2298" s="282" t="s">
        <v>590</v>
      </c>
      <c r="J2298" s="282" t="s">
        <v>156</v>
      </c>
      <c r="K2298" s="283" t="s">
        <v>3428</v>
      </c>
      <c r="L2298" s="286" t="s">
        <v>321</v>
      </c>
      <c r="M2298" s="287"/>
      <c r="N2298" s="287">
        <v>5.6</v>
      </c>
      <c r="O2298" s="287"/>
      <c r="P2298" s="287"/>
      <c r="Q2298" s="288">
        <v>27.5</v>
      </c>
      <c r="R2298" s="288">
        <v>27.5</v>
      </c>
      <c r="S2298" s="288">
        <v>3.2800000000000003E-2</v>
      </c>
      <c r="T2298" s="288"/>
      <c r="U2298" s="288">
        <v>0</v>
      </c>
      <c r="V2298" s="289">
        <v>27.532800000000002</v>
      </c>
      <c r="W2298" s="289">
        <v>0</v>
      </c>
      <c r="X2298" s="288">
        <v>4.9107142857142856</v>
      </c>
      <c r="Y2298" s="288">
        <v>4.9107142857142856</v>
      </c>
      <c r="Z2298" s="288">
        <v>5.8571428571428576E-3</v>
      </c>
      <c r="AA2298" s="288">
        <v>0</v>
      </c>
      <c r="AB2298" s="288">
        <v>0</v>
      </c>
      <c r="AC2298" s="289">
        <v>4.9165714285714284</v>
      </c>
      <c r="AD2298" s="289">
        <v>0</v>
      </c>
    </row>
    <row r="2299" spans="1:30" ht="15" customHeight="1" x14ac:dyDescent="0.25">
      <c r="A2299" s="282" t="s">
        <v>3309</v>
      </c>
      <c r="B2299" s="283" t="s">
        <v>3310</v>
      </c>
      <c r="C2299" s="282" t="s">
        <v>3310</v>
      </c>
      <c r="D2299" s="283" t="s">
        <v>3429</v>
      </c>
      <c r="E2299" s="403">
        <v>45061</v>
      </c>
      <c r="F2299" s="403">
        <v>46888</v>
      </c>
      <c r="G2299" s="283" t="s">
        <v>154</v>
      </c>
      <c r="H2299" s="282" t="s">
        <v>3427</v>
      </c>
      <c r="I2299" s="282" t="s">
        <v>590</v>
      </c>
      <c r="J2299" s="282" t="s">
        <v>156</v>
      </c>
      <c r="K2299" s="283" t="s">
        <v>3428</v>
      </c>
      <c r="L2299" s="286" t="s">
        <v>321</v>
      </c>
      <c r="M2299" s="287"/>
      <c r="N2299" s="287">
        <v>6.3</v>
      </c>
      <c r="O2299" s="287"/>
      <c r="P2299" s="287"/>
      <c r="Q2299" s="288">
        <v>30.7</v>
      </c>
      <c r="R2299" s="288">
        <v>30.7</v>
      </c>
      <c r="S2299" s="288">
        <v>3.5200000000000002E-2</v>
      </c>
      <c r="T2299" s="288"/>
      <c r="U2299" s="288">
        <v>0</v>
      </c>
      <c r="V2299" s="289">
        <v>30.735199999999999</v>
      </c>
      <c r="W2299" s="289">
        <v>0</v>
      </c>
      <c r="X2299" s="288">
        <v>4.8730158730158735</v>
      </c>
      <c r="Y2299" s="288">
        <v>4.8730158730158735</v>
      </c>
      <c r="Z2299" s="288">
        <v>5.5873015873015878E-3</v>
      </c>
      <c r="AA2299" s="288">
        <v>0</v>
      </c>
      <c r="AB2299" s="288">
        <v>0</v>
      </c>
      <c r="AC2299" s="289">
        <v>4.8786031746031755</v>
      </c>
      <c r="AD2299" s="289">
        <v>0</v>
      </c>
    </row>
    <row r="2300" spans="1:30" ht="15" customHeight="1" x14ac:dyDescent="0.25">
      <c r="A2300" s="282" t="s">
        <v>3309</v>
      </c>
      <c r="B2300" s="283" t="s">
        <v>3310</v>
      </c>
      <c r="C2300" s="282" t="s">
        <v>3310</v>
      </c>
      <c r="D2300" s="283" t="s">
        <v>3430</v>
      </c>
      <c r="E2300" s="403">
        <v>45061</v>
      </c>
      <c r="F2300" s="403">
        <v>46888</v>
      </c>
      <c r="G2300" s="283" t="s">
        <v>154</v>
      </c>
      <c r="H2300" s="282" t="s">
        <v>3427</v>
      </c>
      <c r="I2300" s="282" t="s">
        <v>590</v>
      </c>
      <c r="J2300" s="282" t="s">
        <v>156</v>
      </c>
      <c r="K2300" s="283" t="s">
        <v>3428</v>
      </c>
      <c r="L2300" s="286" t="s">
        <v>321</v>
      </c>
      <c r="M2300" s="287"/>
      <c r="N2300" s="287">
        <v>7.1</v>
      </c>
      <c r="O2300" s="287"/>
      <c r="P2300" s="287"/>
      <c r="Q2300" s="288">
        <v>34.700000000000003</v>
      </c>
      <c r="R2300" s="288">
        <v>34.700000000000003</v>
      </c>
      <c r="S2300" s="288">
        <v>3.7999999999999999E-2</v>
      </c>
      <c r="T2300" s="288"/>
      <c r="U2300" s="288">
        <v>0</v>
      </c>
      <c r="V2300" s="289">
        <v>34.738</v>
      </c>
      <c r="W2300" s="289">
        <v>0</v>
      </c>
      <c r="X2300" s="288">
        <v>4.8873239436619729</v>
      </c>
      <c r="Y2300" s="288">
        <v>4.8873239436619729</v>
      </c>
      <c r="Z2300" s="288">
        <v>5.3521126760563385E-3</v>
      </c>
      <c r="AA2300" s="288">
        <v>0</v>
      </c>
      <c r="AB2300" s="288">
        <v>0</v>
      </c>
      <c r="AC2300" s="289">
        <v>4.8926760563380292</v>
      </c>
      <c r="AD2300" s="289">
        <v>0</v>
      </c>
    </row>
    <row r="2301" spans="1:30" ht="15" customHeight="1" x14ac:dyDescent="0.25">
      <c r="A2301" s="282" t="s">
        <v>3309</v>
      </c>
      <c r="B2301" s="283" t="s">
        <v>3310</v>
      </c>
      <c r="C2301" s="282" t="s">
        <v>3310</v>
      </c>
      <c r="D2301" s="283" t="s">
        <v>3431</v>
      </c>
      <c r="E2301" s="403">
        <v>45061</v>
      </c>
      <c r="F2301" s="403">
        <v>46888</v>
      </c>
      <c r="G2301" s="283" t="s">
        <v>154</v>
      </c>
      <c r="H2301" s="282" t="s">
        <v>3427</v>
      </c>
      <c r="I2301" s="282" t="s">
        <v>590</v>
      </c>
      <c r="J2301" s="282" t="s">
        <v>156</v>
      </c>
      <c r="K2301" s="283" t="s">
        <v>3428</v>
      </c>
      <c r="L2301" s="286" t="s">
        <v>321</v>
      </c>
      <c r="M2301" s="287"/>
      <c r="N2301" s="287">
        <v>7.9</v>
      </c>
      <c r="O2301" s="287"/>
      <c r="P2301" s="287"/>
      <c r="Q2301" s="288">
        <v>38.700000000000003</v>
      </c>
      <c r="R2301" s="288">
        <v>38.700000000000003</v>
      </c>
      <c r="S2301" s="288">
        <v>4.0800000000000003E-2</v>
      </c>
      <c r="T2301" s="288"/>
      <c r="U2301" s="288">
        <v>0</v>
      </c>
      <c r="V2301" s="289">
        <v>38.7408</v>
      </c>
      <c r="W2301" s="289">
        <v>0</v>
      </c>
      <c r="X2301" s="288">
        <v>4.8987341772151902</v>
      </c>
      <c r="Y2301" s="288">
        <v>4.8987341772151902</v>
      </c>
      <c r="Z2301" s="288">
        <v>5.1645569620253169E-3</v>
      </c>
      <c r="AA2301" s="288">
        <v>0</v>
      </c>
      <c r="AB2301" s="288">
        <v>0</v>
      </c>
      <c r="AC2301" s="289">
        <v>4.9038987341772158</v>
      </c>
      <c r="AD2301" s="289">
        <v>0</v>
      </c>
    </row>
    <row r="2302" spans="1:30" ht="15" customHeight="1" x14ac:dyDescent="0.25">
      <c r="A2302" s="282" t="s">
        <v>3309</v>
      </c>
      <c r="B2302" s="283" t="s">
        <v>3310</v>
      </c>
      <c r="C2302" s="282" t="s">
        <v>3310</v>
      </c>
      <c r="D2302" s="283" t="s">
        <v>3432</v>
      </c>
      <c r="E2302" s="403">
        <v>45061</v>
      </c>
      <c r="F2302" s="403">
        <v>46888</v>
      </c>
      <c r="G2302" s="283" t="s">
        <v>154</v>
      </c>
      <c r="H2302" s="282" t="s">
        <v>3427</v>
      </c>
      <c r="I2302" s="282" t="s">
        <v>590</v>
      </c>
      <c r="J2302" s="282" t="s">
        <v>156</v>
      </c>
      <c r="K2302" s="283" t="s">
        <v>3428</v>
      </c>
      <c r="L2302" s="286" t="s">
        <v>321</v>
      </c>
      <c r="M2302" s="287"/>
      <c r="N2302" s="287">
        <v>8.6999999999999993</v>
      </c>
      <c r="O2302" s="287"/>
      <c r="P2302" s="287"/>
      <c r="Q2302" s="288">
        <v>42.7</v>
      </c>
      <c r="R2302" s="288">
        <v>42.7</v>
      </c>
      <c r="S2302" s="288">
        <v>4.36E-2</v>
      </c>
      <c r="T2302" s="288"/>
      <c r="U2302" s="288">
        <v>0</v>
      </c>
      <c r="V2302" s="289">
        <v>42.743600000000001</v>
      </c>
      <c r="W2302" s="289">
        <v>0</v>
      </c>
      <c r="X2302" s="288">
        <v>4.9080459770114953</v>
      </c>
      <c r="Y2302" s="288">
        <v>4.9080459770114953</v>
      </c>
      <c r="Z2302" s="288">
        <v>5.0114942528735633E-3</v>
      </c>
      <c r="AA2302" s="288">
        <v>0</v>
      </c>
      <c r="AB2302" s="288">
        <v>0</v>
      </c>
      <c r="AC2302" s="289">
        <v>4.9130574712643691</v>
      </c>
      <c r="AD2302" s="289">
        <v>0</v>
      </c>
    </row>
    <row r="2303" spans="1:30" ht="15" customHeight="1" x14ac:dyDescent="0.25">
      <c r="A2303" s="282" t="s">
        <v>3309</v>
      </c>
      <c r="B2303" s="282" t="s">
        <v>3310</v>
      </c>
      <c r="C2303" s="282" t="s">
        <v>3310</v>
      </c>
      <c r="D2303" s="286" t="s">
        <v>3433</v>
      </c>
      <c r="E2303" s="403">
        <v>45138</v>
      </c>
      <c r="F2303" s="403">
        <v>46965</v>
      </c>
      <c r="G2303" s="283" t="s">
        <v>154</v>
      </c>
      <c r="H2303" s="283" t="s">
        <v>3434</v>
      </c>
      <c r="I2303" s="283" t="s">
        <v>590</v>
      </c>
      <c r="J2303" s="282" t="s">
        <v>156</v>
      </c>
      <c r="K2303" s="283" t="s">
        <v>3435</v>
      </c>
      <c r="L2303" s="286" t="s">
        <v>321</v>
      </c>
      <c r="M2303" s="293"/>
      <c r="N2303" s="293">
        <v>3.48</v>
      </c>
      <c r="O2303" s="287"/>
      <c r="P2303" s="287"/>
      <c r="Q2303" s="288">
        <v>12.193849999999999</v>
      </c>
      <c r="R2303" s="288">
        <v>12.2</v>
      </c>
      <c r="S2303" s="288">
        <v>-6.1500000000000001E-3</v>
      </c>
      <c r="T2303" s="288"/>
      <c r="U2303" s="288">
        <v>0</v>
      </c>
      <c r="V2303" s="289">
        <v>12.2</v>
      </c>
      <c r="W2303" s="289">
        <v>0</v>
      </c>
      <c r="X2303" s="288">
        <v>3.503979885057471</v>
      </c>
      <c r="Y2303" s="288">
        <v>3.5057471264367814</v>
      </c>
      <c r="Z2303" s="288">
        <v>-1.7672413793103448E-3</v>
      </c>
      <c r="AA2303" s="288">
        <v>0</v>
      </c>
      <c r="AB2303" s="288">
        <v>0</v>
      </c>
      <c r="AC2303" s="289">
        <v>3.5057471264367814</v>
      </c>
      <c r="AD2303" s="289">
        <v>0</v>
      </c>
    </row>
    <row r="2304" spans="1:30" ht="15" customHeight="1" x14ac:dyDescent="0.25">
      <c r="A2304" s="282" t="s">
        <v>3309</v>
      </c>
      <c r="B2304" s="283" t="s">
        <v>3310</v>
      </c>
      <c r="C2304" s="282" t="s">
        <v>3310</v>
      </c>
      <c r="D2304" s="283" t="s">
        <v>3436</v>
      </c>
      <c r="E2304" s="403">
        <v>45061</v>
      </c>
      <c r="F2304" s="403">
        <v>46888</v>
      </c>
      <c r="G2304" s="283" t="s">
        <v>154</v>
      </c>
      <c r="H2304" s="282" t="s">
        <v>3427</v>
      </c>
      <c r="I2304" s="282" t="s">
        <v>590</v>
      </c>
      <c r="J2304" s="282" t="s">
        <v>156</v>
      </c>
      <c r="K2304" s="283" t="s">
        <v>3428</v>
      </c>
      <c r="L2304" s="286" t="s">
        <v>321</v>
      </c>
      <c r="M2304" s="287"/>
      <c r="N2304" s="287">
        <v>13</v>
      </c>
      <c r="O2304" s="287"/>
      <c r="P2304" s="287"/>
      <c r="Q2304" s="288">
        <v>55.1</v>
      </c>
      <c r="R2304" s="288">
        <v>55.1</v>
      </c>
      <c r="S2304" s="288">
        <v>2.5499999999999998E-2</v>
      </c>
      <c r="T2304" s="288"/>
      <c r="U2304" s="288">
        <v>0</v>
      </c>
      <c r="V2304" s="289">
        <v>55.125500000000002</v>
      </c>
      <c r="W2304" s="289">
        <v>0</v>
      </c>
      <c r="X2304" s="288">
        <v>4.2384615384615385</v>
      </c>
      <c r="Y2304" s="288">
        <v>4.2384615384615385</v>
      </c>
      <c r="Z2304" s="288">
        <v>1.9615384615384616E-3</v>
      </c>
      <c r="AA2304" s="288">
        <v>0</v>
      </c>
      <c r="AB2304" s="288">
        <v>0</v>
      </c>
      <c r="AC2304" s="289">
        <v>4.2404230769230766</v>
      </c>
      <c r="AD2304" s="289">
        <v>0</v>
      </c>
    </row>
    <row r="2305" spans="1:30" ht="15" customHeight="1" x14ac:dyDescent="0.25">
      <c r="A2305" s="282" t="s">
        <v>3309</v>
      </c>
      <c r="B2305" s="283" t="s">
        <v>3310</v>
      </c>
      <c r="C2305" s="282" t="s">
        <v>3310</v>
      </c>
      <c r="D2305" s="283" t="s">
        <v>3437</v>
      </c>
      <c r="E2305" s="403">
        <v>45061</v>
      </c>
      <c r="F2305" s="403">
        <v>46888</v>
      </c>
      <c r="G2305" s="283" t="s">
        <v>154</v>
      </c>
      <c r="H2305" s="282" t="s">
        <v>3427</v>
      </c>
      <c r="I2305" s="282" t="s">
        <v>590</v>
      </c>
      <c r="J2305" s="282" t="s">
        <v>156</v>
      </c>
      <c r="K2305" s="283" t="s">
        <v>3428</v>
      </c>
      <c r="L2305" s="286" t="s">
        <v>321</v>
      </c>
      <c r="M2305" s="287"/>
      <c r="N2305" s="287">
        <v>12</v>
      </c>
      <c r="O2305" s="287"/>
      <c r="P2305" s="287"/>
      <c r="Q2305" s="288">
        <v>49.9</v>
      </c>
      <c r="R2305" s="288">
        <v>49.9</v>
      </c>
      <c r="S2305" s="288">
        <v>2.1100000000000001E-2</v>
      </c>
      <c r="T2305" s="288"/>
      <c r="U2305" s="288">
        <v>0</v>
      </c>
      <c r="V2305" s="289">
        <v>49.921099999999996</v>
      </c>
      <c r="W2305" s="289">
        <v>0</v>
      </c>
      <c r="X2305" s="288">
        <v>4.1583333333333332</v>
      </c>
      <c r="Y2305" s="288">
        <v>4.1583333333333332</v>
      </c>
      <c r="Z2305" s="288">
        <v>1.7583333333333333E-3</v>
      </c>
      <c r="AA2305" s="288">
        <v>0</v>
      </c>
      <c r="AB2305" s="288">
        <v>0</v>
      </c>
      <c r="AC2305" s="289">
        <v>4.1600916666666663</v>
      </c>
      <c r="AD2305" s="289">
        <v>0</v>
      </c>
    </row>
    <row r="2306" spans="1:30" ht="15" customHeight="1" x14ac:dyDescent="0.25">
      <c r="A2306" s="282" t="s">
        <v>3309</v>
      </c>
      <c r="B2306" s="282" t="s">
        <v>3438</v>
      </c>
      <c r="C2306" s="282" t="s">
        <v>3310</v>
      </c>
      <c r="D2306" s="286" t="s">
        <v>3439</v>
      </c>
      <c r="E2306" s="403">
        <v>45138</v>
      </c>
      <c r="F2306" s="403">
        <v>46965</v>
      </c>
      <c r="G2306" s="283" t="s">
        <v>154</v>
      </c>
      <c r="H2306" s="283" t="s">
        <v>3440</v>
      </c>
      <c r="I2306" s="283" t="s">
        <v>590</v>
      </c>
      <c r="J2306" s="282" t="s">
        <v>156</v>
      </c>
      <c r="K2306" s="283" t="s">
        <v>3441</v>
      </c>
      <c r="L2306" s="286" t="s">
        <v>321</v>
      </c>
      <c r="M2306" s="293"/>
      <c r="N2306" s="293">
        <v>3.48</v>
      </c>
      <c r="O2306" s="287"/>
      <c r="P2306" s="287"/>
      <c r="Q2306" s="288">
        <v>12.19502</v>
      </c>
      <c r="R2306" s="288">
        <v>12.2</v>
      </c>
      <c r="S2306" s="288">
        <v>-4.9800000000000001E-3</v>
      </c>
      <c r="T2306" s="288"/>
      <c r="U2306" s="288">
        <v>0</v>
      </c>
      <c r="V2306" s="289">
        <v>12.2</v>
      </c>
      <c r="W2306" s="289">
        <v>0</v>
      </c>
      <c r="X2306" s="288">
        <v>3.5043160919540228</v>
      </c>
      <c r="Y2306" s="288">
        <v>3.5057471264367814</v>
      </c>
      <c r="Z2306" s="288">
        <v>-1.4310344827586207E-3</v>
      </c>
      <c r="AA2306" s="288">
        <v>0</v>
      </c>
      <c r="AB2306" s="288">
        <v>0</v>
      </c>
      <c r="AC2306" s="289">
        <v>3.5057471264367814</v>
      </c>
      <c r="AD2306" s="289">
        <v>0</v>
      </c>
    </row>
    <row r="2307" spans="1:30" ht="15" customHeight="1" x14ac:dyDescent="0.25">
      <c r="A2307" s="282" t="s">
        <v>3309</v>
      </c>
      <c r="B2307" s="283" t="s">
        <v>3310</v>
      </c>
      <c r="C2307" s="282" t="s">
        <v>3310</v>
      </c>
      <c r="D2307" s="283" t="s">
        <v>3442</v>
      </c>
      <c r="E2307" s="403">
        <v>45061</v>
      </c>
      <c r="F2307" s="403">
        <v>46888</v>
      </c>
      <c r="G2307" s="283" t="s">
        <v>154</v>
      </c>
      <c r="H2307" s="282" t="s">
        <v>3427</v>
      </c>
      <c r="I2307" s="282" t="s">
        <v>590</v>
      </c>
      <c r="J2307" s="282" t="s">
        <v>156</v>
      </c>
      <c r="K2307" s="283" t="s">
        <v>3428</v>
      </c>
      <c r="L2307" s="286" t="s">
        <v>321</v>
      </c>
      <c r="M2307" s="287"/>
      <c r="N2307" s="287">
        <v>14.3</v>
      </c>
      <c r="O2307" s="287"/>
      <c r="P2307" s="287"/>
      <c r="Q2307" s="288">
        <v>55.5</v>
      </c>
      <c r="R2307" s="288">
        <v>55.5</v>
      </c>
      <c r="S2307" s="288">
        <v>2.2599999999999999E-2</v>
      </c>
      <c r="T2307" s="288"/>
      <c r="U2307" s="288">
        <v>0</v>
      </c>
      <c r="V2307" s="289">
        <v>55.522599999999997</v>
      </c>
      <c r="W2307" s="289">
        <v>0</v>
      </c>
      <c r="X2307" s="288">
        <v>3.8811188811188808</v>
      </c>
      <c r="Y2307" s="288">
        <v>3.8811188811188808</v>
      </c>
      <c r="Z2307" s="288">
        <v>1.5804195804195802E-3</v>
      </c>
      <c r="AA2307" s="288">
        <v>0</v>
      </c>
      <c r="AB2307" s="288">
        <v>0</v>
      </c>
      <c r="AC2307" s="289">
        <v>3.8826993006993002</v>
      </c>
      <c r="AD2307" s="289">
        <v>0</v>
      </c>
    </row>
    <row r="2308" spans="1:30" ht="15" customHeight="1" x14ac:dyDescent="0.25">
      <c r="A2308" s="282" t="s">
        <v>3309</v>
      </c>
      <c r="B2308" s="282" t="s">
        <v>3310</v>
      </c>
      <c r="C2308" s="282" t="s">
        <v>3310</v>
      </c>
      <c r="D2308" s="286" t="s">
        <v>3443</v>
      </c>
      <c r="E2308" s="403">
        <v>45138</v>
      </c>
      <c r="F2308" s="403">
        <v>46965</v>
      </c>
      <c r="G2308" s="283" t="s">
        <v>154</v>
      </c>
      <c r="H2308" s="283" t="s">
        <v>3434</v>
      </c>
      <c r="I2308" s="283" t="s">
        <v>590</v>
      </c>
      <c r="J2308" s="282" t="s">
        <v>156</v>
      </c>
      <c r="K2308" s="283" t="s">
        <v>3435</v>
      </c>
      <c r="L2308" s="286" t="s">
        <v>321</v>
      </c>
      <c r="M2308" s="293"/>
      <c r="N2308" s="293">
        <v>4.26</v>
      </c>
      <c r="O2308" s="287"/>
      <c r="P2308" s="287"/>
      <c r="Q2308" s="288">
        <v>14.194469999999999</v>
      </c>
      <c r="R2308" s="288">
        <v>14.2</v>
      </c>
      <c r="S2308" s="288">
        <v>-5.5300000000000002E-3</v>
      </c>
      <c r="T2308" s="288"/>
      <c r="U2308" s="288">
        <v>0</v>
      </c>
      <c r="V2308" s="289">
        <v>14.2</v>
      </c>
      <c r="W2308" s="289">
        <v>0</v>
      </c>
      <c r="X2308" s="288">
        <v>3.3320352112676055</v>
      </c>
      <c r="Y2308" s="288">
        <v>3.3333333333333335</v>
      </c>
      <c r="Z2308" s="288">
        <v>-1.2981220657276996E-3</v>
      </c>
      <c r="AA2308" s="288">
        <v>0</v>
      </c>
      <c r="AB2308" s="288">
        <v>0</v>
      </c>
      <c r="AC2308" s="289">
        <v>3.3333333333333335</v>
      </c>
      <c r="AD2308" s="289">
        <v>0</v>
      </c>
    </row>
    <row r="2309" spans="1:30" ht="15" customHeight="1" x14ac:dyDescent="0.25">
      <c r="A2309" s="282" t="s">
        <v>3309</v>
      </c>
      <c r="B2309" s="283" t="s">
        <v>3310</v>
      </c>
      <c r="C2309" s="282" t="s">
        <v>3310</v>
      </c>
      <c r="D2309" s="283" t="s">
        <v>3444</v>
      </c>
      <c r="E2309" s="403">
        <v>45061</v>
      </c>
      <c r="F2309" s="403">
        <v>46888</v>
      </c>
      <c r="G2309" s="283" t="s">
        <v>154</v>
      </c>
      <c r="H2309" s="282" t="s">
        <v>3427</v>
      </c>
      <c r="I2309" s="282" t="s">
        <v>590</v>
      </c>
      <c r="J2309" s="282" t="s">
        <v>156</v>
      </c>
      <c r="K2309" s="283" t="s">
        <v>3428</v>
      </c>
      <c r="L2309" s="286" t="s">
        <v>321</v>
      </c>
      <c r="M2309" s="287"/>
      <c r="N2309" s="287">
        <v>13.9</v>
      </c>
      <c r="O2309" s="287"/>
      <c r="P2309" s="287"/>
      <c r="Q2309" s="288">
        <v>53.8</v>
      </c>
      <c r="R2309" s="288">
        <v>53.8</v>
      </c>
      <c r="S2309" s="288">
        <v>2.0199999999999999E-2</v>
      </c>
      <c r="T2309" s="288"/>
      <c r="U2309" s="288">
        <v>0</v>
      </c>
      <c r="V2309" s="289">
        <v>53.8202</v>
      </c>
      <c r="W2309" s="289">
        <v>0</v>
      </c>
      <c r="X2309" s="288">
        <v>3.8705035971223021</v>
      </c>
      <c r="Y2309" s="288">
        <v>3.8705035971223021</v>
      </c>
      <c r="Z2309" s="288">
        <v>1.4532374100719423E-3</v>
      </c>
      <c r="AA2309" s="288">
        <v>0</v>
      </c>
      <c r="AB2309" s="288">
        <v>0</v>
      </c>
      <c r="AC2309" s="289">
        <v>3.8719568345323738</v>
      </c>
      <c r="AD2309" s="289">
        <v>0</v>
      </c>
    </row>
    <row r="2310" spans="1:30" ht="15" customHeight="1" x14ac:dyDescent="0.25">
      <c r="A2310" s="282" t="s">
        <v>3309</v>
      </c>
      <c r="B2310" s="282" t="s">
        <v>3438</v>
      </c>
      <c r="C2310" s="282" t="s">
        <v>3310</v>
      </c>
      <c r="D2310" s="286" t="s">
        <v>3445</v>
      </c>
      <c r="E2310" s="403">
        <v>45138</v>
      </c>
      <c r="F2310" s="403">
        <v>46965</v>
      </c>
      <c r="G2310" s="283" t="s">
        <v>154</v>
      </c>
      <c r="H2310" s="283" t="s">
        <v>3440</v>
      </c>
      <c r="I2310" s="283" t="s">
        <v>590</v>
      </c>
      <c r="J2310" s="282" t="s">
        <v>156</v>
      </c>
      <c r="K2310" s="283" t="s">
        <v>3441</v>
      </c>
      <c r="L2310" s="286" t="s">
        <v>321</v>
      </c>
      <c r="M2310" s="293"/>
      <c r="N2310" s="293">
        <v>3.87</v>
      </c>
      <c r="O2310" s="287"/>
      <c r="P2310" s="287"/>
      <c r="Q2310" s="288">
        <v>13.195329999999998</v>
      </c>
      <c r="R2310" s="288">
        <v>13.2</v>
      </c>
      <c r="S2310" s="288">
        <v>-4.6699999999999997E-3</v>
      </c>
      <c r="T2310" s="288"/>
      <c r="U2310" s="288">
        <v>0</v>
      </c>
      <c r="V2310" s="289">
        <v>13.2</v>
      </c>
      <c r="W2310" s="289">
        <v>0</v>
      </c>
      <c r="X2310" s="288">
        <v>3.409645994832041</v>
      </c>
      <c r="Y2310" s="288">
        <v>3.4108527131782944</v>
      </c>
      <c r="Z2310" s="288">
        <v>-1.2067183462532299E-3</v>
      </c>
      <c r="AA2310" s="288">
        <v>0</v>
      </c>
      <c r="AB2310" s="288">
        <v>0</v>
      </c>
      <c r="AC2310" s="289">
        <v>3.4108527131782944</v>
      </c>
      <c r="AD2310" s="289">
        <v>0</v>
      </c>
    </row>
    <row r="2311" spans="1:30" ht="15" customHeight="1" x14ac:dyDescent="0.25">
      <c r="A2311" s="282" t="s">
        <v>3309</v>
      </c>
      <c r="B2311" s="282" t="s">
        <v>3438</v>
      </c>
      <c r="C2311" s="282" t="s">
        <v>3310</v>
      </c>
      <c r="D2311" s="286" t="s">
        <v>3446</v>
      </c>
      <c r="E2311" s="403">
        <v>45138</v>
      </c>
      <c r="F2311" s="403">
        <v>46965</v>
      </c>
      <c r="G2311" s="283" t="s">
        <v>154</v>
      </c>
      <c r="H2311" s="283" t="s">
        <v>3440</v>
      </c>
      <c r="I2311" s="283" t="s">
        <v>590</v>
      </c>
      <c r="J2311" s="282" t="s">
        <v>156</v>
      </c>
      <c r="K2311" s="283" t="s">
        <v>3441</v>
      </c>
      <c r="L2311" s="286" t="s">
        <v>321</v>
      </c>
      <c r="M2311" s="293"/>
      <c r="N2311" s="293">
        <v>4.26</v>
      </c>
      <c r="O2311" s="287"/>
      <c r="P2311" s="287"/>
      <c r="Q2311" s="288">
        <v>14.195639999999999</v>
      </c>
      <c r="R2311" s="288">
        <v>14.2</v>
      </c>
      <c r="S2311" s="288">
        <v>-4.3600000000000002E-3</v>
      </c>
      <c r="T2311" s="288"/>
      <c r="U2311" s="288">
        <v>0</v>
      </c>
      <c r="V2311" s="289">
        <v>14.2</v>
      </c>
      <c r="W2311" s="289">
        <v>0</v>
      </c>
      <c r="X2311" s="288">
        <v>3.3323098591549294</v>
      </c>
      <c r="Y2311" s="288">
        <v>3.3333333333333335</v>
      </c>
      <c r="Z2311" s="288">
        <v>-1.0234741784037559E-3</v>
      </c>
      <c r="AA2311" s="288">
        <v>0</v>
      </c>
      <c r="AB2311" s="288">
        <v>0</v>
      </c>
      <c r="AC2311" s="289">
        <v>3.3333333333333335</v>
      </c>
      <c r="AD2311" s="289">
        <v>0</v>
      </c>
    </row>
    <row r="2312" spans="1:30" ht="15" customHeight="1" x14ac:dyDescent="0.25">
      <c r="A2312" s="282" t="s">
        <v>3309</v>
      </c>
      <c r="B2312" s="282" t="s">
        <v>3310</v>
      </c>
      <c r="C2312" s="282" t="s">
        <v>3310</v>
      </c>
      <c r="D2312" s="286" t="s">
        <v>3447</v>
      </c>
      <c r="E2312" s="403">
        <v>45138</v>
      </c>
      <c r="F2312" s="403">
        <v>46965</v>
      </c>
      <c r="G2312" s="283" t="s">
        <v>154</v>
      </c>
      <c r="H2312" s="283" t="s">
        <v>3434</v>
      </c>
      <c r="I2312" s="283" t="s">
        <v>590</v>
      </c>
      <c r="J2312" s="282" t="s">
        <v>156</v>
      </c>
      <c r="K2312" s="283" t="s">
        <v>3435</v>
      </c>
      <c r="L2312" s="286" t="s">
        <v>321</v>
      </c>
      <c r="M2312" s="293"/>
      <c r="N2312" s="293">
        <v>5.05</v>
      </c>
      <c r="O2312" s="287"/>
      <c r="P2312" s="287"/>
      <c r="Q2312" s="288">
        <v>16.295100000000001</v>
      </c>
      <c r="R2312" s="288">
        <v>16.3</v>
      </c>
      <c r="S2312" s="288">
        <v>-4.8999999999999998E-3</v>
      </c>
      <c r="T2312" s="288"/>
      <c r="U2312" s="288">
        <v>0</v>
      </c>
      <c r="V2312" s="289">
        <v>16.3</v>
      </c>
      <c r="W2312" s="289">
        <v>0</v>
      </c>
      <c r="X2312" s="288">
        <v>3.2267524752475252</v>
      </c>
      <c r="Y2312" s="288">
        <v>3.2277227722772279</v>
      </c>
      <c r="Z2312" s="288">
        <v>-9.7029702970297029E-4</v>
      </c>
      <c r="AA2312" s="288">
        <v>0</v>
      </c>
      <c r="AB2312" s="288">
        <v>0</v>
      </c>
      <c r="AC2312" s="289">
        <v>3.2277227722772279</v>
      </c>
      <c r="AD2312" s="289">
        <v>0</v>
      </c>
    </row>
    <row r="2313" spans="1:30" ht="15" customHeight="1" x14ac:dyDescent="0.25">
      <c r="A2313" s="282" t="s">
        <v>3309</v>
      </c>
      <c r="B2313" s="282" t="s">
        <v>3438</v>
      </c>
      <c r="C2313" s="282" t="s">
        <v>3310</v>
      </c>
      <c r="D2313" s="286" t="s">
        <v>3448</v>
      </c>
      <c r="E2313" s="403">
        <v>45138</v>
      </c>
      <c r="F2313" s="403">
        <v>46965</v>
      </c>
      <c r="G2313" s="283" t="s">
        <v>154</v>
      </c>
      <c r="H2313" s="283" t="s">
        <v>3440</v>
      </c>
      <c r="I2313" s="283" t="s">
        <v>590</v>
      </c>
      <c r="J2313" s="282" t="s">
        <v>156</v>
      </c>
      <c r="K2313" s="283" t="s">
        <v>3441</v>
      </c>
      <c r="L2313" s="286" t="s">
        <v>321</v>
      </c>
      <c r="M2313" s="293"/>
      <c r="N2313" s="293">
        <v>5.05</v>
      </c>
      <c r="O2313" s="287"/>
      <c r="P2313" s="287"/>
      <c r="Q2313" s="288">
        <v>16.29627</v>
      </c>
      <c r="R2313" s="288">
        <v>16.3</v>
      </c>
      <c r="S2313" s="288">
        <v>-3.7299999999999998E-3</v>
      </c>
      <c r="T2313" s="288"/>
      <c r="U2313" s="288">
        <v>0</v>
      </c>
      <c r="V2313" s="289">
        <v>16.3</v>
      </c>
      <c r="W2313" s="289">
        <v>0</v>
      </c>
      <c r="X2313" s="288">
        <v>3.2269841584158416</v>
      </c>
      <c r="Y2313" s="288">
        <v>3.2277227722772279</v>
      </c>
      <c r="Z2313" s="288">
        <v>-7.3861386138613858E-4</v>
      </c>
      <c r="AA2313" s="288">
        <v>0</v>
      </c>
      <c r="AB2313" s="288">
        <v>0</v>
      </c>
      <c r="AC2313" s="289">
        <v>3.2277227722772279</v>
      </c>
      <c r="AD2313" s="289">
        <v>0</v>
      </c>
    </row>
    <row r="2314" spans="1:30" ht="15" customHeight="1" x14ac:dyDescent="0.25">
      <c r="A2314" s="282" t="s">
        <v>3309</v>
      </c>
      <c r="B2314" s="283" t="s">
        <v>3310</v>
      </c>
      <c r="C2314" s="282" t="s">
        <v>3310</v>
      </c>
      <c r="D2314" s="283" t="s">
        <v>3449</v>
      </c>
      <c r="E2314" s="403">
        <v>45008</v>
      </c>
      <c r="F2314" s="403">
        <v>46835</v>
      </c>
      <c r="G2314" s="283" t="s">
        <v>3331</v>
      </c>
      <c r="H2314" s="282" t="s">
        <v>3450</v>
      </c>
      <c r="I2314" s="282" t="s">
        <v>590</v>
      </c>
      <c r="J2314" s="282" t="s">
        <v>156</v>
      </c>
      <c r="K2314" s="283" t="s">
        <v>3333</v>
      </c>
      <c r="L2314" s="286" t="s">
        <v>321</v>
      </c>
      <c r="M2314" s="287"/>
      <c r="N2314" s="287">
        <v>11.771428571428574</v>
      </c>
      <c r="O2314" s="287"/>
      <c r="P2314" s="287"/>
      <c r="Q2314" s="288">
        <v>16.2</v>
      </c>
      <c r="R2314" s="288">
        <v>16.100000000000001</v>
      </c>
      <c r="S2314" s="288">
        <v>0.10199999999999999</v>
      </c>
      <c r="T2314" s="288"/>
      <c r="U2314" s="288">
        <v>0</v>
      </c>
      <c r="V2314" s="289">
        <v>16.202000000000002</v>
      </c>
      <c r="W2314" s="289">
        <v>0</v>
      </c>
      <c r="X2314" s="288">
        <v>1.3762135922330094</v>
      </c>
      <c r="Y2314" s="288">
        <v>1.3677184466019416</v>
      </c>
      <c r="Z2314" s="288">
        <v>8.6650485436893174E-3</v>
      </c>
      <c r="AA2314" s="288">
        <v>0</v>
      </c>
      <c r="AB2314" s="288">
        <v>0</v>
      </c>
      <c r="AC2314" s="289">
        <v>1.3763834951456309</v>
      </c>
      <c r="AD2314" s="289">
        <v>0</v>
      </c>
    </row>
    <row r="2315" spans="1:30" ht="15" customHeight="1" x14ac:dyDescent="0.25">
      <c r="A2315" s="282" t="s">
        <v>3309</v>
      </c>
      <c r="B2315" s="283" t="s">
        <v>3314</v>
      </c>
      <c r="C2315" s="282" t="s">
        <v>3314</v>
      </c>
      <c r="D2315" s="283" t="s">
        <v>3451</v>
      </c>
      <c r="E2315" s="403">
        <v>44860</v>
      </c>
      <c r="F2315" s="403">
        <v>46686</v>
      </c>
      <c r="G2315" s="283" t="s">
        <v>3331</v>
      </c>
      <c r="H2315" s="282" t="s">
        <v>3332</v>
      </c>
      <c r="I2315" s="282" t="s">
        <v>590</v>
      </c>
      <c r="J2315" s="282" t="s">
        <v>156</v>
      </c>
      <c r="K2315" s="283" t="s">
        <v>3333</v>
      </c>
      <c r="L2315" s="286" t="s">
        <v>321</v>
      </c>
      <c r="M2315" s="287"/>
      <c r="N2315" s="287">
        <v>15.5</v>
      </c>
      <c r="O2315" s="287"/>
      <c r="P2315" s="287"/>
      <c r="Q2315" s="288">
        <v>69.400000000000006</v>
      </c>
      <c r="R2315" s="288">
        <v>69.400000000000006</v>
      </c>
      <c r="S2315" s="288">
        <v>-0.108</v>
      </c>
      <c r="T2315" s="288"/>
      <c r="U2315" s="288">
        <v>0</v>
      </c>
      <c r="V2315" s="289">
        <v>69.400000000000006</v>
      </c>
      <c r="W2315" s="289">
        <v>0</v>
      </c>
      <c r="X2315" s="288">
        <v>4.4774193548387098</v>
      </c>
      <c r="Y2315" s="288">
        <v>4.4774193548387098</v>
      </c>
      <c r="Z2315" s="288">
        <v>-6.9677419354838713E-3</v>
      </c>
      <c r="AA2315" s="288">
        <v>0</v>
      </c>
      <c r="AB2315" s="288">
        <v>0</v>
      </c>
      <c r="AC2315" s="289">
        <v>4.4774193548387098</v>
      </c>
      <c r="AD2315" s="289">
        <v>0</v>
      </c>
    </row>
    <row r="2316" spans="1:30" ht="15" customHeight="1" x14ac:dyDescent="0.25">
      <c r="A2316" s="282" t="s">
        <v>3309</v>
      </c>
      <c r="B2316" s="283" t="s">
        <v>3314</v>
      </c>
      <c r="C2316" s="282" t="s">
        <v>3314</v>
      </c>
      <c r="D2316" s="283" t="s">
        <v>3452</v>
      </c>
      <c r="E2316" s="403">
        <v>44860</v>
      </c>
      <c r="F2316" s="403">
        <v>46686</v>
      </c>
      <c r="G2316" s="283" t="s">
        <v>3331</v>
      </c>
      <c r="H2316" s="282" t="s">
        <v>3332</v>
      </c>
      <c r="I2316" s="282" t="s">
        <v>590</v>
      </c>
      <c r="J2316" s="282" t="s">
        <v>156</v>
      </c>
      <c r="K2316" s="283" t="s">
        <v>3333</v>
      </c>
      <c r="L2316" s="286" t="s">
        <v>321</v>
      </c>
      <c r="M2316" s="287"/>
      <c r="N2316" s="287">
        <v>17.399999999999999</v>
      </c>
      <c r="O2316" s="287"/>
      <c r="P2316" s="287"/>
      <c r="Q2316" s="288">
        <v>82.6</v>
      </c>
      <c r="R2316" s="288">
        <v>82.6</v>
      </c>
      <c r="S2316" s="288">
        <v>-4.5100000000000001E-2</v>
      </c>
      <c r="T2316" s="288"/>
      <c r="U2316" s="288">
        <v>0</v>
      </c>
      <c r="V2316" s="289">
        <v>82.6</v>
      </c>
      <c r="W2316" s="289">
        <v>0</v>
      </c>
      <c r="X2316" s="288">
        <v>4.7471264367816088</v>
      </c>
      <c r="Y2316" s="288">
        <v>4.7471264367816088</v>
      </c>
      <c r="Z2316" s="288">
        <v>-2.5919540229885061E-3</v>
      </c>
      <c r="AA2316" s="288">
        <v>0</v>
      </c>
      <c r="AB2316" s="288">
        <v>0</v>
      </c>
      <c r="AC2316" s="289">
        <v>4.7471264367816088</v>
      </c>
      <c r="AD2316" s="289">
        <v>0</v>
      </c>
    </row>
    <row r="2317" spans="1:30" ht="15" customHeight="1" x14ac:dyDescent="0.25">
      <c r="A2317" s="282" t="s">
        <v>3309</v>
      </c>
      <c r="B2317" s="283" t="s">
        <v>3314</v>
      </c>
      <c r="C2317" s="282" t="s">
        <v>3314</v>
      </c>
      <c r="D2317" s="283" t="s">
        <v>3453</v>
      </c>
      <c r="E2317" s="403">
        <v>44860</v>
      </c>
      <c r="F2317" s="403">
        <v>46686</v>
      </c>
      <c r="G2317" s="283" t="s">
        <v>3331</v>
      </c>
      <c r="H2317" s="282" t="s">
        <v>3363</v>
      </c>
      <c r="I2317" s="282" t="s">
        <v>590</v>
      </c>
      <c r="J2317" s="282" t="s">
        <v>156</v>
      </c>
      <c r="K2317" s="283" t="s">
        <v>3364</v>
      </c>
      <c r="L2317" s="286" t="s">
        <v>321</v>
      </c>
      <c r="M2317" s="287"/>
      <c r="N2317" s="287">
        <v>17.399999999999999</v>
      </c>
      <c r="O2317" s="287"/>
      <c r="P2317" s="287"/>
      <c r="Q2317" s="288">
        <v>82.5</v>
      </c>
      <c r="R2317" s="288">
        <v>82.5</v>
      </c>
      <c r="S2317" s="288">
        <v>-4.4999999999999998E-2</v>
      </c>
      <c r="T2317" s="288"/>
      <c r="U2317" s="288">
        <v>0</v>
      </c>
      <c r="V2317" s="289">
        <v>82.5</v>
      </c>
      <c r="W2317" s="289">
        <v>0</v>
      </c>
      <c r="X2317" s="288">
        <v>4.7413793103448283</v>
      </c>
      <c r="Y2317" s="288">
        <v>4.7413793103448283</v>
      </c>
      <c r="Z2317" s="288">
        <v>-2.5862068965517241E-3</v>
      </c>
      <c r="AA2317" s="288">
        <v>0</v>
      </c>
      <c r="AB2317" s="288">
        <v>0</v>
      </c>
      <c r="AC2317" s="289">
        <v>4.7413793103448283</v>
      </c>
      <c r="AD2317" s="289">
        <v>0</v>
      </c>
    </row>
    <row r="2318" spans="1:30" ht="15" customHeight="1" x14ac:dyDescent="0.25">
      <c r="A2318" s="282" t="s">
        <v>3309</v>
      </c>
      <c r="B2318" s="283" t="s">
        <v>3314</v>
      </c>
      <c r="C2318" s="282" t="s">
        <v>3314</v>
      </c>
      <c r="D2318" s="283" t="s">
        <v>3454</v>
      </c>
      <c r="E2318" s="403">
        <v>44860</v>
      </c>
      <c r="F2318" s="403">
        <v>46686</v>
      </c>
      <c r="G2318" s="283" t="s">
        <v>3331</v>
      </c>
      <c r="H2318" s="282" t="s">
        <v>3388</v>
      </c>
      <c r="I2318" s="282" t="s">
        <v>3336</v>
      </c>
      <c r="J2318" s="282" t="s">
        <v>156</v>
      </c>
      <c r="K2318" s="283" t="s">
        <v>3389</v>
      </c>
      <c r="L2318" s="286" t="s">
        <v>321</v>
      </c>
      <c r="M2318" s="287"/>
      <c r="N2318" s="287">
        <v>15.5</v>
      </c>
      <c r="O2318" s="287"/>
      <c r="P2318" s="287"/>
      <c r="Q2318" s="288">
        <v>68.400000000000006</v>
      </c>
      <c r="R2318" s="288">
        <v>68.400000000000006</v>
      </c>
      <c r="S2318" s="288">
        <v>-8.6900000000000005E-2</v>
      </c>
      <c r="T2318" s="288"/>
      <c r="U2318" s="288">
        <v>0</v>
      </c>
      <c r="V2318" s="289">
        <v>68.400000000000006</v>
      </c>
      <c r="W2318" s="289">
        <v>0</v>
      </c>
      <c r="X2318" s="288">
        <v>4.4129032258064518</v>
      </c>
      <c r="Y2318" s="288">
        <v>4.4129032258064518</v>
      </c>
      <c r="Z2318" s="288">
        <v>-5.6064516129032257E-3</v>
      </c>
      <c r="AA2318" s="288">
        <v>0</v>
      </c>
      <c r="AB2318" s="288">
        <v>0</v>
      </c>
      <c r="AC2318" s="289">
        <v>4.4129032258064518</v>
      </c>
      <c r="AD2318" s="289">
        <v>0</v>
      </c>
    </row>
    <row r="2319" spans="1:30" ht="15" customHeight="1" x14ac:dyDescent="0.25">
      <c r="A2319" s="282" t="s">
        <v>3309</v>
      </c>
      <c r="B2319" s="283" t="s">
        <v>3314</v>
      </c>
      <c r="C2319" s="282" t="s">
        <v>3314</v>
      </c>
      <c r="D2319" s="283" t="s">
        <v>3455</v>
      </c>
      <c r="E2319" s="403">
        <v>45061</v>
      </c>
      <c r="F2319" s="403">
        <v>46888</v>
      </c>
      <c r="G2319" s="283" t="s">
        <v>154</v>
      </c>
      <c r="H2319" s="282" t="s">
        <v>3427</v>
      </c>
      <c r="I2319" s="282" t="s">
        <v>590</v>
      </c>
      <c r="J2319" s="282" t="s">
        <v>156</v>
      </c>
      <c r="K2319" s="283" t="s">
        <v>3428</v>
      </c>
      <c r="L2319" s="286" t="s">
        <v>321</v>
      </c>
      <c r="M2319" s="287"/>
      <c r="N2319" s="287">
        <v>17.399999999999999</v>
      </c>
      <c r="O2319" s="287"/>
      <c r="P2319" s="287"/>
      <c r="Q2319" s="288">
        <v>84.8</v>
      </c>
      <c r="R2319" s="288">
        <v>84.7</v>
      </c>
      <c r="S2319" s="288">
        <v>5.3400000000000003E-2</v>
      </c>
      <c r="T2319" s="288"/>
      <c r="U2319" s="288">
        <v>0</v>
      </c>
      <c r="V2319" s="289">
        <v>84.753399999999999</v>
      </c>
      <c r="W2319" s="289">
        <v>0</v>
      </c>
      <c r="X2319" s="288">
        <v>4.8735632183908049</v>
      </c>
      <c r="Y2319" s="288">
        <v>4.8678160919540234</v>
      </c>
      <c r="Z2319" s="288">
        <v>3.0689655172413798E-3</v>
      </c>
      <c r="AA2319" s="288">
        <v>0</v>
      </c>
      <c r="AB2319" s="288">
        <v>0</v>
      </c>
      <c r="AC2319" s="289">
        <v>4.8708850574712645</v>
      </c>
      <c r="AD2319" s="289">
        <v>0</v>
      </c>
    </row>
    <row r="2320" spans="1:30" ht="15" customHeight="1" x14ac:dyDescent="0.25">
      <c r="A2320" s="282" t="s">
        <v>3309</v>
      </c>
      <c r="B2320" s="283" t="s">
        <v>3310</v>
      </c>
      <c r="C2320" s="282" t="s">
        <v>3310</v>
      </c>
      <c r="D2320" s="283" t="s">
        <v>3456</v>
      </c>
      <c r="E2320" s="403">
        <v>45008</v>
      </c>
      <c r="F2320" s="403">
        <v>46835</v>
      </c>
      <c r="G2320" s="283" t="s">
        <v>3331</v>
      </c>
      <c r="H2320" s="282" t="s">
        <v>3450</v>
      </c>
      <c r="I2320" s="282" t="s">
        <v>590</v>
      </c>
      <c r="J2320" s="282" t="s">
        <v>156</v>
      </c>
      <c r="K2320" s="283" t="s">
        <v>3428</v>
      </c>
      <c r="L2320" s="286" t="s">
        <v>321</v>
      </c>
      <c r="M2320" s="287"/>
      <c r="N2320" s="287">
        <v>8.9142857142857164</v>
      </c>
      <c r="O2320" s="287"/>
      <c r="P2320" s="287"/>
      <c r="Q2320" s="288">
        <v>9.7899999999999991</v>
      </c>
      <c r="R2320" s="288">
        <v>9.69</v>
      </c>
      <c r="S2320" s="288">
        <v>9.4399999999999998E-2</v>
      </c>
      <c r="T2320" s="288"/>
      <c r="U2320" s="288">
        <v>0</v>
      </c>
      <c r="V2320" s="289">
        <v>9.7843999999999998</v>
      </c>
      <c r="W2320" s="289">
        <v>0</v>
      </c>
      <c r="X2320" s="288">
        <v>1.098237179487179</v>
      </c>
      <c r="Y2320" s="288">
        <v>1.0870192307692303</v>
      </c>
      <c r="Z2320" s="288">
        <v>1.0589743589743588E-2</v>
      </c>
      <c r="AA2320" s="288">
        <v>0</v>
      </c>
      <c r="AB2320" s="288">
        <v>0</v>
      </c>
      <c r="AC2320" s="289">
        <v>1.0976089743589739</v>
      </c>
      <c r="AD2320" s="289">
        <v>0</v>
      </c>
    </row>
    <row r="2321" spans="1:30" ht="15" customHeight="1" x14ac:dyDescent="0.25">
      <c r="A2321" s="282" t="s">
        <v>3309</v>
      </c>
      <c r="B2321" s="283" t="s">
        <v>3314</v>
      </c>
      <c r="C2321" s="282" t="s">
        <v>3314</v>
      </c>
      <c r="D2321" s="283" t="s">
        <v>3457</v>
      </c>
      <c r="E2321" s="403">
        <v>45061</v>
      </c>
      <c r="F2321" s="403">
        <v>46888</v>
      </c>
      <c r="G2321" s="283" t="s">
        <v>154</v>
      </c>
      <c r="H2321" s="282" t="s">
        <v>3427</v>
      </c>
      <c r="I2321" s="282" t="s">
        <v>590</v>
      </c>
      <c r="J2321" s="282" t="s">
        <v>156</v>
      </c>
      <c r="K2321" s="283" t="s">
        <v>3428</v>
      </c>
      <c r="L2321" s="286" t="s">
        <v>321</v>
      </c>
      <c r="M2321" s="287"/>
      <c r="N2321" s="287">
        <v>15.5</v>
      </c>
      <c r="O2321" s="287"/>
      <c r="P2321" s="287"/>
      <c r="Q2321" s="288">
        <v>70.7</v>
      </c>
      <c r="R2321" s="288">
        <v>70.599999999999994</v>
      </c>
      <c r="S2321" s="288">
        <v>4.0500000000000001E-2</v>
      </c>
      <c r="T2321" s="288"/>
      <c r="U2321" s="288">
        <v>0</v>
      </c>
      <c r="V2321" s="289">
        <v>70.640499999999989</v>
      </c>
      <c r="W2321" s="289">
        <v>0</v>
      </c>
      <c r="X2321" s="288">
        <v>4.5612903225806454</v>
      </c>
      <c r="Y2321" s="288">
        <v>4.5548387096774192</v>
      </c>
      <c r="Z2321" s="288">
        <v>2.6129032258064518E-3</v>
      </c>
      <c r="AA2321" s="288">
        <v>0</v>
      </c>
      <c r="AB2321" s="288">
        <v>0</v>
      </c>
      <c r="AC2321" s="289">
        <v>4.5574516129032254</v>
      </c>
      <c r="AD2321" s="289">
        <v>0</v>
      </c>
    </row>
    <row r="2322" spans="1:30" ht="15" customHeight="1" x14ac:dyDescent="0.25">
      <c r="A2322" s="282" t="s">
        <v>3309</v>
      </c>
      <c r="B2322" s="283" t="s">
        <v>3310</v>
      </c>
      <c r="C2322" s="282" t="s">
        <v>3310</v>
      </c>
      <c r="D2322" s="283" t="s">
        <v>3458</v>
      </c>
      <c r="E2322" s="403">
        <v>45061</v>
      </c>
      <c r="F2322" s="403">
        <v>46888</v>
      </c>
      <c r="G2322" s="283" t="s">
        <v>154</v>
      </c>
      <c r="H2322" s="282" t="s">
        <v>3427</v>
      </c>
      <c r="I2322" s="282" t="s">
        <v>590</v>
      </c>
      <c r="J2322" s="282" t="s">
        <v>156</v>
      </c>
      <c r="K2322" s="283" t="s">
        <v>3428</v>
      </c>
      <c r="L2322" s="286" t="s">
        <v>321</v>
      </c>
      <c r="M2322" s="287"/>
      <c r="N2322" s="287">
        <v>13.2</v>
      </c>
      <c r="O2322" s="287"/>
      <c r="P2322" s="287"/>
      <c r="Q2322" s="288">
        <v>58.8</v>
      </c>
      <c r="R2322" s="288">
        <v>58.7</v>
      </c>
      <c r="S2322" s="288">
        <v>3.9E-2</v>
      </c>
      <c r="T2322" s="288"/>
      <c r="U2322" s="288">
        <v>0</v>
      </c>
      <c r="V2322" s="289">
        <v>58.739000000000004</v>
      </c>
      <c r="W2322" s="289">
        <v>0</v>
      </c>
      <c r="X2322" s="288">
        <v>4.4545454545454541</v>
      </c>
      <c r="Y2322" s="288">
        <v>4.4469696969696972</v>
      </c>
      <c r="Z2322" s="288">
        <v>2.9545454545454545E-3</v>
      </c>
      <c r="AA2322" s="288">
        <v>0</v>
      </c>
      <c r="AB2322" s="288">
        <v>0</v>
      </c>
      <c r="AC2322" s="289">
        <v>4.4499242424242427</v>
      </c>
      <c r="AD2322" s="289">
        <v>0</v>
      </c>
    </row>
    <row r="2323" spans="1:30" ht="15" customHeight="1" x14ac:dyDescent="0.25">
      <c r="A2323" s="282" t="s">
        <v>3309</v>
      </c>
      <c r="B2323" s="283" t="s">
        <v>3314</v>
      </c>
      <c r="C2323" s="282" t="s">
        <v>3314</v>
      </c>
      <c r="D2323" s="283" t="s">
        <v>3459</v>
      </c>
      <c r="E2323" s="403">
        <v>45061</v>
      </c>
      <c r="F2323" s="403">
        <v>46888</v>
      </c>
      <c r="G2323" s="283" t="s">
        <v>154</v>
      </c>
      <c r="H2323" s="282" t="s">
        <v>3427</v>
      </c>
      <c r="I2323" s="282" t="s">
        <v>590</v>
      </c>
      <c r="J2323" s="282" t="s">
        <v>156</v>
      </c>
      <c r="K2323" s="283" t="s">
        <v>3428</v>
      </c>
      <c r="L2323" s="286" t="s">
        <v>321</v>
      </c>
      <c r="M2323" s="287"/>
      <c r="N2323" s="287">
        <v>14.7</v>
      </c>
      <c r="O2323" s="287"/>
      <c r="P2323" s="287"/>
      <c r="Q2323" s="288">
        <v>63</v>
      </c>
      <c r="R2323" s="288">
        <v>62.9</v>
      </c>
      <c r="S2323" s="288">
        <v>3.39E-2</v>
      </c>
      <c r="T2323" s="288"/>
      <c r="U2323" s="288">
        <v>0</v>
      </c>
      <c r="V2323" s="289">
        <v>62.933900000000001</v>
      </c>
      <c r="W2323" s="289">
        <v>0</v>
      </c>
      <c r="X2323" s="288">
        <v>4.2857142857142856</v>
      </c>
      <c r="Y2323" s="288">
        <v>4.2789115646258509</v>
      </c>
      <c r="Z2323" s="288">
        <v>2.3061224489795921E-3</v>
      </c>
      <c r="AA2323" s="288">
        <v>0</v>
      </c>
      <c r="AB2323" s="288">
        <v>0</v>
      </c>
      <c r="AC2323" s="289">
        <v>4.2812176870748306</v>
      </c>
      <c r="AD2323" s="289">
        <v>0</v>
      </c>
    </row>
    <row r="2324" spans="1:30" ht="15" customHeight="1" x14ac:dyDescent="0.25">
      <c r="A2324" s="282" t="s">
        <v>3309</v>
      </c>
      <c r="B2324" s="283" t="s">
        <v>3310</v>
      </c>
      <c r="C2324" s="282" t="s">
        <v>3310</v>
      </c>
      <c r="D2324" s="283" t="s">
        <v>3460</v>
      </c>
      <c r="E2324" s="403">
        <v>45061</v>
      </c>
      <c r="F2324" s="403">
        <v>46888</v>
      </c>
      <c r="G2324" s="283" t="s">
        <v>154</v>
      </c>
      <c r="H2324" s="282" t="s">
        <v>3427</v>
      </c>
      <c r="I2324" s="282" t="s">
        <v>590</v>
      </c>
      <c r="J2324" s="282" t="s">
        <v>156</v>
      </c>
      <c r="K2324" s="283" t="s">
        <v>3428</v>
      </c>
      <c r="L2324" s="286" t="s">
        <v>321</v>
      </c>
      <c r="M2324" s="287"/>
      <c r="N2324" s="287">
        <v>16</v>
      </c>
      <c r="O2324" s="287"/>
      <c r="P2324" s="287"/>
      <c r="Q2324" s="288">
        <v>64.099999999999994</v>
      </c>
      <c r="R2324" s="288">
        <v>64</v>
      </c>
      <c r="S2324" s="288">
        <v>2.8500000000000001E-2</v>
      </c>
      <c r="T2324" s="288"/>
      <c r="U2324" s="288">
        <v>0</v>
      </c>
      <c r="V2324" s="289">
        <v>64.028499999999994</v>
      </c>
      <c r="W2324" s="289">
        <v>0</v>
      </c>
      <c r="X2324" s="288">
        <v>4.0062499999999996</v>
      </c>
      <c r="Y2324" s="288">
        <v>4</v>
      </c>
      <c r="Z2324" s="288">
        <v>1.7812500000000001E-3</v>
      </c>
      <c r="AA2324" s="288">
        <v>0</v>
      </c>
      <c r="AB2324" s="288">
        <v>0</v>
      </c>
      <c r="AC2324" s="289">
        <v>4.0017812499999996</v>
      </c>
      <c r="AD2324" s="289">
        <v>0</v>
      </c>
    </row>
    <row r="2325" spans="1:30" ht="15" customHeight="1" x14ac:dyDescent="0.25">
      <c r="A2325" s="282" t="s">
        <v>3309</v>
      </c>
      <c r="B2325" s="283" t="s">
        <v>3310</v>
      </c>
      <c r="C2325" s="282" t="s">
        <v>3310</v>
      </c>
      <c r="D2325" s="283" t="s">
        <v>3461</v>
      </c>
      <c r="E2325" s="403">
        <v>45061</v>
      </c>
      <c r="F2325" s="403">
        <v>46888</v>
      </c>
      <c r="G2325" s="283" t="s">
        <v>154</v>
      </c>
      <c r="H2325" s="282" t="s">
        <v>3427</v>
      </c>
      <c r="I2325" s="282" t="s">
        <v>590</v>
      </c>
      <c r="J2325" s="282" t="s">
        <v>156</v>
      </c>
      <c r="K2325" s="283" t="s">
        <v>3428</v>
      </c>
      <c r="L2325" s="286" t="s">
        <v>321</v>
      </c>
      <c r="M2325" s="287"/>
      <c r="N2325" s="287">
        <v>12.7</v>
      </c>
      <c r="O2325" s="287"/>
      <c r="P2325" s="287"/>
      <c r="Q2325" s="288">
        <v>54.8</v>
      </c>
      <c r="R2325" s="288">
        <v>54.7</v>
      </c>
      <c r="S2325" s="288">
        <v>3.61E-2</v>
      </c>
      <c r="T2325" s="288"/>
      <c r="U2325" s="288">
        <v>0</v>
      </c>
      <c r="V2325" s="289">
        <v>54.7361</v>
      </c>
      <c r="W2325" s="289">
        <v>0</v>
      </c>
      <c r="X2325" s="288">
        <v>4.3149606299212602</v>
      </c>
      <c r="Y2325" s="288">
        <v>4.3070866141732287</v>
      </c>
      <c r="Z2325" s="288">
        <v>2.8425196850393702E-3</v>
      </c>
      <c r="AA2325" s="288">
        <v>0</v>
      </c>
      <c r="AB2325" s="288">
        <v>0</v>
      </c>
      <c r="AC2325" s="289">
        <v>4.3099291338582679</v>
      </c>
      <c r="AD2325" s="289">
        <v>0</v>
      </c>
    </row>
    <row r="2326" spans="1:30" ht="15" customHeight="1" x14ac:dyDescent="0.25">
      <c r="A2326" s="282" t="s">
        <v>3309</v>
      </c>
      <c r="B2326" s="283" t="s">
        <v>3310</v>
      </c>
      <c r="C2326" s="282" t="s">
        <v>3310</v>
      </c>
      <c r="D2326" s="283" t="s">
        <v>3462</v>
      </c>
      <c r="E2326" s="403">
        <v>45061</v>
      </c>
      <c r="F2326" s="403">
        <v>46888</v>
      </c>
      <c r="G2326" s="283" t="s">
        <v>154</v>
      </c>
      <c r="H2326" s="282" t="s">
        <v>3427</v>
      </c>
      <c r="I2326" s="282" t="s">
        <v>590</v>
      </c>
      <c r="J2326" s="282" t="s">
        <v>156</v>
      </c>
      <c r="K2326" s="283" t="s">
        <v>3428</v>
      </c>
      <c r="L2326" s="286" t="s">
        <v>321</v>
      </c>
      <c r="M2326" s="287"/>
      <c r="N2326" s="287">
        <v>14</v>
      </c>
      <c r="O2326" s="287"/>
      <c r="P2326" s="287"/>
      <c r="Q2326" s="288">
        <v>60.2</v>
      </c>
      <c r="R2326" s="288">
        <v>60.1</v>
      </c>
      <c r="S2326" s="288">
        <v>2.9399999999999999E-2</v>
      </c>
      <c r="T2326" s="288"/>
      <c r="U2326" s="288">
        <v>0</v>
      </c>
      <c r="V2326" s="289">
        <v>60.129400000000004</v>
      </c>
      <c r="W2326" s="289">
        <v>0</v>
      </c>
      <c r="X2326" s="288">
        <v>4.3</v>
      </c>
      <c r="Y2326" s="288">
        <v>4.2928571428571427</v>
      </c>
      <c r="Z2326" s="288">
        <v>2.0999999999999999E-3</v>
      </c>
      <c r="AA2326" s="288">
        <v>0</v>
      </c>
      <c r="AB2326" s="288">
        <v>0</v>
      </c>
      <c r="AC2326" s="289">
        <v>4.2949571428571431</v>
      </c>
      <c r="AD2326" s="289">
        <v>0</v>
      </c>
    </row>
    <row r="2327" spans="1:30" ht="15" customHeight="1" x14ac:dyDescent="0.25">
      <c r="A2327" s="282" t="s">
        <v>3309</v>
      </c>
      <c r="B2327" s="283" t="s">
        <v>3314</v>
      </c>
      <c r="C2327" s="282" t="s">
        <v>3314</v>
      </c>
      <c r="D2327" s="283" t="s">
        <v>3463</v>
      </c>
      <c r="E2327" s="403">
        <v>44860</v>
      </c>
      <c r="F2327" s="403">
        <v>46686</v>
      </c>
      <c r="G2327" s="283" t="s">
        <v>3331</v>
      </c>
      <c r="H2327" s="282" t="s">
        <v>3388</v>
      </c>
      <c r="I2327" s="282" t="s">
        <v>3336</v>
      </c>
      <c r="J2327" s="282" t="s">
        <v>156</v>
      </c>
      <c r="K2327" s="283" t="s">
        <v>3389</v>
      </c>
      <c r="L2327" s="286" t="s">
        <v>321</v>
      </c>
      <c r="M2327" s="287"/>
      <c r="N2327" s="287">
        <v>17.399999999999999</v>
      </c>
      <c r="O2327" s="287"/>
      <c r="P2327" s="287"/>
      <c r="Q2327" s="288">
        <v>81.7</v>
      </c>
      <c r="R2327" s="288">
        <v>81.599999999999994</v>
      </c>
      <c r="S2327" s="288">
        <v>-2.4E-2</v>
      </c>
      <c r="T2327" s="288"/>
      <c r="U2327" s="288">
        <v>0</v>
      </c>
      <c r="V2327" s="289">
        <v>81.599999999999994</v>
      </c>
      <c r="W2327" s="289">
        <v>0</v>
      </c>
      <c r="X2327" s="288">
        <v>4.695402298850575</v>
      </c>
      <c r="Y2327" s="288">
        <v>4.6896551724137936</v>
      </c>
      <c r="Z2327" s="288">
        <v>-1.3793103448275863E-3</v>
      </c>
      <c r="AA2327" s="288">
        <v>0</v>
      </c>
      <c r="AB2327" s="288">
        <v>0</v>
      </c>
      <c r="AC2327" s="289">
        <v>4.6896551724137936</v>
      </c>
      <c r="AD2327" s="289">
        <v>0</v>
      </c>
    </row>
    <row r="2328" spans="1:30" ht="15" customHeight="1" x14ac:dyDescent="0.25">
      <c r="A2328" s="282" t="s">
        <v>3309</v>
      </c>
      <c r="B2328" s="283" t="s">
        <v>3310</v>
      </c>
      <c r="C2328" s="282" t="s">
        <v>3310</v>
      </c>
      <c r="D2328" s="283" t="s">
        <v>3464</v>
      </c>
      <c r="E2328" s="403">
        <v>45008</v>
      </c>
      <c r="F2328" s="403">
        <v>46835</v>
      </c>
      <c r="G2328" s="283" t="s">
        <v>3331</v>
      </c>
      <c r="H2328" s="282" t="s">
        <v>3450</v>
      </c>
      <c r="I2328" s="282" t="s">
        <v>590</v>
      </c>
      <c r="J2328" s="282" t="s">
        <v>156</v>
      </c>
      <c r="K2328" s="283" t="s">
        <v>3389</v>
      </c>
      <c r="L2328" s="286" t="s">
        <v>321</v>
      </c>
      <c r="M2328" s="287"/>
      <c r="N2328" s="287">
        <v>6.0571428571428587</v>
      </c>
      <c r="O2328" s="287"/>
      <c r="P2328" s="287"/>
      <c r="Q2328" s="288">
        <v>7.16</v>
      </c>
      <c r="R2328" s="288">
        <v>7.06</v>
      </c>
      <c r="S2328" s="288">
        <v>9.1200000000000003E-2</v>
      </c>
      <c r="T2328" s="288"/>
      <c r="U2328" s="288">
        <v>0</v>
      </c>
      <c r="V2328" s="289">
        <v>7.1511999999999993</v>
      </c>
      <c r="W2328" s="289">
        <v>0</v>
      </c>
      <c r="X2328" s="288">
        <v>1.182075471698113</v>
      </c>
      <c r="Y2328" s="288">
        <v>1.1655660377358488</v>
      </c>
      <c r="Z2328" s="288">
        <v>1.5056603773584903E-2</v>
      </c>
      <c r="AA2328" s="288">
        <v>0</v>
      </c>
      <c r="AB2328" s="288">
        <v>0</v>
      </c>
      <c r="AC2328" s="289">
        <v>1.1806226415094336</v>
      </c>
      <c r="AD2328" s="289">
        <v>0</v>
      </c>
    </row>
    <row r="2329" spans="1:30" ht="15" customHeight="1" x14ac:dyDescent="0.25">
      <c r="A2329" s="282" t="s">
        <v>3309</v>
      </c>
      <c r="B2329" s="283" t="s">
        <v>3310</v>
      </c>
      <c r="C2329" s="282" t="s">
        <v>3310</v>
      </c>
      <c r="D2329" s="283" t="s">
        <v>3465</v>
      </c>
      <c r="E2329" s="403">
        <v>45061</v>
      </c>
      <c r="F2329" s="403">
        <v>46888</v>
      </c>
      <c r="G2329" s="283" t="s">
        <v>154</v>
      </c>
      <c r="H2329" s="282" t="s">
        <v>3427</v>
      </c>
      <c r="I2329" s="282" t="s">
        <v>590</v>
      </c>
      <c r="J2329" s="282" t="s">
        <v>156</v>
      </c>
      <c r="K2329" s="283" t="s">
        <v>3428</v>
      </c>
      <c r="L2329" s="286" t="s">
        <v>321</v>
      </c>
      <c r="M2329" s="287"/>
      <c r="N2329" s="287">
        <v>15.1</v>
      </c>
      <c r="O2329" s="287"/>
      <c r="P2329" s="287"/>
      <c r="Q2329" s="288">
        <v>60.1</v>
      </c>
      <c r="R2329" s="288">
        <v>60</v>
      </c>
      <c r="S2329" s="288">
        <v>2.5700000000000001E-2</v>
      </c>
      <c r="T2329" s="288"/>
      <c r="U2329" s="288">
        <v>0</v>
      </c>
      <c r="V2329" s="289">
        <v>60.025700000000001</v>
      </c>
      <c r="W2329" s="289">
        <v>0</v>
      </c>
      <c r="X2329" s="288">
        <v>3.9801324503311259</v>
      </c>
      <c r="Y2329" s="288">
        <v>3.9735099337748347</v>
      </c>
      <c r="Z2329" s="288">
        <v>1.7019867549668876E-3</v>
      </c>
      <c r="AA2329" s="288">
        <v>0</v>
      </c>
      <c r="AB2329" s="288">
        <v>0</v>
      </c>
      <c r="AC2329" s="289">
        <v>3.9752119205298015</v>
      </c>
      <c r="AD2329" s="289">
        <v>0</v>
      </c>
    </row>
    <row r="2330" spans="1:30" ht="15" customHeight="1" x14ac:dyDescent="0.25">
      <c r="A2330" s="282" t="s">
        <v>3309</v>
      </c>
      <c r="B2330" s="283" t="s">
        <v>3310</v>
      </c>
      <c r="C2330" s="282" t="s">
        <v>3310</v>
      </c>
      <c r="D2330" s="283" t="s">
        <v>3466</v>
      </c>
      <c r="E2330" s="403">
        <v>45061</v>
      </c>
      <c r="F2330" s="403">
        <v>46888</v>
      </c>
      <c r="G2330" s="283" t="s">
        <v>154</v>
      </c>
      <c r="H2330" s="282" t="s">
        <v>3427</v>
      </c>
      <c r="I2330" s="282" t="s">
        <v>590</v>
      </c>
      <c r="J2330" s="282" t="s">
        <v>156</v>
      </c>
      <c r="K2330" s="283" t="s">
        <v>3428</v>
      </c>
      <c r="L2330" s="286" t="s">
        <v>321</v>
      </c>
      <c r="M2330" s="287"/>
      <c r="N2330" s="287">
        <v>11.6</v>
      </c>
      <c r="O2330" s="287"/>
      <c r="P2330" s="287"/>
      <c r="Q2330" s="288">
        <v>50.8</v>
      </c>
      <c r="R2330" s="288">
        <v>50.7</v>
      </c>
      <c r="S2330" s="288">
        <v>3.3300000000000003E-2</v>
      </c>
      <c r="T2330" s="288"/>
      <c r="U2330" s="288">
        <v>0</v>
      </c>
      <c r="V2330" s="289">
        <v>50.7333</v>
      </c>
      <c r="W2330" s="289">
        <v>0</v>
      </c>
      <c r="X2330" s="288">
        <v>4.3793103448275863</v>
      </c>
      <c r="Y2330" s="288">
        <v>4.3706896551724146</v>
      </c>
      <c r="Z2330" s="288">
        <v>2.8706896551724142E-3</v>
      </c>
      <c r="AA2330" s="288">
        <v>0</v>
      </c>
      <c r="AB2330" s="288">
        <v>0</v>
      </c>
      <c r="AC2330" s="289">
        <v>4.3735603448275873</v>
      </c>
      <c r="AD2330" s="289">
        <v>0</v>
      </c>
    </row>
    <row r="2331" spans="1:30" ht="15" customHeight="1" x14ac:dyDescent="0.25">
      <c r="A2331" s="282" t="s">
        <v>3309</v>
      </c>
      <c r="B2331" s="283" t="s">
        <v>3310</v>
      </c>
      <c r="C2331" s="282" t="s">
        <v>3310</v>
      </c>
      <c r="D2331" s="283" t="s">
        <v>3467</v>
      </c>
      <c r="E2331" s="403">
        <v>45061</v>
      </c>
      <c r="F2331" s="403">
        <v>46888</v>
      </c>
      <c r="G2331" s="283" t="s">
        <v>154</v>
      </c>
      <c r="H2331" s="282" t="s">
        <v>3427</v>
      </c>
      <c r="I2331" s="282" t="s">
        <v>590</v>
      </c>
      <c r="J2331" s="282" t="s">
        <v>156</v>
      </c>
      <c r="K2331" s="283" t="s">
        <v>3428</v>
      </c>
      <c r="L2331" s="286" t="s">
        <v>321</v>
      </c>
      <c r="M2331" s="287"/>
      <c r="N2331" s="287">
        <v>10.7</v>
      </c>
      <c r="O2331" s="287"/>
      <c r="P2331" s="287"/>
      <c r="Q2331" s="288">
        <v>46.7</v>
      </c>
      <c r="R2331" s="288">
        <v>46.6</v>
      </c>
      <c r="S2331" s="288">
        <v>2.9700000000000001E-2</v>
      </c>
      <c r="T2331" s="288"/>
      <c r="U2331" s="288">
        <v>0</v>
      </c>
      <c r="V2331" s="289">
        <v>46.6297</v>
      </c>
      <c r="W2331" s="289">
        <v>0</v>
      </c>
      <c r="X2331" s="288">
        <v>4.3644859813084116</v>
      </c>
      <c r="Y2331" s="288">
        <v>4.3551401869158886</v>
      </c>
      <c r="Z2331" s="288">
        <v>2.7757009345794393E-3</v>
      </c>
      <c r="AA2331" s="288">
        <v>0</v>
      </c>
      <c r="AB2331" s="288">
        <v>0</v>
      </c>
      <c r="AC2331" s="289">
        <v>4.357915887850468</v>
      </c>
      <c r="AD2331" s="289">
        <v>0</v>
      </c>
    </row>
    <row r="2332" spans="1:30" ht="15" customHeight="1" x14ac:dyDescent="0.25">
      <c r="A2332" s="282" t="s">
        <v>3468</v>
      </c>
      <c r="B2332" s="282"/>
      <c r="C2332" s="282" t="s">
        <v>3468</v>
      </c>
      <c r="D2332" s="283" t="s">
        <v>3469</v>
      </c>
      <c r="E2332" s="403">
        <v>45271</v>
      </c>
      <c r="F2332" s="403">
        <v>47098</v>
      </c>
      <c r="G2332" s="283" t="s">
        <v>237</v>
      </c>
      <c r="H2332" s="282" t="s">
        <v>3470</v>
      </c>
      <c r="I2332" s="285"/>
      <c r="J2332" s="282" t="s">
        <v>184</v>
      </c>
      <c r="K2332" s="283" t="s">
        <v>3471</v>
      </c>
      <c r="L2332" s="286" t="s">
        <v>219</v>
      </c>
      <c r="M2332" s="287" t="s">
        <v>159</v>
      </c>
      <c r="N2332" s="287" t="s">
        <v>159</v>
      </c>
      <c r="O2332" s="287" t="s">
        <v>159</v>
      </c>
      <c r="P2332" s="287">
        <v>4.3099999999999999E-2</v>
      </c>
      <c r="Q2332" s="288">
        <v>9.5250999999999999E-3</v>
      </c>
      <c r="R2332" s="288">
        <v>9.4819999999999991E-3</v>
      </c>
      <c r="S2332" s="288">
        <v>1.3792000000000001E-5</v>
      </c>
      <c r="T2332" s="288">
        <v>8.3613999999999993E-6</v>
      </c>
      <c r="U2332" s="288">
        <v>0</v>
      </c>
      <c r="V2332" s="289">
        <v>9.5041533999999997E-3</v>
      </c>
      <c r="W2332" s="289">
        <v>0</v>
      </c>
      <c r="X2332" s="288">
        <v>9.5250999999999999E-3</v>
      </c>
      <c r="Y2332" s="288">
        <v>9.4819999999999991E-3</v>
      </c>
      <c r="Z2332" s="288">
        <v>1.3792000000000001E-5</v>
      </c>
      <c r="AA2332" s="288">
        <v>8.3613999999999993E-6</v>
      </c>
      <c r="AB2332" s="288">
        <v>0</v>
      </c>
      <c r="AC2332" s="289">
        <v>9.5041533999999997E-3</v>
      </c>
      <c r="AD2332" s="289">
        <v>0</v>
      </c>
    </row>
    <row r="2333" spans="1:30" ht="15" customHeight="1" x14ac:dyDescent="0.25">
      <c r="A2333" s="282" t="s">
        <v>3472</v>
      </c>
      <c r="B2333" s="282" t="s">
        <v>3473</v>
      </c>
      <c r="C2333" s="282" t="s">
        <v>3474</v>
      </c>
      <c r="D2333" s="283" t="s">
        <v>3475</v>
      </c>
      <c r="E2333" s="403">
        <v>45196</v>
      </c>
      <c r="F2333" s="403">
        <v>47023</v>
      </c>
      <c r="G2333" s="283" t="s">
        <v>237</v>
      </c>
      <c r="H2333" s="282" t="s">
        <v>3476</v>
      </c>
      <c r="I2333" s="285"/>
      <c r="J2333" s="282" t="s">
        <v>184</v>
      </c>
      <c r="K2333" s="283" t="s">
        <v>3477</v>
      </c>
      <c r="L2333" s="286" t="s">
        <v>219</v>
      </c>
      <c r="M2333" s="287">
        <v>2250</v>
      </c>
      <c r="N2333" s="287" t="s">
        <v>159</v>
      </c>
      <c r="O2333" s="287" t="s">
        <v>159</v>
      </c>
      <c r="P2333" s="287" t="s">
        <v>159</v>
      </c>
      <c r="Q2333" s="288">
        <v>0.23599999999999999</v>
      </c>
      <c r="R2333" s="288">
        <v>0.308</v>
      </c>
      <c r="S2333" s="288">
        <v>-7.2300000000000003E-2</v>
      </c>
      <c r="T2333" s="288">
        <v>2.4699999999999999E-4</v>
      </c>
      <c r="U2333" s="288">
        <v>0</v>
      </c>
      <c r="V2333" s="289">
        <v>0.30824699999999999</v>
      </c>
      <c r="W2333" s="289">
        <v>0</v>
      </c>
      <c r="X2333" s="288">
        <v>0.23599999999999999</v>
      </c>
      <c r="Y2333" s="288">
        <v>0.308</v>
      </c>
      <c r="Z2333" s="288">
        <v>-7.2300000000000003E-2</v>
      </c>
      <c r="AA2333" s="288">
        <v>2.4699999999999999E-4</v>
      </c>
      <c r="AB2333" s="288">
        <v>0</v>
      </c>
      <c r="AC2333" s="289">
        <v>0.30824699999999999</v>
      </c>
      <c r="AD2333" s="289">
        <v>0</v>
      </c>
    </row>
    <row r="2334" spans="1:30" ht="15" customHeight="1" x14ac:dyDescent="0.25">
      <c r="A2334" s="282" t="s">
        <v>3472</v>
      </c>
      <c r="B2334" s="282" t="s">
        <v>3478</v>
      </c>
      <c r="C2334" s="282" t="s">
        <v>3479</v>
      </c>
      <c r="D2334" s="283" t="s">
        <v>3480</v>
      </c>
      <c r="E2334" s="403">
        <v>44568</v>
      </c>
      <c r="F2334" s="403">
        <v>46393</v>
      </c>
      <c r="G2334" s="283" t="s">
        <v>231</v>
      </c>
      <c r="H2334" s="282" t="s">
        <v>3481</v>
      </c>
      <c r="I2334" s="285"/>
      <c r="J2334" s="282" t="s">
        <v>184</v>
      </c>
      <c r="K2334" s="283" t="s">
        <v>3482</v>
      </c>
      <c r="L2334" s="286" t="s">
        <v>158</v>
      </c>
      <c r="M2334" s="287" t="s">
        <v>159</v>
      </c>
      <c r="N2334" s="287">
        <v>60.02</v>
      </c>
      <c r="O2334" s="287" t="s">
        <v>159</v>
      </c>
      <c r="P2334" s="287" t="s">
        <v>159</v>
      </c>
      <c r="Q2334" s="288">
        <v>521.4928357214261</v>
      </c>
      <c r="R2334" s="288">
        <v>568.14395201599461</v>
      </c>
      <c r="S2334" s="288">
        <v>-47.650783072309224</v>
      </c>
      <c r="T2334" s="288"/>
      <c r="U2334" s="288">
        <v>0</v>
      </c>
      <c r="V2334" s="289">
        <v>568.14395201599461</v>
      </c>
      <c r="W2334" s="289">
        <v>0</v>
      </c>
      <c r="X2334" s="288">
        <v>0.52149283572142613</v>
      </c>
      <c r="Y2334" s="288">
        <v>0.56814395201599466</v>
      </c>
      <c r="Z2334" s="288">
        <v>-4.7650783072309223E-2</v>
      </c>
      <c r="AA2334" s="288">
        <v>0</v>
      </c>
      <c r="AB2334" s="288">
        <v>0</v>
      </c>
      <c r="AC2334" s="289">
        <v>0.56814395201599466</v>
      </c>
      <c r="AD2334" s="289">
        <v>0</v>
      </c>
    </row>
    <row r="2335" spans="1:30" ht="15" customHeight="1" x14ac:dyDescent="0.25">
      <c r="A2335" s="282" t="s">
        <v>3472</v>
      </c>
      <c r="B2335" s="282" t="s">
        <v>3473</v>
      </c>
      <c r="C2335" s="282" t="s">
        <v>3474</v>
      </c>
      <c r="D2335" s="283" t="s">
        <v>3483</v>
      </c>
      <c r="E2335" s="403">
        <v>43248</v>
      </c>
      <c r="F2335" s="403">
        <v>45060</v>
      </c>
      <c r="G2335" s="283" t="s">
        <v>237</v>
      </c>
      <c r="H2335" s="282" t="s">
        <v>3484</v>
      </c>
      <c r="I2335" s="285"/>
      <c r="J2335" s="282" t="s">
        <v>184</v>
      </c>
      <c r="K2335" s="283" t="s">
        <v>191</v>
      </c>
      <c r="L2335" s="286" t="s">
        <v>219</v>
      </c>
      <c r="M2335" s="287" t="s">
        <v>159</v>
      </c>
      <c r="N2335" s="287">
        <v>14</v>
      </c>
      <c r="O2335" s="287" t="s">
        <v>159</v>
      </c>
      <c r="P2335" s="287" t="s">
        <v>159</v>
      </c>
      <c r="Q2335" s="288">
        <v>0.73571428571428577</v>
      </c>
      <c r="R2335" s="288">
        <v>0.73571428571428577</v>
      </c>
      <c r="S2335" s="288">
        <v>5.4500000000000002E-4</v>
      </c>
      <c r="T2335" s="288">
        <v>4.8785714285714285E-4</v>
      </c>
      <c r="U2335" s="288">
        <v>0</v>
      </c>
      <c r="V2335" s="289">
        <v>0.73674714285714293</v>
      </c>
      <c r="W2335" s="289">
        <v>0</v>
      </c>
      <c r="X2335" s="288">
        <v>0.73571428571428577</v>
      </c>
      <c r="Y2335" s="288">
        <v>0.73571428571428577</v>
      </c>
      <c r="Z2335" s="288">
        <v>5.4500000000000002E-4</v>
      </c>
      <c r="AA2335" s="288">
        <v>4.8785714285714285E-4</v>
      </c>
      <c r="AB2335" s="288">
        <v>0</v>
      </c>
      <c r="AC2335" s="289">
        <v>0.73674714285714293</v>
      </c>
      <c r="AD2335" s="289">
        <v>0</v>
      </c>
    </row>
    <row r="2336" spans="1:30" ht="15" customHeight="1" x14ac:dyDescent="0.25">
      <c r="A2336" s="282" t="s">
        <v>3472</v>
      </c>
      <c r="B2336" s="282" t="s">
        <v>3478</v>
      </c>
      <c r="C2336" s="282" t="s">
        <v>3479</v>
      </c>
      <c r="D2336" s="283" t="s">
        <v>3485</v>
      </c>
      <c r="E2336" s="403">
        <v>42898</v>
      </c>
      <c r="F2336" s="403">
        <v>45443</v>
      </c>
      <c r="G2336" s="283" t="s">
        <v>237</v>
      </c>
      <c r="H2336" s="282" t="s">
        <v>3486</v>
      </c>
      <c r="I2336" s="285"/>
      <c r="J2336" s="282" t="s">
        <v>2837</v>
      </c>
      <c r="K2336" s="283" t="s">
        <v>2838</v>
      </c>
      <c r="L2336" s="286" t="s">
        <v>158</v>
      </c>
      <c r="M2336" s="287">
        <v>2000</v>
      </c>
      <c r="N2336" s="287" t="s">
        <v>159</v>
      </c>
      <c r="O2336" s="287" t="s">
        <v>159</v>
      </c>
      <c r="P2336" s="287" t="s">
        <v>159</v>
      </c>
      <c r="Q2336" s="288">
        <v>199</v>
      </c>
      <c r="R2336" s="288"/>
      <c r="S2336" s="288"/>
      <c r="T2336" s="288"/>
      <c r="U2336" s="288">
        <v>0</v>
      </c>
      <c r="V2336" s="289">
        <v>199</v>
      </c>
      <c r="W2336" s="289">
        <v>0</v>
      </c>
      <c r="X2336" s="288">
        <v>0.19900000000000001</v>
      </c>
      <c r="Y2336" s="288">
        <v>0</v>
      </c>
      <c r="Z2336" s="288">
        <v>0</v>
      </c>
      <c r="AA2336" s="288">
        <v>0</v>
      </c>
      <c r="AB2336" s="288">
        <v>0</v>
      </c>
      <c r="AC2336" s="289">
        <v>0.19900000000000001</v>
      </c>
      <c r="AD2336" s="289">
        <v>0</v>
      </c>
    </row>
    <row r="2337" spans="1:30" ht="15" customHeight="1" x14ac:dyDescent="0.25">
      <c r="A2337" s="282" t="s">
        <v>3472</v>
      </c>
      <c r="B2337" s="282" t="s">
        <v>3473</v>
      </c>
      <c r="C2337" s="282" t="s">
        <v>3474</v>
      </c>
      <c r="D2337" s="283" t="s">
        <v>3487</v>
      </c>
      <c r="E2337" s="403">
        <v>44930</v>
      </c>
      <c r="F2337" s="403">
        <v>46756</v>
      </c>
      <c r="G2337" s="283" t="s">
        <v>237</v>
      </c>
      <c r="H2337" s="282" t="s">
        <v>3488</v>
      </c>
      <c r="I2337" s="285"/>
      <c r="J2337" s="282" t="s">
        <v>184</v>
      </c>
      <c r="K2337" s="283" t="s">
        <v>3489</v>
      </c>
      <c r="L2337" s="286" t="s">
        <v>219</v>
      </c>
      <c r="M2337" s="287" t="s">
        <v>159</v>
      </c>
      <c r="N2337" s="287">
        <v>24.5</v>
      </c>
      <c r="O2337" s="287" t="s">
        <v>159</v>
      </c>
      <c r="P2337" s="287" t="s">
        <v>159</v>
      </c>
      <c r="Q2337" s="288">
        <v>0.82040816326530619</v>
      </c>
      <c r="R2337" s="288">
        <v>0.81632653061224492</v>
      </c>
      <c r="S2337" s="288">
        <v>3.4285714285714288E-3</v>
      </c>
      <c r="T2337" s="288">
        <v>1.5510204081632654E-4</v>
      </c>
      <c r="U2337" s="288">
        <v>0</v>
      </c>
      <c r="V2337" s="289">
        <v>0.81991020408163273</v>
      </c>
      <c r="W2337" s="289">
        <v>0</v>
      </c>
      <c r="X2337" s="288">
        <v>0.82040816326530619</v>
      </c>
      <c r="Y2337" s="288">
        <v>0.81632653061224492</v>
      </c>
      <c r="Z2337" s="288">
        <v>3.4285714285714288E-3</v>
      </c>
      <c r="AA2337" s="288">
        <v>1.5510204081632654E-4</v>
      </c>
      <c r="AB2337" s="288">
        <v>0</v>
      </c>
      <c r="AC2337" s="289">
        <v>0.81991020408163273</v>
      </c>
      <c r="AD2337" s="289">
        <v>0</v>
      </c>
    </row>
    <row r="2338" spans="1:30" ht="15" customHeight="1" x14ac:dyDescent="0.25">
      <c r="A2338" s="282" t="s">
        <v>3472</v>
      </c>
      <c r="B2338" s="282" t="s">
        <v>3478</v>
      </c>
      <c r="C2338" s="282" t="s">
        <v>3479</v>
      </c>
      <c r="D2338" s="283" t="s">
        <v>3490</v>
      </c>
      <c r="E2338" s="403">
        <v>44960</v>
      </c>
      <c r="F2338" s="403">
        <v>46785</v>
      </c>
      <c r="G2338" s="283" t="s">
        <v>237</v>
      </c>
      <c r="H2338" s="282" t="s">
        <v>2842</v>
      </c>
      <c r="I2338" s="285"/>
      <c r="J2338" s="282" t="s">
        <v>184</v>
      </c>
      <c r="K2338" s="283" t="s">
        <v>2843</v>
      </c>
      <c r="L2338" s="286" t="s">
        <v>158</v>
      </c>
      <c r="M2338" s="287" t="s">
        <v>159</v>
      </c>
      <c r="N2338" s="287" t="s">
        <v>159</v>
      </c>
      <c r="O2338" s="287" t="s">
        <v>159</v>
      </c>
      <c r="P2338" s="287" t="s">
        <v>159</v>
      </c>
      <c r="Q2338" s="288">
        <v>47.9</v>
      </c>
      <c r="R2338" s="288">
        <v>47.4</v>
      </c>
      <c r="S2338" s="288">
        <v>0.42399999999999999</v>
      </c>
      <c r="T2338" s="288">
        <v>8.09E-3</v>
      </c>
      <c r="U2338" s="288">
        <v>0</v>
      </c>
      <c r="V2338" s="289">
        <v>47.832090000000001</v>
      </c>
      <c r="W2338" s="289">
        <v>0</v>
      </c>
      <c r="X2338" s="288">
        <v>4.7899999999999998E-2</v>
      </c>
      <c r="Y2338" s="288">
        <v>4.7399999999999998E-2</v>
      </c>
      <c r="Z2338" s="288">
        <v>4.2400000000000001E-4</v>
      </c>
      <c r="AA2338" s="288">
        <v>8.0900000000000005E-6</v>
      </c>
      <c r="AB2338" s="288">
        <v>0</v>
      </c>
      <c r="AC2338" s="289">
        <v>4.7832090000000001E-2</v>
      </c>
      <c r="AD2338" s="289">
        <v>0</v>
      </c>
    </row>
    <row r="2339" spans="1:30" ht="15" customHeight="1" x14ac:dyDescent="0.25">
      <c r="A2339" s="282" t="s">
        <v>3472</v>
      </c>
      <c r="B2339" s="282" t="s">
        <v>3478</v>
      </c>
      <c r="C2339" s="282" t="s">
        <v>3479</v>
      </c>
      <c r="D2339" s="283" t="s">
        <v>3491</v>
      </c>
      <c r="E2339" s="403">
        <v>45018</v>
      </c>
      <c r="F2339" s="403">
        <v>46846</v>
      </c>
      <c r="G2339" s="283" t="s">
        <v>2202</v>
      </c>
      <c r="H2339" s="282" t="s">
        <v>3492</v>
      </c>
      <c r="I2339" s="285"/>
      <c r="J2339" s="282" t="s">
        <v>184</v>
      </c>
      <c r="K2339" s="283" t="s">
        <v>3493</v>
      </c>
      <c r="L2339" s="286" t="s">
        <v>158</v>
      </c>
      <c r="M2339" s="287" t="s">
        <v>159</v>
      </c>
      <c r="N2339" s="287" t="s">
        <v>159</v>
      </c>
      <c r="O2339" s="287" t="s">
        <v>159</v>
      </c>
      <c r="P2339" s="287" t="s">
        <v>159</v>
      </c>
      <c r="Q2339" s="288">
        <v>316.14999999999998</v>
      </c>
      <c r="R2339" s="288">
        <v>312.75140000000005</v>
      </c>
      <c r="S2339" s="288">
        <v>2.0219100000000001</v>
      </c>
      <c r="T2339" s="288"/>
      <c r="U2339" s="288">
        <v>0</v>
      </c>
      <c r="V2339" s="289">
        <v>314.77331000000004</v>
      </c>
      <c r="W2339" s="289">
        <v>0</v>
      </c>
      <c r="X2339" s="288">
        <v>0.31614999999999999</v>
      </c>
      <c r="Y2339" s="288">
        <v>0.31275140000000007</v>
      </c>
      <c r="Z2339" s="288">
        <v>2.02191E-3</v>
      </c>
      <c r="AA2339" s="288">
        <v>0</v>
      </c>
      <c r="AB2339" s="288">
        <v>0</v>
      </c>
      <c r="AC2339" s="289">
        <v>0.31477331000000008</v>
      </c>
      <c r="AD2339" s="289">
        <v>0</v>
      </c>
    </row>
    <row r="2340" spans="1:30" ht="15" customHeight="1" x14ac:dyDescent="0.25">
      <c r="A2340" s="282" t="s">
        <v>3472</v>
      </c>
      <c r="B2340" s="282" t="s">
        <v>3473</v>
      </c>
      <c r="C2340" s="282" t="s">
        <v>3474</v>
      </c>
      <c r="D2340" s="283" t="s">
        <v>3494</v>
      </c>
      <c r="E2340" s="403">
        <v>44637</v>
      </c>
      <c r="F2340" s="403">
        <v>46462</v>
      </c>
      <c r="G2340" s="283" t="s">
        <v>237</v>
      </c>
      <c r="H2340" s="282" t="s">
        <v>3495</v>
      </c>
      <c r="I2340" s="285"/>
      <c r="J2340" s="282" t="s">
        <v>184</v>
      </c>
      <c r="K2340" s="283" t="s">
        <v>3496</v>
      </c>
      <c r="L2340" s="286" t="s">
        <v>219</v>
      </c>
      <c r="M2340" s="287" t="s">
        <v>159</v>
      </c>
      <c r="N2340" s="287">
        <v>22.1</v>
      </c>
      <c r="O2340" s="287" t="s">
        <v>159</v>
      </c>
      <c r="P2340" s="287" t="s">
        <v>159</v>
      </c>
      <c r="Q2340" s="288">
        <v>0.46153846153846145</v>
      </c>
      <c r="R2340" s="288">
        <v>0.45701357466063341</v>
      </c>
      <c r="S2340" s="288">
        <v>2.1447963800904973E-3</v>
      </c>
      <c r="T2340" s="288">
        <v>2.2805429864253393E-4</v>
      </c>
      <c r="U2340" s="288">
        <v>0</v>
      </c>
      <c r="V2340" s="289">
        <v>0.45938642533936647</v>
      </c>
      <c r="W2340" s="289">
        <v>0</v>
      </c>
      <c r="X2340" s="288">
        <v>0.46153846153846145</v>
      </c>
      <c r="Y2340" s="288">
        <v>0.45701357466063341</v>
      </c>
      <c r="Z2340" s="288">
        <v>2.1447963800904973E-3</v>
      </c>
      <c r="AA2340" s="288">
        <v>2.2805429864253393E-4</v>
      </c>
      <c r="AB2340" s="288">
        <v>0</v>
      </c>
      <c r="AC2340" s="289">
        <v>0.45938642533936647</v>
      </c>
      <c r="AD2340" s="289">
        <v>0</v>
      </c>
    </row>
    <row r="2341" spans="1:30" ht="15" customHeight="1" x14ac:dyDescent="0.25">
      <c r="A2341" s="282" t="s">
        <v>3497</v>
      </c>
      <c r="B2341" s="282" t="s">
        <v>2422</v>
      </c>
      <c r="C2341" s="282" t="s">
        <v>2423</v>
      </c>
      <c r="D2341" s="286" t="s">
        <v>3498</v>
      </c>
      <c r="E2341" s="403">
        <v>43077</v>
      </c>
      <c r="F2341" s="403">
        <v>44903</v>
      </c>
      <c r="G2341" s="283" t="s">
        <v>154</v>
      </c>
      <c r="H2341" s="282" t="s">
        <v>2425</v>
      </c>
      <c r="I2341" s="282" t="s">
        <v>1600</v>
      </c>
      <c r="J2341" s="282" t="s">
        <v>156</v>
      </c>
      <c r="K2341" s="283" t="s">
        <v>2426</v>
      </c>
      <c r="L2341" s="292" t="s">
        <v>574</v>
      </c>
      <c r="M2341" s="293">
        <v>514.7058823529411</v>
      </c>
      <c r="N2341" s="293"/>
      <c r="O2341" s="287"/>
      <c r="P2341" s="287"/>
      <c r="Q2341" s="288">
        <v>-248.23529411764702</v>
      </c>
      <c r="R2341" s="288">
        <v>526.47058823529403</v>
      </c>
      <c r="S2341" s="288">
        <v>-776.47058823529403</v>
      </c>
      <c r="T2341" s="288"/>
      <c r="U2341" s="288">
        <v>868.13725490196066</v>
      </c>
      <c r="V2341" s="289">
        <v>618.13725490196066</v>
      </c>
      <c r="W2341" s="289">
        <v>868.13725490196066</v>
      </c>
      <c r="X2341" s="288">
        <v>-0.48228571428571426</v>
      </c>
      <c r="Y2341" s="288">
        <v>1.0228571428571429</v>
      </c>
      <c r="Z2341" s="288">
        <v>-1.5085714285714287</v>
      </c>
      <c r="AA2341" s="288">
        <v>0</v>
      </c>
      <c r="AB2341" s="288">
        <v>1.6866666666666668</v>
      </c>
      <c r="AC2341" s="289">
        <v>1.200952380952381</v>
      </c>
      <c r="AD2341" s="289">
        <v>1.6866666666666668</v>
      </c>
    </row>
    <row r="2342" spans="1:30" ht="15" customHeight="1" x14ac:dyDescent="0.25">
      <c r="A2342" s="282" t="s">
        <v>3497</v>
      </c>
      <c r="B2342" s="282" t="s">
        <v>3499</v>
      </c>
      <c r="C2342" s="282" t="s">
        <v>3500</v>
      </c>
      <c r="D2342" s="286" t="s">
        <v>3501</v>
      </c>
      <c r="E2342" s="403">
        <v>43077</v>
      </c>
      <c r="F2342" s="403">
        <v>44903</v>
      </c>
      <c r="G2342" s="283" t="s">
        <v>154</v>
      </c>
      <c r="H2342" s="282" t="s">
        <v>3502</v>
      </c>
      <c r="I2342" s="282" t="s">
        <v>1600</v>
      </c>
      <c r="J2342" s="282" t="s">
        <v>156</v>
      </c>
      <c r="K2342" s="283" t="s">
        <v>3503</v>
      </c>
      <c r="L2342" s="292" t="s">
        <v>574</v>
      </c>
      <c r="M2342" s="293">
        <v>656</v>
      </c>
      <c r="N2342" s="293"/>
      <c r="O2342" s="287"/>
      <c r="P2342" s="287"/>
      <c r="Q2342" s="288">
        <v>-486.99661016949148</v>
      </c>
      <c r="R2342" s="288">
        <v>522.57627118644064</v>
      </c>
      <c r="S2342" s="288">
        <v>-1011.7966101694914</v>
      </c>
      <c r="T2342" s="288"/>
      <c r="U2342" s="288">
        <v>1118.4799999999998</v>
      </c>
      <c r="V2342" s="289">
        <v>629.25966101694905</v>
      </c>
      <c r="W2342" s="289">
        <v>1118.4799999999998</v>
      </c>
      <c r="X2342" s="288">
        <v>-0.74237288135593216</v>
      </c>
      <c r="Y2342" s="288">
        <v>0.79661016949152541</v>
      </c>
      <c r="Z2342" s="288">
        <v>-1.5423728813559319</v>
      </c>
      <c r="AA2342" s="288">
        <v>0</v>
      </c>
      <c r="AB2342" s="288">
        <v>1.7049999999999996</v>
      </c>
      <c r="AC2342" s="289">
        <v>0.95923728813559317</v>
      </c>
      <c r="AD2342" s="289">
        <v>1.7049999999999996</v>
      </c>
    </row>
    <row r="2343" spans="1:30" ht="15" customHeight="1" x14ac:dyDescent="0.25">
      <c r="A2343" s="282" t="s">
        <v>3497</v>
      </c>
      <c r="B2343" s="282" t="s">
        <v>3504</v>
      </c>
      <c r="C2343" s="282" t="s">
        <v>3504</v>
      </c>
      <c r="D2343" s="283" t="s">
        <v>3505</v>
      </c>
      <c r="E2343" s="403">
        <v>45092</v>
      </c>
      <c r="F2343" s="403">
        <v>46918</v>
      </c>
      <c r="G2343" s="283" t="s">
        <v>231</v>
      </c>
      <c r="H2343" s="282" t="s">
        <v>3506</v>
      </c>
      <c r="I2343" s="285"/>
      <c r="J2343" s="282" t="s">
        <v>184</v>
      </c>
      <c r="K2343" s="283" t="s">
        <v>3507</v>
      </c>
      <c r="L2343" s="286" t="s">
        <v>574</v>
      </c>
      <c r="M2343" s="287">
        <v>630</v>
      </c>
      <c r="N2343" s="287" t="s">
        <v>159</v>
      </c>
      <c r="O2343" s="287" t="s">
        <v>159</v>
      </c>
      <c r="P2343" s="287" t="s">
        <v>159</v>
      </c>
      <c r="Q2343" s="288">
        <v>-841</v>
      </c>
      <c r="R2343" s="288">
        <v>195</v>
      </c>
      <c r="S2343" s="288">
        <v>-1040</v>
      </c>
      <c r="T2343" s="288"/>
      <c r="U2343" s="288">
        <v>1039.5</v>
      </c>
      <c r="V2343" s="289">
        <v>195</v>
      </c>
      <c r="W2343" s="289">
        <v>1039.5</v>
      </c>
      <c r="X2343" s="288">
        <v>-1.3349206349206348</v>
      </c>
      <c r="Y2343" s="288">
        <v>0.30952380952380953</v>
      </c>
      <c r="Z2343" s="288">
        <v>-1.6507936507936507</v>
      </c>
      <c r="AA2343" s="288">
        <v>0</v>
      </c>
      <c r="AB2343" s="288">
        <v>1.65</v>
      </c>
      <c r="AC2343" s="289">
        <v>0.30952380952380953</v>
      </c>
      <c r="AD2343" s="289">
        <v>1.65</v>
      </c>
    </row>
    <row r="2344" spans="1:30" ht="15" customHeight="1" x14ac:dyDescent="0.25">
      <c r="A2344" s="282" t="s">
        <v>3497</v>
      </c>
      <c r="B2344" s="282" t="s">
        <v>3508</v>
      </c>
      <c r="C2344" s="282" t="s">
        <v>3509</v>
      </c>
      <c r="D2344" s="286" t="s">
        <v>3510</v>
      </c>
      <c r="E2344" s="403">
        <v>43077</v>
      </c>
      <c r="F2344" s="403">
        <v>44903</v>
      </c>
      <c r="G2344" s="283" t="s">
        <v>154</v>
      </c>
      <c r="H2344" s="283" t="s">
        <v>3511</v>
      </c>
      <c r="I2344" s="283" t="s">
        <v>1600</v>
      </c>
      <c r="J2344" s="282" t="s">
        <v>156</v>
      </c>
      <c r="K2344" s="283" t="s">
        <v>3512</v>
      </c>
      <c r="L2344" s="292" t="s">
        <v>574</v>
      </c>
      <c r="M2344" s="293">
        <v>735</v>
      </c>
      <c r="N2344" s="293"/>
      <c r="O2344" s="287"/>
      <c r="P2344" s="287"/>
      <c r="Q2344" s="288">
        <v>-860.5</v>
      </c>
      <c r="R2344" s="288">
        <v>236.4</v>
      </c>
      <c r="S2344" s="288">
        <v>-1099.8789999999999</v>
      </c>
      <c r="T2344" s="288"/>
      <c r="U2344" s="288">
        <v>1212.75</v>
      </c>
      <c r="V2344" s="289">
        <v>349.27100000000007</v>
      </c>
      <c r="W2344" s="289">
        <v>1212.75</v>
      </c>
      <c r="X2344" s="288">
        <v>-1.1707482993197278</v>
      </c>
      <c r="Y2344" s="288">
        <v>0.32163265306122452</v>
      </c>
      <c r="Z2344" s="288">
        <v>-1.4964340136054421</v>
      </c>
      <c r="AA2344" s="288">
        <v>0</v>
      </c>
      <c r="AB2344" s="288">
        <v>1.65</v>
      </c>
      <c r="AC2344" s="289">
        <v>0.47519863945578233</v>
      </c>
      <c r="AD2344" s="289">
        <v>1.65</v>
      </c>
    </row>
    <row r="2345" spans="1:30" ht="15" customHeight="1" x14ac:dyDescent="0.25">
      <c r="A2345" s="282" t="s">
        <v>3497</v>
      </c>
      <c r="B2345" s="282" t="s">
        <v>3508</v>
      </c>
      <c r="C2345" s="282" t="s">
        <v>3509</v>
      </c>
      <c r="D2345" s="286" t="s">
        <v>3513</v>
      </c>
      <c r="E2345" s="403">
        <v>43077</v>
      </c>
      <c r="F2345" s="403">
        <v>44903</v>
      </c>
      <c r="G2345" s="283" t="s">
        <v>154</v>
      </c>
      <c r="H2345" s="283" t="s">
        <v>3511</v>
      </c>
      <c r="I2345" s="283" t="s">
        <v>1600</v>
      </c>
      <c r="J2345" s="282" t="s">
        <v>156</v>
      </c>
      <c r="K2345" s="283" t="s">
        <v>3512</v>
      </c>
      <c r="L2345" s="292" t="s">
        <v>574</v>
      </c>
      <c r="M2345" s="293">
        <v>735</v>
      </c>
      <c r="N2345" s="293"/>
      <c r="O2345" s="287"/>
      <c r="P2345" s="287"/>
      <c r="Q2345" s="288">
        <v>-856.5</v>
      </c>
      <c r="R2345" s="288">
        <v>240.5</v>
      </c>
      <c r="S2345" s="288">
        <v>-1099.9283</v>
      </c>
      <c r="T2345" s="288"/>
      <c r="U2345" s="288">
        <v>1212.75</v>
      </c>
      <c r="V2345" s="289">
        <v>353.32169999999996</v>
      </c>
      <c r="W2345" s="289">
        <v>1212.75</v>
      </c>
      <c r="X2345" s="288">
        <v>-1.1653061224489796</v>
      </c>
      <c r="Y2345" s="288">
        <v>0.32721088435374152</v>
      </c>
      <c r="Z2345" s="288">
        <v>-1.4965010884353742</v>
      </c>
      <c r="AA2345" s="288">
        <v>0</v>
      </c>
      <c r="AB2345" s="288">
        <v>1.65</v>
      </c>
      <c r="AC2345" s="289">
        <v>0.48070979591836727</v>
      </c>
      <c r="AD2345" s="289">
        <v>1.65</v>
      </c>
    </row>
    <row r="2346" spans="1:30" ht="15" customHeight="1" x14ac:dyDescent="0.25">
      <c r="A2346" s="282" t="s">
        <v>3497</v>
      </c>
      <c r="B2346" s="282" t="s">
        <v>3508</v>
      </c>
      <c r="C2346" s="282" t="s">
        <v>3509</v>
      </c>
      <c r="D2346" s="286" t="s">
        <v>3514</v>
      </c>
      <c r="E2346" s="403">
        <v>43077</v>
      </c>
      <c r="F2346" s="403">
        <v>44903</v>
      </c>
      <c r="G2346" s="283" t="s">
        <v>154</v>
      </c>
      <c r="H2346" s="283" t="s">
        <v>3511</v>
      </c>
      <c r="I2346" s="283" t="s">
        <v>1600</v>
      </c>
      <c r="J2346" s="282" t="s">
        <v>156</v>
      </c>
      <c r="K2346" s="283" t="s">
        <v>3512</v>
      </c>
      <c r="L2346" s="283" t="s">
        <v>574</v>
      </c>
      <c r="M2346" s="293">
        <v>735</v>
      </c>
      <c r="N2346" s="293"/>
      <c r="O2346" s="287"/>
      <c r="P2346" s="287"/>
      <c r="Q2346" s="288">
        <v>-877.2</v>
      </c>
      <c r="R2346" s="288">
        <v>219.8</v>
      </c>
      <c r="S2346" s="288">
        <v>-1099.99757</v>
      </c>
      <c r="T2346" s="288"/>
      <c r="U2346" s="288">
        <v>1212.75</v>
      </c>
      <c r="V2346" s="289">
        <v>332.55242999999996</v>
      </c>
      <c r="W2346" s="289">
        <v>1212.75</v>
      </c>
      <c r="X2346" s="288">
        <v>-1.1934693877551021</v>
      </c>
      <c r="Y2346" s="288">
        <v>0.29904761904761906</v>
      </c>
      <c r="Z2346" s="288">
        <v>-1.4965953333333333</v>
      </c>
      <c r="AA2346" s="288">
        <v>0</v>
      </c>
      <c r="AB2346" s="288">
        <v>1.65</v>
      </c>
      <c r="AC2346" s="289">
        <v>0.45245228571428564</v>
      </c>
      <c r="AD2346" s="289">
        <v>1.65</v>
      </c>
    </row>
    <row r="2347" spans="1:30" ht="15" customHeight="1" x14ac:dyDescent="0.25">
      <c r="A2347" s="282" t="s">
        <v>3497</v>
      </c>
      <c r="B2347" s="282" t="s">
        <v>3508</v>
      </c>
      <c r="C2347" s="282" t="s">
        <v>3509</v>
      </c>
      <c r="D2347" s="286" t="s">
        <v>3515</v>
      </c>
      <c r="E2347" s="403">
        <v>43077</v>
      </c>
      <c r="F2347" s="403">
        <v>44903</v>
      </c>
      <c r="G2347" s="283" t="s">
        <v>154</v>
      </c>
      <c r="H2347" s="282" t="s">
        <v>3511</v>
      </c>
      <c r="I2347" s="282" t="s">
        <v>1600</v>
      </c>
      <c r="J2347" s="282" t="s">
        <v>156</v>
      </c>
      <c r="K2347" s="283" t="s">
        <v>3512</v>
      </c>
      <c r="L2347" s="292" t="s">
        <v>574</v>
      </c>
      <c r="M2347" s="293">
        <v>735</v>
      </c>
      <c r="N2347" s="293"/>
      <c r="O2347" s="287"/>
      <c r="P2347" s="287"/>
      <c r="Q2347" s="288">
        <v>-888</v>
      </c>
      <c r="R2347" s="288">
        <v>209</v>
      </c>
      <c r="S2347" s="288">
        <v>-1100</v>
      </c>
      <c r="T2347" s="288"/>
      <c r="U2347" s="288">
        <v>1212.75</v>
      </c>
      <c r="V2347" s="289">
        <v>321.75</v>
      </c>
      <c r="W2347" s="289">
        <v>1212.75</v>
      </c>
      <c r="X2347" s="288">
        <v>-1.2081632653061225</v>
      </c>
      <c r="Y2347" s="288">
        <v>0.28435374149659864</v>
      </c>
      <c r="Z2347" s="288">
        <v>-1.4965986394557824</v>
      </c>
      <c r="AA2347" s="288">
        <v>0</v>
      </c>
      <c r="AB2347" s="288">
        <v>1.65</v>
      </c>
      <c r="AC2347" s="289">
        <v>0.43775510204081614</v>
      </c>
      <c r="AD2347" s="289">
        <v>1.65</v>
      </c>
    </row>
    <row r="2348" spans="1:30" ht="15" customHeight="1" x14ac:dyDescent="0.25">
      <c r="A2348" s="282" t="s">
        <v>3497</v>
      </c>
      <c r="B2348" s="282" t="s">
        <v>3508</v>
      </c>
      <c r="C2348" s="282" t="s">
        <v>3509</v>
      </c>
      <c r="D2348" s="286" t="s">
        <v>3516</v>
      </c>
      <c r="E2348" s="403">
        <v>43077</v>
      </c>
      <c r="F2348" s="403">
        <v>44903</v>
      </c>
      <c r="G2348" s="283" t="s">
        <v>154</v>
      </c>
      <c r="H2348" s="283" t="s">
        <v>3511</v>
      </c>
      <c r="I2348" s="283" t="s">
        <v>1600</v>
      </c>
      <c r="J2348" s="282" t="s">
        <v>156</v>
      </c>
      <c r="K2348" s="283" t="s">
        <v>3512</v>
      </c>
      <c r="L2348" s="292" t="s">
        <v>574</v>
      </c>
      <c r="M2348" s="293">
        <v>735</v>
      </c>
      <c r="N2348" s="293"/>
      <c r="O2348" s="287"/>
      <c r="P2348" s="287"/>
      <c r="Q2348" s="288">
        <v>-703.5</v>
      </c>
      <c r="R2348" s="288">
        <v>354.4</v>
      </c>
      <c r="S2348" s="288">
        <v>-1059.8789999999999</v>
      </c>
      <c r="T2348" s="288"/>
      <c r="U2348" s="288">
        <v>1212.75</v>
      </c>
      <c r="V2348" s="289">
        <v>507.27100000000007</v>
      </c>
      <c r="W2348" s="289">
        <v>1212.75</v>
      </c>
      <c r="X2348" s="288">
        <v>-0.95714285714285718</v>
      </c>
      <c r="Y2348" s="288">
        <v>0.48217687074829929</v>
      </c>
      <c r="Z2348" s="288">
        <v>-1.4420122448979591</v>
      </c>
      <c r="AA2348" s="288">
        <v>0</v>
      </c>
      <c r="AB2348" s="288">
        <v>1.65</v>
      </c>
      <c r="AC2348" s="289">
        <v>0.69016462585034011</v>
      </c>
      <c r="AD2348" s="289">
        <v>1.65</v>
      </c>
    </row>
    <row r="2349" spans="1:30" ht="15" customHeight="1" x14ac:dyDescent="0.25">
      <c r="A2349" s="282" t="s">
        <v>3497</v>
      </c>
      <c r="B2349" s="282" t="s">
        <v>3508</v>
      </c>
      <c r="C2349" s="282" t="s">
        <v>3509</v>
      </c>
      <c r="D2349" s="286" t="s">
        <v>3517</v>
      </c>
      <c r="E2349" s="403">
        <v>43077</v>
      </c>
      <c r="F2349" s="403">
        <v>44903</v>
      </c>
      <c r="G2349" s="283" t="s">
        <v>154</v>
      </c>
      <c r="H2349" s="283" t="s">
        <v>3511</v>
      </c>
      <c r="I2349" s="283" t="s">
        <v>1600</v>
      </c>
      <c r="J2349" s="282" t="s">
        <v>156</v>
      </c>
      <c r="K2349" s="283" t="s">
        <v>3512</v>
      </c>
      <c r="L2349" s="292" t="s">
        <v>574</v>
      </c>
      <c r="M2349" s="293">
        <v>735</v>
      </c>
      <c r="N2349" s="293"/>
      <c r="O2349" s="287"/>
      <c r="P2349" s="287"/>
      <c r="Q2349" s="288">
        <v>-720.2</v>
      </c>
      <c r="R2349" s="288">
        <v>337.8</v>
      </c>
      <c r="S2349" s="288">
        <v>-1059.99757</v>
      </c>
      <c r="T2349" s="288"/>
      <c r="U2349" s="288">
        <v>1212.75</v>
      </c>
      <c r="V2349" s="289">
        <v>490.55242999999996</v>
      </c>
      <c r="W2349" s="289">
        <v>1212.75</v>
      </c>
      <c r="X2349" s="288">
        <v>-0.97986394557823131</v>
      </c>
      <c r="Y2349" s="288">
        <v>0.45959183673469389</v>
      </c>
      <c r="Z2349" s="288">
        <v>-1.4421735646258502</v>
      </c>
      <c r="AA2349" s="288">
        <v>0</v>
      </c>
      <c r="AB2349" s="288">
        <v>1.65</v>
      </c>
      <c r="AC2349" s="289">
        <v>0.66741827210884352</v>
      </c>
      <c r="AD2349" s="289">
        <v>1.65</v>
      </c>
    </row>
    <row r="2350" spans="1:30" ht="15" customHeight="1" x14ac:dyDescent="0.25">
      <c r="A2350" s="282" t="s">
        <v>3497</v>
      </c>
      <c r="B2350" s="282" t="s">
        <v>3508</v>
      </c>
      <c r="C2350" s="282" t="s">
        <v>3509</v>
      </c>
      <c r="D2350" s="286" t="s">
        <v>3518</v>
      </c>
      <c r="E2350" s="403">
        <v>43077</v>
      </c>
      <c r="F2350" s="403">
        <v>44903</v>
      </c>
      <c r="G2350" s="283" t="s">
        <v>154</v>
      </c>
      <c r="H2350" s="282" t="s">
        <v>3511</v>
      </c>
      <c r="I2350" s="282" t="s">
        <v>1600</v>
      </c>
      <c r="J2350" s="282" t="s">
        <v>156</v>
      </c>
      <c r="K2350" s="283" t="s">
        <v>3512</v>
      </c>
      <c r="L2350" s="292" t="s">
        <v>574</v>
      </c>
      <c r="M2350" s="293">
        <v>735</v>
      </c>
      <c r="N2350" s="293"/>
      <c r="O2350" s="287"/>
      <c r="P2350" s="287"/>
      <c r="Q2350" s="288">
        <v>-731</v>
      </c>
      <c r="R2350" s="288">
        <v>327</v>
      </c>
      <c r="S2350" s="288">
        <v>-1060</v>
      </c>
      <c r="T2350" s="288"/>
      <c r="U2350" s="288">
        <v>1212.75</v>
      </c>
      <c r="V2350" s="289">
        <v>479.75</v>
      </c>
      <c r="W2350" s="289">
        <v>1212.75</v>
      </c>
      <c r="X2350" s="288">
        <v>-0.99455782312925167</v>
      </c>
      <c r="Y2350" s="288">
        <v>0.44489795918367347</v>
      </c>
      <c r="Z2350" s="288">
        <v>-1.4421768707482994</v>
      </c>
      <c r="AA2350" s="288">
        <v>0</v>
      </c>
      <c r="AB2350" s="288">
        <v>1.65</v>
      </c>
      <c r="AC2350" s="289">
        <v>0.65272108843537402</v>
      </c>
      <c r="AD2350" s="289">
        <v>1.65</v>
      </c>
    </row>
    <row r="2351" spans="1:30" ht="15" customHeight="1" x14ac:dyDescent="0.25">
      <c r="A2351" s="282" t="s">
        <v>3497</v>
      </c>
      <c r="B2351" s="282" t="s">
        <v>3508</v>
      </c>
      <c r="C2351" s="282" t="s">
        <v>3509</v>
      </c>
      <c r="D2351" s="286" t="s">
        <v>3519</v>
      </c>
      <c r="E2351" s="403">
        <v>43077</v>
      </c>
      <c r="F2351" s="403">
        <v>44903</v>
      </c>
      <c r="G2351" s="283" t="s">
        <v>154</v>
      </c>
      <c r="H2351" s="283" t="s">
        <v>3511</v>
      </c>
      <c r="I2351" s="283" t="s">
        <v>1600</v>
      </c>
      <c r="J2351" s="282" t="s">
        <v>156</v>
      </c>
      <c r="K2351" s="283" t="s">
        <v>3512</v>
      </c>
      <c r="L2351" s="292" t="s">
        <v>574</v>
      </c>
      <c r="M2351" s="293">
        <v>735</v>
      </c>
      <c r="N2351" s="293"/>
      <c r="O2351" s="287"/>
      <c r="P2351" s="287"/>
      <c r="Q2351" s="288">
        <v>-709.5</v>
      </c>
      <c r="R2351" s="288">
        <v>348.5</v>
      </c>
      <c r="S2351" s="288">
        <v>-1059.9283</v>
      </c>
      <c r="T2351" s="288"/>
      <c r="U2351" s="288">
        <v>1212.75</v>
      </c>
      <c r="V2351" s="289">
        <v>501.32169999999996</v>
      </c>
      <c r="W2351" s="289">
        <v>1212.75</v>
      </c>
      <c r="X2351" s="288">
        <v>-0.96530612244897962</v>
      </c>
      <c r="Y2351" s="288">
        <v>0.47414965986394558</v>
      </c>
      <c r="Z2351" s="288">
        <v>-1.4420793197278912</v>
      </c>
      <c r="AA2351" s="288">
        <v>0</v>
      </c>
      <c r="AB2351" s="288">
        <v>1.65</v>
      </c>
      <c r="AC2351" s="289">
        <v>0.68207034013605439</v>
      </c>
      <c r="AD2351" s="289">
        <v>1.65</v>
      </c>
    </row>
    <row r="2352" spans="1:30" ht="15" customHeight="1" x14ac:dyDescent="0.25">
      <c r="A2352" s="282" t="s">
        <v>3497</v>
      </c>
      <c r="B2352" s="282" t="s">
        <v>3520</v>
      </c>
      <c r="C2352" s="282" t="s">
        <v>3520</v>
      </c>
      <c r="D2352" s="283" t="s">
        <v>3521</v>
      </c>
      <c r="E2352" s="403">
        <v>44582</v>
      </c>
      <c r="F2352" s="403">
        <v>46408</v>
      </c>
      <c r="G2352" s="283" t="s">
        <v>3522</v>
      </c>
      <c r="H2352" s="282" t="s">
        <v>3523</v>
      </c>
      <c r="I2352" s="285"/>
      <c r="J2352" s="282" t="s">
        <v>184</v>
      </c>
      <c r="K2352" s="283" t="s">
        <v>3524</v>
      </c>
      <c r="L2352" s="286" t="s">
        <v>574</v>
      </c>
      <c r="M2352" s="287">
        <v>510</v>
      </c>
      <c r="N2352" s="287" t="s">
        <v>159</v>
      </c>
      <c r="O2352" s="287" t="s">
        <v>159</v>
      </c>
      <c r="P2352" s="287" t="s">
        <v>159</v>
      </c>
      <c r="Q2352" s="288">
        <v>-382</v>
      </c>
      <c r="R2352" s="288">
        <v>280</v>
      </c>
      <c r="S2352" s="288">
        <v>-663</v>
      </c>
      <c r="T2352" s="288"/>
      <c r="U2352" s="288">
        <v>784.66666666666663</v>
      </c>
      <c r="V2352" s="289">
        <v>401.66666666666663</v>
      </c>
      <c r="W2352" s="289">
        <v>784.66666666666663</v>
      </c>
      <c r="X2352" s="288">
        <v>-0.74901960784313726</v>
      </c>
      <c r="Y2352" s="288">
        <v>0.5490196078431373</v>
      </c>
      <c r="Z2352" s="288">
        <v>-1.3</v>
      </c>
      <c r="AA2352" s="288">
        <v>0</v>
      </c>
      <c r="AB2352" s="288">
        <v>1.5385620915032678</v>
      </c>
      <c r="AC2352" s="289">
        <v>0.7875816993464051</v>
      </c>
      <c r="AD2352" s="289">
        <v>1.5385620915032678</v>
      </c>
    </row>
    <row r="2353" spans="1:30" ht="15" customHeight="1" x14ac:dyDescent="0.25">
      <c r="A2353" s="282" t="s">
        <v>3497</v>
      </c>
      <c r="B2353" s="282" t="s">
        <v>3520</v>
      </c>
      <c r="C2353" s="282" t="s">
        <v>3520</v>
      </c>
      <c r="D2353" s="283" t="s">
        <v>3525</v>
      </c>
      <c r="E2353" s="403">
        <v>44582</v>
      </c>
      <c r="F2353" s="403">
        <v>46408</v>
      </c>
      <c r="G2353" s="283" t="s">
        <v>3522</v>
      </c>
      <c r="H2353" s="282" t="s">
        <v>3523</v>
      </c>
      <c r="I2353" s="285"/>
      <c r="J2353" s="282" t="s">
        <v>184</v>
      </c>
      <c r="K2353" s="283" t="s">
        <v>3524</v>
      </c>
      <c r="L2353" s="286" t="s">
        <v>574</v>
      </c>
      <c r="M2353" s="287">
        <v>510</v>
      </c>
      <c r="N2353" s="287" t="s">
        <v>159</v>
      </c>
      <c r="O2353" s="287" t="s">
        <v>159</v>
      </c>
      <c r="P2353" s="287" t="s">
        <v>159</v>
      </c>
      <c r="Q2353" s="288">
        <v>-382</v>
      </c>
      <c r="R2353" s="288">
        <v>280</v>
      </c>
      <c r="S2353" s="288">
        <v>-663</v>
      </c>
      <c r="T2353" s="288"/>
      <c r="U2353" s="288">
        <v>784.66666666666663</v>
      </c>
      <c r="V2353" s="289">
        <v>401.66666666666663</v>
      </c>
      <c r="W2353" s="289">
        <v>784.66666666666663</v>
      </c>
      <c r="X2353" s="288">
        <v>-0.74901960784313726</v>
      </c>
      <c r="Y2353" s="288">
        <v>0.5490196078431373</v>
      </c>
      <c r="Z2353" s="288">
        <v>-1.3</v>
      </c>
      <c r="AA2353" s="288">
        <v>0</v>
      </c>
      <c r="AB2353" s="288">
        <v>1.5385620915032678</v>
      </c>
      <c r="AC2353" s="289">
        <v>0.7875816993464051</v>
      </c>
      <c r="AD2353" s="289">
        <v>1.5385620915032678</v>
      </c>
    </row>
    <row r="2354" spans="1:30" ht="15" customHeight="1" x14ac:dyDescent="0.25">
      <c r="A2354" s="282" t="s">
        <v>3497</v>
      </c>
      <c r="B2354" s="282" t="s">
        <v>3520</v>
      </c>
      <c r="C2354" s="282" t="s">
        <v>3520</v>
      </c>
      <c r="D2354" s="283" t="s">
        <v>3526</v>
      </c>
      <c r="E2354" s="403">
        <v>44582</v>
      </c>
      <c r="F2354" s="403">
        <v>46408</v>
      </c>
      <c r="G2354" s="283" t="s">
        <v>3522</v>
      </c>
      <c r="H2354" s="282" t="s">
        <v>3523</v>
      </c>
      <c r="I2354" s="285"/>
      <c r="J2354" s="282" t="s">
        <v>184</v>
      </c>
      <c r="K2354" s="283" t="s">
        <v>3524</v>
      </c>
      <c r="L2354" s="286" t="s">
        <v>574</v>
      </c>
      <c r="M2354" s="287">
        <v>510</v>
      </c>
      <c r="N2354" s="287" t="s">
        <v>159</v>
      </c>
      <c r="O2354" s="287" t="s">
        <v>159</v>
      </c>
      <c r="P2354" s="287" t="s">
        <v>159</v>
      </c>
      <c r="Q2354" s="288">
        <v>-382</v>
      </c>
      <c r="R2354" s="288">
        <v>280</v>
      </c>
      <c r="S2354" s="288">
        <v>-663</v>
      </c>
      <c r="T2354" s="288"/>
      <c r="U2354" s="288">
        <v>784.66666666666663</v>
      </c>
      <c r="V2354" s="289">
        <v>401.66666666666663</v>
      </c>
      <c r="W2354" s="289">
        <v>784.66666666666663</v>
      </c>
      <c r="X2354" s="288">
        <v>-0.74901960784313726</v>
      </c>
      <c r="Y2354" s="288">
        <v>0.5490196078431373</v>
      </c>
      <c r="Z2354" s="288">
        <v>-1.3</v>
      </c>
      <c r="AA2354" s="288">
        <v>0</v>
      </c>
      <c r="AB2354" s="288">
        <v>1.5385620915032678</v>
      </c>
      <c r="AC2354" s="289">
        <v>0.7875816993464051</v>
      </c>
      <c r="AD2354" s="289">
        <v>1.5385620915032678</v>
      </c>
    </row>
    <row r="2355" spans="1:30" ht="15" customHeight="1" x14ac:dyDescent="0.25">
      <c r="A2355" s="282" t="s">
        <v>3497</v>
      </c>
      <c r="B2355" s="282" t="s">
        <v>3520</v>
      </c>
      <c r="C2355" s="282" t="s">
        <v>3520</v>
      </c>
      <c r="D2355" s="283" t="s">
        <v>3527</v>
      </c>
      <c r="E2355" s="403">
        <v>44582</v>
      </c>
      <c r="F2355" s="403">
        <v>46408</v>
      </c>
      <c r="G2355" s="283" t="s">
        <v>3522</v>
      </c>
      <c r="H2355" s="282" t="s">
        <v>3523</v>
      </c>
      <c r="I2355" s="285"/>
      <c r="J2355" s="282" t="s">
        <v>184</v>
      </c>
      <c r="K2355" s="283" t="s">
        <v>3524</v>
      </c>
      <c r="L2355" s="286" t="s">
        <v>574</v>
      </c>
      <c r="M2355" s="287">
        <v>510</v>
      </c>
      <c r="N2355" s="287" t="s">
        <v>159</v>
      </c>
      <c r="O2355" s="287" t="s">
        <v>159</v>
      </c>
      <c r="P2355" s="287" t="s">
        <v>159</v>
      </c>
      <c r="Q2355" s="288">
        <v>-382</v>
      </c>
      <c r="R2355" s="288">
        <v>280</v>
      </c>
      <c r="S2355" s="288">
        <v>-663</v>
      </c>
      <c r="T2355" s="288"/>
      <c r="U2355" s="288">
        <v>784.66666666666663</v>
      </c>
      <c r="V2355" s="289">
        <v>401.66666666666663</v>
      </c>
      <c r="W2355" s="289">
        <v>784.66666666666663</v>
      </c>
      <c r="X2355" s="288">
        <v>-0.74901960784313726</v>
      </c>
      <c r="Y2355" s="288">
        <v>0.5490196078431373</v>
      </c>
      <c r="Z2355" s="288">
        <v>-1.3</v>
      </c>
      <c r="AA2355" s="288">
        <v>0</v>
      </c>
      <c r="AB2355" s="288">
        <v>1.5385620915032678</v>
      </c>
      <c r="AC2355" s="289">
        <v>0.7875816993464051</v>
      </c>
      <c r="AD2355" s="289">
        <v>1.5385620915032678</v>
      </c>
    </row>
    <row r="2356" spans="1:30" ht="15" customHeight="1" x14ac:dyDescent="0.25">
      <c r="A2356" s="282" t="s">
        <v>3497</v>
      </c>
      <c r="B2356" s="282" t="s">
        <v>3520</v>
      </c>
      <c r="C2356" s="282" t="s">
        <v>3520</v>
      </c>
      <c r="D2356" s="283" t="s">
        <v>3528</v>
      </c>
      <c r="E2356" s="403">
        <v>44582</v>
      </c>
      <c r="F2356" s="403">
        <v>46408</v>
      </c>
      <c r="G2356" s="283" t="s">
        <v>3522</v>
      </c>
      <c r="H2356" s="282" t="s">
        <v>3523</v>
      </c>
      <c r="I2356" s="285"/>
      <c r="J2356" s="282" t="s">
        <v>184</v>
      </c>
      <c r="K2356" s="283" t="s">
        <v>3524</v>
      </c>
      <c r="L2356" s="286" t="s">
        <v>574</v>
      </c>
      <c r="M2356" s="287">
        <v>440</v>
      </c>
      <c r="N2356" s="287" t="s">
        <v>159</v>
      </c>
      <c r="O2356" s="287" t="s">
        <v>159</v>
      </c>
      <c r="P2356" s="287" t="s">
        <v>159</v>
      </c>
      <c r="Q2356" s="288">
        <v>-382</v>
      </c>
      <c r="R2356" s="288">
        <v>280</v>
      </c>
      <c r="S2356" s="288">
        <v>-663</v>
      </c>
      <c r="T2356" s="288"/>
      <c r="U2356" s="288">
        <v>784.66666666666663</v>
      </c>
      <c r="V2356" s="289">
        <v>401.66666666666663</v>
      </c>
      <c r="W2356" s="289">
        <v>784.66666666666663</v>
      </c>
      <c r="X2356" s="288">
        <v>-0.86818181818181817</v>
      </c>
      <c r="Y2356" s="288">
        <v>0.63636363636363635</v>
      </c>
      <c r="Z2356" s="288">
        <v>-1.5068181818181818</v>
      </c>
      <c r="AA2356" s="288">
        <v>0</v>
      </c>
      <c r="AB2356" s="288">
        <v>1.7833333333333332</v>
      </c>
      <c r="AC2356" s="289">
        <v>0.91287878787878773</v>
      </c>
      <c r="AD2356" s="289">
        <v>1.7833333333333332</v>
      </c>
    </row>
    <row r="2357" spans="1:30" ht="15" customHeight="1" x14ac:dyDescent="0.25">
      <c r="A2357" s="282" t="s">
        <v>3497</v>
      </c>
      <c r="B2357" s="282" t="s">
        <v>3520</v>
      </c>
      <c r="C2357" s="282" t="s">
        <v>3520</v>
      </c>
      <c r="D2357" s="283" t="s">
        <v>3529</v>
      </c>
      <c r="E2357" s="403">
        <v>44582</v>
      </c>
      <c r="F2357" s="403">
        <v>46408</v>
      </c>
      <c r="G2357" s="283" t="s">
        <v>3522</v>
      </c>
      <c r="H2357" s="282" t="s">
        <v>3523</v>
      </c>
      <c r="I2357" s="285"/>
      <c r="J2357" s="282" t="s">
        <v>184</v>
      </c>
      <c r="K2357" s="283" t="s">
        <v>3524</v>
      </c>
      <c r="L2357" s="286" t="s">
        <v>574</v>
      </c>
      <c r="M2357" s="287">
        <v>440</v>
      </c>
      <c r="N2357" s="287" t="s">
        <v>159</v>
      </c>
      <c r="O2357" s="287" t="s">
        <v>159</v>
      </c>
      <c r="P2357" s="287" t="s">
        <v>159</v>
      </c>
      <c r="Q2357" s="288">
        <v>-382</v>
      </c>
      <c r="R2357" s="288">
        <v>280</v>
      </c>
      <c r="S2357" s="288">
        <v>-663</v>
      </c>
      <c r="T2357" s="288"/>
      <c r="U2357" s="288">
        <v>784.66666666666663</v>
      </c>
      <c r="V2357" s="289">
        <v>401.66666666666663</v>
      </c>
      <c r="W2357" s="289">
        <v>784.66666666666663</v>
      </c>
      <c r="X2357" s="288">
        <v>-0.86818181818181817</v>
      </c>
      <c r="Y2357" s="288">
        <v>0.63636363636363635</v>
      </c>
      <c r="Z2357" s="288">
        <v>-1.5068181818181818</v>
      </c>
      <c r="AA2357" s="288">
        <v>0</v>
      </c>
      <c r="AB2357" s="288">
        <v>1.7833333333333332</v>
      </c>
      <c r="AC2357" s="289">
        <v>0.91287878787878773</v>
      </c>
      <c r="AD2357" s="289">
        <v>1.7833333333333332</v>
      </c>
    </row>
    <row r="2358" spans="1:30" ht="15" customHeight="1" x14ac:dyDescent="0.25">
      <c r="A2358" s="282" t="s">
        <v>3497</v>
      </c>
      <c r="B2358" s="282" t="s">
        <v>3499</v>
      </c>
      <c r="C2358" s="282" t="s">
        <v>3499</v>
      </c>
      <c r="D2358" s="286" t="s">
        <v>3530</v>
      </c>
      <c r="E2358" s="403">
        <v>43077</v>
      </c>
      <c r="F2358" s="403">
        <v>44903</v>
      </c>
      <c r="G2358" s="283" t="s">
        <v>154</v>
      </c>
      <c r="H2358" s="282" t="s">
        <v>3502</v>
      </c>
      <c r="I2358" s="282" t="s">
        <v>1600</v>
      </c>
      <c r="J2358" s="282" t="s">
        <v>156</v>
      </c>
      <c r="K2358" s="283" t="s">
        <v>3503</v>
      </c>
      <c r="L2358" s="292" t="s">
        <v>574</v>
      </c>
      <c r="M2358" s="293">
        <v>722.72727272727275</v>
      </c>
      <c r="N2358" s="293"/>
      <c r="O2358" s="287"/>
      <c r="P2358" s="287"/>
      <c r="Q2358" s="288">
        <v>-417.27272727272731</v>
      </c>
      <c r="R2358" s="288">
        <v>622.72727272727275</v>
      </c>
      <c r="S2358" s="288">
        <v>-1040.909090909091</v>
      </c>
      <c r="T2358" s="288"/>
      <c r="U2358" s="288">
        <v>1205.7500000000002</v>
      </c>
      <c r="V2358" s="289">
        <v>787.56818181818198</v>
      </c>
      <c r="W2358" s="289">
        <v>1205.7500000000002</v>
      </c>
      <c r="X2358" s="288">
        <v>-0.57735849056603772</v>
      </c>
      <c r="Y2358" s="288">
        <v>0.86163522012578619</v>
      </c>
      <c r="Z2358" s="288">
        <v>-1.4402515723270441</v>
      </c>
      <c r="AA2358" s="288">
        <v>0</v>
      </c>
      <c r="AB2358" s="288">
        <v>1.6683333333333337</v>
      </c>
      <c r="AC2358" s="289">
        <v>1.0897169811320757</v>
      </c>
      <c r="AD2358" s="289">
        <v>1.6683333333333337</v>
      </c>
    </row>
    <row r="2359" spans="1:30" ht="15" customHeight="1" x14ac:dyDescent="0.25">
      <c r="A2359" s="282" t="s">
        <v>3497</v>
      </c>
      <c r="B2359" s="282" t="s">
        <v>3531</v>
      </c>
      <c r="C2359" s="282" t="s">
        <v>3532</v>
      </c>
      <c r="D2359" s="283" t="s">
        <v>3533</v>
      </c>
      <c r="E2359" s="403">
        <v>44237</v>
      </c>
      <c r="F2359" s="403">
        <v>46064</v>
      </c>
      <c r="G2359" s="283" t="s">
        <v>3534</v>
      </c>
      <c r="H2359" s="282" t="s">
        <v>3535</v>
      </c>
      <c r="I2359" s="285"/>
      <c r="J2359" s="282" t="s">
        <v>184</v>
      </c>
      <c r="K2359" s="283" t="s">
        <v>3536</v>
      </c>
      <c r="L2359" s="286" t="s">
        <v>574</v>
      </c>
      <c r="M2359" s="287">
        <v>470</v>
      </c>
      <c r="N2359" s="287" t="s">
        <v>159</v>
      </c>
      <c r="O2359" s="287" t="s">
        <v>159</v>
      </c>
      <c r="P2359" s="287" t="s">
        <v>159</v>
      </c>
      <c r="Q2359" s="288">
        <v>-707</v>
      </c>
      <c r="R2359" s="288">
        <v>53.8</v>
      </c>
      <c r="S2359" s="288">
        <v>-779</v>
      </c>
      <c r="T2359" s="288"/>
      <c r="U2359" s="288">
        <v>761.93333333333339</v>
      </c>
      <c r="V2359" s="289">
        <v>53.799999999999955</v>
      </c>
      <c r="W2359" s="289">
        <v>761.93333333333339</v>
      </c>
      <c r="X2359" s="288">
        <v>-1.5042553191489361</v>
      </c>
      <c r="Y2359" s="288">
        <v>0.11446808510638297</v>
      </c>
      <c r="Z2359" s="288">
        <v>-1.6574468085106382</v>
      </c>
      <c r="AA2359" s="288">
        <v>0</v>
      </c>
      <c r="AB2359" s="288">
        <v>1.6211347517730497</v>
      </c>
      <c r="AC2359" s="289">
        <v>0.11446808510638307</v>
      </c>
      <c r="AD2359" s="289">
        <v>1.6211347517730497</v>
      </c>
    </row>
    <row r="2360" spans="1:30" ht="15" customHeight="1" x14ac:dyDescent="0.25">
      <c r="A2360" s="282" t="s">
        <v>3497</v>
      </c>
      <c r="B2360" s="282" t="s">
        <v>3520</v>
      </c>
      <c r="C2360" s="282" t="s">
        <v>3520</v>
      </c>
      <c r="D2360" s="283" t="s">
        <v>3537</v>
      </c>
      <c r="E2360" s="403">
        <v>45205</v>
      </c>
      <c r="F2360" s="403">
        <v>47032</v>
      </c>
      <c r="G2360" s="283" t="s">
        <v>3522</v>
      </c>
      <c r="H2360" s="282" t="s">
        <v>3538</v>
      </c>
      <c r="I2360" s="285"/>
      <c r="J2360" s="282" t="s">
        <v>184</v>
      </c>
      <c r="K2360" s="283" t="s">
        <v>3539</v>
      </c>
      <c r="L2360" s="286" t="s">
        <v>574</v>
      </c>
      <c r="M2360" s="287">
        <v>510</v>
      </c>
      <c r="N2360" s="287" t="s">
        <v>159</v>
      </c>
      <c r="O2360" s="287" t="s">
        <v>159</v>
      </c>
      <c r="P2360" s="287" t="s">
        <v>159</v>
      </c>
      <c r="Q2360" s="288">
        <v>-643</v>
      </c>
      <c r="R2360" s="288">
        <v>121</v>
      </c>
      <c r="S2360" s="288">
        <v>-765</v>
      </c>
      <c r="T2360" s="288"/>
      <c r="U2360" s="288">
        <v>766.33333333333337</v>
      </c>
      <c r="V2360" s="289">
        <v>122.33333333333337</v>
      </c>
      <c r="W2360" s="289">
        <v>766.33333333333337</v>
      </c>
      <c r="X2360" s="288">
        <v>-1.2607843137254902</v>
      </c>
      <c r="Y2360" s="288">
        <v>0.2372549019607843</v>
      </c>
      <c r="Z2360" s="288">
        <v>-1.5</v>
      </c>
      <c r="AA2360" s="288">
        <v>0</v>
      </c>
      <c r="AB2360" s="288">
        <v>1.5026143790849673</v>
      </c>
      <c r="AC2360" s="289">
        <v>0.23986928104575167</v>
      </c>
      <c r="AD2360" s="289">
        <v>1.5026143790849673</v>
      </c>
    </row>
    <row r="2361" spans="1:30" ht="15" customHeight="1" x14ac:dyDescent="0.25">
      <c r="A2361" s="282" t="s">
        <v>3497</v>
      </c>
      <c r="B2361" s="282" t="s">
        <v>3540</v>
      </c>
      <c r="C2361" s="282" t="s">
        <v>3541</v>
      </c>
      <c r="D2361" s="286" t="s">
        <v>3542</v>
      </c>
      <c r="E2361" s="403">
        <v>44606</v>
      </c>
      <c r="F2361" s="403">
        <v>46432</v>
      </c>
      <c r="G2361" s="283" t="s">
        <v>154</v>
      </c>
      <c r="H2361" s="282" t="s">
        <v>3005</v>
      </c>
      <c r="I2361" s="282" t="s">
        <v>3251</v>
      </c>
      <c r="J2361" s="282" t="s">
        <v>156</v>
      </c>
      <c r="K2361" s="283" t="s">
        <v>3543</v>
      </c>
      <c r="L2361" s="292" t="s">
        <v>574</v>
      </c>
      <c r="M2361" s="293">
        <v>551</v>
      </c>
      <c r="N2361" s="293"/>
      <c r="O2361" s="287"/>
      <c r="P2361" s="287"/>
      <c r="Q2361" s="288">
        <v>-706.2</v>
      </c>
      <c r="R2361" s="288">
        <v>168.7</v>
      </c>
      <c r="S2361" s="288">
        <v>-874.98350000000005</v>
      </c>
      <c r="T2361" s="288"/>
      <c r="U2361" s="288">
        <v>888.94666666666672</v>
      </c>
      <c r="V2361" s="289">
        <v>182.66316666666671</v>
      </c>
      <c r="W2361" s="289">
        <v>888.94666666666672</v>
      </c>
      <c r="X2361" s="288">
        <v>-1.2816696914700545</v>
      </c>
      <c r="Y2361" s="288">
        <v>0.30617059891107073</v>
      </c>
      <c r="Z2361" s="288">
        <v>-1.5879918330308531</v>
      </c>
      <c r="AA2361" s="288">
        <v>0</v>
      </c>
      <c r="AB2361" s="288">
        <v>1.6133333333333335</v>
      </c>
      <c r="AC2361" s="289">
        <v>0.33151209921355118</v>
      </c>
      <c r="AD2361" s="289">
        <v>1.6133333333333335</v>
      </c>
    </row>
    <row r="2362" spans="1:30" ht="15" customHeight="1" x14ac:dyDescent="0.25">
      <c r="A2362" s="282" t="s">
        <v>3497</v>
      </c>
      <c r="B2362" s="282" t="s">
        <v>3540</v>
      </c>
      <c r="C2362" s="282" t="s">
        <v>3541</v>
      </c>
      <c r="D2362" s="286" t="s">
        <v>3544</v>
      </c>
      <c r="E2362" s="403">
        <v>44606</v>
      </c>
      <c r="F2362" s="403">
        <v>46432</v>
      </c>
      <c r="G2362" s="283" t="s">
        <v>154</v>
      </c>
      <c r="H2362" s="282" t="s">
        <v>3005</v>
      </c>
      <c r="I2362" s="282" t="s">
        <v>3251</v>
      </c>
      <c r="J2362" s="282" t="s">
        <v>156</v>
      </c>
      <c r="K2362" s="283" t="s">
        <v>3543</v>
      </c>
      <c r="L2362" s="292" t="s">
        <v>574</v>
      </c>
      <c r="M2362" s="293">
        <v>551</v>
      </c>
      <c r="N2362" s="293"/>
      <c r="O2362" s="287"/>
      <c r="P2362" s="287"/>
      <c r="Q2362" s="288">
        <v>-703.1</v>
      </c>
      <c r="R2362" s="288">
        <v>171.8</v>
      </c>
      <c r="S2362" s="288">
        <v>-874.96349999999995</v>
      </c>
      <c r="T2362" s="288"/>
      <c r="U2362" s="288">
        <v>888.94666666666672</v>
      </c>
      <c r="V2362" s="289">
        <v>185.78316666666683</v>
      </c>
      <c r="W2362" s="289">
        <v>888.94666666666672</v>
      </c>
      <c r="X2362" s="288">
        <v>-1.276043557168784</v>
      </c>
      <c r="Y2362" s="288">
        <v>0.31179673321234119</v>
      </c>
      <c r="Z2362" s="288">
        <v>-1.5879555353901995</v>
      </c>
      <c r="AA2362" s="288">
        <v>0</v>
      </c>
      <c r="AB2362" s="288">
        <v>1.6133333333333335</v>
      </c>
      <c r="AC2362" s="289">
        <v>0.33717453115547524</v>
      </c>
      <c r="AD2362" s="289">
        <v>1.6133333333333335</v>
      </c>
    </row>
    <row r="2363" spans="1:30" ht="15" customHeight="1" x14ac:dyDescent="0.25">
      <c r="A2363" s="282" t="s">
        <v>3497</v>
      </c>
      <c r="B2363" s="282" t="s">
        <v>3540</v>
      </c>
      <c r="C2363" s="282" t="s">
        <v>3545</v>
      </c>
      <c r="D2363" s="286" t="s">
        <v>3546</v>
      </c>
      <c r="E2363" s="403">
        <v>44606</v>
      </c>
      <c r="F2363" s="403">
        <v>46432</v>
      </c>
      <c r="G2363" s="283" t="s">
        <v>154</v>
      </c>
      <c r="H2363" s="282" t="s">
        <v>3005</v>
      </c>
      <c r="I2363" s="282" t="s">
        <v>3251</v>
      </c>
      <c r="J2363" s="282" t="s">
        <v>156</v>
      </c>
      <c r="K2363" s="283" t="s">
        <v>3543</v>
      </c>
      <c r="L2363" s="292" t="s">
        <v>574</v>
      </c>
      <c r="M2363" s="293">
        <v>551</v>
      </c>
      <c r="N2363" s="293"/>
      <c r="O2363" s="287"/>
      <c r="P2363" s="287"/>
      <c r="Q2363" s="288">
        <v>-749.1</v>
      </c>
      <c r="R2363" s="288">
        <v>131.80000000000001</v>
      </c>
      <c r="S2363" s="288">
        <v>-880.96349999999995</v>
      </c>
      <c r="T2363" s="288"/>
      <c r="U2363" s="288">
        <v>888.94666666666672</v>
      </c>
      <c r="V2363" s="289">
        <v>139.78316666666683</v>
      </c>
      <c r="W2363" s="289">
        <v>888.94666666666672</v>
      </c>
      <c r="X2363" s="288">
        <v>-1.3595281306715064</v>
      </c>
      <c r="Y2363" s="288">
        <v>0.23920145190562617</v>
      </c>
      <c r="Z2363" s="288">
        <v>-1.5988448275862068</v>
      </c>
      <c r="AA2363" s="288">
        <v>0</v>
      </c>
      <c r="AB2363" s="288">
        <v>1.6133333333333335</v>
      </c>
      <c r="AC2363" s="289">
        <v>0.25368995765275293</v>
      </c>
      <c r="AD2363" s="289">
        <v>1.6133333333333335</v>
      </c>
    </row>
    <row r="2364" spans="1:30" ht="15" customHeight="1" x14ac:dyDescent="0.25">
      <c r="A2364" s="282" t="s">
        <v>3497</v>
      </c>
      <c r="B2364" s="282" t="s">
        <v>3499</v>
      </c>
      <c r="C2364" s="282" t="s">
        <v>3499</v>
      </c>
      <c r="D2364" s="286" t="s">
        <v>3547</v>
      </c>
      <c r="E2364" s="403">
        <v>43077</v>
      </c>
      <c r="F2364" s="403">
        <v>44903</v>
      </c>
      <c r="G2364" s="283" t="s">
        <v>154</v>
      </c>
      <c r="H2364" s="282" t="s">
        <v>3502</v>
      </c>
      <c r="I2364" s="282" t="s">
        <v>1600</v>
      </c>
      <c r="J2364" s="282" t="s">
        <v>156</v>
      </c>
      <c r="K2364" s="283" t="s">
        <v>3503</v>
      </c>
      <c r="L2364" s="292" t="s">
        <v>574</v>
      </c>
      <c r="M2364" s="293">
        <v>732</v>
      </c>
      <c r="N2364" s="293"/>
      <c r="O2364" s="287"/>
      <c r="P2364" s="287"/>
      <c r="Q2364" s="288">
        <v>-420</v>
      </c>
      <c r="R2364" s="288">
        <v>627.99999999999989</v>
      </c>
      <c r="S2364" s="288">
        <v>-1048</v>
      </c>
      <c r="T2364" s="288"/>
      <c r="U2364" s="288">
        <v>1221.22</v>
      </c>
      <c r="V2364" s="289">
        <v>801.21999999999991</v>
      </c>
      <c r="W2364" s="289">
        <v>1221.22</v>
      </c>
      <c r="X2364" s="288">
        <v>-0.57377049180327866</v>
      </c>
      <c r="Y2364" s="288">
        <v>0.85792349726775941</v>
      </c>
      <c r="Z2364" s="288">
        <v>-1.4316939890710383</v>
      </c>
      <c r="AA2364" s="288">
        <v>0</v>
      </c>
      <c r="AB2364" s="288">
        <v>1.6683333333333334</v>
      </c>
      <c r="AC2364" s="289">
        <v>1.0945628415300546</v>
      </c>
      <c r="AD2364" s="289">
        <v>1.6683333333333334</v>
      </c>
    </row>
    <row r="2365" spans="1:30" ht="15" customHeight="1" x14ac:dyDescent="0.25">
      <c r="A2365" s="282" t="s">
        <v>3497</v>
      </c>
      <c r="B2365" s="282" t="s">
        <v>2422</v>
      </c>
      <c r="C2365" s="282" t="s">
        <v>2423</v>
      </c>
      <c r="D2365" s="286" t="s">
        <v>3548</v>
      </c>
      <c r="E2365" s="403">
        <v>43077</v>
      </c>
      <c r="F2365" s="403">
        <v>44903</v>
      </c>
      <c r="G2365" s="283" t="s">
        <v>154</v>
      </c>
      <c r="H2365" s="282" t="s">
        <v>2425</v>
      </c>
      <c r="I2365" s="282" t="s">
        <v>1600</v>
      </c>
      <c r="J2365" s="282" t="s">
        <v>156</v>
      </c>
      <c r="K2365" s="283" t="s">
        <v>2426</v>
      </c>
      <c r="L2365" s="292" t="s">
        <v>574</v>
      </c>
      <c r="M2365" s="293">
        <v>492.85714285714289</v>
      </c>
      <c r="N2365" s="293"/>
      <c r="O2365" s="287"/>
      <c r="P2365" s="287"/>
      <c r="Q2365" s="288">
        <v>-331.42857142857139</v>
      </c>
      <c r="R2365" s="288">
        <v>440</v>
      </c>
      <c r="S2365" s="288">
        <v>-771.42857142857144</v>
      </c>
      <c r="T2365" s="288"/>
      <c r="U2365" s="288">
        <v>831.28571428571433</v>
      </c>
      <c r="V2365" s="289">
        <v>499.85714285714289</v>
      </c>
      <c r="W2365" s="289">
        <v>831.28571428571433</v>
      </c>
      <c r="X2365" s="288">
        <v>-0.67246376811594188</v>
      </c>
      <c r="Y2365" s="288">
        <v>0.89275362318840579</v>
      </c>
      <c r="Z2365" s="288">
        <v>-1.5652173913043477</v>
      </c>
      <c r="AA2365" s="288">
        <v>0</v>
      </c>
      <c r="AB2365" s="288">
        <v>1.6866666666666668</v>
      </c>
      <c r="AC2365" s="289">
        <v>1.014202898550725</v>
      </c>
      <c r="AD2365" s="289">
        <v>1.6866666666666668</v>
      </c>
    </row>
    <row r="2366" spans="1:30" ht="15" customHeight="1" x14ac:dyDescent="0.25">
      <c r="A2366" s="282" t="s">
        <v>3497</v>
      </c>
      <c r="B2366" s="282" t="s">
        <v>2422</v>
      </c>
      <c r="C2366" s="282" t="s">
        <v>2423</v>
      </c>
      <c r="D2366" s="286" t="s">
        <v>3549</v>
      </c>
      <c r="E2366" s="403">
        <v>43077</v>
      </c>
      <c r="F2366" s="403">
        <v>44903</v>
      </c>
      <c r="G2366" s="283" t="s">
        <v>154</v>
      </c>
      <c r="H2366" s="282" t="s">
        <v>2425</v>
      </c>
      <c r="I2366" s="282" t="s">
        <v>1600</v>
      </c>
      <c r="J2366" s="282" t="s">
        <v>156</v>
      </c>
      <c r="K2366" s="283" t="s">
        <v>2426</v>
      </c>
      <c r="L2366" s="292" t="s">
        <v>574</v>
      </c>
      <c r="M2366" s="293">
        <v>493.33333333333343</v>
      </c>
      <c r="N2366" s="293"/>
      <c r="O2366" s="287"/>
      <c r="P2366" s="287"/>
      <c r="Q2366" s="288">
        <v>-353.33333333333337</v>
      </c>
      <c r="R2366" s="288">
        <v>422.22222222222223</v>
      </c>
      <c r="S2366" s="288">
        <v>-775.55555555555566</v>
      </c>
      <c r="T2366" s="288"/>
      <c r="U2366" s="288">
        <v>832.08888888888907</v>
      </c>
      <c r="V2366" s="289">
        <v>478.75555555555565</v>
      </c>
      <c r="W2366" s="289">
        <v>832.08888888888907</v>
      </c>
      <c r="X2366" s="288">
        <v>-0.71621621621621612</v>
      </c>
      <c r="Y2366" s="288">
        <v>0.85585585585585566</v>
      </c>
      <c r="Z2366" s="288">
        <v>-1.572072072072072</v>
      </c>
      <c r="AA2366" s="288">
        <v>0</v>
      </c>
      <c r="AB2366" s="288">
        <v>1.6866666666666668</v>
      </c>
      <c r="AC2366" s="289">
        <v>0.97045045045045042</v>
      </c>
      <c r="AD2366" s="289">
        <v>1.6866666666666668</v>
      </c>
    </row>
    <row r="2367" spans="1:30" ht="15" customHeight="1" x14ac:dyDescent="0.25">
      <c r="A2367" s="282" t="s">
        <v>3497</v>
      </c>
      <c r="B2367" s="282" t="s">
        <v>3550</v>
      </c>
      <c r="C2367" s="282" t="s">
        <v>3551</v>
      </c>
      <c r="D2367" s="283" t="s">
        <v>3552</v>
      </c>
      <c r="E2367" s="403">
        <v>43077</v>
      </c>
      <c r="F2367" s="403">
        <v>44903</v>
      </c>
      <c r="G2367" s="283" t="s">
        <v>154</v>
      </c>
      <c r="H2367" s="282" t="s">
        <v>3553</v>
      </c>
      <c r="I2367" s="285"/>
      <c r="J2367" s="282" t="s">
        <v>156</v>
      </c>
      <c r="K2367" s="283" t="s">
        <v>3554</v>
      </c>
      <c r="L2367" s="286" t="s">
        <v>574</v>
      </c>
      <c r="M2367" s="287">
        <v>674</v>
      </c>
      <c r="N2367" s="287" t="s">
        <v>159</v>
      </c>
      <c r="O2367" s="287" t="s">
        <v>159</v>
      </c>
      <c r="P2367" s="287" t="s">
        <v>159</v>
      </c>
      <c r="Q2367" s="288">
        <v>-460.7</v>
      </c>
      <c r="R2367" s="288">
        <v>474.3</v>
      </c>
      <c r="S2367" s="288">
        <v>-935</v>
      </c>
      <c r="T2367" s="288"/>
      <c r="U2367" s="288">
        <v>1087.3866666666665</v>
      </c>
      <c r="V2367" s="289">
        <v>626.6866666666665</v>
      </c>
      <c r="W2367" s="289">
        <v>1087.3866666666665</v>
      </c>
      <c r="X2367" s="288">
        <v>-0.68353115727002967</v>
      </c>
      <c r="Y2367" s="288">
        <v>0.70370919881305638</v>
      </c>
      <c r="Z2367" s="288">
        <v>-1.3872403560830862</v>
      </c>
      <c r="AA2367" s="288">
        <v>0</v>
      </c>
      <c r="AB2367" s="288">
        <v>1.6133333333333331</v>
      </c>
      <c r="AC2367" s="289">
        <v>0.92980217606330329</v>
      </c>
      <c r="AD2367" s="289">
        <v>1.6133333333333331</v>
      </c>
    </row>
    <row r="2368" spans="1:30" ht="15" customHeight="1" x14ac:dyDescent="0.25">
      <c r="A2368" s="282" t="s">
        <v>3497</v>
      </c>
      <c r="B2368" s="282" t="s">
        <v>3508</v>
      </c>
      <c r="C2368" s="282" t="s">
        <v>3509</v>
      </c>
      <c r="D2368" s="286" t="s">
        <v>3555</v>
      </c>
      <c r="E2368" s="403">
        <v>43077</v>
      </c>
      <c r="F2368" s="403">
        <v>44903</v>
      </c>
      <c r="G2368" s="283" t="s">
        <v>154</v>
      </c>
      <c r="H2368" s="282" t="s">
        <v>3511</v>
      </c>
      <c r="I2368" s="285" t="s">
        <v>1600</v>
      </c>
      <c r="J2368" s="282" t="s">
        <v>156</v>
      </c>
      <c r="K2368" s="283" t="s">
        <v>3512</v>
      </c>
      <c r="L2368" s="283" t="s">
        <v>574</v>
      </c>
      <c r="M2368" s="293">
        <v>735</v>
      </c>
      <c r="N2368" s="293"/>
      <c r="O2368" s="287"/>
      <c r="P2368" s="287"/>
      <c r="Q2368" s="288">
        <v>-650.24619999999982</v>
      </c>
      <c r="R2368" s="288">
        <v>449.63280000000003</v>
      </c>
      <c r="S2368" s="288">
        <v>-1099.8789999999999</v>
      </c>
      <c r="T2368" s="288"/>
      <c r="U2368" s="288">
        <v>1212.75</v>
      </c>
      <c r="V2368" s="289">
        <v>562.50380000000018</v>
      </c>
      <c r="W2368" s="289">
        <v>1212.75</v>
      </c>
      <c r="X2368" s="288">
        <v>-0.884688707482993</v>
      </c>
      <c r="Y2368" s="288">
        <v>0.61174530612244904</v>
      </c>
      <c r="Z2368" s="288">
        <v>-1.4964340136054421</v>
      </c>
      <c r="AA2368" s="288">
        <v>0</v>
      </c>
      <c r="AB2368" s="288">
        <v>1.65</v>
      </c>
      <c r="AC2368" s="289">
        <v>0.7653112925170068</v>
      </c>
      <c r="AD2368" s="289">
        <v>1.65</v>
      </c>
    </row>
    <row r="2369" spans="1:30" ht="15" customHeight="1" x14ac:dyDescent="0.25">
      <c r="A2369" s="282" t="s">
        <v>3497</v>
      </c>
      <c r="B2369" s="282" t="s">
        <v>2422</v>
      </c>
      <c r="C2369" s="282" t="s">
        <v>2423</v>
      </c>
      <c r="D2369" s="286" t="s">
        <v>3556</v>
      </c>
      <c r="E2369" s="403">
        <v>43077</v>
      </c>
      <c r="F2369" s="403">
        <v>44903</v>
      </c>
      <c r="G2369" s="283" t="s">
        <v>154</v>
      </c>
      <c r="H2369" s="283" t="s">
        <v>2425</v>
      </c>
      <c r="I2369" s="283" t="s">
        <v>1600</v>
      </c>
      <c r="J2369" s="282" t="s">
        <v>156</v>
      </c>
      <c r="K2369" s="283" t="s">
        <v>2426</v>
      </c>
      <c r="L2369" s="292" t="s">
        <v>574</v>
      </c>
      <c r="M2369" s="293">
        <v>545.88235294117635</v>
      </c>
      <c r="N2369" s="293"/>
      <c r="O2369" s="287"/>
      <c r="P2369" s="287"/>
      <c r="Q2369" s="288">
        <v>1.6529411764705628</v>
      </c>
      <c r="R2369" s="288">
        <v>778.12352941176459</v>
      </c>
      <c r="S2369" s="288">
        <v>-776.47058823529403</v>
      </c>
      <c r="T2369" s="288"/>
      <c r="U2369" s="288">
        <v>920.72156862745078</v>
      </c>
      <c r="V2369" s="289">
        <v>922.37450980392134</v>
      </c>
      <c r="W2369" s="289">
        <v>920.72156862745078</v>
      </c>
      <c r="X2369" s="288">
        <v>3.0280172413792643E-3</v>
      </c>
      <c r="Y2369" s="288">
        <v>1.4254418103448276</v>
      </c>
      <c r="Z2369" s="288">
        <v>-1.4224137931034484</v>
      </c>
      <c r="AA2369" s="288">
        <v>0</v>
      </c>
      <c r="AB2369" s="288">
        <v>1.6866666666666668</v>
      </c>
      <c r="AC2369" s="289">
        <v>1.689694683908046</v>
      </c>
      <c r="AD2369" s="289">
        <v>1.6866666666666668</v>
      </c>
    </row>
    <row r="2370" spans="1:30" ht="15" customHeight="1" x14ac:dyDescent="0.25">
      <c r="A2370" s="282" t="s">
        <v>3497</v>
      </c>
      <c r="B2370" s="282" t="s">
        <v>3499</v>
      </c>
      <c r="C2370" s="282" t="s">
        <v>3499</v>
      </c>
      <c r="D2370" s="286" t="s">
        <v>3557</v>
      </c>
      <c r="E2370" s="403">
        <v>43077</v>
      </c>
      <c r="F2370" s="403">
        <v>44903</v>
      </c>
      <c r="G2370" s="283" t="s">
        <v>154</v>
      </c>
      <c r="H2370" s="283" t="s">
        <v>3502</v>
      </c>
      <c r="I2370" s="283" t="s">
        <v>1600</v>
      </c>
      <c r="J2370" s="282" t="s">
        <v>156</v>
      </c>
      <c r="K2370" s="283" t="s">
        <v>3503</v>
      </c>
      <c r="L2370" s="292" t="s">
        <v>574</v>
      </c>
      <c r="M2370" s="293">
        <v>715.78947368421052</v>
      </c>
      <c r="N2370" s="293"/>
      <c r="O2370" s="287"/>
      <c r="P2370" s="287"/>
      <c r="Q2370" s="288">
        <v>-342.64736842105276</v>
      </c>
      <c r="R2370" s="288">
        <v>673.14210526315787</v>
      </c>
      <c r="S2370" s="288">
        <v>-1015.7894736842106</v>
      </c>
      <c r="T2370" s="288"/>
      <c r="U2370" s="288">
        <v>1181.05263157895</v>
      </c>
      <c r="V2370" s="289">
        <v>838.40526315789725</v>
      </c>
      <c r="W2370" s="289">
        <v>1181.05263157895</v>
      </c>
      <c r="X2370" s="288">
        <v>-0.47869852941176488</v>
      </c>
      <c r="Y2370" s="288">
        <v>0.94041911764705877</v>
      </c>
      <c r="Z2370" s="288">
        <v>-1.4191176470588236</v>
      </c>
      <c r="AA2370" s="288">
        <v>0</v>
      </c>
      <c r="AB2370" s="288">
        <v>1.6500000000000037</v>
      </c>
      <c r="AC2370" s="289">
        <v>1.1713014705882387</v>
      </c>
      <c r="AD2370" s="289">
        <v>1.6500000000000037</v>
      </c>
    </row>
    <row r="2371" spans="1:30" ht="15" customHeight="1" x14ac:dyDescent="0.25">
      <c r="A2371" s="282" t="s">
        <v>3497</v>
      </c>
      <c r="B2371" s="282" t="s">
        <v>3531</v>
      </c>
      <c r="C2371" s="282" t="s">
        <v>3532</v>
      </c>
      <c r="D2371" s="286" t="s">
        <v>3558</v>
      </c>
      <c r="E2371" s="403">
        <v>43077</v>
      </c>
      <c r="F2371" s="403">
        <v>44903</v>
      </c>
      <c r="G2371" s="283" t="s">
        <v>154</v>
      </c>
      <c r="H2371" s="283" t="s">
        <v>3553</v>
      </c>
      <c r="I2371" s="283" t="s">
        <v>590</v>
      </c>
      <c r="J2371" s="282" t="s">
        <v>156</v>
      </c>
      <c r="K2371" s="283" t="s">
        <v>3554</v>
      </c>
      <c r="L2371" s="292" t="s">
        <v>574</v>
      </c>
      <c r="M2371" s="293">
        <v>621</v>
      </c>
      <c r="N2371" s="293"/>
      <c r="O2371" s="287"/>
      <c r="P2371" s="287"/>
      <c r="Q2371" s="288">
        <v>-576.28</v>
      </c>
      <c r="R2371" s="288">
        <v>415.72</v>
      </c>
      <c r="S2371" s="288">
        <v>-992</v>
      </c>
      <c r="T2371" s="288"/>
      <c r="U2371" s="288">
        <v>1001.8800000000001</v>
      </c>
      <c r="V2371" s="289">
        <v>425.60000000000014</v>
      </c>
      <c r="W2371" s="289">
        <v>1001.8800000000001</v>
      </c>
      <c r="X2371" s="288">
        <v>-0.92798711755233487</v>
      </c>
      <c r="Y2371" s="288">
        <v>0.66943639291465384</v>
      </c>
      <c r="Z2371" s="288">
        <v>-1.5974235104669887</v>
      </c>
      <c r="AA2371" s="288">
        <v>0</v>
      </c>
      <c r="AB2371" s="288">
        <v>1.6133333333333335</v>
      </c>
      <c r="AC2371" s="289">
        <v>0.68534621578099864</v>
      </c>
      <c r="AD2371" s="289">
        <v>1.6133333333333335</v>
      </c>
    </row>
    <row r="2372" spans="1:30" ht="15" customHeight="1" x14ac:dyDescent="0.25">
      <c r="A2372" s="282" t="s">
        <v>3497</v>
      </c>
      <c r="B2372" s="282" t="s">
        <v>3550</v>
      </c>
      <c r="C2372" s="282" t="s">
        <v>3551</v>
      </c>
      <c r="D2372" s="286" t="s">
        <v>3559</v>
      </c>
      <c r="E2372" s="403">
        <v>43077</v>
      </c>
      <c r="F2372" s="403">
        <v>44903</v>
      </c>
      <c r="G2372" s="283" t="s">
        <v>154</v>
      </c>
      <c r="H2372" s="283" t="s">
        <v>3553</v>
      </c>
      <c r="I2372" s="283" t="s">
        <v>590</v>
      </c>
      <c r="J2372" s="282" t="s">
        <v>156</v>
      </c>
      <c r="K2372" s="283" t="s">
        <v>3554</v>
      </c>
      <c r="L2372" s="292" t="s">
        <v>574</v>
      </c>
      <c r="M2372" s="293">
        <v>674</v>
      </c>
      <c r="N2372" s="293"/>
      <c r="O2372" s="287"/>
      <c r="P2372" s="287"/>
      <c r="Q2372" s="288">
        <v>-322.62600000000009</v>
      </c>
      <c r="R2372" s="288">
        <v>612.37399999999991</v>
      </c>
      <c r="S2372" s="288">
        <v>-935</v>
      </c>
      <c r="T2372" s="288"/>
      <c r="U2372" s="288">
        <v>1087.3866666666665</v>
      </c>
      <c r="V2372" s="289">
        <v>764.76066666666645</v>
      </c>
      <c r="W2372" s="289">
        <v>1087.3866666666665</v>
      </c>
      <c r="X2372" s="288">
        <v>-0.47867359050445119</v>
      </c>
      <c r="Y2372" s="288">
        <v>0.90856676557863492</v>
      </c>
      <c r="Z2372" s="288">
        <v>-1.3872403560830862</v>
      </c>
      <c r="AA2372" s="288">
        <v>0</v>
      </c>
      <c r="AB2372" s="288">
        <v>1.6133333333333331</v>
      </c>
      <c r="AC2372" s="289">
        <v>1.1346597428288818</v>
      </c>
      <c r="AD2372" s="289">
        <v>1.6133333333333331</v>
      </c>
    </row>
    <row r="2373" spans="1:30" ht="15" customHeight="1" x14ac:dyDescent="0.25">
      <c r="A2373" s="282" t="s">
        <v>3497</v>
      </c>
      <c r="B2373" s="282" t="s">
        <v>2375</v>
      </c>
      <c r="C2373" s="282" t="s">
        <v>2375</v>
      </c>
      <c r="D2373" s="286" t="s">
        <v>3560</v>
      </c>
      <c r="E2373" s="403">
        <v>43077</v>
      </c>
      <c r="F2373" s="403">
        <v>44903</v>
      </c>
      <c r="G2373" s="283" t="s">
        <v>154</v>
      </c>
      <c r="H2373" s="283" t="s">
        <v>2377</v>
      </c>
      <c r="I2373" s="283" t="s">
        <v>1600</v>
      </c>
      <c r="J2373" s="282" t="s">
        <v>156</v>
      </c>
      <c r="K2373" s="283" t="s">
        <v>2378</v>
      </c>
      <c r="L2373" s="292" t="s">
        <v>574</v>
      </c>
      <c r="M2373" s="293">
        <v>720</v>
      </c>
      <c r="N2373" s="293">
        <v>720</v>
      </c>
      <c r="O2373" s="287"/>
      <c r="P2373" s="287"/>
      <c r="Q2373" s="288">
        <v>26.581704545454159</v>
      </c>
      <c r="R2373" s="288">
        <v>1064.0532954545449</v>
      </c>
      <c r="S2373" s="288">
        <v>-1037.4715909090908</v>
      </c>
      <c r="T2373" s="288"/>
      <c r="U2373" s="288">
        <v>1227.5999999999997</v>
      </c>
      <c r="V2373" s="289">
        <v>1254.1817045454538</v>
      </c>
      <c r="W2373" s="289">
        <v>1227.5999999999997</v>
      </c>
      <c r="X2373" s="288">
        <v>3.6919034090908555E-2</v>
      </c>
      <c r="Y2373" s="288">
        <v>1.4778517992424236</v>
      </c>
      <c r="Z2373" s="288">
        <v>-1.4409327651515149</v>
      </c>
      <c r="AA2373" s="288">
        <v>0</v>
      </c>
      <c r="AB2373" s="288">
        <v>1.7049999999999996</v>
      </c>
      <c r="AC2373" s="289">
        <v>1.7419190340909083</v>
      </c>
      <c r="AD2373" s="289">
        <v>1.7049999999999996</v>
      </c>
    </row>
    <row r="2374" spans="1:30" ht="15" customHeight="1" x14ac:dyDescent="0.25">
      <c r="A2374" s="282" t="s">
        <v>3497</v>
      </c>
      <c r="B2374" s="282" t="s">
        <v>3540</v>
      </c>
      <c r="C2374" s="282" t="s">
        <v>3541</v>
      </c>
      <c r="D2374" s="286" t="s">
        <v>3561</v>
      </c>
      <c r="E2374" s="403">
        <v>44606</v>
      </c>
      <c r="F2374" s="403">
        <v>46432</v>
      </c>
      <c r="G2374" s="283" t="s">
        <v>154</v>
      </c>
      <c r="H2374" s="283" t="s">
        <v>3005</v>
      </c>
      <c r="I2374" s="283" t="s">
        <v>3251</v>
      </c>
      <c r="J2374" s="282" t="s">
        <v>156</v>
      </c>
      <c r="K2374" s="283" t="s">
        <v>3543</v>
      </c>
      <c r="L2374" s="292" t="s">
        <v>574</v>
      </c>
      <c r="M2374" s="293">
        <v>551</v>
      </c>
      <c r="N2374" s="293"/>
      <c r="O2374" s="287"/>
      <c r="P2374" s="287"/>
      <c r="Q2374" s="288">
        <v>-556.84100000000001</v>
      </c>
      <c r="R2374" s="288">
        <v>317.21600000000001</v>
      </c>
      <c r="S2374" s="288">
        <v>-874.05700000000002</v>
      </c>
      <c r="T2374" s="288"/>
      <c r="U2374" s="288">
        <v>888.94666666666672</v>
      </c>
      <c r="V2374" s="289">
        <v>332.10566666666671</v>
      </c>
      <c r="W2374" s="289">
        <v>888.94666666666672</v>
      </c>
      <c r="X2374" s="288">
        <v>-1.0106007259528131</v>
      </c>
      <c r="Y2374" s="288">
        <v>0.57570961887477312</v>
      </c>
      <c r="Z2374" s="288">
        <v>-1.5863103448275861</v>
      </c>
      <c r="AA2374" s="288">
        <v>0</v>
      </c>
      <c r="AB2374" s="288">
        <v>1.6133333333333335</v>
      </c>
      <c r="AC2374" s="289">
        <v>0.60273260738052037</v>
      </c>
      <c r="AD2374" s="289">
        <v>1.6133333333333335</v>
      </c>
    </row>
    <row r="2375" spans="1:30" ht="15" customHeight="1" x14ac:dyDescent="0.25">
      <c r="A2375" s="282" t="s">
        <v>3497</v>
      </c>
      <c r="B2375" s="282" t="s">
        <v>3540</v>
      </c>
      <c r="C2375" s="282" t="s">
        <v>3545</v>
      </c>
      <c r="D2375" s="286" t="s">
        <v>3562</v>
      </c>
      <c r="E2375" s="403">
        <v>44606</v>
      </c>
      <c r="F2375" s="403">
        <v>46432</v>
      </c>
      <c r="G2375" s="283" t="s">
        <v>154</v>
      </c>
      <c r="H2375" s="282" t="s">
        <v>3005</v>
      </c>
      <c r="I2375" s="282" t="s">
        <v>3251</v>
      </c>
      <c r="J2375" s="282" t="s">
        <v>156</v>
      </c>
      <c r="K2375" s="283" t="s">
        <v>3543</v>
      </c>
      <c r="L2375" s="292" t="s">
        <v>574</v>
      </c>
      <c r="M2375" s="293">
        <v>551</v>
      </c>
      <c r="N2375" s="293"/>
      <c r="O2375" s="287"/>
      <c r="P2375" s="287"/>
      <c r="Q2375" s="288">
        <v>-764</v>
      </c>
      <c r="R2375" s="288">
        <v>117</v>
      </c>
      <c r="S2375" s="288">
        <v>-881</v>
      </c>
      <c r="T2375" s="288"/>
      <c r="U2375" s="288">
        <v>888.94666666666672</v>
      </c>
      <c r="V2375" s="289">
        <v>124.94666666666672</v>
      </c>
      <c r="W2375" s="289">
        <v>888.94666666666672</v>
      </c>
      <c r="X2375" s="288">
        <v>-1.3865698729582576</v>
      </c>
      <c r="Y2375" s="288">
        <v>0.21234119782214156</v>
      </c>
      <c r="Z2375" s="288">
        <v>-1.5989110707803993</v>
      </c>
      <c r="AA2375" s="288">
        <v>0</v>
      </c>
      <c r="AB2375" s="288">
        <v>1.6133333333333335</v>
      </c>
      <c r="AC2375" s="289">
        <v>0.22676346037507566</v>
      </c>
      <c r="AD2375" s="289">
        <v>1.6133333333333335</v>
      </c>
    </row>
    <row r="2376" spans="1:30" ht="15" customHeight="1" x14ac:dyDescent="0.25">
      <c r="A2376" s="282" t="s">
        <v>3497</v>
      </c>
      <c r="B2376" s="282" t="s">
        <v>3540</v>
      </c>
      <c r="C2376" s="282" t="s">
        <v>3541</v>
      </c>
      <c r="D2376" s="286" t="s">
        <v>3563</v>
      </c>
      <c r="E2376" s="403">
        <v>44606</v>
      </c>
      <c r="F2376" s="403">
        <v>46432</v>
      </c>
      <c r="G2376" s="283" t="s">
        <v>154</v>
      </c>
      <c r="H2376" s="282" t="s">
        <v>3005</v>
      </c>
      <c r="I2376" s="282" t="s">
        <v>3251</v>
      </c>
      <c r="J2376" s="282" t="s">
        <v>156</v>
      </c>
      <c r="K2376" s="283" t="s">
        <v>3543</v>
      </c>
      <c r="L2376" s="292" t="s">
        <v>574</v>
      </c>
      <c r="M2376" s="293">
        <v>551</v>
      </c>
      <c r="N2376" s="293"/>
      <c r="O2376" s="287"/>
      <c r="P2376" s="287"/>
      <c r="Q2376" s="288">
        <v>-718</v>
      </c>
      <c r="R2376" s="288">
        <v>157</v>
      </c>
      <c r="S2376" s="288">
        <v>-875</v>
      </c>
      <c r="T2376" s="288"/>
      <c r="U2376" s="288">
        <v>888.94666666666672</v>
      </c>
      <c r="V2376" s="289">
        <v>170.94666666666672</v>
      </c>
      <c r="W2376" s="289">
        <v>888.94666666666672</v>
      </c>
      <c r="X2376" s="288">
        <v>-1.3030852994555353</v>
      </c>
      <c r="Y2376" s="288">
        <v>0.28493647912885661</v>
      </c>
      <c r="Z2376" s="288">
        <v>-1.588021778584392</v>
      </c>
      <c r="AA2376" s="288">
        <v>0</v>
      </c>
      <c r="AB2376" s="288">
        <v>1.6133333333333335</v>
      </c>
      <c r="AC2376" s="289">
        <v>0.3102480338777982</v>
      </c>
      <c r="AD2376" s="289">
        <v>1.6133333333333335</v>
      </c>
    </row>
    <row r="2377" spans="1:30" ht="15" customHeight="1" x14ac:dyDescent="0.25">
      <c r="A2377" s="282" t="s">
        <v>3497</v>
      </c>
      <c r="B2377" s="282" t="s">
        <v>3531</v>
      </c>
      <c r="C2377" s="282" t="s">
        <v>3532</v>
      </c>
      <c r="D2377" s="286" t="s">
        <v>3564</v>
      </c>
      <c r="E2377" s="403">
        <v>45084</v>
      </c>
      <c r="F2377" s="403">
        <v>46054</v>
      </c>
      <c r="G2377" s="283" t="s">
        <v>154</v>
      </c>
      <c r="H2377" s="282" t="s">
        <v>3565</v>
      </c>
      <c r="I2377" s="282" t="s">
        <v>3566</v>
      </c>
      <c r="J2377" s="282" t="s">
        <v>156</v>
      </c>
      <c r="K2377" s="283" t="s">
        <v>3567</v>
      </c>
      <c r="L2377" s="292" t="s">
        <v>574</v>
      </c>
      <c r="M2377" s="293">
        <v>480</v>
      </c>
      <c r="N2377" s="293"/>
      <c r="O2377" s="287"/>
      <c r="P2377" s="287"/>
      <c r="Q2377" s="288">
        <v>-492</v>
      </c>
      <c r="R2377" s="288">
        <v>248</v>
      </c>
      <c r="S2377" s="288">
        <v>-740</v>
      </c>
      <c r="T2377" s="288"/>
      <c r="U2377" s="288">
        <v>765.6</v>
      </c>
      <c r="V2377" s="289">
        <v>273.60000000000002</v>
      </c>
      <c r="W2377" s="289">
        <v>765.6</v>
      </c>
      <c r="X2377" s="288">
        <v>-1.0249999999999999</v>
      </c>
      <c r="Y2377" s="288">
        <v>0.51666666666666672</v>
      </c>
      <c r="Z2377" s="288">
        <v>-1.5416666666666667</v>
      </c>
      <c r="AA2377" s="288">
        <v>0</v>
      </c>
      <c r="AB2377" s="288">
        <v>1.595</v>
      </c>
      <c r="AC2377" s="289">
        <v>0.57000000000000006</v>
      </c>
      <c r="AD2377" s="289">
        <v>1.595</v>
      </c>
    </row>
    <row r="2378" spans="1:30" ht="15" customHeight="1" x14ac:dyDescent="0.25">
      <c r="A2378" s="282" t="s">
        <v>3497</v>
      </c>
      <c r="B2378" s="282" t="s">
        <v>3531</v>
      </c>
      <c r="C2378" s="282" t="s">
        <v>3532</v>
      </c>
      <c r="D2378" s="286" t="s">
        <v>3568</v>
      </c>
      <c r="E2378" s="403">
        <v>43077</v>
      </c>
      <c r="F2378" s="403">
        <v>44903</v>
      </c>
      <c r="G2378" s="283" t="s">
        <v>154</v>
      </c>
      <c r="H2378" s="282" t="s">
        <v>3553</v>
      </c>
      <c r="I2378" s="282" t="s">
        <v>590</v>
      </c>
      <c r="J2378" s="282" t="s">
        <v>156</v>
      </c>
      <c r="K2378" s="283" t="s">
        <v>3554</v>
      </c>
      <c r="L2378" s="292" t="s">
        <v>574</v>
      </c>
      <c r="M2378" s="293">
        <v>621</v>
      </c>
      <c r="N2378" s="293"/>
      <c r="O2378" s="287"/>
      <c r="P2378" s="287"/>
      <c r="Q2378" s="288">
        <v>-612</v>
      </c>
      <c r="R2378" s="288">
        <v>380</v>
      </c>
      <c r="S2378" s="288">
        <v>-992</v>
      </c>
      <c r="T2378" s="288"/>
      <c r="U2378" s="288">
        <v>1001.8800000000001</v>
      </c>
      <c r="V2378" s="289">
        <v>389.88000000000011</v>
      </c>
      <c r="W2378" s="289">
        <v>1001.8800000000001</v>
      </c>
      <c r="X2378" s="288">
        <v>-0.98550724637681164</v>
      </c>
      <c r="Y2378" s="288">
        <v>0.61191626409017719</v>
      </c>
      <c r="Z2378" s="288">
        <v>-1.5974235104669887</v>
      </c>
      <c r="AA2378" s="288">
        <v>0</v>
      </c>
      <c r="AB2378" s="288">
        <v>1.6133333333333335</v>
      </c>
      <c r="AC2378" s="289">
        <v>0.62782608695652198</v>
      </c>
      <c r="AD2378" s="289">
        <v>1.6133333333333335</v>
      </c>
    </row>
    <row r="2379" spans="1:30" ht="15" customHeight="1" x14ac:dyDescent="0.25">
      <c r="A2379" s="282" t="s">
        <v>3497</v>
      </c>
      <c r="B2379" s="282" t="s">
        <v>3550</v>
      </c>
      <c r="C2379" s="282" t="s">
        <v>3551</v>
      </c>
      <c r="D2379" s="286" t="s">
        <v>3569</v>
      </c>
      <c r="E2379" s="403">
        <v>43077</v>
      </c>
      <c r="F2379" s="403">
        <v>44903</v>
      </c>
      <c r="G2379" s="283" t="s">
        <v>154</v>
      </c>
      <c r="H2379" s="282" t="s">
        <v>3553</v>
      </c>
      <c r="I2379" s="282" t="s">
        <v>590</v>
      </c>
      <c r="J2379" s="282" t="s">
        <v>156</v>
      </c>
      <c r="K2379" s="283" t="s">
        <v>3554</v>
      </c>
      <c r="L2379" s="292" t="s">
        <v>574</v>
      </c>
      <c r="M2379" s="293">
        <v>674</v>
      </c>
      <c r="N2379" s="293"/>
      <c r="O2379" s="287"/>
      <c r="P2379" s="287"/>
      <c r="Q2379" s="288">
        <v>-408</v>
      </c>
      <c r="R2379" s="288">
        <v>527</v>
      </c>
      <c r="S2379" s="288">
        <v>-935</v>
      </c>
      <c r="T2379" s="288"/>
      <c r="U2379" s="288">
        <v>1087.3866666666665</v>
      </c>
      <c r="V2379" s="289">
        <v>679.38666666666654</v>
      </c>
      <c r="W2379" s="289">
        <v>1087.3866666666665</v>
      </c>
      <c r="X2379" s="288">
        <v>-0.60534124629080122</v>
      </c>
      <c r="Y2379" s="288">
        <v>0.78189910979228483</v>
      </c>
      <c r="Z2379" s="288">
        <v>-1.3872403560830862</v>
      </c>
      <c r="AA2379" s="288">
        <v>0</v>
      </c>
      <c r="AB2379" s="288">
        <v>1.6133333333333331</v>
      </c>
      <c r="AC2379" s="289">
        <v>1.0079920870425316</v>
      </c>
      <c r="AD2379" s="289">
        <v>1.6133333333333331</v>
      </c>
    </row>
    <row r="2380" spans="1:30" ht="15" customHeight="1" x14ac:dyDescent="0.25">
      <c r="A2380" s="282" t="s">
        <v>3497</v>
      </c>
      <c r="B2380" s="282" t="s">
        <v>3520</v>
      </c>
      <c r="C2380" s="282" t="s">
        <v>3520</v>
      </c>
      <c r="D2380" s="283" t="s">
        <v>3570</v>
      </c>
      <c r="E2380" s="403">
        <v>43781</v>
      </c>
      <c r="F2380" s="403">
        <v>45611</v>
      </c>
      <c r="G2380" s="283" t="s">
        <v>3522</v>
      </c>
      <c r="H2380" s="282" t="s">
        <v>3571</v>
      </c>
      <c r="I2380" s="285"/>
      <c r="J2380" s="282" t="s">
        <v>184</v>
      </c>
      <c r="K2380" s="283" t="s">
        <v>3572</v>
      </c>
      <c r="L2380" s="286" t="s">
        <v>574</v>
      </c>
      <c r="M2380" s="287">
        <v>510</v>
      </c>
      <c r="N2380" s="287" t="s">
        <v>159</v>
      </c>
      <c r="O2380" s="287" t="s">
        <v>159</v>
      </c>
      <c r="P2380" s="287" t="s">
        <v>159</v>
      </c>
      <c r="Q2380" s="288">
        <v>-664</v>
      </c>
      <c r="R2380" s="288">
        <v>140</v>
      </c>
      <c r="S2380" s="288"/>
      <c r="T2380" s="288"/>
      <c r="U2380" s="288">
        <v>804</v>
      </c>
      <c r="V2380" s="289">
        <v>140</v>
      </c>
      <c r="W2380" s="289">
        <v>804</v>
      </c>
      <c r="X2380" s="288">
        <v>-1.3019607843137255</v>
      </c>
      <c r="Y2380" s="288">
        <v>0.27450980392156865</v>
      </c>
      <c r="Z2380" s="288">
        <v>0</v>
      </c>
      <c r="AA2380" s="288">
        <v>0</v>
      </c>
      <c r="AB2380" s="288">
        <v>1.5764705882352941</v>
      </c>
      <c r="AC2380" s="289">
        <v>0.27450980392156854</v>
      </c>
      <c r="AD2380" s="289">
        <v>1.5764705882352941</v>
      </c>
    </row>
    <row r="2381" spans="1:30" ht="15" customHeight="1" x14ac:dyDescent="0.25">
      <c r="A2381" s="282" t="s">
        <v>3497</v>
      </c>
      <c r="B2381" s="282" t="s">
        <v>3520</v>
      </c>
      <c r="C2381" s="282" t="s">
        <v>3520</v>
      </c>
      <c r="D2381" s="283" t="s">
        <v>3573</v>
      </c>
      <c r="E2381" s="403">
        <v>43781</v>
      </c>
      <c r="F2381" s="403">
        <v>45611</v>
      </c>
      <c r="G2381" s="283" t="s">
        <v>3522</v>
      </c>
      <c r="H2381" s="282" t="s">
        <v>3574</v>
      </c>
      <c r="I2381" s="285"/>
      <c r="J2381" s="282" t="s">
        <v>184</v>
      </c>
      <c r="K2381" s="283" t="s">
        <v>3575</v>
      </c>
      <c r="L2381" s="286" t="s">
        <v>574</v>
      </c>
      <c r="M2381" s="287">
        <v>510</v>
      </c>
      <c r="N2381" s="287" t="s">
        <v>159</v>
      </c>
      <c r="O2381" s="287" t="s">
        <v>159</v>
      </c>
      <c r="P2381" s="287" t="s">
        <v>159</v>
      </c>
      <c r="Q2381" s="288">
        <v>-664</v>
      </c>
      <c r="R2381" s="288">
        <v>140</v>
      </c>
      <c r="S2381" s="288"/>
      <c r="T2381" s="288"/>
      <c r="U2381" s="288">
        <v>804</v>
      </c>
      <c r="V2381" s="289">
        <v>140</v>
      </c>
      <c r="W2381" s="289">
        <v>804</v>
      </c>
      <c r="X2381" s="288">
        <v>-1.3019607843137255</v>
      </c>
      <c r="Y2381" s="288">
        <v>0.27450980392156865</v>
      </c>
      <c r="Z2381" s="288">
        <v>0</v>
      </c>
      <c r="AA2381" s="288">
        <v>0</v>
      </c>
      <c r="AB2381" s="288">
        <v>1.5764705882352941</v>
      </c>
      <c r="AC2381" s="289">
        <v>0.27450980392156854</v>
      </c>
      <c r="AD2381" s="289">
        <v>1.5764705882352941</v>
      </c>
    </row>
    <row r="2382" spans="1:30" ht="15" customHeight="1" x14ac:dyDescent="0.25">
      <c r="A2382" s="282" t="s">
        <v>3497</v>
      </c>
      <c r="B2382" s="282" t="s">
        <v>3520</v>
      </c>
      <c r="C2382" s="282" t="s">
        <v>3520</v>
      </c>
      <c r="D2382" s="283" t="s">
        <v>3576</v>
      </c>
      <c r="E2382" s="403">
        <v>43781</v>
      </c>
      <c r="F2382" s="403">
        <v>45611</v>
      </c>
      <c r="G2382" s="283" t="s">
        <v>3522</v>
      </c>
      <c r="H2382" s="282" t="s">
        <v>3574</v>
      </c>
      <c r="I2382" s="285"/>
      <c r="J2382" s="282" t="s">
        <v>184</v>
      </c>
      <c r="K2382" s="283" t="s">
        <v>3577</v>
      </c>
      <c r="L2382" s="286" t="s">
        <v>574</v>
      </c>
      <c r="M2382" s="287">
        <v>510</v>
      </c>
      <c r="N2382" s="287">
        <v>74.400000000000006</v>
      </c>
      <c r="O2382" s="287" t="s">
        <v>159</v>
      </c>
      <c r="P2382" s="287" t="s">
        <v>159</v>
      </c>
      <c r="Q2382" s="288">
        <v>-614.87903225806451</v>
      </c>
      <c r="R2382" s="288">
        <v>189.12096774193549</v>
      </c>
      <c r="S2382" s="288"/>
      <c r="T2382" s="288"/>
      <c r="U2382" s="288">
        <v>804</v>
      </c>
      <c r="V2382" s="289">
        <v>189.12096774193549</v>
      </c>
      <c r="W2382" s="289">
        <v>804</v>
      </c>
      <c r="X2382" s="288">
        <v>-1.2056451612903225</v>
      </c>
      <c r="Y2382" s="288">
        <v>0.37082542694497156</v>
      </c>
      <c r="Z2382" s="288">
        <v>0</v>
      </c>
      <c r="AA2382" s="288">
        <v>0</v>
      </c>
      <c r="AB2382" s="288">
        <v>1.5764705882352941</v>
      </c>
      <c r="AC2382" s="289">
        <v>0.37082542694497156</v>
      </c>
      <c r="AD2382" s="289">
        <v>1.5764705882352941</v>
      </c>
    </row>
    <row r="2383" spans="1:30" ht="15" customHeight="1" x14ac:dyDescent="0.25">
      <c r="A2383" s="282" t="s">
        <v>3497</v>
      </c>
      <c r="B2383" s="282" t="s">
        <v>3531</v>
      </c>
      <c r="C2383" s="282" t="s">
        <v>3532</v>
      </c>
      <c r="D2383" s="283" t="s">
        <v>3578</v>
      </c>
      <c r="E2383" s="403">
        <v>44475</v>
      </c>
      <c r="F2383" s="403">
        <v>46301</v>
      </c>
      <c r="G2383" s="283" t="s">
        <v>193</v>
      </c>
      <c r="H2383" s="282" t="s">
        <v>3579</v>
      </c>
      <c r="I2383" s="285"/>
      <c r="J2383" s="282" t="s">
        <v>184</v>
      </c>
      <c r="K2383" s="283" t="s">
        <v>3580</v>
      </c>
      <c r="L2383" s="286" t="s">
        <v>574</v>
      </c>
      <c r="M2383" s="287">
        <v>440</v>
      </c>
      <c r="N2383" s="287" t="s">
        <v>159</v>
      </c>
      <c r="O2383" s="287" t="s">
        <v>159</v>
      </c>
      <c r="P2383" s="287" t="s">
        <v>159</v>
      </c>
      <c r="Q2383" s="288">
        <v>-371</v>
      </c>
      <c r="R2383" s="288">
        <v>296</v>
      </c>
      <c r="S2383" s="288">
        <v>-667</v>
      </c>
      <c r="T2383" s="288"/>
      <c r="U2383" s="288">
        <v>709.86666666666667</v>
      </c>
      <c r="V2383" s="289">
        <v>338.86666666666667</v>
      </c>
      <c r="W2383" s="289">
        <v>709.86666666666667</v>
      </c>
      <c r="X2383" s="288">
        <v>-0.84318181818181814</v>
      </c>
      <c r="Y2383" s="288">
        <v>0.67272727272727273</v>
      </c>
      <c r="Z2383" s="288">
        <v>-1.5159090909090909</v>
      </c>
      <c r="AA2383" s="288">
        <v>0</v>
      </c>
      <c r="AB2383" s="288">
        <v>1.6133333333333333</v>
      </c>
      <c r="AC2383" s="289">
        <v>0.77015151515151514</v>
      </c>
      <c r="AD2383" s="289">
        <v>1.6133333333333333</v>
      </c>
    </row>
    <row r="2384" spans="1:30" ht="15" customHeight="1" x14ac:dyDescent="0.25">
      <c r="A2384" s="282" t="s">
        <v>3497</v>
      </c>
      <c r="B2384" s="282" t="s">
        <v>3531</v>
      </c>
      <c r="C2384" s="282" t="s">
        <v>3532</v>
      </c>
      <c r="D2384" s="283" t="s">
        <v>3581</v>
      </c>
      <c r="E2384" s="403">
        <v>44475</v>
      </c>
      <c r="F2384" s="403">
        <v>46301</v>
      </c>
      <c r="G2384" s="283" t="s">
        <v>193</v>
      </c>
      <c r="H2384" s="282" t="s">
        <v>3579</v>
      </c>
      <c r="I2384" s="285"/>
      <c r="J2384" s="282" t="s">
        <v>184</v>
      </c>
      <c r="K2384" s="283" t="s">
        <v>3580</v>
      </c>
      <c r="L2384" s="286" t="s">
        <v>574</v>
      </c>
      <c r="M2384" s="287">
        <v>450</v>
      </c>
      <c r="N2384" s="287" t="s">
        <v>159</v>
      </c>
      <c r="O2384" s="287" t="s">
        <v>159</v>
      </c>
      <c r="P2384" s="287" t="s">
        <v>159</v>
      </c>
      <c r="Q2384" s="288">
        <v>-171</v>
      </c>
      <c r="R2384" s="288">
        <v>374</v>
      </c>
      <c r="S2384" s="288">
        <v>-545</v>
      </c>
      <c r="T2384" s="288"/>
      <c r="U2384" s="288">
        <v>709.5</v>
      </c>
      <c r="V2384" s="289">
        <v>538.5</v>
      </c>
      <c r="W2384" s="289">
        <v>709.5</v>
      </c>
      <c r="X2384" s="288">
        <v>-0.38</v>
      </c>
      <c r="Y2384" s="288">
        <v>0.83111111111111113</v>
      </c>
      <c r="Z2384" s="288">
        <v>-1.211111111111111</v>
      </c>
      <c r="AA2384" s="288">
        <v>0</v>
      </c>
      <c r="AB2384" s="288">
        <v>1.5766666666666667</v>
      </c>
      <c r="AC2384" s="289">
        <v>1.1966666666666668</v>
      </c>
      <c r="AD2384" s="289">
        <v>1.5766666666666667</v>
      </c>
    </row>
    <row r="2385" spans="1:30" ht="15" customHeight="1" x14ac:dyDescent="0.25">
      <c r="A2385" s="282" t="s">
        <v>3497</v>
      </c>
      <c r="B2385" s="282" t="s">
        <v>3504</v>
      </c>
      <c r="C2385" s="282" t="s">
        <v>3504</v>
      </c>
      <c r="D2385" s="283" t="s">
        <v>3582</v>
      </c>
      <c r="E2385" s="403">
        <v>43346</v>
      </c>
      <c r="F2385" s="403">
        <v>45171</v>
      </c>
      <c r="G2385" s="283" t="s">
        <v>237</v>
      </c>
      <c r="H2385" s="282" t="s">
        <v>3583</v>
      </c>
      <c r="I2385" s="285"/>
      <c r="J2385" s="282" t="s">
        <v>3162</v>
      </c>
      <c r="K2385" s="283" t="s">
        <v>3584</v>
      </c>
      <c r="L2385" s="286" t="s">
        <v>574</v>
      </c>
      <c r="M2385" s="287">
        <v>607</v>
      </c>
      <c r="N2385" s="287" t="s">
        <v>159</v>
      </c>
      <c r="O2385" s="287" t="s">
        <v>159</v>
      </c>
      <c r="P2385" s="287" t="s">
        <v>159</v>
      </c>
      <c r="Q2385" s="288">
        <v>-753</v>
      </c>
      <c r="R2385" s="288">
        <v>226.29333333333318</v>
      </c>
      <c r="S2385" s="288">
        <v>-979.29333333333318</v>
      </c>
      <c r="T2385" s="288"/>
      <c r="U2385" s="288">
        <v>979.29333333333318</v>
      </c>
      <c r="V2385" s="289">
        <v>226.29333333333318</v>
      </c>
      <c r="W2385" s="289">
        <v>979.29333333333318</v>
      </c>
      <c r="X2385" s="288">
        <v>-1.2405271828665569</v>
      </c>
      <c r="Y2385" s="288">
        <v>0.37280615046677623</v>
      </c>
      <c r="Z2385" s="288">
        <v>-1.6133333333333331</v>
      </c>
      <c r="AA2385" s="288">
        <v>0</v>
      </c>
      <c r="AB2385" s="288">
        <v>1.6133333333333331</v>
      </c>
      <c r="AC2385" s="289">
        <v>0.37280615046677634</v>
      </c>
      <c r="AD2385" s="289">
        <v>1.6133333333333331</v>
      </c>
    </row>
    <row r="2386" spans="1:30" ht="15" customHeight="1" x14ac:dyDescent="0.25">
      <c r="A2386" s="282" t="s">
        <v>3497</v>
      </c>
      <c r="B2386" s="282" t="s">
        <v>3520</v>
      </c>
      <c r="C2386" s="282" t="s">
        <v>3520</v>
      </c>
      <c r="D2386" s="283" t="s">
        <v>3585</v>
      </c>
      <c r="E2386" s="403">
        <v>44013</v>
      </c>
      <c r="F2386" s="403">
        <v>45839</v>
      </c>
      <c r="G2386" s="283" t="s">
        <v>237</v>
      </c>
      <c r="H2386" s="282" t="s">
        <v>3586</v>
      </c>
      <c r="I2386" s="285"/>
      <c r="J2386" s="282" t="s">
        <v>2515</v>
      </c>
      <c r="K2386" s="283" t="s">
        <v>3587</v>
      </c>
      <c r="L2386" s="286" t="s">
        <v>574</v>
      </c>
      <c r="M2386" s="287">
        <v>548</v>
      </c>
      <c r="N2386" s="287" t="s">
        <v>159</v>
      </c>
      <c r="O2386" s="287" t="s">
        <v>159</v>
      </c>
      <c r="P2386" s="287" t="s">
        <v>159</v>
      </c>
      <c r="Q2386" s="288">
        <v>-636.8599999999999</v>
      </c>
      <c r="R2386" s="288">
        <v>361.45</v>
      </c>
      <c r="S2386" s="288"/>
      <c r="T2386" s="288"/>
      <c r="U2386" s="288">
        <v>998.31</v>
      </c>
      <c r="V2386" s="289">
        <v>361.45000000000005</v>
      </c>
      <c r="W2386" s="289">
        <v>998.31</v>
      </c>
      <c r="X2386" s="288">
        <v>-1.1621532846715326</v>
      </c>
      <c r="Y2386" s="288">
        <v>0.65958029197080292</v>
      </c>
      <c r="Z2386" s="288">
        <v>0</v>
      </c>
      <c r="AA2386" s="288">
        <v>0</v>
      </c>
      <c r="AB2386" s="288">
        <v>1.8217335766423357</v>
      </c>
      <c r="AC2386" s="289">
        <v>0.65958029197080315</v>
      </c>
      <c r="AD2386" s="289">
        <v>1.8217335766423357</v>
      </c>
    </row>
    <row r="2387" spans="1:30" ht="15" customHeight="1" x14ac:dyDescent="0.25">
      <c r="A2387" s="282" t="s">
        <v>3497</v>
      </c>
      <c r="B2387" s="282" t="s">
        <v>3499</v>
      </c>
      <c r="C2387" s="282" t="s">
        <v>3499</v>
      </c>
      <c r="D2387" s="283" t="s">
        <v>3588</v>
      </c>
      <c r="E2387" s="403">
        <v>43077</v>
      </c>
      <c r="F2387" s="403">
        <v>44903</v>
      </c>
      <c r="G2387" s="283" t="s">
        <v>154</v>
      </c>
      <c r="H2387" s="282" t="s">
        <v>3502</v>
      </c>
      <c r="I2387" s="285"/>
      <c r="J2387" s="282" t="s">
        <v>156</v>
      </c>
      <c r="K2387" s="283" t="s">
        <v>3503</v>
      </c>
      <c r="L2387" s="286" t="s">
        <v>574</v>
      </c>
      <c r="M2387" s="287">
        <v>715.78947368421052</v>
      </c>
      <c r="N2387" s="287" t="s">
        <v>159</v>
      </c>
      <c r="O2387" s="287" t="s">
        <v>159</v>
      </c>
      <c r="P2387" s="287" t="s">
        <v>159</v>
      </c>
      <c r="Q2387" s="288">
        <v>-440.08421560000011</v>
      </c>
      <c r="R2387" s="288">
        <v>575.70525839999993</v>
      </c>
      <c r="S2387" s="288">
        <v>-1015.789474</v>
      </c>
      <c r="T2387" s="288"/>
      <c r="U2387" s="288">
        <v>1181.0519999999999</v>
      </c>
      <c r="V2387" s="289">
        <v>740.9677843999998</v>
      </c>
      <c r="W2387" s="289">
        <v>1181.0519999999999</v>
      </c>
      <c r="X2387" s="288">
        <v>-0.6148235365000001</v>
      </c>
      <c r="Y2387" s="288">
        <v>0.80429411099999992</v>
      </c>
      <c r="Z2387" s="288">
        <v>-1.4191176475</v>
      </c>
      <c r="AA2387" s="288">
        <v>0</v>
      </c>
      <c r="AB2387" s="288">
        <v>1.6499991176470588</v>
      </c>
      <c r="AC2387" s="289">
        <v>1.0351755811470587</v>
      </c>
      <c r="AD2387" s="289">
        <v>1.6499991176470588</v>
      </c>
    </row>
    <row r="2388" spans="1:30" ht="15" customHeight="1" x14ac:dyDescent="0.25">
      <c r="A2388" s="282" t="s">
        <v>3497</v>
      </c>
      <c r="B2388" s="282" t="s">
        <v>3499</v>
      </c>
      <c r="C2388" s="282" t="s">
        <v>3500</v>
      </c>
      <c r="D2388" s="283" t="s">
        <v>3589</v>
      </c>
      <c r="E2388" s="403">
        <v>43077</v>
      </c>
      <c r="F2388" s="403">
        <v>44903</v>
      </c>
      <c r="G2388" s="283" t="s">
        <v>154</v>
      </c>
      <c r="H2388" s="282" t="s">
        <v>3502</v>
      </c>
      <c r="I2388" s="285"/>
      <c r="J2388" s="282" t="s">
        <v>156</v>
      </c>
      <c r="K2388" s="283" t="s">
        <v>3503</v>
      </c>
      <c r="L2388" s="286" t="s">
        <v>574</v>
      </c>
      <c r="M2388" s="287">
        <v>660</v>
      </c>
      <c r="N2388" s="287" t="s">
        <v>159</v>
      </c>
      <c r="O2388" s="287" t="s">
        <v>159</v>
      </c>
      <c r="P2388" s="287" t="s">
        <v>159</v>
      </c>
      <c r="Q2388" s="288">
        <v>-674.73232075471651</v>
      </c>
      <c r="R2388" s="288">
        <v>346.39975471698159</v>
      </c>
      <c r="S2388" s="288">
        <v>-1021.1320754716982</v>
      </c>
      <c r="T2388" s="288"/>
      <c r="U2388" s="288">
        <v>1113.2</v>
      </c>
      <c r="V2388" s="289">
        <v>438.46767924528353</v>
      </c>
      <c r="W2388" s="289">
        <v>1113.2</v>
      </c>
      <c r="X2388" s="288">
        <v>-1.0223216981132068</v>
      </c>
      <c r="Y2388" s="288">
        <v>0.52484811320754787</v>
      </c>
      <c r="Z2388" s="288">
        <v>-1.5471698113207548</v>
      </c>
      <c r="AA2388" s="288">
        <v>0</v>
      </c>
      <c r="AB2388" s="288">
        <v>1.6866666666666668</v>
      </c>
      <c r="AC2388" s="289">
        <v>0.6643449685534597</v>
      </c>
      <c r="AD2388" s="289">
        <v>1.6866666666666668</v>
      </c>
    </row>
    <row r="2389" spans="1:30" ht="15" customHeight="1" x14ac:dyDescent="0.25">
      <c r="A2389" s="282" t="s">
        <v>3497</v>
      </c>
      <c r="B2389" s="282" t="s">
        <v>3499</v>
      </c>
      <c r="C2389" s="282" t="s">
        <v>3500</v>
      </c>
      <c r="D2389" s="283" t="s">
        <v>3590</v>
      </c>
      <c r="E2389" s="403">
        <v>43077</v>
      </c>
      <c r="F2389" s="403">
        <v>44903</v>
      </c>
      <c r="G2389" s="283" t="s">
        <v>154</v>
      </c>
      <c r="H2389" s="282" t="s">
        <v>3502</v>
      </c>
      <c r="I2389" s="285"/>
      <c r="J2389" s="282" t="s">
        <v>156</v>
      </c>
      <c r="K2389" s="283" t="s">
        <v>3503</v>
      </c>
      <c r="L2389" s="286" t="s">
        <v>574</v>
      </c>
      <c r="M2389" s="287">
        <v>660</v>
      </c>
      <c r="N2389" s="287" t="s">
        <v>159</v>
      </c>
      <c r="O2389" s="287" t="s">
        <v>159</v>
      </c>
      <c r="P2389" s="287" t="s">
        <v>159</v>
      </c>
      <c r="Q2389" s="288">
        <v>-482.04905037735853</v>
      </c>
      <c r="R2389" s="288">
        <v>532.85661000000005</v>
      </c>
      <c r="S2389" s="288">
        <v>-1014.9056603773586</v>
      </c>
      <c r="T2389" s="288"/>
      <c r="U2389" s="288">
        <v>1113.2</v>
      </c>
      <c r="V2389" s="289">
        <v>631.15094962264152</v>
      </c>
      <c r="W2389" s="289">
        <v>1113.2</v>
      </c>
      <c r="X2389" s="288">
        <v>-0.73037734905660379</v>
      </c>
      <c r="Y2389" s="288">
        <v>0.80735850000000009</v>
      </c>
      <c r="Z2389" s="288">
        <v>-1.537735849056604</v>
      </c>
      <c r="AA2389" s="288">
        <v>0</v>
      </c>
      <c r="AB2389" s="288">
        <v>1.6866666666666668</v>
      </c>
      <c r="AC2389" s="289">
        <v>0.95628931761006286</v>
      </c>
      <c r="AD2389" s="289">
        <v>1.6866666666666668</v>
      </c>
    </row>
    <row r="2390" spans="1:30" ht="15" customHeight="1" x14ac:dyDescent="0.25">
      <c r="A2390" s="282" t="s">
        <v>3497</v>
      </c>
      <c r="B2390" s="282" t="s">
        <v>3531</v>
      </c>
      <c r="C2390" s="282" t="s">
        <v>3532</v>
      </c>
      <c r="D2390" s="283" t="s">
        <v>3591</v>
      </c>
      <c r="E2390" s="403">
        <v>43077</v>
      </c>
      <c r="F2390" s="403">
        <v>44903</v>
      </c>
      <c r="G2390" s="283" t="s">
        <v>154</v>
      </c>
      <c r="H2390" s="282" t="s">
        <v>2425</v>
      </c>
      <c r="I2390" s="285"/>
      <c r="J2390" s="282" t="s">
        <v>156</v>
      </c>
      <c r="K2390" s="283" t="s">
        <v>3554</v>
      </c>
      <c r="L2390" s="286" t="s">
        <v>574</v>
      </c>
      <c r="M2390" s="287">
        <v>621</v>
      </c>
      <c r="N2390" s="287" t="s">
        <v>159</v>
      </c>
      <c r="O2390" s="287" t="s">
        <v>159</v>
      </c>
      <c r="P2390" s="287" t="s">
        <v>159</v>
      </c>
      <c r="Q2390" s="288">
        <v>-674.31999999999994</v>
      </c>
      <c r="R2390" s="288">
        <v>317.68</v>
      </c>
      <c r="S2390" s="288">
        <v>-992</v>
      </c>
      <c r="T2390" s="288"/>
      <c r="U2390" s="288">
        <v>1001.8800000000001</v>
      </c>
      <c r="V2390" s="289">
        <v>327.56000000000017</v>
      </c>
      <c r="W2390" s="289">
        <v>1001.8800000000001</v>
      </c>
      <c r="X2390" s="288">
        <v>-1.0858615136876006</v>
      </c>
      <c r="Y2390" s="288">
        <v>0.51156199677938807</v>
      </c>
      <c r="Z2390" s="288">
        <v>-1.5974235104669887</v>
      </c>
      <c r="AA2390" s="288">
        <v>0</v>
      </c>
      <c r="AB2390" s="288">
        <v>1.6133333333333335</v>
      </c>
      <c r="AC2390" s="289">
        <v>0.52747181964573286</v>
      </c>
      <c r="AD2390" s="289">
        <v>1.6133333333333335</v>
      </c>
    </row>
    <row r="2391" spans="1:30" ht="15" customHeight="1" x14ac:dyDescent="0.25">
      <c r="A2391" s="282" t="s">
        <v>3497</v>
      </c>
      <c r="B2391" s="282" t="s">
        <v>2375</v>
      </c>
      <c r="C2391" s="282" t="s">
        <v>2375</v>
      </c>
      <c r="D2391" s="283" t="s">
        <v>3592</v>
      </c>
      <c r="E2391" s="403">
        <v>43077</v>
      </c>
      <c r="F2391" s="403">
        <v>44903</v>
      </c>
      <c r="G2391" s="283" t="s">
        <v>154</v>
      </c>
      <c r="H2391" s="282" t="s">
        <v>2377</v>
      </c>
      <c r="I2391" s="285"/>
      <c r="J2391" s="282" t="s">
        <v>156</v>
      </c>
      <c r="K2391" s="283" t="s">
        <v>2378</v>
      </c>
      <c r="L2391" s="286" t="s">
        <v>574</v>
      </c>
      <c r="M2391" s="287">
        <v>720</v>
      </c>
      <c r="N2391" s="287" t="s">
        <v>159</v>
      </c>
      <c r="O2391" s="287" t="s">
        <v>159</v>
      </c>
      <c r="P2391" s="287" t="s">
        <v>159</v>
      </c>
      <c r="Q2391" s="288">
        <v>-275.73511363636385</v>
      </c>
      <c r="R2391" s="288">
        <v>761.73647727272692</v>
      </c>
      <c r="S2391" s="288">
        <v>-1037.4715909090908</v>
      </c>
      <c r="T2391" s="288"/>
      <c r="U2391" s="288">
        <v>1227.5999999999997</v>
      </c>
      <c r="V2391" s="289">
        <v>951.86488636363583</v>
      </c>
      <c r="W2391" s="289">
        <v>1227.5999999999997</v>
      </c>
      <c r="X2391" s="288">
        <v>-0.38296543560606089</v>
      </c>
      <c r="Y2391" s="288">
        <v>1.0579673295454541</v>
      </c>
      <c r="Z2391" s="288">
        <v>-1.4409327651515149</v>
      </c>
      <c r="AA2391" s="288">
        <v>0</v>
      </c>
      <c r="AB2391" s="288">
        <v>1.7049999999999996</v>
      </c>
      <c r="AC2391" s="289">
        <v>1.3220345643939388</v>
      </c>
      <c r="AD2391" s="289">
        <v>1.7049999999999996</v>
      </c>
    </row>
    <row r="2392" spans="1:30" ht="15" customHeight="1" x14ac:dyDescent="0.25">
      <c r="A2392" s="282" t="s">
        <v>3497</v>
      </c>
      <c r="B2392" s="282" t="s">
        <v>3540</v>
      </c>
      <c r="C2392" s="282" t="s">
        <v>3541</v>
      </c>
      <c r="D2392" s="283" t="s">
        <v>3593</v>
      </c>
      <c r="E2392" s="403">
        <v>44606</v>
      </c>
      <c r="F2392" s="403">
        <v>46432</v>
      </c>
      <c r="G2392" s="283" t="s">
        <v>154</v>
      </c>
      <c r="H2392" s="282" t="s">
        <v>3005</v>
      </c>
      <c r="I2392" s="285"/>
      <c r="J2392" s="282" t="s">
        <v>156</v>
      </c>
      <c r="K2392" s="283" t="s">
        <v>3543</v>
      </c>
      <c r="L2392" s="286" t="s">
        <v>574</v>
      </c>
      <c r="M2392" s="287">
        <v>551</v>
      </c>
      <c r="N2392" s="287" t="s">
        <v>159</v>
      </c>
      <c r="O2392" s="287" t="s">
        <v>159</v>
      </c>
      <c r="P2392" s="287" t="s">
        <v>159</v>
      </c>
      <c r="Q2392" s="288">
        <v>-776.22</v>
      </c>
      <c r="R2392" s="288">
        <v>97.836999999999989</v>
      </c>
      <c r="S2392" s="288">
        <v>-874.05700000000002</v>
      </c>
      <c r="T2392" s="288"/>
      <c r="U2392" s="288">
        <v>888.94666666666672</v>
      </c>
      <c r="V2392" s="289">
        <v>112.72666666666669</v>
      </c>
      <c r="W2392" s="289">
        <v>888.94666666666672</v>
      </c>
      <c r="X2392" s="288">
        <v>-1.4087477313974592</v>
      </c>
      <c r="Y2392" s="288">
        <v>0.17756261343012703</v>
      </c>
      <c r="Z2392" s="288">
        <v>-1.5863103448275861</v>
      </c>
      <c r="AA2392" s="288">
        <v>0</v>
      </c>
      <c r="AB2392" s="288">
        <v>1.6133333333333335</v>
      </c>
      <c r="AC2392" s="289">
        <v>0.20458560193587449</v>
      </c>
      <c r="AD2392" s="289">
        <v>1.6133333333333335</v>
      </c>
    </row>
    <row r="2393" spans="1:30" ht="15" customHeight="1" x14ac:dyDescent="0.25">
      <c r="A2393" s="282" t="s">
        <v>3497</v>
      </c>
      <c r="B2393" s="282" t="s">
        <v>2422</v>
      </c>
      <c r="C2393" s="282" t="s">
        <v>2423</v>
      </c>
      <c r="D2393" s="283" t="s">
        <v>3594</v>
      </c>
      <c r="E2393" s="403">
        <v>43077</v>
      </c>
      <c r="F2393" s="403">
        <v>44903</v>
      </c>
      <c r="G2393" s="283" t="s">
        <v>154</v>
      </c>
      <c r="H2393" s="282" t="s">
        <v>2425</v>
      </c>
      <c r="I2393" s="285"/>
      <c r="J2393" s="282" t="s">
        <v>156</v>
      </c>
      <c r="K2393" s="283" t="s">
        <v>3595</v>
      </c>
      <c r="L2393" s="286" t="s">
        <v>574</v>
      </c>
      <c r="M2393" s="287">
        <v>493.33333333333337</v>
      </c>
      <c r="N2393" s="287" t="s">
        <v>159</v>
      </c>
      <c r="O2393" s="287" t="s">
        <v>159</v>
      </c>
      <c r="P2393" s="287" t="s">
        <v>159</v>
      </c>
      <c r="Q2393" s="288">
        <v>-364.7196683333334</v>
      </c>
      <c r="R2393" s="288">
        <v>408.61366499999997</v>
      </c>
      <c r="S2393" s="288">
        <v>-773.33333333333337</v>
      </c>
      <c r="T2393" s="288"/>
      <c r="U2393" s="288">
        <v>832.08888888888896</v>
      </c>
      <c r="V2393" s="289">
        <v>467.36922055555556</v>
      </c>
      <c r="W2393" s="289">
        <v>832.08888888888896</v>
      </c>
      <c r="X2393" s="288">
        <v>-0.73929662500000004</v>
      </c>
      <c r="Y2393" s="288">
        <v>0.82827094256756739</v>
      </c>
      <c r="Z2393" s="288">
        <v>-1.5675675675675675</v>
      </c>
      <c r="AA2393" s="288">
        <v>0</v>
      </c>
      <c r="AB2393" s="288">
        <v>1.6866666666666668</v>
      </c>
      <c r="AC2393" s="289">
        <v>0.94737004166666661</v>
      </c>
      <c r="AD2393" s="289">
        <v>1.6866666666666668</v>
      </c>
    </row>
    <row r="2394" spans="1:30" ht="15" customHeight="1" x14ac:dyDescent="0.25">
      <c r="A2394" s="282" t="s">
        <v>3497</v>
      </c>
      <c r="B2394" s="282" t="s">
        <v>3520</v>
      </c>
      <c r="C2394" s="282" t="s">
        <v>3520</v>
      </c>
      <c r="D2394" s="283" t="s">
        <v>3596</v>
      </c>
      <c r="E2394" s="403">
        <v>45205</v>
      </c>
      <c r="F2394" s="403">
        <v>47032</v>
      </c>
      <c r="G2394" s="283" t="s">
        <v>2202</v>
      </c>
      <c r="H2394" s="282" t="s">
        <v>3597</v>
      </c>
      <c r="I2394" s="285"/>
      <c r="J2394" s="282" t="s">
        <v>184</v>
      </c>
      <c r="K2394" s="283" t="s">
        <v>3598</v>
      </c>
      <c r="L2394" s="286" t="s">
        <v>574</v>
      </c>
      <c r="M2394" s="287">
        <v>519</v>
      </c>
      <c r="N2394" s="287">
        <v>64.900000000000006</v>
      </c>
      <c r="O2394" s="287" t="s">
        <v>159</v>
      </c>
      <c r="P2394" s="287" t="s">
        <v>159</v>
      </c>
      <c r="Q2394" s="288">
        <v>-585.31044684129438</v>
      </c>
      <c r="R2394" s="288">
        <v>175.93220338983051</v>
      </c>
      <c r="S2394" s="288">
        <v>-762.90600924499222</v>
      </c>
      <c r="T2394" s="288">
        <v>1.6633590138674881</v>
      </c>
      <c r="U2394" s="288">
        <v>765.30508474576266</v>
      </c>
      <c r="V2394" s="289">
        <v>179.9946379044685</v>
      </c>
      <c r="W2394" s="289">
        <v>765.30508474576266</v>
      </c>
      <c r="X2394" s="288">
        <v>-1.1277657935285055</v>
      </c>
      <c r="Y2394" s="288">
        <v>0.33898305084745761</v>
      </c>
      <c r="Z2394" s="288">
        <v>-1.4699537750385208</v>
      </c>
      <c r="AA2394" s="288">
        <v>3.2049306625577807E-3</v>
      </c>
      <c r="AB2394" s="288">
        <v>1.4745762711864405</v>
      </c>
      <c r="AC2394" s="289">
        <v>0.34681047765793505</v>
      </c>
      <c r="AD2394" s="289">
        <v>1.4745762711864405</v>
      </c>
    </row>
    <row r="2395" spans="1:30" ht="15" customHeight="1" x14ac:dyDescent="0.25">
      <c r="A2395" s="282" t="s">
        <v>3497</v>
      </c>
      <c r="B2395" s="282" t="s">
        <v>3540</v>
      </c>
      <c r="C2395" s="282" t="s">
        <v>3541</v>
      </c>
      <c r="D2395" s="286" t="s">
        <v>3599</v>
      </c>
      <c r="E2395" s="403">
        <v>45082</v>
      </c>
      <c r="F2395" s="403">
        <v>46909</v>
      </c>
      <c r="G2395" s="283" t="s">
        <v>154</v>
      </c>
      <c r="H2395" s="282" t="s">
        <v>3600</v>
      </c>
      <c r="I2395" s="282" t="s">
        <v>590</v>
      </c>
      <c r="J2395" s="282" t="s">
        <v>156</v>
      </c>
      <c r="K2395" s="283" t="s">
        <v>3601</v>
      </c>
      <c r="L2395" s="292" t="s">
        <v>574</v>
      </c>
      <c r="M2395" s="293">
        <v>492</v>
      </c>
      <c r="N2395" s="293"/>
      <c r="O2395" s="287"/>
      <c r="P2395" s="287"/>
      <c r="Q2395" s="288">
        <v>-711</v>
      </c>
      <c r="R2395" s="288">
        <v>119</v>
      </c>
      <c r="S2395" s="288">
        <v>-830</v>
      </c>
      <c r="T2395" s="288">
        <v>9.92E-3</v>
      </c>
      <c r="U2395" s="288">
        <v>865.33333333333337</v>
      </c>
      <c r="V2395" s="289">
        <v>154.34325333333334</v>
      </c>
      <c r="W2395" s="289">
        <v>865.33333333333337</v>
      </c>
      <c r="X2395" s="288">
        <v>-1.4451219512195121</v>
      </c>
      <c r="Y2395" s="288">
        <v>0.241869918699187</v>
      </c>
      <c r="Z2395" s="288">
        <v>-1.6869918699186992</v>
      </c>
      <c r="AA2395" s="288">
        <v>2.0162601626016259E-5</v>
      </c>
      <c r="AB2395" s="288">
        <v>1.7588075880758809</v>
      </c>
      <c r="AC2395" s="289">
        <v>0.31370579945799482</v>
      </c>
      <c r="AD2395" s="289">
        <v>1.7588075880758809</v>
      </c>
    </row>
    <row r="2396" spans="1:30" ht="15" customHeight="1" x14ac:dyDescent="0.25">
      <c r="A2396" s="282" t="s">
        <v>3497</v>
      </c>
      <c r="B2396" s="282" t="s">
        <v>3540</v>
      </c>
      <c r="C2396" s="282" t="s">
        <v>3541</v>
      </c>
      <c r="D2396" s="286" t="s">
        <v>3602</v>
      </c>
      <c r="E2396" s="403">
        <v>45082</v>
      </c>
      <c r="F2396" s="403">
        <v>46909</v>
      </c>
      <c r="G2396" s="283" t="s">
        <v>154</v>
      </c>
      <c r="H2396" s="282" t="s">
        <v>3600</v>
      </c>
      <c r="I2396" s="282" t="s">
        <v>590</v>
      </c>
      <c r="J2396" s="282" t="s">
        <v>156</v>
      </c>
      <c r="K2396" s="283" t="s">
        <v>3601</v>
      </c>
      <c r="L2396" s="292" t="s">
        <v>574</v>
      </c>
      <c r="M2396" s="293">
        <v>528</v>
      </c>
      <c r="N2396" s="293"/>
      <c r="O2396" s="287"/>
      <c r="P2396" s="287"/>
      <c r="Q2396" s="288">
        <v>-705</v>
      </c>
      <c r="R2396" s="288">
        <v>125</v>
      </c>
      <c r="S2396" s="288">
        <v>-830</v>
      </c>
      <c r="T2396" s="288">
        <v>1.01E-2</v>
      </c>
      <c r="U2396" s="288">
        <v>865.33333333333337</v>
      </c>
      <c r="V2396" s="289">
        <v>160.34343333333334</v>
      </c>
      <c r="W2396" s="289">
        <v>865.33333333333337</v>
      </c>
      <c r="X2396" s="288">
        <v>-1.3352272727272727</v>
      </c>
      <c r="Y2396" s="288">
        <v>0.23674242424242425</v>
      </c>
      <c r="Z2396" s="288">
        <v>-1.571969696969697</v>
      </c>
      <c r="AA2396" s="288">
        <v>1.9128787878787877E-5</v>
      </c>
      <c r="AB2396" s="288">
        <v>1.6388888888888891</v>
      </c>
      <c r="AC2396" s="289">
        <v>0.30368074494949515</v>
      </c>
      <c r="AD2396" s="289">
        <v>1.6388888888888891</v>
      </c>
    </row>
    <row r="2397" spans="1:30" ht="15" customHeight="1" x14ac:dyDescent="0.25">
      <c r="A2397" s="282" t="s">
        <v>3497</v>
      </c>
      <c r="B2397" s="282" t="s">
        <v>3499</v>
      </c>
      <c r="C2397" s="282" t="s">
        <v>3500</v>
      </c>
      <c r="D2397" s="283" t="s">
        <v>3603</v>
      </c>
      <c r="E2397" s="403">
        <v>45257</v>
      </c>
      <c r="F2397" s="403">
        <v>47084</v>
      </c>
      <c r="G2397" s="283" t="s">
        <v>216</v>
      </c>
      <c r="H2397" s="282" t="s">
        <v>3604</v>
      </c>
      <c r="I2397" s="285"/>
      <c r="J2397" s="282" t="s">
        <v>184</v>
      </c>
      <c r="K2397" s="283" t="s">
        <v>3605</v>
      </c>
      <c r="L2397" s="286" t="s">
        <v>574</v>
      </c>
      <c r="M2397" s="287">
        <v>620</v>
      </c>
      <c r="N2397" s="287">
        <v>5.79</v>
      </c>
      <c r="O2397" s="287" t="s">
        <v>159</v>
      </c>
      <c r="P2397" s="287" t="s">
        <v>159</v>
      </c>
      <c r="Q2397" s="288">
        <v>-820.24179620034545</v>
      </c>
      <c r="R2397" s="288">
        <v>175.61312607944731</v>
      </c>
      <c r="S2397" s="288">
        <v>-995.85492227979285</v>
      </c>
      <c r="T2397" s="288">
        <v>1.7668393782383419E-2</v>
      </c>
      <c r="U2397" s="288">
        <v>997.28267127230868</v>
      </c>
      <c r="V2397" s="289">
        <v>177.05854346574552</v>
      </c>
      <c r="W2397" s="289">
        <v>997.28267127230868</v>
      </c>
      <c r="X2397" s="288">
        <v>-1.3229706390328153</v>
      </c>
      <c r="Y2397" s="288">
        <v>0.28324697754749567</v>
      </c>
      <c r="Z2397" s="288">
        <v>-1.606217616580311</v>
      </c>
      <c r="AA2397" s="288">
        <v>2.8497409326424869E-5</v>
      </c>
      <c r="AB2397" s="288">
        <v>1.6085204375359818</v>
      </c>
      <c r="AC2397" s="289">
        <v>0.28557829591249306</v>
      </c>
      <c r="AD2397" s="289">
        <v>1.6085204375359818</v>
      </c>
    </row>
    <row r="2398" spans="1:30" ht="15" customHeight="1" x14ac:dyDescent="0.25">
      <c r="A2398" s="282" t="s">
        <v>3497</v>
      </c>
      <c r="B2398" s="282" t="s">
        <v>3540</v>
      </c>
      <c r="C2398" s="282" t="s">
        <v>3541</v>
      </c>
      <c r="D2398" s="286" t="s">
        <v>3606</v>
      </c>
      <c r="E2398" s="403">
        <v>45082</v>
      </c>
      <c r="F2398" s="403">
        <v>46909</v>
      </c>
      <c r="G2398" s="283" t="s">
        <v>154</v>
      </c>
      <c r="H2398" s="282" t="s">
        <v>3600</v>
      </c>
      <c r="I2398" s="282" t="s">
        <v>590</v>
      </c>
      <c r="J2398" s="282" t="s">
        <v>156</v>
      </c>
      <c r="K2398" s="283" t="s">
        <v>3601</v>
      </c>
      <c r="L2398" s="292" t="s">
        <v>574</v>
      </c>
      <c r="M2398" s="293">
        <v>526</v>
      </c>
      <c r="N2398" s="293"/>
      <c r="O2398" s="287"/>
      <c r="P2398" s="287"/>
      <c r="Q2398" s="288">
        <v>-670</v>
      </c>
      <c r="R2398" s="288">
        <v>148</v>
      </c>
      <c r="S2398" s="288">
        <v>-818</v>
      </c>
      <c r="T2398" s="288">
        <v>1.8599999999999998E-2</v>
      </c>
      <c r="U2398" s="288">
        <v>854.33333333333337</v>
      </c>
      <c r="V2398" s="289">
        <v>184.35193333333336</v>
      </c>
      <c r="W2398" s="289">
        <v>854.33333333333337</v>
      </c>
      <c r="X2398" s="288">
        <v>-1.273764258555133</v>
      </c>
      <c r="Y2398" s="288">
        <v>0.28136882129277568</v>
      </c>
      <c r="Z2398" s="288">
        <v>-1.5551330798479088</v>
      </c>
      <c r="AA2398" s="288">
        <v>3.5361216730038019E-5</v>
      </c>
      <c r="AB2398" s="288">
        <v>1.6242078580481623</v>
      </c>
      <c r="AC2398" s="289">
        <v>0.35047896070975915</v>
      </c>
      <c r="AD2398" s="289">
        <v>1.6242078580481623</v>
      </c>
    </row>
    <row r="2399" spans="1:30" ht="15" customHeight="1" x14ac:dyDescent="0.25">
      <c r="A2399" s="282" t="s">
        <v>3497</v>
      </c>
      <c r="B2399" s="282" t="s">
        <v>3540</v>
      </c>
      <c r="C2399" s="282" t="s">
        <v>3545</v>
      </c>
      <c r="D2399" s="286" t="s">
        <v>3607</v>
      </c>
      <c r="E2399" s="403">
        <v>44606</v>
      </c>
      <c r="F2399" s="403">
        <v>46432</v>
      </c>
      <c r="G2399" s="283" t="s">
        <v>154</v>
      </c>
      <c r="H2399" s="282" t="s">
        <v>3005</v>
      </c>
      <c r="I2399" s="282" t="s">
        <v>3251</v>
      </c>
      <c r="J2399" s="282" t="s">
        <v>156</v>
      </c>
      <c r="K2399" s="283" t="s">
        <v>3543</v>
      </c>
      <c r="L2399" s="292" t="s">
        <v>574</v>
      </c>
      <c r="M2399" s="293">
        <v>551</v>
      </c>
      <c r="N2399" s="293"/>
      <c r="O2399" s="287"/>
      <c r="P2399" s="287"/>
      <c r="Q2399" s="288">
        <v>-746.6</v>
      </c>
      <c r="R2399" s="288">
        <v>134.4</v>
      </c>
      <c r="S2399" s="288">
        <v>-880.947</v>
      </c>
      <c r="T2399" s="288"/>
      <c r="U2399" s="288">
        <v>888.94666666666672</v>
      </c>
      <c r="V2399" s="289">
        <v>142.39966666666669</v>
      </c>
      <c r="W2399" s="289">
        <v>888.94666666666672</v>
      </c>
      <c r="X2399" s="288">
        <v>-1.3549909255898367</v>
      </c>
      <c r="Y2399" s="288">
        <v>0.24392014519056263</v>
      </c>
      <c r="Z2399" s="288">
        <v>-1.598814882032668</v>
      </c>
      <c r="AA2399" s="288">
        <v>0</v>
      </c>
      <c r="AB2399" s="288">
        <v>1.6133333333333335</v>
      </c>
      <c r="AC2399" s="289">
        <v>0.25843859649122813</v>
      </c>
      <c r="AD2399" s="289">
        <v>1.6133333333333335</v>
      </c>
    </row>
    <row r="2400" spans="1:30" ht="15" customHeight="1" x14ac:dyDescent="0.25">
      <c r="A2400" s="282" t="s">
        <v>3497</v>
      </c>
      <c r="B2400" s="282" t="s">
        <v>3540</v>
      </c>
      <c r="C2400" s="282" t="s">
        <v>3541</v>
      </c>
      <c r="D2400" s="286" t="s">
        <v>3608</v>
      </c>
      <c r="E2400" s="403">
        <v>44606</v>
      </c>
      <c r="F2400" s="403">
        <v>46432</v>
      </c>
      <c r="G2400" s="283" t="s">
        <v>154</v>
      </c>
      <c r="H2400" s="282" t="s">
        <v>3005</v>
      </c>
      <c r="I2400" s="282" t="s">
        <v>3251</v>
      </c>
      <c r="J2400" s="282" t="s">
        <v>156</v>
      </c>
      <c r="K2400" s="283" t="s">
        <v>3543</v>
      </c>
      <c r="L2400" s="292" t="s">
        <v>574</v>
      </c>
      <c r="M2400" s="293">
        <v>551</v>
      </c>
      <c r="N2400" s="293"/>
      <c r="O2400" s="287"/>
      <c r="P2400" s="287"/>
      <c r="Q2400" s="288">
        <v>-700.6</v>
      </c>
      <c r="R2400" s="288">
        <v>174.4</v>
      </c>
      <c r="S2400" s="288">
        <v>-874.947</v>
      </c>
      <c r="T2400" s="288"/>
      <c r="U2400" s="288">
        <v>888.94666666666672</v>
      </c>
      <c r="V2400" s="289">
        <v>188.39966666666669</v>
      </c>
      <c r="W2400" s="289">
        <v>888.94666666666672</v>
      </c>
      <c r="X2400" s="288">
        <v>-1.2715063520871144</v>
      </c>
      <c r="Y2400" s="288">
        <v>0.31651542649727771</v>
      </c>
      <c r="Z2400" s="288">
        <v>-1.5879255898366607</v>
      </c>
      <c r="AA2400" s="288">
        <v>0</v>
      </c>
      <c r="AB2400" s="288">
        <v>1.6133333333333335</v>
      </c>
      <c r="AC2400" s="289">
        <v>0.34192316999395067</v>
      </c>
      <c r="AD2400" s="289">
        <v>1.6133333333333335</v>
      </c>
    </row>
    <row r="2401" spans="1:30" ht="15" customHeight="1" x14ac:dyDescent="0.25">
      <c r="A2401" s="282" t="s">
        <v>3497</v>
      </c>
      <c r="B2401" s="282" t="s">
        <v>3540</v>
      </c>
      <c r="C2401" s="282" t="s">
        <v>3545</v>
      </c>
      <c r="D2401" s="286" t="s">
        <v>3609</v>
      </c>
      <c r="E2401" s="403">
        <v>44606</v>
      </c>
      <c r="F2401" s="403">
        <v>46432</v>
      </c>
      <c r="G2401" s="283" t="s">
        <v>154</v>
      </c>
      <c r="H2401" s="282" t="s">
        <v>3005</v>
      </c>
      <c r="I2401" s="282" t="s">
        <v>3251</v>
      </c>
      <c r="J2401" s="282" t="s">
        <v>156</v>
      </c>
      <c r="K2401" s="283" t="s">
        <v>3543</v>
      </c>
      <c r="L2401" s="292" t="s">
        <v>574</v>
      </c>
      <c r="M2401" s="293">
        <v>551</v>
      </c>
      <c r="N2401" s="293"/>
      <c r="O2401" s="287"/>
      <c r="P2401" s="287"/>
      <c r="Q2401" s="288">
        <v>-739.3</v>
      </c>
      <c r="R2401" s="288">
        <v>141.69999999999999</v>
      </c>
      <c r="S2401" s="288">
        <v>-880.94299999999998</v>
      </c>
      <c r="T2401" s="288"/>
      <c r="U2401" s="288">
        <v>888.94666666666672</v>
      </c>
      <c r="V2401" s="289">
        <v>149.70366666666678</v>
      </c>
      <c r="W2401" s="289">
        <v>888.94666666666672</v>
      </c>
      <c r="X2401" s="288">
        <v>-1.3417422867513611</v>
      </c>
      <c r="Y2401" s="288">
        <v>0.25716878402903809</v>
      </c>
      <c r="Z2401" s="288">
        <v>-1.5988076225045371</v>
      </c>
      <c r="AA2401" s="288">
        <v>0</v>
      </c>
      <c r="AB2401" s="288">
        <v>1.6133333333333335</v>
      </c>
      <c r="AC2401" s="289">
        <v>0.27169449485783459</v>
      </c>
      <c r="AD2401" s="289">
        <v>1.6133333333333335</v>
      </c>
    </row>
    <row r="2402" spans="1:30" ht="15" customHeight="1" x14ac:dyDescent="0.25">
      <c r="A2402" s="282" t="s">
        <v>3497</v>
      </c>
      <c r="B2402" s="282" t="s">
        <v>3540</v>
      </c>
      <c r="C2402" s="282" t="s">
        <v>3541</v>
      </c>
      <c r="D2402" s="286" t="s">
        <v>3610</v>
      </c>
      <c r="E2402" s="403">
        <v>44606</v>
      </c>
      <c r="F2402" s="403">
        <v>46432</v>
      </c>
      <c r="G2402" s="283" t="s">
        <v>154</v>
      </c>
      <c r="H2402" s="282" t="s">
        <v>3005</v>
      </c>
      <c r="I2402" s="282" t="s">
        <v>3251</v>
      </c>
      <c r="J2402" s="282" t="s">
        <v>156</v>
      </c>
      <c r="K2402" s="283" t="s">
        <v>3543</v>
      </c>
      <c r="L2402" s="292" t="s">
        <v>574</v>
      </c>
      <c r="M2402" s="293">
        <v>551</v>
      </c>
      <c r="N2402" s="293"/>
      <c r="O2402" s="287"/>
      <c r="P2402" s="287"/>
      <c r="Q2402" s="288">
        <v>-693.3</v>
      </c>
      <c r="R2402" s="288">
        <v>181.7</v>
      </c>
      <c r="S2402" s="288">
        <v>-874.94299999999998</v>
      </c>
      <c r="T2402" s="288"/>
      <c r="U2402" s="288">
        <v>888.94666666666672</v>
      </c>
      <c r="V2402" s="289">
        <v>195.70366666666678</v>
      </c>
      <c r="W2402" s="289">
        <v>888.94666666666672</v>
      </c>
      <c r="X2402" s="288">
        <v>-1.2582577132486388</v>
      </c>
      <c r="Y2402" s="288">
        <v>0.32976406533575314</v>
      </c>
      <c r="Z2402" s="288">
        <v>-1.58791833030853</v>
      </c>
      <c r="AA2402" s="288">
        <v>0</v>
      </c>
      <c r="AB2402" s="288">
        <v>1.6133333333333335</v>
      </c>
      <c r="AC2402" s="289">
        <v>0.35517906836055668</v>
      </c>
      <c r="AD2402" s="289">
        <v>1.6133333333333335</v>
      </c>
    </row>
    <row r="2403" spans="1:30" ht="15" customHeight="1" x14ac:dyDescent="0.25">
      <c r="A2403" s="282" t="s">
        <v>3497</v>
      </c>
      <c r="B2403" s="282" t="s">
        <v>3540</v>
      </c>
      <c r="C2403" s="282" t="s">
        <v>3545</v>
      </c>
      <c r="D2403" s="286" t="s">
        <v>3611</v>
      </c>
      <c r="E2403" s="403">
        <v>44606</v>
      </c>
      <c r="F2403" s="403">
        <v>46432</v>
      </c>
      <c r="G2403" s="283" t="s">
        <v>154</v>
      </c>
      <c r="H2403" s="282" t="s">
        <v>3005</v>
      </c>
      <c r="I2403" s="282" t="s">
        <v>3251</v>
      </c>
      <c r="J2403" s="282" t="s">
        <v>156</v>
      </c>
      <c r="K2403" s="283" t="s">
        <v>3543</v>
      </c>
      <c r="L2403" s="292" t="s">
        <v>574</v>
      </c>
      <c r="M2403" s="293">
        <v>551</v>
      </c>
      <c r="N2403" s="293"/>
      <c r="O2403" s="287"/>
      <c r="P2403" s="287"/>
      <c r="Q2403" s="288">
        <v>-745.2</v>
      </c>
      <c r="R2403" s="288">
        <v>135.80000000000001</v>
      </c>
      <c r="S2403" s="288">
        <v>-880.93790000000001</v>
      </c>
      <c r="T2403" s="288"/>
      <c r="U2403" s="288">
        <v>888.94666666666672</v>
      </c>
      <c r="V2403" s="289">
        <v>143.80876666666677</v>
      </c>
      <c r="W2403" s="289">
        <v>888.94666666666672</v>
      </c>
      <c r="X2403" s="288">
        <v>-1.3524500907441017</v>
      </c>
      <c r="Y2403" s="288">
        <v>0.24646098003629766</v>
      </c>
      <c r="Z2403" s="288">
        <v>-1.5987983666061707</v>
      </c>
      <c r="AA2403" s="288">
        <v>0</v>
      </c>
      <c r="AB2403" s="288">
        <v>1.6133333333333335</v>
      </c>
      <c r="AC2403" s="289">
        <v>0.26099594676346038</v>
      </c>
      <c r="AD2403" s="289">
        <v>1.6133333333333335</v>
      </c>
    </row>
    <row r="2404" spans="1:30" ht="15" customHeight="1" x14ac:dyDescent="0.25">
      <c r="A2404" s="282" t="s">
        <v>3497</v>
      </c>
      <c r="B2404" s="282" t="s">
        <v>3540</v>
      </c>
      <c r="C2404" s="282" t="s">
        <v>3541</v>
      </c>
      <c r="D2404" s="286" t="s">
        <v>3612</v>
      </c>
      <c r="E2404" s="403">
        <v>44606</v>
      </c>
      <c r="F2404" s="403">
        <v>46432</v>
      </c>
      <c r="G2404" s="283" t="s">
        <v>154</v>
      </c>
      <c r="H2404" s="282" t="s">
        <v>3005</v>
      </c>
      <c r="I2404" s="282" t="s">
        <v>3251</v>
      </c>
      <c r="J2404" s="282" t="s">
        <v>156</v>
      </c>
      <c r="K2404" s="283" t="s">
        <v>3543</v>
      </c>
      <c r="L2404" s="292" t="s">
        <v>574</v>
      </c>
      <c r="M2404" s="293">
        <v>551</v>
      </c>
      <c r="N2404" s="293"/>
      <c r="O2404" s="287"/>
      <c r="P2404" s="287"/>
      <c r="Q2404" s="288">
        <v>-699.2</v>
      </c>
      <c r="R2404" s="288">
        <v>175.8</v>
      </c>
      <c r="S2404" s="288">
        <v>-874.93790000000001</v>
      </c>
      <c r="T2404" s="288"/>
      <c r="U2404" s="288">
        <v>888.94666666666672</v>
      </c>
      <c r="V2404" s="289">
        <v>189.80876666666677</v>
      </c>
      <c r="W2404" s="289">
        <v>888.94666666666672</v>
      </c>
      <c r="X2404" s="288">
        <v>-1.2689655172413794</v>
      </c>
      <c r="Y2404" s="288">
        <v>0.31905626134301274</v>
      </c>
      <c r="Z2404" s="288">
        <v>-1.5879090744101634</v>
      </c>
      <c r="AA2404" s="288">
        <v>0</v>
      </c>
      <c r="AB2404" s="288">
        <v>1.6133333333333335</v>
      </c>
      <c r="AC2404" s="289">
        <v>0.34448052026618292</v>
      </c>
      <c r="AD2404" s="289">
        <v>1.6133333333333335</v>
      </c>
    </row>
    <row r="2405" spans="1:30" ht="15" customHeight="1" x14ac:dyDescent="0.25">
      <c r="A2405" s="282" t="s">
        <v>3497</v>
      </c>
      <c r="B2405" s="282" t="s">
        <v>2375</v>
      </c>
      <c r="C2405" s="282" t="s">
        <v>2375</v>
      </c>
      <c r="D2405" s="283" t="s">
        <v>3613</v>
      </c>
      <c r="E2405" s="403">
        <v>44237</v>
      </c>
      <c r="F2405" s="403">
        <v>46062</v>
      </c>
      <c r="G2405" s="283" t="s">
        <v>237</v>
      </c>
      <c r="H2405" s="282" t="s">
        <v>3614</v>
      </c>
      <c r="I2405" s="285"/>
      <c r="J2405" s="282" t="s">
        <v>184</v>
      </c>
      <c r="K2405" s="283" t="s">
        <v>3615</v>
      </c>
      <c r="L2405" s="286" t="s">
        <v>574</v>
      </c>
      <c r="M2405" s="287">
        <v>737</v>
      </c>
      <c r="N2405" s="287" t="s">
        <v>159</v>
      </c>
      <c r="O2405" s="287" t="s">
        <v>159</v>
      </c>
      <c r="P2405" s="287" t="s">
        <v>159</v>
      </c>
      <c r="Q2405" s="288">
        <v>-724</v>
      </c>
      <c r="R2405" s="288">
        <v>433</v>
      </c>
      <c r="S2405" s="288">
        <v>-1158</v>
      </c>
      <c r="T2405" s="288">
        <v>1.1000000000000001</v>
      </c>
      <c r="U2405" s="288">
        <v>1249.8291666666667</v>
      </c>
      <c r="V2405" s="289">
        <v>525.92916666666667</v>
      </c>
      <c r="W2405" s="289">
        <v>1249.8291666666667</v>
      </c>
      <c r="X2405" s="288">
        <v>-0.98236092265943009</v>
      </c>
      <c r="Y2405" s="288">
        <v>0.587516960651289</v>
      </c>
      <c r="Z2405" s="288">
        <v>-1.5712347354138398</v>
      </c>
      <c r="AA2405" s="288">
        <v>1.4925373134328358E-3</v>
      </c>
      <c r="AB2405" s="288">
        <v>1.6958333333333333</v>
      </c>
      <c r="AC2405" s="289">
        <v>0.71360809588421525</v>
      </c>
      <c r="AD2405" s="289">
        <v>1.6958333333333333</v>
      </c>
    </row>
    <row r="2406" spans="1:30" ht="15" customHeight="1" x14ac:dyDescent="0.25">
      <c r="A2406" s="282" t="s">
        <v>3497</v>
      </c>
      <c r="B2406" s="282" t="s">
        <v>3520</v>
      </c>
      <c r="C2406" s="282" t="s">
        <v>3520</v>
      </c>
      <c r="D2406" s="283" t="s">
        <v>3616</v>
      </c>
      <c r="E2406" s="403">
        <v>45028</v>
      </c>
      <c r="F2406" s="403">
        <v>46855</v>
      </c>
      <c r="G2406" s="283" t="s">
        <v>216</v>
      </c>
      <c r="H2406" s="282" t="s">
        <v>3617</v>
      </c>
      <c r="I2406" s="285"/>
      <c r="J2406" s="282" t="s">
        <v>184</v>
      </c>
      <c r="K2406" s="283" t="s">
        <v>3618</v>
      </c>
      <c r="L2406" s="286" t="s">
        <v>574</v>
      </c>
      <c r="M2406" s="287">
        <v>609</v>
      </c>
      <c r="N2406" s="287" t="s">
        <v>159</v>
      </c>
      <c r="O2406" s="287" t="s">
        <v>159</v>
      </c>
      <c r="P2406" s="287" t="s">
        <v>159</v>
      </c>
      <c r="Q2406" s="288">
        <v>-820.53</v>
      </c>
      <c r="R2406" s="288">
        <v>100.79</v>
      </c>
      <c r="S2406" s="288">
        <v>-920.928</v>
      </c>
      <c r="T2406" s="288"/>
      <c r="U2406" s="288">
        <v>924</v>
      </c>
      <c r="V2406" s="289">
        <v>103.86199999999997</v>
      </c>
      <c r="W2406" s="289">
        <v>924</v>
      </c>
      <c r="X2406" s="288">
        <v>-1.3473399014778324</v>
      </c>
      <c r="Y2406" s="288">
        <v>0.16550082101806241</v>
      </c>
      <c r="Z2406" s="288">
        <v>-1.5121970443349753</v>
      </c>
      <c r="AA2406" s="288">
        <v>0</v>
      </c>
      <c r="AB2406" s="288">
        <v>1.5172413793103448</v>
      </c>
      <c r="AC2406" s="289">
        <v>0.1705451559934319</v>
      </c>
      <c r="AD2406" s="289">
        <v>1.5172413793103448</v>
      </c>
    </row>
    <row r="2407" spans="1:30" ht="15" customHeight="1" x14ac:dyDescent="0.25">
      <c r="A2407" s="282" t="s">
        <v>3497</v>
      </c>
      <c r="B2407" s="282" t="s">
        <v>3520</v>
      </c>
      <c r="C2407" s="282" t="s">
        <v>3520</v>
      </c>
      <c r="D2407" s="283" t="s">
        <v>3619</v>
      </c>
      <c r="E2407" s="403">
        <v>45028</v>
      </c>
      <c r="F2407" s="403">
        <v>46855</v>
      </c>
      <c r="G2407" s="283" t="s">
        <v>216</v>
      </c>
      <c r="H2407" s="282" t="s">
        <v>3617</v>
      </c>
      <c r="I2407" s="285"/>
      <c r="J2407" s="282" t="s">
        <v>184</v>
      </c>
      <c r="K2407" s="283" t="s">
        <v>3618</v>
      </c>
      <c r="L2407" s="286" t="s">
        <v>574</v>
      </c>
      <c r="M2407" s="287">
        <v>609</v>
      </c>
      <c r="N2407" s="287" t="s">
        <v>159</v>
      </c>
      <c r="O2407" s="287" t="s">
        <v>159</v>
      </c>
      <c r="P2407" s="287" t="s">
        <v>159</v>
      </c>
      <c r="Q2407" s="288">
        <v>-830</v>
      </c>
      <c r="R2407" s="288">
        <v>91.4</v>
      </c>
      <c r="S2407" s="288">
        <v>-921</v>
      </c>
      <c r="T2407" s="288"/>
      <c r="U2407" s="288">
        <v>924</v>
      </c>
      <c r="V2407" s="289">
        <v>94.399999999999977</v>
      </c>
      <c r="W2407" s="289">
        <v>924</v>
      </c>
      <c r="X2407" s="288">
        <v>-1.3628899835796386</v>
      </c>
      <c r="Y2407" s="288">
        <v>0.15008210180623974</v>
      </c>
      <c r="Z2407" s="288">
        <v>-1.5123152709359606</v>
      </c>
      <c r="AA2407" s="288">
        <v>0</v>
      </c>
      <c r="AB2407" s="288">
        <v>1.5172413793103448</v>
      </c>
      <c r="AC2407" s="289">
        <v>0.15500821018062383</v>
      </c>
      <c r="AD2407" s="289">
        <v>1.5172413793103448</v>
      </c>
    </row>
    <row r="2408" spans="1:30" ht="15" customHeight="1" x14ac:dyDescent="0.25">
      <c r="A2408" s="282" t="s">
        <v>3497</v>
      </c>
      <c r="B2408" s="282" t="s">
        <v>3499</v>
      </c>
      <c r="C2408" s="282" t="s">
        <v>3500</v>
      </c>
      <c r="D2408" s="286" t="s">
        <v>3620</v>
      </c>
      <c r="E2408" s="403">
        <v>43077</v>
      </c>
      <c r="F2408" s="403">
        <v>44903</v>
      </c>
      <c r="G2408" s="283" t="s">
        <v>154</v>
      </c>
      <c r="H2408" s="282" t="s">
        <v>3502</v>
      </c>
      <c r="I2408" s="282" t="s">
        <v>1600</v>
      </c>
      <c r="J2408" s="282" t="s">
        <v>156</v>
      </c>
      <c r="K2408" s="283" t="s">
        <v>3503</v>
      </c>
      <c r="L2408" s="292" t="s">
        <v>574</v>
      </c>
      <c r="M2408" s="293">
        <v>660</v>
      </c>
      <c r="N2408" s="293"/>
      <c r="O2408" s="287"/>
      <c r="P2408" s="287"/>
      <c r="Q2408" s="288">
        <v>-531.11320754716985</v>
      </c>
      <c r="R2408" s="288">
        <v>484.41509433962267</v>
      </c>
      <c r="S2408" s="288">
        <v>-1014.9056603773586</v>
      </c>
      <c r="T2408" s="288"/>
      <c r="U2408" s="288">
        <v>1113.2</v>
      </c>
      <c r="V2408" s="289">
        <v>582.70943396226414</v>
      </c>
      <c r="W2408" s="289">
        <v>1113.2</v>
      </c>
      <c r="X2408" s="288">
        <v>-0.80471698113207557</v>
      </c>
      <c r="Y2408" s="288">
        <v>0.73396226415094346</v>
      </c>
      <c r="Z2408" s="288">
        <v>-1.537735849056604</v>
      </c>
      <c r="AA2408" s="288">
        <v>0</v>
      </c>
      <c r="AB2408" s="288">
        <v>1.6866666666666668</v>
      </c>
      <c r="AC2408" s="289">
        <v>0.88289308176100623</v>
      </c>
      <c r="AD2408" s="289">
        <v>1.6866666666666668</v>
      </c>
    </row>
    <row r="2409" spans="1:30" ht="15" customHeight="1" x14ac:dyDescent="0.25">
      <c r="A2409" s="282" t="s">
        <v>3497</v>
      </c>
      <c r="B2409" s="282" t="s">
        <v>3540</v>
      </c>
      <c r="C2409" s="282" t="s">
        <v>3545</v>
      </c>
      <c r="D2409" s="286" t="s">
        <v>3621</v>
      </c>
      <c r="E2409" s="403">
        <v>44606</v>
      </c>
      <c r="F2409" s="403">
        <v>46432</v>
      </c>
      <c r="G2409" s="283" t="s">
        <v>154</v>
      </c>
      <c r="H2409" s="282" t="s">
        <v>3005</v>
      </c>
      <c r="I2409" s="282" t="s">
        <v>3251</v>
      </c>
      <c r="J2409" s="282" t="s">
        <v>156</v>
      </c>
      <c r="K2409" s="283" t="s">
        <v>3543</v>
      </c>
      <c r="L2409" s="292" t="s">
        <v>574</v>
      </c>
      <c r="M2409" s="293">
        <v>551</v>
      </c>
      <c r="N2409" s="293"/>
      <c r="O2409" s="287"/>
      <c r="P2409" s="287"/>
      <c r="Q2409" s="288">
        <v>-705.4</v>
      </c>
      <c r="R2409" s="288">
        <v>175.5</v>
      </c>
      <c r="S2409" s="288">
        <v>-880.05700000000002</v>
      </c>
      <c r="T2409" s="288"/>
      <c r="U2409" s="288">
        <v>888.94666666666672</v>
      </c>
      <c r="V2409" s="289">
        <v>184.3896666666667</v>
      </c>
      <c r="W2409" s="289">
        <v>888.94666666666672</v>
      </c>
      <c r="X2409" s="288">
        <v>-1.2802177858439201</v>
      </c>
      <c r="Y2409" s="288">
        <v>0.31851179673321234</v>
      </c>
      <c r="Z2409" s="288">
        <v>-1.5971996370235935</v>
      </c>
      <c r="AA2409" s="288">
        <v>0</v>
      </c>
      <c r="AB2409" s="288">
        <v>1.6133333333333335</v>
      </c>
      <c r="AC2409" s="289">
        <v>0.33464549304295232</v>
      </c>
      <c r="AD2409" s="289">
        <v>1.6133333333333335</v>
      </c>
    </row>
    <row r="2410" spans="1:30" ht="15" customHeight="1" x14ac:dyDescent="0.25">
      <c r="A2410" s="282" t="s">
        <v>3497</v>
      </c>
      <c r="B2410" s="282" t="s">
        <v>3540</v>
      </c>
      <c r="C2410" s="282" t="s">
        <v>3541</v>
      </c>
      <c r="D2410" s="286" t="s">
        <v>3622</v>
      </c>
      <c r="E2410" s="403">
        <v>44606</v>
      </c>
      <c r="F2410" s="403">
        <v>46432</v>
      </c>
      <c r="G2410" s="283" t="s">
        <v>154</v>
      </c>
      <c r="H2410" s="282" t="s">
        <v>3005</v>
      </c>
      <c r="I2410" s="282" t="s">
        <v>3251</v>
      </c>
      <c r="J2410" s="282" t="s">
        <v>156</v>
      </c>
      <c r="K2410" s="283" t="s">
        <v>3543</v>
      </c>
      <c r="L2410" s="292" t="s">
        <v>574</v>
      </c>
      <c r="M2410" s="293">
        <v>551</v>
      </c>
      <c r="N2410" s="293"/>
      <c r="O2410" s="287"/>
      <c r="P2410" s="287"/>
      <c r="Q2410" s="288">
        <v>-659.4</v>
      </c>
      <c r="R2410" s="288">
        <v>215.5</v>
      </c>
      <c r="S2410" s="288">
        <v>-874.05700000000002</v>
      </c>
      <c r="T2410" s="288"/>
      <c r="U2410" s="288">
        <v>888.94666666666672</v>
      </c>
      <c r="V2410" s="289">
        <v>230.3896666666667</v>
      </c>
      <c r="W2410" s="289">
        <v>888.94666666666672</v>
      </c>
      <c r="X2410" s="288">
        <v>-1.1967332123411978</v>
      </c>
      <c r="Y2410" s="288">
        <v>0.39110707803992739</v>
      </c>
      <c r="Z2410" s="288">
        <v>-1.5863103448275861</v>
      </c>
      <c r="AA2410" s="288">
        <v>0</v>
      </c>
      <c r="AB2410" s="288">
        <v>1.6133333333333335</v>
      </c>
      <c r="AC2410" s="289">
        <v>0.41813006654567464</v>
      </c>
      <c r="AD2410" s="289">
        <v>1.6133333333333335</v>
      </c>
    </row>
    <row r="2411" spans="1:30" ht="15" customHeight="1" x14ac:dyDescent="0.25">
      <c r="A2411" s="282" t="s">
        <v>3497</v>
      </c>
      <c r="B2411" s="282" t="s">
        <v>3520</v>
      </c>
      <c r="C2411" s="282" t="s">
        <v>3520</v>
      </c>
      <c r="D2411" s="283" t="s">
        <v>3623</v>
      </c>
      <c r="E2411" s="403">
        <v>45208</v>
      </c>
      <c r="F2411" s="403">
        <v>47034</v>
      </c>
      <c r="G2411" s="283" t="s">
        <v>2202</v>
      </c>
      <c r="H2411" s="282" t="s">
        <v>3624</v>
      </c>
      <c r="I2411" s="285"/>
      <c r="J2411" s="282" t="s">
        <v>184</v>
      </c>
      <c r="K2411" s="283" t="s">
        <v>3625</v>
      </c>
      <c r="L2411" s="286" t="s">
        <v>574</v>
      </c>
      <c r="M2411" s="287">
        <v>610</v>
      </c>
      <c r="N2411" s="287" t="s">
        <v>159</v>
      </c>
      <c r="O2411" s="287" t="s">
        <v>159</v>
      </c>
      <c r="P2411" s="287" t="s">
        <v>159</v>
      </c>
      <c r="Q2411" s="288">
        <v>-735</v>
      </c>
      <c r="R2411" s="288">
        <v>300</v>
      </c>
      <c r="S2411" s="288">
        <v>-1040</v>
      </c>
      <c r="T2411" s="288"/>
      <c r="U2411" s="288">
        <v>1034</v>
      </c>
      <c r="V2411" s="289">
        <v>300</v>
      </c>
      <c r="W2411" s="289">
        <v>1034</v>
      </c>
      <c r="X2411" s="288">
        <v>-1.2049180327868851</v>
      </c>
      <c r="Y2411" s="288">
        <v>0.49180327868852458</v>
      </c>
      <c r="Z2411" s="288">
        <v>-1.7049180327868851</v>
      </c>
      <c r="AA2411" s="288">
        <v>0</v>
      </c>
      <c r="AB2411" s="288">
        <v>1.6950819672131148</v>
      </c>
      <c r="AC2411" s="289">
        <v>0.49180327868852447</v>
      </c>
      <c r="AD2411" s="289">
        <v>1.6950819672131148</v>
      </c>
    </row>
    <row r="2412" spans="1:30" ht="15" customHeight="1" x14ac:dyDescent="0.25">
      <c r="A2412" s="282" t="s">
        <v>3497</v>
      </c>
      <c r="B2412" s="282" t="s">
        <v>3504</v>
      </c>
      <c r="C2412" s="282" t="s">
        <v>3504</v>
      </c>
      <c r="D2412" s="283" t="s">
        <v>3626</v>
      </c>
      <c r="E2412" s="403">
        <v>44810</v>
      </c>
      <c r="F2412" s="403">
        <v>46635</v>
      </c>
      <c r="G2412" s="283" t="s">
        <v>237</v>
      </c>
      <c r="H2412" s="282" t="s">
        <v>3627</v>
      </c>
      <c r="I2412" s="285"/>
      <c r="J2412" s="282" t="s">
        <v>3628</v>
      </c>
      <c r="K2412" s="283" t="s">
        <v>3629</v>
      </c>
      <c r="L2412" s="286" t="s">
        <v>574</v>
      </c>
      <c r="M2412" s="287">
        <v>601</v>
      </c>
      <c r="N2412" s="287" t="s">
        <v>159</v>
      </c>
      <c r="O2412" s="287" t="s">
        <v>159</v>
      </c>
      <c r="P2412" s="287" t="s">
        <v>159</v>
      </c>
      <c r="Q2412" s="288">
        <v>-658</v>
      </c>
      <c r="R2412" s="288">
        <v>341</v>
      </c>
      <c r="S2412" s="288">
        <v>-1000</v>
      </c>
      <c r="T2412" s="288">
        <v>2.04</v>
      </c>
      <c r="U2412" s="288">
        <v>1041.3333333333333</v>
      </c>
      <c r="V2412" s="289">
        <v>384.37333333333322</v>
      </c>
      <c r="W2412" s="289">
        <v>1041.3333333333333</v>
      </c>
      <c r="X2412" s="288">
        <v>-1.0948419301164725</v>
      </c>
      <c r="Y2412" s="288">
        <v>0.56738768718802002</v>
      </c>
      <c r="Z2412" s="288">
        <v>-1.6638935108153079</v>
      </c>
      <c r="AA2412" s="288">
        <v>3.3943427620632279E-3</v>
      </c>
      <c r="AB2412" s="288">
        <v>1.732667775929007</v>
      </c>
      <c r="AC2412" s="289">
        <v>0.63955629506378253</v>
      </c>
      <c r="AD2412" s="289">
        <v>1.732667775929007</v>
      </c>
    </row>
    <row r="2413" spans="1:30" ht="15" customHeight="1" x14ac:dyDescent="0.25">
      <c r="A2413" s="282" t="s">
        <v>3497</v>
      </c>
      <c r="B2413" s="282" t="s">
        <v>3504</v>
      </c>
      <c r="C2413" s="282" t="s">
        <v>3504</v>
      </c>
      <c r="D2413" s="283" t="s">
        <v>3630</v>
      </c>
      <c r="E2413" s="403">
        <v>44763</v>
      </c>
      <c r="F2413" s="403">
        <v>46588</v>
      </c>
      <c r="G2413" s="283" t="s">
        <v>237</v>
      </c>
      <c r="H2413" s="282" t="s">
        <v>3631</v>
      </c>
      <c r="I2413" s="285"/>
      <c r="J2413" s="282" t="s">
        <v>184</v>
      </c>
      <c r="K2413" s="283" t="s">
        <v>3632</v>
      </c>
      <c r="L2413" s="286" t="s">
        <v>574</v>
      </c>
      <c r="M2413" s="287">
        <v>620</v>
      </c>
      <c r="N2413" s="287" t="s">
        <v>159</v>
      </c>
      <c r="O2413" s="287" t="s">
        <v>159</v>
      </c>
      <c r="P2413" s="287" t="s">
        <v>159</v>
      </c>
      <c r="Q2413" s="288">
        <v>-923</v>
      </c>
      <c r="R2413" s="288">
        <v>102</v>
      </c>
      <c r="S2413" s="288">
        <v>-1030</v>
      </c>
      <c r="T2413" s="288">
        <v>7.8100000000000003E-2</v>
      </c>
      <c r="U2413" s="288">
        <v>1023</v>
      </c>
      <c r="V2413" s="289">
        <v>102.07809999999995</v>
      </c>
      <c r="W2413" s="289">
        <v>1023</v>
      </c>
      <c r="X2413" s="288">
        <v>-1.4887096774193549</v>
      </c>
      <c r="Y2413" s="288">
        <v>0.16451612903225807</v>
      </c>
      <c r="Z2413" s="288">
        <v>-1.6612903225806452</v>
      </c>
      <c r="AA2413" s="288">
        <v>1.2596774193548388E-4</v>
      </c>
      <c r="AB2413" s="288">
        <v>1.65</v>
      </c>
      <c r="AC2413" s="289">
        <v>0.1646420967741935</v>
      </c>
      <c r="AD2413" s="289">
        <v>1.65</v>
      </c>
    </row>
    <row r="2414" spans="1:30" ht="15" customHeight="1" x14ac:dyDescent="0.25">
      <c r="A2414" s="282" t="s">
        <v>3497</v>
      </c>
      <c r="B2414" s="282" t="s">
        <v>3508</v>
      </c>
      <c r="C2414" s="282" t="s">
        <v>3509</v>
      </c>
      <c r="D2414" s="286" t="s">
        <v>3633</v>
      </c>
      <c r="E2414" s="403">
        <v>43077</v>
      </c>
      <c r="F2414" s="403">
        <v>44903</v>
      </c>
      <c r="G2414" s="283" t="s">
        <v>154</v>
      </c>
      <c r="H2414" s="282" t="s">
        <v>3511</v>
      </c>
      <c r="I2414" s="282" t="s">
        <v>1600</v>
      </c>
      <c r="J2414" s="282" t="s">
        <v>156</v>
      </c>
      <c r="K2414" s="283" t="s">
        <v>3512</v>
      </c>
      <c r="L2414" s="292" t="s">
        <v>574</v>
      </c>
      <c r="M2414" s="293">
        <v>768</v>
      </c>
      <c r="N2414" s="293"/>
      <c r="O2414" s="287"/>
      <c r="P2414" s="287"/>
      <c r="Q2414" s="288">
        <v>-851</v>
      </c>
      <c r="R2414" s="288">
        <v>151</v>
      </c>
      <c r="S2414" s="288">
        <v>-1000</v>
      </c>
      <c r="T2414" s="288"/>
      <c r="U2414" s="288">
        <v>1041.9199999999998</v>
      </c>
      <c r="V2414" s="289">
        <v>192.91999999999985</v>
      </c>
      <c r="W2414" s="289">
        <v>1041.9199999999998</v>
      </c>
      <c r="X2414" s="288">
        <v>-1.1080729166666667</v>
      </c>
      <c r="Y2414" s="288">
        <v>0.19661458333333334</v>
      </c>
      <c r="Z2414" s="288">
        <v>-1.3020833333333333</v>
      </c>
      <c r="AA2414" s="288">
        <v>0</v>
      </c>
      <c r="AB2414" s="288">
        <v>1.3566666666666665</v>
      </c>
      <c r="AC2414" s="289">
        <v>0.25119791666666647</v>
      </c>
      <c r="AD2414" s="289">
        <v>1.3566666666666665</v>
      </c>
    </row>
    <row r="2415" spans="1:30" ht="15" customHeight="1" x14ac:dyDescent="0.25">
      <c r="A2415" s="282" t="s">
        <v>3497</v>
      </c>
      <c r="B2415" s="282" t="s">
        <v>3499</v>
      </c>
      <c r="C2415" s="282" t="s">
        <v>3500</v>
      </c>
      <c r="D2415" s="286" t="s">
        <v>3634</v>
      </c>
      <c r="E2415" s="403">
        <v>43077</v>
      </c>
      <c r="F2415" s="403">
        <v>44903</v>
      </c>
      <c r="G2415" s="283" t="s">
        <v>154</v>
      </c>
      <c r="H2415" s="282" t="s">
        <v>3502</v>
      </c>
      <c r="I2415" s="282" t="s">
        <v>1600</v>
      </c>
      <c r="J2415" s="282" t="s">
        <v>156</v>
      </c>
      <c r="K2415" s="283" t="s">
        <v>3503</v>
      </c>
      <c r="L2415" s="292" t="s">
        <v>574</v>
      </c>
      <c r="M2415" s="293">
        <v>660</v>
      </c>
      <c r="N2415" s="293"/>
      <c r="O2415" s="287"/>
      <c r="P2415" s="287"/>
      <c r="Q2415" s="288">
        <v>-635.09433962264154</v>
      </c>
      <c r="R2415" s="288">
        <v>387.90566037735903</v>
      </c>
      <c r="S2415" s="288">
        <v>-1021.1320754716982</v>
      </c>
      <c r="T2415" s="288"/>
      <c r="U2415" s="288">
        <v>1113.2</v>
      </c>
      <c r="V2415" s="289">
        <v>479.97358490566091</v>
      </c>
      <c r="W2415" s="289">
        <v>1113.2</v>
      </c>
      <c r="X2415" s="288">
        <v>-0.96226415094339623</v>
      </c>
      <c r="Y2415" s="288">
        <v>0.58773584905660459</v>
      </c>
      <c r="Z2415" s="288">
        <v>-1.5471698113207548</v>
      </c>
      <c r="AA2415" s="288">
        <v>0</v>
      </c>
      <c r="AB2415" s="288">
        <v>1.6866666666666668</v>
      </c>
      <c r="AC2415" s="289">
        <v>0.72723270440251653</v>
      </c>
      <c r="AD2415" s="289">
        <v>1.6866666666666668</v>
      </c>
    </row>
    <row r="2416" spans="1:30" ht="15" customHeight="1" x14ac:dyDescent="0.25">
      <c r="A2416" s="282" t="s">
        <v>3497</v>
      </c>
      <c r="B2416" s="282" t="s">
        <v>3499</v>
      </c>
      <c r="C2416" s="282" t="s">
        <v>3499</v>
      </c>
      <c r="D2416" s="286" t="s">
        <v>3635</v>
      </c>
      <c r="E2416" s="403">
        <v>43077</v>
      </c>
      <c r="F2416" s="403">
        <v>44903</v>
      </c>
      <c r="G2416" s="283" t="s">
        <v>154</v>
      </c>
      <c r="H2416" s="282" t="s">
        <v>3502</v>
      </c>
      <c r="I2416" s="282" t="s">
        <v>1600</v>
      </c>
      <c r="J2416" s="282" t="s">
        <v>156</v>
      </c>
      <c r="K2416" s="283" t="s">
        <v>3503</v>
      </c>
      <c r="L2416" s="292" t="s">
        <v>574</v>
      </c>
      <c r="M2416" s="293">
        <v>715.78947368421052</v>
      </c>
      <c r="N2416" s="293"/>
      <c r="O2416" s="287"/>
      <c r="P2416" s="287"/>
      <c r="Q2416" s="288">
        <v>-380.5263157894737</v>
      </c>
      <c r="R2416" s="288">
        <v>636.84210526315792</v>
      </c>
      <c r="S2416" s="288">
        <v>-1015.7894736842106</v>
      </c>
      <c r="T2416" s="288"/>
      <c r="U2416" s="288">
        <v>1181.05263157895</v>
      </c>
      <c r="V2416" s="289">
        <v>802.1052631578973</v>
      </c>
      <c r="W2416" s="289">
        <v>1181.05263157895</v>
      </c>
      <c r="X2416" s="288">
        <v>-0.53161764705882353</v>
      </c>
      <c r="Y2416" s="288">
        <v>0.88970588235294124</v>
      </c>
      <c r="Z2416" s="288">
        <v>-1.4191176470588236</v>
      </c>
      <c r="AA2416" s="288">
        <v>0</v>
      </c>
      <c r="AB2416" s="288">
        <v>1.6500000000000037</v>
      </c>
      <c r="AC2416" s="289">
        <v>1.1205882352941212</v>
      </c>
      <c r="AD2416" s="289">
        <v>1.6500000000000037</v>
      </c>
    </row>
    <row r="2417" spans="1:30" ht="15" customHeight="1" x14ac:dyDescent="0.25">
      <c r="A2417" s="282" t="s">
        <v>3497</v>
      </c>
      <c r="B2417" s="282" t="s">
        <v>3499</v>
      </c>
      <c r="C2417" s="282" t="s">
        <v>3500</v>
      </c>
      <c r="D2417" s="286" t="s">
        <v>3636</v>
      </c>
      <c r="E2417" s="403">
        <v>43077</v>
      </c>
      <c r="F2417" s="403">
        <v>44903</v>
      </c>
      <c r="G2417" s="283" t="s">
        <v>154</v>
      </c>
      <c r="H2417" s="282" t="s">
        <v>3502</v>
      </c>
      <c r="I2417" s="282" t="s">
        <v>1600</v>
      </c>
      <c r="J2417" s="282" t="s">
        <v>156</v>
      </c>
      <c r="K2417" s="283" t="s">
        <v>3503</v>
      </c>
      <c r="L2417" s="292" t="s">
        <v>574</v>
      </c>
      <c r="M2417" s="293">
        <v>656</v>
      </c>
      <c r="N2417" s="293"/>
      <c r="O2417" s="287"/>
      <c r="P2417" s="287"/>
      <c r="Q2417" s="288">
        <v>-617.0847457627118</v>
      </c>
      <c r="R2417" s="288">
        <v>403.6067796610169</v>
      </c>
      <c r="S2417" s="288">
        <v>-1017.3559322033898</v>
      </c>
      <c r="T2417" s="288"/>
      <c r="U2417" s="288">
        <v>1118.4799999999998</v>
      </c>
      <c r="V2417" s="289">
        <v>504.73084745762685</v>
      </c>
      <c r="W2417" s="289">
        <v>1118.4799999999998</v>
      </c>
      <c r="X2417" s="288">
        <v>-0.94067796610169485</v>
      </c>
      <c r="Y2417" s="288">
        <v>0.61525423728813555</v>
      </c>
      <c r="Z2417" s="288">
        <v>-1.5508474576271185</v>
      </c>
      <c r="AA2417" s="288">
        <v>0</v>
      </c>
      <c r="AB2417" s="288">
        <v>1.7049999999999996</v>
      </c>
      <c r="AC2417" s="289">
        <v>0.76940677966101667</v>
      </c>
      <c r="AD2417" s="289">
        <v>1.7049999999999996</v>
      </c>
    </row>
    <row r="2418" spans="1:30" ht="15" customHeight="1" x14ac:dyDescent="0.25">
      <c r="A2418" s="282" t="s">
        <v>3497</v>
      </c>
      <c r="B2418" s="282" t="s">
        <v>3531</v>
      </c>
      <c r="C2418" s="282" t="s">
        <v>3532</v>
      </c>
      <c r="D2418" s="283" t="s">
        <v>3637</v>
      </c>
      <c r="E2418" s="403">
        <v>45106</v>
      </c>
      <c r="F2418" s="403">
        <v>46933</v>
      </c>
      <c r="G2418" s="283" t="s">
        <v>3534</v>
      </c>
      <c r="H2418" s="282" t="s">
        <v>3638</v>
      </c>
      <c r="I2418" s="285"/>
      <c r="J2418" s="282" t="s">
        <v>184</v>
      </c>
      <c r="K2418" s="283" t="s">
        <v>3639</v>
      </c>
      <c r="L2418" s="286" t="s">
        <v>574</v>
      </c>
      <c r="M2418" s="287">
        <v>470</v>
      </c>
      <c r="N2418" s="287" t="s">
        <v>159</v>
      </c>
      <c r="O2418" s="287" t="s">
        <v>159</v>
      </c>
      <c r="P2418" s="287" t="s">
        <v>159</v>
      </c>
      <c r="Q2418" s="288">
        <v>-675</v>
      </c>
      <c r="R2418" s="288">
        <v>85.3</v>
      </c>
      <c r="S2418" s="288">
        <v>-762</v>
      </c>
      <c r="T2418" s="288">
        <v>2.09</v>
      </c>
      <c r="U2418" s="288">
        <v>758.26666666666677</v>
      </c>
      <c r="V2418" s="289">
        <v>87.389999999999986</v>
      </c>
      <c r="W2418" s="289">
        <v>758.26666666666677</v>
      </c>
      <c r="X2418" s="288">
        <v>-1.4361702127659575</v>
      </c>
      <c r="Y2418" s="288">
        <v>0.18148936170212765</v>
      </c>
      <c r="Z2418" s="288">
        <v>-1.6212765957446809</v>
      </c>
      <c r="AA2418" s="288">
        <v>4.4468085106382973E-3</v>
      </c>
      <c r="AB2418" s="288">
        <v>1.6133333333333335</v>
      </c>
      <c r="AC2418" s="289">
        <v>0.18593617021276598</v>
      </c>
      <c r="AD2418" s="289">
        <v>1.6133333333333335</v>
      </c>
    </row>
    <row r="2419" spans="1:30" ht="15" customHeight="1" x14ac:dyDescent="0.25">
      <c r="A2419" s="282" t="s">
        <v>3497</v>
      </c>
      <c r="B2419" s="282" t="s">
        <v>3531</v>
      </c>
      <c r="C2419" s="282" t="s">
        <v>3532</v>
      </c>
      <c r="D2419" s="283" t="s">
        <v>3640</v>
      </c>
      <c r="E2419" s="403">
        <v>44600</v>
      </c>
      <c r="F2419" s="403">
        <v>46426</v>
      </c>
      <c r="G2419" s="283" t="s">
        <v>216</v>
      </c>
      <c r="H2419" s="282" t="s">
        <v>3641</v>
      </c>
      <c r="I2419" s="285"/>
      <c r="J2419" s="282" t="s">
        <v>184</v>
      </c>
      <c r="K2419" s="283" t="s">
        <v>3642</v>
      </c>
      <c r="L2419" s="286" t="s">
        <v>574</v>
      </c>
      <c r="M2419" s="287">
        <v>480</v>
      </c>
      <c r="N2419" s="287" t="s">
        <v>159</v>
      </c>
      <c r="O2419" s="287" t="s">
        <v>159</v>
      </c>
      <c r="P2419" s="287" t="s">
        <v>159</v>
      </c>
      <c r="Q2419" s="288">
        <v>-681</v>
      </c>
      <c r="R2419" s="288">
        <v>97.8</v>
      </c>
      <c r="S2419" s="288">
        <v>-779</v>
      </c>
      <c r="T2419" s="288"/>
      <c r="U2419" s="288">
        <v>774.4</v>
      </c>
      <c r="V2419" s="289">
        <v>97.799999999999955</v>
      </c>
      <c r="W2419" s="289">
        <v>774.4</v>
      </c>
      <c r="X2419" s="288">
        <v>-1.41875</v>
      </c>
      <c r="Y2419" s="288">
        <v>0.20374999999999999</v>
      </c>
      <c r="Z2419" s="288">
        <v>-1.6229166666666666</v>
      </c>
      <c r="AA2419" s="288">
        <v>0</v>
      </c>
      <c r="AB2419" s="288">
        <v>1.6133333333333333</v>
      </c>
      <c r="AC2419" s="289">
        <v>0.2037500000000001</v>
      </c>
      <c r="AD2419" s="289">
        <v>1.6133333333333333</v>
      </c>
    </row>
    <row r="2420" spans="1:30" ht="15" customHeight="1" x14ac:dyDescent="0.25">
      <c r="A2420" s="282" t="s">
        <v>3497</v>
      </c>
      <c r="B2420" s="282" t="s">
        <v>3531</v>
      </c>
      <c r="C2420" s="282" t="s">
        <v>3532</v>
      </c>
      <c r="D2420" s="283" t="s">
        <v>3643</v>
      </c>
      <c r="E2420" s="403">
        <v>44600</v>
      </c>
      <c r="F2420" s="403">
        <v>46426</v>
      </c>
      <c r="G2420" s="283" t="s">
        <v>216</v>
      </c>
      <c r="H2420" s="282" t="s">
        <v>3641</v>
      </c>
      <c r="I2420" s="285"/>
      <c r="J2420" s="282" t="s">
        <v>184</v>
      </c>
      <c r="K2420" s="283" t="s">
        <v>3642</v>
      </c>
      <c r="L2420" s="286" t="s">
        <v>574</v>
      </c>
      <c r="M2420" s="287">
        <v>480</v>
      </c>
      <c r="N2420" s="287" t="s">
        <v>159</v>
      </c>
      <c r="O2420" s="287" t="s">
        <v>159</v>
      </c>
      <c r="P2420" s="287" t="s">
        <v>159</v>
      </c>
      <c r="Q2420" s="288">
        <v>-676</v>
      </c>
      <c r="R2420" s="288">
        <v>103</v>
      </c>
      <c r="S2420" s="288">
        <v>-779</v>
      </c>
      <c r="T2420" s="288"/>
      <c r="U2420" s="288">
        <v>774.4</v>
      </c>
      <c r="V2420" s="289">
        <v>103</v>
      </c>
      <c r="W2420" s="289">
        <v>774.4</v>
      </c>
      <c r="X2420" s="288">
        <v>-1.4083333333333334</v>
      </c>
      <c r="Y2420" s="288">
        <v>0.21458333333333332</v>
      </c>
      <c r="Z2420" s="288">
        <v>-1.6229166666666666</v>
      </c>
      <c r="AA2420" s="288">
        <v>0</v>
      </c>
      <c r="AB2420" s="288">
        <v>1.6133333333333333</v>
      </c>
      <c r="AC2420" s="289">
        <v>0.21458333333333335</v>
      </c>
      <c r="AD2420" s="289">
        <v>1.6133333333333333</v>
      </c>
    </row>
    <row r="2421" spans="1:30" ht="15" customHeight="1" x14ac:dyDescent="0.25">
      <c r="A2421" s="282" t="s">
        <v>3497</v>
      </c>
      <c r="B2421" s="282" t="s">
        <v>3531</v>
      </c>
      <c r="C2421" s="282" t="s">
        <v>3532</v>
      </c>
      <c r="D2421" s="283" t="s">
        <v>3644</v>
      </c>
      <c r="E2421" s="403">
        <v>44600</v>
      </c>
      <c r="F2421" s="403">
        <v>46426</v>
      </c>
      <c r="G2421" s="283" t="s">
        <v>216</v>
      </c>
      <c r="H2421" s="282" t="s">
        <v>3641</v>
      </c>
      <c r="I2421" s="285"/>
      <c r="J2421" s="282" t="s">
        <v>184</v>
      </c>
      <c r="K2421" s="283" t="s">
        <v>3642</v>
      </c>
      <c r="L2421" s="286" t="s">
        <v>574</v>
      </c>
      <c r="M2421" s="287">
        <v>480</v>
      </c>
      <c r="N2421" s="287" t="s">
        <v>159</v>
      </c>
      <c r="O2421" s="287" t="s">
        <v>159</v>
      </c>
      <c r="P2421" s="287" t="s">
        <v>159</v>
      </c>
      <c r="Q2421" s="288">
        <v>-706</v>
      </c>
      <c r="R2421" s="288">
        <v>73.599999999999994</v>
      </c>
      <c r="S2421" s="288">
        <v>-780</v>
      </c>
      <c r="T2421" s="288"/>
      <c r="U2421" s="288">
        <v>774.4</v>
      </c>
      <c r="V2421" s="289">
        <v>73.600000000000023</v>
      </c>
      <c r="W2421" s="289">
        <v>774.4</v>
      </c>
      <c r="X2421" s="288">
        <v>-1.4708333333333334</v>
      </c>
      <c r="Y2421" s="288">
        <v>0.15333333333333332</v>
      </c>
      <c r="Z2421" s="288">
        <v>-1.625</v>
      </c>
      <c r="AA2421" s="288">
        <v>0</v>
      </c>
      <c r="AB2421" s="288">
        <v>1.6133333333333333</v>
      </c>
      <c r="AC2421" s="289">
        <v>0.15333333333333332</v>
      </c>
      <c r="AD2421" s="289">
        <v>1.6133333333333333</v>
      </c>
    </row>
    <row r="2422" spans="1:30" ht="15" customHeight="1" x14ac:dyDescent="0.25">
      <c r="A2422" s="282" t="s">
        <v>3497</v>
      </c>
      <c r="B2422" s="282" t="s">
        <v>3531</v>
      </c>
      <c r="C2422" s="282" t="s">
        <v>3532</v>
      </c>
      <c r="D2422" s="283" t="s">
        <v>3645</v>
      </c>
      <c r="E2422" s="403">
        <v>44600</v>
      </c>
      <c r="F2422" s="403">
        <v>46426</v>
      </c>
      <c r="G2422" s="283" t="s">
        <v>216</v>
      </c>
      <c r="H2422" s="282" t="s">
        <v>3641</v>
      </c>
      <c r="I2422" s="285"/>
      <c r="J2422" s="282" t="s">
        <v>184</v>
      </c>
      <c r="K2422" s="283" t="s">
        <v>3642</v>
      </c>
      <c r="L2422" s="286" t="s">
        <v>574</v>
      </c>
      <c r="M2422" s="287">
        <v>480</v>
      </c>
      <c r="N2422" s="287" t="s">
        <v>159</v>
      </c>
      <c r="O2422" s="287" t="s">
        <v>159</v>
      </c>
      <c r="P2422" s="287" t="s">
        <v>159</v>
      </c>
      <c r="Q2422" s="288">
        <v>-700</v>
      </c>
      <c r="R2422" s="288">
        <v>79.599999999999994</v>
      </c>
      <c r="S2422" s="288">
        <v>-780</v>
      </c>
      <c r="T2422" s="288"/>
      <c r="U2422" s="288">
        <v>774.4</v>
      </c>
      <c r="V2422" s="289">
        <v>79.600000000000023</v>
      </c>
      <c r="W2422" s="289">
        <v>774.4</v>
      </c>
      <c r="X2422" s="288">
        <v>-1.4583333333333333</v>
      </c>
      <c r="Y2422" s="288">
        <v>0.16583333333333333</v>
      </c>
      <c r="Z2422" s="288">
        <v>-1.625</v>
      </c>
      <c r="AA2422" s="288">
        <v>0</v>
      </c>
      <c r="AB2422" s="288">
        <v>1.6133333333333333</v>
      </c>
      <c r="AC2422" s="289">
        <v>0.16583333333333328</v>
      </c>
      <c r="AD2422" s="289">
        <v>1.6133333333333333</v>
      </c>
    </row>
    <row r="2423" spans="1:30" ht="15" customHeight="1" x14ac:dyDescent="0.25">
      <c r="A2423" s="282" t="s">
        <v>3497</v>
      </c>
      <c r="B2423" s="282" t="s">
        <v>3531</v>
      </c>
      <c r="C2423" s="282" t="s">
        <v>3532</v>
      </c>
      <c r="D2423" s="283" t="s">
        <v>3646</v>
      </c>
      <c r="E2423" s="403">
        <v>44600</v>
      </c>
      <c r="F2423" s="403">
        <v>46426</v>
      </c>
      <c r="G2423" s="283" t="s">
        <v>216</v>
      </c>
      <c r="H2423" s="282" t="s">
        <v>3641</v>
      </c>
      <c r="I2423" s="285"/>
      <c r="J2423" s="282" t="s">
        <v>184</v>
      </c>
      <c r="K2423" s="283" t="s">
        <v>3642</v>
      </c>
      <c r="L2423" s="286" t="s">
        <v>574</v>
      </c>
      <c r="M2423" s="287">
        <v>480</v>
      </c>
      <c r="N2423" s="287" t="s">
        <v>159</v>
      </c>
      <c r="O2423" s="287" t="s">
        <v>159</v>
      </c>
      <c r="P2423" s="287" t="s">
        <v>159</v>
      </c>
      <c r="Q2423" s="288">
        <v>-711</v>
      </c>
      <c r="R2423" s="288">
        <v>68.7</v>
      </c>
      <c r="S2423" s="288">
        <v>-780</v>
      </c>
      <c r="T2423" s="288"/>
      <c r="U2423" s="288">
        <v>774.4</v>
      </c>
      <c r="V2423" s="289">
        <v>68.700000000000045</v>
      </c>
      <c r="W2423" s="289">
        <v>774.4</v>
      </c>
      <c r="X2423" s="288">
        <v>-1.48125</v>
      </c>
      <c r="Y2423" s="288">
        <v>0.143125</v>
      </c>
      <c r="Z2423" s="288">
        <v>-1.625</v>
      </c>
      <c r="AA2423" s="288">
        <v>0</v>
      </c>
      <c r="AB2423" s="288">
        <v>1.6133333333333333</v>
      </c>
      <c r="AC2423" s="289">
        <v>0.14312499999999995</v>
      </c>
      <c r="AD2423" s="289">
        <v>1.6133333333333333</v>
      </c>
    </row>
    <row r="2424" spans="1:30" ht="15" customHeight="1" x14ac:dyDescent="0.25">
      <c r="A2424" s="282" t="s">
        <v>3497</v>
      </c>
      <c r="B2424" s="282" t="s">
        <v>3531</v>
      </c>
      <c r="C2424" s="282" t="s">
        <v>3532</v>
      </c>
      <c r="D2424" s="283" t="s">
        <v>3647</v>
      </c>
      <c r="E2424" s="403">
        <v>44600</v>
      </c>
      <c r="F2424" s="403">
        <v>46426</v>
      </c>
      <c r="G2424" s="283" t="s">
        <v>216</v>
      </c>
      <c r="H2424" s="282" t="s">
        <v>3641</v>
      </c>
      <c r="I2424" s="285"/>
      <c r="J2424" s="282" t="s">
        <v>184</v>
      </c>
      <c r="K2424" s="283" t="s">
        <v>3642</v>
      </c>
      <c r="L2424" s="286" t="s">
        <v>574</v>
      </c>
      <c r="M2424" s="287">
        <v>480</v>
      </c>
      <c r="N2424" s="287" t="s">
        <v>159</v>
      </c>
      <c r="O2424" s="287" t="s">
        <v>159</v>
      </c>
      <c r="P2424" s="287" t="s">
        <v>159</v>
      </c>
      <c r="Q2424" s="288">
        <v>-714</v>
      </c>
      <c r="R2424" s="288">
        <v>65.900000000000006</v>
      </c>
      <c r="S2424" s="288">
        <v>-780</v>
      </c>
      <c r="T2424" s="288"/>
      <c r="U2424" s="288">
        <v>774.4</v>
      </c>
      <c r="V2424" s="289">
        <v>65.899999999999977</v>
      </c>
      <c r="W2424" s="289">
        <v>774.4</v>
      </c>
      <c r="X2424" s="288">
        <v>-1.4875</v>
      </c>
      <c r="Y2424" s="288">
        <v>0.13729166666666667</v>
      </c>
      <c r="Z2424" s="288">
        <v>-1.625</v>
      </c>
      <c r="AA2424" s="288">
        <v>0</v>
      </c>
      <c r="AB2424" s="288">
        <v>1.6133333333333333</v>
      </c>
      <c r="AC2424" s="289">
        <v>0.13729166666666659</v>
      </c>
      <c r="AD2424" s="289">
        <v>1.6133333333333333</v>
      </c>
    </row>
    <row r="2425" spans="1:30" ht="15" customHeight="1" x14ac:dyDescent="0.25">
      <c r="A2425" s="282" t="s">
        <v>3497</v>
      </c>
      <c r="B2425" s="282" t="s">
        <v>3531</v>
      </c>
      <c r="C2425" s="282" t="s">
        <v>3532</v>
      </c>
      <c r="D2425" s="283" t="s">
        <v>3648</v>
      </c>
      <c r="E2425" s="403">
        <v>44600</v>
      </c>
      <c r="F2425" s="403">
        <v>46426</v>
      </c>
      <c r="G2425" s="283" t="s">
        <v>216</v>
      </c>
      <c r="H2425" s="282" t="s">
        <v>3641</v>
      </c>
      <c r="I2425" s="285"/>
      <c r="J2425" s="282" t="s">
        <v>184</v>
      </c>
      <c r="K2425" s="283" t="s">
        <v>3642</v>
      </c>
      <c r="L2425" s="286" t="s">
        <v>574</v>
      </c>
      <c r="M2425" s="287">
        <v>480</v>
      </c>
      <c r="N2425" s="287" t="s">
        <v>159</v>
      </c>
      <c r="O2425" s="287" t="s">
        <v>159</v>
      </c>
      <c r="P2425" s="287" t="s">
        <v>159</v>
      </c>
      <c r="Q2425" s="288">
        <v>-687</v>
      </c>
      <c r="R2425" s="288">
        <v>92.7</v>
      </c>
      <c r="S2425" s="288">
        <v>-779</v>
      </c>
      <c r="T2425" s="288"/>
      <c r="U2425" s="288">
        <v>774.4</v>
      </c>
      <c r="V2425" s="289">
        <v>92.700000000000045</v>
      </c>
      <c r="W2425" s="289">
        <v>774.4</v>
      </c>
      <c r="X2425" s="288">
        <v>-1.4312499999999999</v>
      </c>
      <c r="Y2425" s="288">
        <v>0.19312500000000002</v>
      </c>
      <c r="Z2425" s="288">
        <v>-1.6229166666666666</v>
      </c>
      <c r="AA2425" s="288">
        <v>0</v>
      </c>
      <c r="AB2425" s="288">
        <v>1.6133333333333333</v>
      </c>
      <c r="AC2425" s="289">
        <v>0.19312499999999999</v>
      </c>
      <c r="AD2425" s="289">
        <v>1.6133333333333333</v>
      </c>
    </row>
    <row r="2426" spans="1:30" ht="15" customHeight="1" x14ac:dyDescent="0.25">
      <c r="A2426" s="282" t="s">
        <v>3497</v>
      </c>
      <c r="B2426" s="282" t="s">
        <v>3531</v>
      </c>
      <c r="C2426" s="282" t="s">
        <v>3532</v>
      </c>
      <c r="D2426" s="283" t="s">
        <v>3649</v>
      </c>
      <c r="E2426" s="403">
        <v>44600</v>
      </c>
      <c r="F2426" s="403">
        <v>46426</v>
      </c>
      <c r="G2426" s="283" t="s">
        <v>216</v>
      </c>
      <c r="H2426" s="282" t="s">
        <v>3641</v>
      </c>
      <c r="I2426" s="285"/>
      <c r="J2426" s="282" t="s">
        <v>184</v>
      </c>
      <c r="K2426" s="283" t="s">
        <v>3642</v>
      </c>
      <c r="L2426" s="286" t="s">
        <v>574</v>
      </c>
      <c r="M2426" s="287">
        <v>480</v>
      </c>
      <c r="N2426" s="287" t="s">
        <v>159</v>
      </c>
      <c r="O2426" s="287" t="s">
        <v>159</v>
      </c>
      <c r="P2426" s="287" t="s">
        <v>159</v>
      </c>
      <c r="Q2426" s="288">
        <v>-692</v>
      </c>
      <c r="R2426" s="288">
        <v>87.8</v>
      </c>
      <c r="S2426" s="288">
        <v>-780</v>
      </c>
      <c r="T2426" s="288"/>
      <c r="U2426" s="288">
        <v>774.4</v>
      </c>
      <c r="V2426" s="289">
        <v>87.799999999999955</v>
      </c>
      <c r="W2426" s="289">
        <v>774.4</v>
      </c>
      <c r="X2426" s="288">
        <v>-1.4416666666666667</v>
      </c>
      <c r="Y2426" s="288">
        <v>0.18291666666666667</v>
      </c>
      <c r="Z2426" s="288">
        <v>-1.625</v>
      </c>
      <c r="AA2426" s="288">
        <v>0</v>
      </c>
      <c r="AB2426" s="288">
        <v>1.6133333333333333</v>
      </c>
      <c r="AC2426" s="289">
        <v>0.18291666666666662</v>
      </c>
      <c r="AD2426" s="289">
        <v>1.6133333333333333</v>
      </c>
    </row>
    <row r="2427" spans="1:30" ht="15" customHeight="1" x14ac:dyDescent="0.25">
      <c r="A2427" s="282" t="s">
        <v>3497</v>
      </c>
      <c r="B2427" s="282" t="s">
        <v>3504</v>
      </c>
      <c r="C2427" s="282" t="s">
        <v>3504</v>
      </c>
      <c r="D2427" s="283" t="s">
        <v>3650</v>
      </c>
      <c r="E2427" s="403">
        <v>44763</v>
      </c>
      <c r="F2427" s="403">
        <v>46588</v>
      </c>
      <c r="G2427" s="283" t="s">
        <v>237</v>
      </c>
      <c r="H2427" s="282" t="s">
        <v>3631</v>
      </c>
      <c r="I2427" s="285"/>
      <c r="J2427" s="282" t="s">
        <v>184</v>
      </c>
      <c r="K2427" s="283" t="s">
        <v>3632</v>
      </c>
      <c r="L2427" s="286" t="s">
        <v>574</v>
      </c>
      <c r="M2427" s="287">
        <v>600</v>
      </c>
      <c r="N2427" s="287" t="s">
        <v>159</v>
      </c>
      <c r="O2427" s="287" t="s">
        <v>159</v>
      </c>
      <c r="P2427" s="287" t="s">
        <v>159</v>
      </c>
      <c r="Q2427" s="288">
        <v>-896</v>
      </c>
      <c r="R2427" s="288">
        <v>101</v>
      </c>
      <c r="S2427" s="288">
        <v>-999</v>
      </c>
      <c r="T2427" s="288">
        <v>0.17899999999999999</v>
      </c>
      <c r="U2427" s="288">
        <v>990</v>
      </c>
      <c r="V2427" s="289">
        <v>101.17899999999997</v>
      </c>
      <c r="W2427" s="289">
        <v>990</v>
      </c>
      <c r="X2427" s="288">
        <v>-1.4933333333333334</v>
      </c>
      <c r="Y2427" s="288">
        <v>0.16833333333333333</v>
      </c>
      <c r="Z2427" s="288">
        <v>-1.665</v>
      </c>
      <c r="AA2427" s="288">
        <v>2.9833333333333334E-4</v>
      </c>
      <c r="AB2427" s="288">
        <v>1.65</v>
      </c>
      <c r="AC2427" s="289">
        <v>0.16863166666666674</v>
      </c>
      <c r="AD2427" s="289">
        <v>1.65</v>
      </c>
    </row>
    <row r="2428" spans="1:30" ht="15" customHeight="1" x14ac:dyDescent="0.25">
      <c r="A2428" s="282" t="s">
        <v>3497</v>
      </c>
      <c r="B2428" s="282" t="s">
        <v>3531</v>
      </c>
      <c r="C2428" s="282" t="s">
        <v>3532</v>
      </c>
      <c r="D2428" s="283" t="s">
        <v>3651</v>
      </c>
      <c r="E2428" s="403">
        <v>44600</v>
      </c>
      <c r="F2428" s="403">
        <v>46426</v>
      </c>
      <c r="G2428" s="283" t="s">
        <v>216</v>
      </c>
      <c r="H2428" s="282" t="s">
        <v>3641</v>
      </c>
      <c r="I2428" s="285"/>
      <c r="J2428" s="282" t="s">
        <v>184</v>
      </c>
      <c r="K2428" s="283" t="s">
        <v>3642</v>
      </c>
      <c r="L2428" s="286" t="s">
        <v>574</v>
      </c>
      <c r="M2428" s="287">
        <v>480</v>
      </c>
      <c r="N2428" s="287" t="s">
        <v>159</v>
      </c>
      <c r="O2428" s="287" t="s">
        <v>159</v>
      </c>
      <c r="P2428" s="287" t="s">
        <v>159</v>
      </c>
      <c r="Q2428" s="288">
        <v>-645</v>
      </c>
      <c r="R2428" s="288">
        <v>135</v>
      </c>
      <c r="S2428" s="288">
        <v>-780</v>
      </c>
      <c r="T2428" s="288"/>
      <c r="U2428" s="288">
        <v>774.4</v>
      </c>
      <c r="V2428" s="289">
        <v>135</v>
      </c>
      <c r="W2428" s="289">
        <v>774.4</v>
      </c>
      <c r="X2428" s="288">
        <v>-1.34375</v>
      </c>
      <c r="Y2428" s="288">
        <v>0.28125</v>
      </c>
      <c r="Z2428" s="288">
        <v>-1.625</v>
      </c>
      <c r="AA2428" s="288">
        <v>0</v>
      </c>
      <c r="AB2428" s="288">
        <v>1.6133333333333333</v>
      </c>
      <c r="AC2428" s="289">
        <v>0.28125</v>
      </c>
      <c r="AD2428" s="289">
        <v>1.6133333333333333</v>
      </c>
    </row>
    <row r="2429" spans="1:30" ht="15" customHeight="1" x14ac:dyDescent="0.25">
      <c r="A2429" s="282" t="s">
        <v>3497</v>
      </c>
      <c r="B2429" s="282" t="s">
        <v>2422</v>
      </c>
      <c r="C2429" s="282" t="s">
        <v>2423</v>
      </c>
      <c r="D2429" s="286" t="s">
        <v>3652</v>
      </c>
      <c r="E2429" s="403">
        <v>43077</v>
      </c>
      <c r="F2429" s="403">
        <v>44903</v>
      </c>
      <c r="G2429" s="283" t="s">
        <v>154</v>
      </c>
      <c r="H2429" s="282" t="s">
        <v>2425</v>
      </c>
      <c r="I2429" s="282" t="s">
        <v>1600</v>
      </c>
      <c r="J2429" s="282" t="s">
        <v>156</v>
      </c>
      <c r="K2429" s="283" t="s">
        <v>2426</v>
      </c>
      <c r="L2429" s="292" t="s">
        <v>574</v>
      </c>
      <c r="M2429" s="293">
        <v>545.88235294117635</v>
      </c>
      <c r="N2429" s="293"/>
      <c r="O2429" s="287"/>
      <c r="P2429" s="287"/>
      <c r="Q2429" s="288">
        <v>-297.64705882352939</v>
      </c>
      <c r="R2429" s="288">
        <v>499.41176470588232</v>
      </c>
      <c r="S2429" s="288">
        <v>-794.11764705882342</v>
      </c>
      <c r="T2429" s="288"/>
      <c r="U2429" s="288">
        <v>920.72156862745078</v>
      </c>
      <c r="V2429" s="289">
        <v>626.01568627450968</v>
      </c>
      <c r="W2429" s="289">
        <v>920.72156862745078</v>
      </c>
      <c r="X2429" s="288">
        <v>-0.54525862068965525</v>
      </c>
      <c r="Y2429" s="288">
        <v>0.9148706896551726</v>
      </c>
      <c r="Z2429" s="288">
        <v>-1.454741379310345</v>
      </c>
      <c r="AA2429" s="288">
        <v>0</v>
      </c>
      <c r="AB2429" s="288">
        <v>1.6866666666666668</v>
      </c>
      <c r="AC2429" s="289">
        <v>1.1467959770114944</v>
      </c>
      <c r="AD2429" s="289">
        <v>1.6866666666666668</v>
      </c>
    </row>
    <row r="2430" spans="1:30" ht="15" customHeight="1" x14ac:dyDescent="0.25">
      <c r="A2430" s="282" t="s">
        <v>3497</v>
      </c>
      <c r="B2430" s="282" t="s">
        <v>3531</v>
      </c>
      <c r="C2430" s="282" t="s">
        <v>3532</v>
      </c>
      <c r="D2430" s="286" t="s">
        <v>3653</v>
      </c>
      <c r="E2430" s="403">
        <v>45082</v>
      </c>
      <c r="F2430" s="403">
        <v>46909</v>
      </c>
      <c r="G2430" s="283" t="s">
        <v>154</v>
      </c>
      <c r="H2430" s="282" t="s">
        <v>3654</v>
      </c>
      <c r="I2430" s="282" t="s">
        <v>590</v>
      </c>
      <c r="J2430" s="282" t="s">
        <v>156</v>
      </c>
      <c r="K2430" s="283" t="s">
        <v>3655</v>
      </c>
      <c r="L2430" s="292" t="s">
        <v>574</v>
      </c>
      <c r="M2430" s="293">
        <v>500</v>
      </c>
      <c r="N2430" s="293"/>
      <c r="O2430" s="287"/>
      <c r="P2430" s="287"/>
      <c r="Q2430" s="288">
        <v>-576</v>
      </c>
      <c r="R2430" s="288">
        <v>253</v>
      </c>
      <c r="S2430" s="288">
        <v>-829</v>
      </c>
      <c r="T2430" s="288">
        <v>1.9599999999999999E-2</v>
      </c>
      <c r="U2430" s="288">
        <v>813.08333333333337</v>
      </c>
      <c r="V2430" s="289">
        <v>253.01959999999997</v>
      </c>
      <c r="W2430" s="289">
        <v>813.08333333333337</v>
      </c>
      <c r="X2430" s="288">
        <v>-1.1519999999999999</v>
      </c>
      <c r="Y2430" s="288">
        <v>0.50600000000000001</v>
      </c>
      <c r="Z2430" s="288">
        <v>-1.6579999999999999</v>
      </c>
      <c r="AA2430" s="288">
        <v>3.9199999999999997E-5</v>
      </c>
      <c r="AB2430" s="288">
        <v>1.6261666666666668</v>
      </c>
      <c r="AC2430" s="289">
        <v>0.50603920000000002</v>
      </c>
      <c r="AD2430" s="289">
        <v>1.6261666666666668</v>
      </c>
    </row>
    <row r="2431" spans="1:30" ht="15" customHeight="1" x14ac:dyDescent="0.25">
      <c r="A2431" s="282" t="s">
        <v>3497</v>
      </c>
      <c r="B2431" s="282" t="s">
        <v>3531</v>
      </c>
      <c r="C2431" s="282" t="s">
        <v>3532</v>
      </c>
      <c r="D2431" s="286" t="s">
        <v>3656</v>
      </c>
      <c r="E2431" s="403">
        <v>45082</v>
      </c>
      <c r="F2431" s="403">
        <v>46909</v>
      </c>
      <c r="G2431" s="283" t="s">
        <v>154</v>
      </c>
      <c r="H2431" s="282" t="s">
        <v>3654</v>
      </c>
      <c r="I2431" s="282" t="s">
        <v>590</v>
      </c>
      <c r="J2431" s="282" t="s">
        <v>156</v>
      </c>
      <c r="K2431" s="283" t="s">
        <v>3655</v>
      </c>
      <c r="L2431" s="292" t="s">
        <v>574</v>
      </c>
      <c r="M2431" s="293">
        <v>500</v>
      </c>
      <c r="N2431" s="293"/>
      <c r="O2431" s="287"/>
      <c r="P2431" s="287"/>
      <c r="Q2431" s="288">
        <v>-522</v>
      </c>
      <c r="R2431" s="288">
        <v>308</v>
      </c>
      <c r="S2431" s="288">
        <v>-830</v>
      </c>
      <c r="T2431" s="288"/>
      <c r="U2431" s="288">
        <v>813.08333333333337</v>
      </c>
      <c r="V2431" s="289">
        <v>308</v>
      </c>
      <c r="W2431" s="289">
        <v>813.08333333333337</v>
      </c>
      <c r="X2431" s="288">
        <v>-1.044</v>
      </c>
      <c r="Y2431" s="288">
        <v>0.61599999999999999</v>
      </c>
      <c r="Z2431" s="288">
        <v>-1.66</v>
      </c>
      <c r="AA2431" s="288">
        <v>0</v>
      </c>
      <c r="AB2431" s="288">
        <v>1.6261666666666668</v>
      </c>
      <c r="AC2431" s="289">
        <v>0.61599999999999988</v>
      </c>
      <c r="AD2431" s="289">
        <v>1.6261666666666668</v>
      </c>
    </row>
    <row r="2432" spans="1:30" ht="15" customHeight="1" x14ac:dyDescent="0.25">
      <c r="A2432" s="282" t="s">
        <v>3497</v>
      </c>
      <c r="B2432" s="282" t="s">
        <v>3531</v>
      </c>
      <c r="C2432" s="282" t="s">
        <v>3532</v>
      </c>
      <c r="D2432" s="286" t="s">
        <v>3657</v>
      </c>
      <c r="E2432" s="403">
        <v>45082</v>
      </c>
      <c r="F2432" s="403">
        <v>46909</v>
      </c>
      <c r="G2432" s="283" t="s">
        <v>154</v>
      </c>
      <c r="H2432" s="282" t="s">
        <v>3654</v>
      </c>
      <c r="I2432" s="282" t="s">
        <v>590</v>
      </c>
      <c r="J2432" s="282" t="s">
        <v>156</v>
      </c>
      <c r="K2432" s="283" t="s">
        <v>3655</v>
      </c>
      <c r="L2432" s="292" t="s">
        <v>574</v>
      </c>
      <c r="M2432" s="293">
        <v>500</v>
      </c>
      <c r="N2432" s="293"/>
      <c r="O2432" s="287"/>
      <c r="P2432" s="287"/>
      <c r="Q2432" s="288">
        <v>-478</v>
      </c>
      <c r="R2432" s="288">
        <v>352</v>
      </c>
      <c r="S2432" s="288">
        <v>-830</v>
      </c>
      <c r="T2432" s="288"/>
      <c r="U2432" s="288">
        <v>813.08333333333337</v>
      </c>
      <c r="V2432" s="289">
        <v>352</v>
      </c>
      <c r="W2432" s="289">
        <v>813.08333333333337</v>
      </c>
      <c r="X2432" s="288">
        <v>-0.95599999999999996</v>
      </c>
      <c r="Y2432" s="288">
        <v>0.70399999999999996</v>
      </c>
      <c r="Z2432" s="288">
        <v>-1.66</v>
      </c>
      <c r="AA2432" s="288">
        <v>0</v>
      </c>
      <c r="AB2432" s="288">
        <v>1.6261666666666668</v>
      </c>
      <c r="AC2432" s="289">
        <v>0.70399999999999996</v>
      </c>
      <c r="AD2432" s="289">
        <v>1.6261666666666668</v>
      </c>
    </row>
    <row r="2433" spans="1:30" ht="15" customHeight="1" x14ac:dyDescent="0.25">
      <c r="A2433" s="282" t="s">
        <v>3497</v>
      </c>
      <c r="B2433" s="282" t="s">
        <v>3540</v>
      </c>
      <c r="C2433" s="282" t="s">
        <v>3545</v>
      </c>
      <c r="D2433" s="286" t="s">
        <v>3658</v>
      </c>
      <c r="E2433" s="403">
        <v>44606</v>
      </c>
      <c r="F2433" s="403">
        <v>46432</v>
      </c>
      <c r="G2433" s="283" t="s">
        <v>154</v>
      </c>
      <c r="H2433" s="282" t="s">
        <v>3005</v>
      </c>
      <c r="I2433" s="282" t="s">
        <v>3251</v>
      </c>
      <c r="J2433" s="282" t="s">
        <v>156</v>
      </c>
      <c r="K2433" s="283" t="s">
        <v>3543</v>
      </c>
      <c r="L2433" s="292" t="s">
        <v>574</v>
      </c>
      <c r="M2433" s="293">
        <v>551</v>
      </c>
      <c r="N2433" s="293"/>
      <c r="O2433" s="287"/>
      <c r="P2433" s="287"/>
      <c r="Q2433" s="288">
        <v>-731.8</v>
      </c>
      <c r="R2433" s="288">
        <v>207.6</v>
      </c>
      <c r="S2433" s="288">
        <v>-880.91679999999997</v>
      </c>
      <c r="T2433" s="288"/>
      <c r="U2433" s="288">
        <v>888.94666666666672</v>
      </c>
      <c r="V2433" s="289">
        <v>215.62986666666677</v>
      </c>
      <c r="W2433" s="289">
        <v>888.94666666666672</v>
      </c>
      <c r="X2433" s="288">
        <v>-1.3281306715063521</v>
      </c>
      <c r="Y2433" s="288">
        <v>0.37676950998185116</v>
      </c>
      <c r="Z2433" s="288">
        <v>-1.5987600725952813</v>
      </c>
      <c r="AA2433" s="288">
        <v>0</v>
      </c>
      <c r="AB2433" s="288">
        <v>1.6133333333333335</v>
      </c>
      <c r="AC2433" s="289">
        <v>0.39134277071990331</v>
      </c>
      <c r="AD2433" s="289">
        <v>1.6133333333333335</v>
      </c>
    </row>
    <row r="2434" spans="1:30" ht="15" customHeight="1" x14ac:dyDescent="0.25">
      <c r="A2434" s="282" t="s">
        <v>3497</v>
      </c>
      <c r="B2434" s="282" t="s">
        <v>3540</v>
      </c>
      <c r="C2434" s="282" t="s">
        <v>3541</v>
      </c>
      <c r="D2434" s="283" t="s">
        <v>3659</v>
      </c>
      <c r="E2434" s="403">
        <v>45005</v>
      </c>
      <c r="F2434" s="403">
        <v>45881</v>
      </c>
      <c r="G2434" s="283" t="s">
        <v>216</v>
      </c>
      <c r="H2434" s="282" t="s">
        <v>3247</v>
      </c>
      <c r="I2434" s="285"/>
      <c r="J2434" s="282" t="s">
        <v>184</v>
      </c>
      <c r="K2434" s="283" t="s">
        <v>3660</v>
      </c>
      <c r="L2434" s="286" t="s">
        <v>574</v>
      </c>
      <c r="M2434" s="287">
        <v>420</v>
      </c>
      <c r="N2434" s="287" t="s">
        <v>159</v>
      </c>
      <c r="O2434" s="287" t="s">
        <v>159</v>
      </c>
      <c r="P2434" s="287" t="s">
        <v>159</v>
      </c>
      <c r="Q2434" s="288">
        <v>-535</v>
      </c>
      <c r="R2434" s="288">
        <v>224</v>
      </c>
      <c r="S2434" s="288">
        <v>-758</v>
      </c>
      <c r="T2434" s="288"/>
      <c r="U2434" s="288">
        <v>716.09999999999991</v>
      </c>
      <c r="V2434" s="289">
        <v>224</v>
      </c>
      <c r="W2434" s="289">
        <v>716.09999999999991</v>
      </c>
      <c r="X2434" s="288">
        <v>-1.2738095238095237</v>
      </c>
      <c r="Y2434" s="288">
        <v>0.53333333333333333</v>
      </c>
      <c r="Z2434" s="288">
        <v>-1.8047619047619048</v>
      </c>
      <c r="AA2434" s="288">
        <v>0</v>
      </c>
      <c r="AB2434" s="288">
        <v>1.7049999999999998</v>
      </c>
      <c r="AC2434" s="289">
        <v>0.53333333333333344</v>
      </c>
      <c r="AD2434" s="289">
        <v>1.7049999999999998</v>
      </c>
    </row>
    <row r="2435" spans="1:30" ht="15" customHeight="1" x14ac:dyDescent="0.25">
      <c r="A2435" s="282" t="s">
        <v>3497</v>
      </c>
      <c r="B2435" s="282" t="s">
        <v>3540</v>
      </c>
      <c r="C2435" s="282" t="s">
        <v>3541</v>
      </c>
      <c r="D2435" s="283" t="s">
        <v>3661</v>
      </c>
      <c r="E2435" s="403">
        <v>45005</v>
      </c>
      <c r="F2435" s="403">
        <v>45881</v>
      </c>
      <c r="G2435" s="283" t="s">
        <v>216</v>
      </c>
      <c r="H2435" s="282" t="s">
        <v>3247</v>
      </c>
      <c r="I2435" s="285"/>
      <c r="J2435" s="282" t="s">
        <v>184</v>
      </c>
      <c r="K2435" s="283" t="s">
        <v>3660</v>
      </c>
      <c r="L2435" s="286" t="s">
        <v>574</v>
      </c>
      <c r="M2435" s="287">
        <v>420</v>
      </c>
      <c r="N2435" s="287" t="s">
        <v>159</v>
      </c>
      <c r="O2435" s="287" t="s">
        <v>159</v>
      </c>
      <c r="P2435" s="287" t="s">
        <v>159</v>
      </c>
      <c r="Q2435" s="288">
        <v>-516</v>
      </c>
      <c r="R2435" s="288">
        <v>243</v>
      </c>
      <c r="S2435" s="288">
        <v>-758</v>
      </c>
      <c r="T2435" s="288"/>
      <c r="U2435" s="288">
        <v>716.09999999999991</v>
      </c>
      <c r="V2435" s="289">
        <v>243</v>
      </c>
      <c r="W2435" s="289">
        <v>716.09999999999991</v>
      </c>
      <c r="X2435" s="288">
        <v>-1.2285714285714286</v>
      </c>
      <c r="Y2435" s="288">
        <v>0.57857142857142863</v>
      </c>
      <c r="Z2435" s="288">
        <v>-1.8047619047619048</v>
      </c>
      <c r="AA2435" s="288">
        <v>0</v>
      </c>
      <c r="AB2435" s="288">
        <v>1.7049999999999998</v>
      </c>
      <c r="AC2435" s="289">
        <v>0.57857142857142851</v>
      </c>
      <c r="AD2435" s="289">
        <v>1.7049999999999998</v>
      </c>
    </row>
    <row r="2436" spans="1:30" ht="15" customHeight="1" x14ac:dyDescent="0.25">
      <c r="A2436" s="282" t="s">
        <v>3497</v>
      </c>
      <c r="B2436" s="282" t="s">
        <v>3540</v>
      </c>
      <c r="C2436" s="282" t="s">
        <v>3541</v>
      </c>
      <c r="D2436" s="286" t="s">
        <v>3662</v>
      </c>
      <c r="E2436" s="403">
        <v>44606</v>
      </c>
      <c r="F2436" s="403">
        <v>46432</v>
      </c>
      <c r="G2436" s="283" t="s">
        <v>154</v>
      </c>
      <c r="H2436" s="282" t="s">
        <v>3005</v>
      </c>
      <c r="I2436" s="282" t="s">
        <v>3251</v>
      </c>
      <c r="J2436" s="282" t="s">
        <v>156</v>
      </c>
      <c r="K2436" s="283" t="s">
        <v>3543</v>
      </c>
      <c r="L2436" s="292" t="s">
        <v>574</v>
      </c>
      <c r="M2436" s="293">
        <v>551</v>
      </c>
      <c r="N2436" s="293"/>
      <c r="O2436" s="287"/>
      <c r="P2436" s="287"/>
      <c r="Q2436" s="288">
        <v>-685.8</v>
      </c>
      <c r="R2436" s="288">
        <v>247.6</v>
      </c>
      <c r="S2436" s="288">
        <v>-874.91679999999997</v>
      </c>
      <c r="T2436" s="288"/>
      <c r="U2436" s="288">
        <v>888.94666666666672</v>
      </c>
      <c r="V2436" s="289">
        <v>261.62986666666677</v>
      </c>
      <c r="W2436" s="289">
        <v>888.94666666666672</v>
      </c>
      <c r="X2436" s="288">
        <v>-1.2446460980036296</v>
      </c>
      <c r="Y2436" s="288">
        <v>0.44936479128856621</v>
      </c>
      <c r="Z2436" s="288">
        <v>-1.587870780399274</v>
      </c>
      <c r="AA2436" s="288">
        <v>0</v>
      </c>
      <c r="AB2436" s="288">
        <v>1.6133333333333335</v>
      </c>
      <c r="AC2436" s="289">
        <v>0.47482734422262562</v>
      </c>
      <c r="AD2436" s="289">
        <v>1.6133333333333335</v>
      </c>
    </row>
    <row r="2437" spans="1:30" ht="15" customHeight="1" x14ac:dyDescent="0.25">
      <c r="A2437" s="282" t="s">
        <v>3497</v>
      </c>
      <c r="B2437" s="282" t="s">
        <v>3540</v>
      </c>
      <c r="C2437" s="282" t="s">
        <v>3663</v>
      </c>
      <c r="D2437" s="283" t="s">
        <v>3664</v>
      </c>
      <c r="E2437" s="403">
        <v>45005</v>
      </c>
      <c r="F2437" s="403">
        <v>45881</v>
      </c>
      <c r="G2437" s="283" t="s">
        <v>216</v>
      </c>
      <c r="H2437" s="282" t="s">
        <v>3247</v>
      </c>
      <c r="I2437" s="285"/>
      <c r="J2437" s="282" t="s">
        <v>184</v>
      </c>
      <c r="K2437" s="283" t="s">
        <v>3660</v>
      </c>
      <c r="L2437" s="286" t="s">
        <v>574</v>
      </c>
      <c r="M2437" s="287">
        <v>420</v>
      </c>
      <c r="N2437" s="287" t="s">
        <v>159</v>
      </c>
      <c r="O2437" s="287" t="s">
        <v>159</v>
      </c>
      <c r="P2437" s="287" t="s">
        <v>159</v>
      </c>
      <c r="Q2437" s="288">
        <v>-469</v>
      </c>
      <c r="R2437" s="288">
        <v>290</v>
      </c>
      <c r="S2437" s="288">
        <v>-758</v>
      </c>
      <c r="T2437" s="288"/>
      <c r="U2437" s="288">
        <v>716.09999999999991</v>
      </c>
      <c r="V2437" s="289">
        <v>290</v>
      </c>
      <c r="W2437" s="289">
        <v>716.09999999999991</v>
      </c>
      <c r="X2437" s="288">
        <v>-1.1166666666666667</v>
      </c>
      <c r="Y2437" s="288">
        <v>0.69047619047619047</v>
      </c>
      <c r="Z2437" s="288">
        <v>-1.8047619047619048</v>
      </c>
      <c r="AA2437" s="288">
        <v>0</v>
      </c>
      <c r="AB2437" s="288">
        <v>1.7049999999999998</v>
      </c>
      <c r="AC2437" s="289">
        <v>0.69047619047619047</v>
      </c>
      <c r="AD2437" s="289">
        <v>1.7049999999999998</v>
      </c>
    </row>
    <row r="2438" spans="1:30" ht="15" customHeight="1" x14ac:dyDescent="0.25">
      <c r="A2438" s="282" t="s">
        <v>3497</v>
      </c>
      <c r="B2438" s="282" t="s">
        <v>3531</v>
      </c>
      <c r="C2438" s="282" t="s">
        <v>3532</v>
      </c>
      <c r="D2438" s="283" t="s">
        <v>3665</v>
      </c>
      <c r="E2438" s="403">
        <v>45005</v>
      </c>
      <c r="F2438" s="403">
        <v>45881</v>
      </c>
      <c r="G2438" s="283" t="s">
        <v>216</v>
      </c>
      <c r="H2438" s="282" t="s">
        <v>3247</v>
      </c>
      <c r="I2438" s="285"/>
      <c r="J2438" s="282" t="s">
        <v>184</v>
      </c>
      <c r="K2438" s="283" t="s">
        <v>3660</v>
      </c>
      <c r="L2438" s="286" t="s">
        <v>574</v>
      </c>
      <c r="M2438" s="287">
        <v>420</v>
      </c>
      <c r="N2438" s="287" t="s">
        <v>159</v>
      </c>
      <c r="O2438" s="287" t="s">
        <v>159</v>
      </c>
      <c r="P2438" s="287" t="s">
        <v>159</v>
      </c>
      <c r="Q2438" s="288">
        <v>-420</v>
      </c>
      <c r="R2438" s="288">
        <v>339</v>
      </c>
      <c r="S2438" s="288">
        <v>-758</v>
      </c>
      <c r="T2438" s="288"/>
      <c r="U2438" s="288">
        <v>716.09999999999991</v>
      </c>
      <c r="V2438" s="289">
        <v>339</v>
      </c>
      <c r="W2438" s="289">
        <v>716.09999999999991</v>
      </c>
      <c r="X2438" s="288">
        <v>-1</v>
      </c>
      <c r="Y2438" s="288">
        <v>0.80714285714285716</v>
      </c>
      <c r="Z2438" s="288">
        <v>-1.8047619047619048</v>
      </c>
      <c r="AA2438" s="288">
        <v>0</v>
      </c>
      <c r="AB2438" s="288">
        <v>1.7049999999999998</v>
      </c>
      <c r="AC2438" s="289">
        <v>0.80714285714285716</v>
      </c>
      <c r="AD2438" s="289">
        <v>1.7049999999999998</v>
      </c>
    </row>
    <row r="2439" spans="1:30" ht="15" customHeight="1" x14ac:dyDescent="0.25">
      <c r="A2439" s="282" t="s">
        <v>3497</v>
      </c>
      <c r="B2439" s="282" t="s">
        <v>3508</v>
      </c>
      <c r="C2439" s="282" t="s">
        <v>3509</v>
      </c>
      <c r="D2439" s="283" t="s">
        <v>3666</v>
      </c>
      <c r="E2439" s="403">
        <v>43077</v>
      </c>
      <c r="F2439" s="403">
        <v>44903</v>
      </c>
      <c r="G2439" s="283" t="s">
        <v>154</v>
      </c>
      <c r="H2439" s="282" t="s">
        <v>3511</v>
      </c>
      <c r="I2439" s="285"/>
      <c r="J2439" s="282" t="s">
        <v>156</v>
      </c>
      <c r="K2439" s="283" t="s">
        <v>3512</v>
      </c>
      <c r="L2439" s="286" t="s">
        <v>574</v>
      </c>
      <c r="M2439" s="287">
        <v>830</v>
      </c>
      <c r="N2439" s="287" t="s">
        <v>159</v>
      </c>
      <c r="O2439" s="287" t="s">
        <v>159</v>
      </c>
      <c r="P2439" s="287" t="s">
        <v>159</v>
      </c>
      <c r="Q2439" s="288">
        <v>-1095.74</v>
      </c>
      <c r="R2439" s="288">
        <v>104.26</v>
      </c>
      <c r="S2439" s="288">
        <v>-1200</v>
      </c>
      <c r="T2439" s="288"/>
      <c r="U2439" s="288">
        <v>1065.1666666666667</v>
      </c>
      <c r="V2439" s="289">
        <v>104.25999999999999</v>
      </c>
      <c r="W2439" s="289">
        <v>1065.1666666666667</v>
      </c>
      <c r="X2439" s="288">
        <v>-1.3201686746987953</v>
      </c>
      <c r="Y2439" s="288">
        <v>0.1256144578313253</v>
      </c>
      <c r="Z2439" s="288">
        <v>-1.4457831325301205</v>
      </c>
      <c r="AA2439" s="288">
        <v>0</v>
      </c>
      <c r="AB2439" s="288">
        <v>1.2833333333333334</v>
      </c>
      <c r="AC2439" s="289">
        <v>0.12561445783132519</v>
      </c>
      <c r="AD2439" s="289">
        <v>1.2833333333333334</v>
      </c>
    </row>
    <row r="2440" spans="1:30" ht="15" customHeight="1" x14ac:dyDescent="0.25">
      <c r="A2440" s="282" t="s">
        <v>3497</v>
      </c>
      <c r="B2440" s="282" t="s">
        <v>3508</v>
      </c>
      <c r="C2440" s="282" t="s">
        <v>3509</v>
      </c>
      <c r="D2440" s="286" t="s">
        <v>3667</v>
      </c>
      <c r="E2440" s="403">
        <v>44606</v>
      </c>
      <c r="F2440" s="403">
        <v>46432</v>
      </c>
      <c r="G2440" s="283" t="s">
        <v>154</v>
      </c>
      <c r="H2440" s="282" t="s">
        <v>3668</v>
      </c>
      <c r="I2440" s="282" t="s">
        <v>590</v>
      </c>
      <c r="J2440" s="282" t="s">
        <v>156</v>
      </c>
      <c r="K2440" s="283" t="s">
        <v>3669</v>
      </c>
      <c r="L2440" s="292" t="s">
        <v>574</v>
      </c>
      <c r="M2440" s="293">
        <v>830</v>
      </c>
      <c r="N2440" s="293"/>
      <c r="O2440" s="287"/>
      <c r="P2440" s="287"/>
      <c r="Q2440" s="288">
        <v>-1070</v>
      </c>
      <c r="R2440" s="288">
        <v>130</v>
      </c>
      <c r="S2440" s="288">
        <v>-1200</v>
      </c>
      <c r="T2440" s="288"/>
      <c r="U2440" s="288">
        <v>1065.1666666666667</v>
      </c>
      <c r="V2440" s="289">
        <v>130</v>
      </c>
      <c r="W2440" s="289">
        <v>1065.1666666666667</v>
      </c>
      <c r="X2440" s="288">
        <v>-1.2891566265060241</v>
      </c>
      <c r="Y2440" s="288">
        <v>0.15662650602409639</v>
      </c>
      <c r="Z2440" s="288">
        <v>-1.4457831325301205</v>
      </c>
      <c r="AA2440" s="288">
        <v>0</v>
      </c>
      <c r="AB2440" s="288">
        <v>1.2833333333333334</v>
      </c>
      <c r="AC2440" s="289">
        <v>0.15662650602409633</v>
      </c>
      <c r="AD2440" s="289">
        <v>1.2833333333333334</v>
      </c>
    </row>
    <row r="2441" spans="1:30" ht="15" customHeight="1" x14ac:dyDescent="0.25">
      <c r="A2441" s="282" t="s">
        <v>3497</v>
      </c>
      <c r="B2441" s="282" t="s">
        <v>3540</v>
      </c>
      <c r="C2441" s="282" t="s">
        <v>3663</v>
      </c>
      <c r="D2441" s="283" t="s">
        <v>3670</v>
      </c>
      <c r="E2441" s="403">
        <v>45044</v>
      </c>
      <c r="F2441" s="403">
        <v>46870</v>
      </c>
      <c r="G2441" s="283" t="s">
        <v>193</v>
      </c>
      <c r="H2441" s="282" t="s">
        <v>3671</v>
      </c>
      <c r="I2441" s="285"/>
      <c r="J2441" s="282" t="s">
        <v>184</v>
      </c>
      <c r="K2441" s="283" t="s">
        <v>3672</v>
      </c>
      <c r="L2441" s="286" t="s">
        <v>574</v>
      </c>
      <c r="M2441" s="287">
        <v>438.95</v>
      </c>
      <c r="N2441" s="287" t="s">
        <v>159</v>
      </c>
      <c r="O2441" s="287" t="s">
        <v>159</v>
      </c>
      <c r="P2441" s="287" t="s">
        <v>159</v>
      </c>
      <c r="Q2441" s="288">
        <v>-650</v>
      </c>
      <c r="R2441" s="288">
        <v>100</v>
      </c>
      <c r="S2441" s="288">
        <v>-750</v>
      </c>
      <c r="T2441" s="288"/>
      <c r="U2441" s="288">
        <v>667.93558333333328</v>
      </c>
      <c r="V2441" s="289">
        <v>100</v>
      </c>
      <c r="W2441" s="289">
        <v>667.93558333333328</v>
      </c>
      <c r="X2441" s="288">
        <v>-1.4808064699851919</v>
      </c>
      <c r="Y2441" s="288">
        <v>0.22781637999772184</v>
      </c>
      <c r="Z2441" s="288">
        <v>-1.7086228499829139</v>
      </c>
      <c r="AA2441" s="288">
        <v>0</v>
      </c>
      <c r="AB2441" s="288">
        <v>1.5216666666666665</v>
      </c>
      <c r="AC2441" s="289">
        <v>0.22781637999772175</v>
      </c>
      <c r="AD2441" s="289">
        <v>1.5216666666666665</v>
      </c>
    </row>
    <row r="2442" spans="1:30" ht="15" customHeight="1" x14ac:dyDescent="0.25">
      <c r="A2442" s="282" t="s">
        <v>3497</v>
      </c>
      <c r="B2442" s="282" t="s">
        <v>3508</v>
      </c>
      <c r="C2442" s="282" t="s">
        <v>3509</v>
      </c>
      <c r="D2442" s="286" t="s">
        <v>3673</v>
      </c>
      <c r="E2442" s="403">
        <v>44606</v>
      </c>
      <c r="F2442" s="403">
        <v>46432</v>
      </c>
      <c r="G2442" s="283" t="s">
        <v>154</v>
      </c>
      <c r="H2442" s="282" t="s">
        <v>3668</v>
      </c>
      <c r="I2442" s="282" t="s">
        <v>590</v>
      </c>
      <c r="J2442" s="282" t="s">
        <v>156</v>
      </c>
      <c r="K2442" s="283" t="s">
        <v>3669</v>
      </c>
      <c r="L2442" s="292" t="s">
        <v>574</v>
      </c>
      <c r="M2442" s="293">
        <v>830</v>
      </c>
      <c r="N2442" s="293"/>
      <c r="O2442" s="287"/>
      <c r="P2442" s="287"/>
      <c r="Q2442" s="288">
        <v>-1010</v>
      </c>
      <c r="R2442" s="288">
        <v>184</v>
      </c>
      <c r="S2442" s="288">
        <v>-1190</v>
      </c>
      <c r="T2442" s="288"/>
      <c r="U2442" s="288">
        <v>1065.1666666666667</v>
      </c>
      <c r="V2442" s="289">
        <v>184</v>
      </c>
      <c r="W2442" s="289">
        <v>1065.1666666666667</v>
      </c>
      <c r="X2442" s="288">
        <v>-1.2168674698795181</v>
      </c>
      <c r="Y2442" s="288">
        <v>0.22168674698795179</v>
      </c>
      <c r="Z2442" s="288">
        <v>-1.4337349397590362</v>
      </c>
      <c r="AA2442" s="288">
        <v>0</v>
      </c>
      <c r="AB2442" s="288">
        <v>1.2833333333333334</v>
      </c>
      <c r="AC2442" s="289">
        <v>0.22168674698795177</v>
      </c>
      <c r="AD2442" s="289">
        <v>1.2833333333333334</v>
      </c>
    </row>
    <row r="2443" spans="1:30" ht="15" customHeight="1" x14ac:dyDescent="0.25">
      <c r="A2443" s="282" t="s">
        <v>3497</v>
      </c>
      <c r="B2443" s="282" t="s">
        <v>3531</v>
      </c>
      <c r="C2443" s="282" t="s">
        <v>3532</v>
      </c>
      <c r="D2443" s="283" t="s">
        <v>3674</v>
      </c>
      <c r="E2443" s="403">
        <v>44293</v>
      </c>
      <c r="F2443" s="403">
        <v>46119</v>
      </c>
      <c r="G2443" s="283" t="s">
        <v>193</v>
      </c>
      <c r="H2443" s="282" t="s">
        <v>3675</v>
      </c>
      <c r="I2443" s="285"/>
      <c r="J2443" s="282" t="s">
        <v>184</v>
      </c>
      <c r="K2443" s="283" t="s">
        <v>3676</v>
      </c>
      <c r="L2443" s="286" t="s">
        <v>574</v>
      </c>
      <c r="M2443" s="287">
        <v>467</v>
      </c>
      <c r="N2443" s="287" t="s">
        <v>159</v>
      </c>
      <c r="O2443" s="287" t="s">
        <v>159</v>
      </c>
      <c r="P2443" s="287" t="s">
        <v>159</v>
      </c>
      <c r="Q2443" s="288">
        <v>-813.9</v>
      </c>
      <c r="R2443" s="288">
        <v>117</v>
      </c>
      <c r="S2443" s="288">
        <v>-932.2</v>
      </c>
      <c r="T2443" s="288"/>
      <c r="U2443" s="288">
        <v>753.42666666666662</v>
      </c>
      <c r="V2443" s="289">
        <v>117</v>
      </c>
      <c r="W2443" s="289">
        <v>753.42666666666662</v>
      </c>
      <c r="X2443" s="288">
        <v>-1.7428265524625268</v>
      </c>
      <c r="Y2443" s="288">
        <v>0.25053533190578159</v>
      </c>
      <c r="Z2443" s="288">
        <v>-1.9961456102783728</v>
      </c>
      <c r="AA2443" s="288">
        <v>0</v>
      </c>
      <c r="AB2443" s="288">
        <v>1.6133333333333333</v>
      </c>
      <c r="AC2443" s="289">
        <v>0.25053533190578148</v>
      </c>
      <c r="AD2443" s="289">
        <v>1.6133333333333333</v>
      </c>
    </row>
    <row r="2444" spans="1:30" ht="15" customHeight="1" x14ac:dyDescent="0.25">
      <c r="A2444" s="282" t="s">
        <v>3497</v>
      </c>
      <c r="B2444" s="282" t="s">
        <v>3531</v>
      </c>
      <c r="C2444" s="282" t="s">
        <v>3532</v>
      </c>
      <c r="D2444" s="283" t="s">
        <v>3677</v>
      </c>
      <c r="E2444" s="403">
        <v>44447</v>
      </c>
      <c r="F2444" s="403">
        <v>46272</v>
      </c>
      <c r="G2444" s="283" t="s">
        <v>237</v>
      </c>
      <c r="H2444" s="282" t="s">
        <v>3678</v>
      </c>
      <c r="I2444" s="285"/>
      <c r="J2444" s="282" t="s">
        <v>184</v>
      </c>
      <c r="K2444" s="283" t="s">
        <v>3679</v>
      </c>
      <c r="L2444" s="286" t="s">
        <v>574</v>
      </c>
      <c r="M2444" s="287">
        <v>450</v>
      </c>
      <c r="N2444" s="287" t="s">
        <v>159</v>
      </c>
      <c r="O2444" s="287" t="s">
        <v>159</v>
      </c>
      <c r="P2444" s="287" t="s">
        <v>159</v>
      </c>
      <c r="Q2444" s="288">
        <v>-480.8</v>
      </c>
      <c r="R2444" s="288">
        <v>338.1</v>
      </c>
      <c r="S2444" s="288">
        <v>-821.9701</v>
      </c>
      <c r="T2444" s="288"/>
      <c r="U2444" s="288">
        <v>709.5</v>
      </c>
      <c r="V2444" s="289">
        <v>338.1</v>
      </c>
      <c r="W2444" s="289">
        <v>709.5</v>
      </c>
      <c r="X2444" s="288">
        <v>-1.0684444444444445</v>
      </c>
      <c r="Y2444" s="288">
        <v>0.75133333333333341</v>
      </c>
      <c r="Z2444" s="288">
        <v>-1.8266002222222222</v>
      </c>
      <c r="AA2444" s="288">
        <v>0</v>
      </c>
      <c r="AB2444" s="288">
        <v>1.5766666666666667</v>
      </c>
      <c r="AC2444" s="289">
        <v>0.75133333333333341</v>
      </c>
      <c r="AD2444" s="289">
        <v>1.5766666666666667</v>
      </c>
    </row>
    <row r="2445" spans="1:30" ht="15" customHeight="1" x14ac:dyDescent="0.25">
      <c r="A2445" s="282" t="s">
        <v>3497</v>
      </c>
      <c r="B2445" s="282" t="s">
        <v>3499</v>
      </c>
      <c r="C2445" s="282" t="s">
        <v>3499</v>
      </c>
      <c r="D2445" s="283" t="s">
        <v>3680</v>
      </c>
      <c r="E2445" s="403">
        <v>43910</v>
      </c>
      <c r="F2445" s="403">
        <v>46915</v>
      </c>
      <c r="G2445" s="283" t="s">
        <v>237</v>
      </c>
      <c r="H2445" s="282" t="s">
        <v>3681</v>
      </c>
      <c r="I2445" s="285"/>
      <c r="J2445" s="282" t="s">
        <v>184</v>
      </c>
      <c r="K2445" s="283" t="s">
        <v>3682</v>
      </c>
      <c r="L2445" s="286" t="s">
        <v>574</v>
      </c>
      <c r="M2445" s="287">
        <v>660</v>
      </c>
      <c r="N2445" s="287" t="s">
        <v>159</v>
      </c>
      <c r="O2445" s="287" t="s">
        <v>159</v>
      </c>
      <c r="P2445" s="287" t="s">
        <v>159</v>
      </c>
      <c r="Q2445" s="288">
        <v>687</v>
      </c>
      <c r="R2445" s="288">
        <v>320</v>
      </c>
      <c r="S2445" s="288">
        <v>-1010</v>
      </c>
      <c r="T2445" s="288">
        <v>0.23200000000000001</v>
      </c>
      <c r="U2445" s="288">
        <v>1012</v>
      </c>
      <c r="V2445" s="289">
        <v>322.23199999999997</v>
      </c>
      <c r="W2445" s="289">
        <v>1012</v>
      </c>
      <c r="X2445" s="288">
        <v>1.040909090909091</v>
      </c>
      <c r="Y2445" s="288">
        <v>0.48484848484848486</v>
      </c>
      <c r="Z2445" s="288">
        <v>-1.5303030303030303</v>
      </c>
      <c r="AA2445" s="288">
        <v>3.5151515151515155E-4</v>
      </c>
      <c r="AB2445" s="288">
        <v>1.5333333333333334</v>
      </c>
      <c r="AC2445" s="289">
        <v>0.48823030303030324</v>
      </c>
      <c r="AD2445" s="289">
        <v>1.5333333333333334</v>
      </c>
    </row>
    <row r="2446" spans="1:30" ht="15" customHeight="1" x14ac:dyDescent="0.25">
      <c r="A2446" s="282" t="s">
        <v>3683</v>
      </c>
      <c r="B2446" s="282" t="s">
        <v>3684</v>
      </c>
      <c r="C2446" s="282" t="s">
        <v>3685</v>
      </c>
      <c r="D2446" s="283" t="s">
        <v>3686</v>
      </c>
      <c r="E2446" s="403">
        <v>44516</v>
      </c>
      <c r="F2446" s="403">
        <v>46341</v>
      </c>
      <c r="G2446" s="283" t="s">
        <v>237</v>
      </c>
      <c r="H2446" s="282" t="s">
        <v>3687</v>
      </c>
      <c r="I2446" s="285"/>
      <c r="J2446" s="282" t="s">
        <v>184</v>
      </c>
      <c r="K2446" s="283" t="s">
        <v>3688</v>
      </c>
      <c r="L2446" s="286" t="s">
        <v>2283</v>
      </c>
      <c r="M2446" s="287" t="s">
        <v>159</v>
      </c>
      <c r="N2446" s="287" t="s">
        <v>159</v>
      </c>
      <c r="O2446" s="287" t="s">
        <v>159</v>
      </c>
      <c r="P2446" s="287">
        <v>4714</v>
      </c>
      <c r="Q2446" s="288">
        <v>14717</v>
      </c>
      <c r="R2446" s="288">
        <v>16417</v>
      </c>
      <c r="S2446" s="288">
        <v>-1828.62</v>
      </c>
      <c r="T2446" s="288">
        <v>39.739999999999995</v>
      </c>
      <c r="U2446" s="288">
        <v>0</v>
      </c>
      <c r="V2446" s="289">
        <v>16456.740000000002</v>
      </c>
      <c r="W2446" s="289">
        <v>0</v>
      </c>
      <c r="X2446" s="288">
        <v>3.121977089520577</v>
      </c>
      <c r="Y2446" s="288">
        <v>3.4826050063640221</v>
      </c>
      <c r="Z2446" s="288">
        <v>-0.38791260076368261</v>
      </c>
      <c r="AA2446" s="288">
        <v>8.4302078913873549E-3</v>
      </c>
      <c r="AB2446" s="288">
        <v>0</v>
      </c>
      <c r="AC2446" s="289">
        <v>3.4910352142554091</v>
      </c>
      <c r="AD2446" s="289">
        <v>0</v>
      </c>
    </row>
    <row r="2447" spans="1:30" ht="15" customHeight="1" x14ac:dyDescent="0.25">
      <c r="A2447" s="282" t="s">
        <v>3683</v>
      </c>
      <c r="B2447" s="282" t="s">
        <v>3684</v>
      </c>
      <c r="C2447" s="282" t="s">
        <v>3689</v>
      </c>
      <c r="D2447" s="283" t="s">
        <v>3690</v>
      </c>
      <c r="E2447" s="403">
        <v>45098</v>
      </c>
      <c r="F2447" s="403">
        <v>46854</v>
      </c>
      <c r="G2447" s="283" t="s">
        <v>193</v>
      </c>
      <c r="H2447" s="282" t="s">
        <v>3691</v>
      </c>
      <c r="I2447" s="285"/>
      <c r="J2447" s="282" t="s">
        <v>184</v>
      </c>
      <c r="K2447" s="283" t="s">
        <v>3692</v>
      </c>
      <c r="L2447" s="286" t="s">
        <v>2283</v>
      </c>
      <c r="M2447" s="287" t="s">
        <v>159</v>
      </c>
      <c r="N2447" s="287" t="s">
        <v>159</v>
      </c>
      <c r="O2447" s="287" t="s">
        <v>159</v>
      </c>
      <c r="P2447" s="287">
        <v>2333</v>
      </c>
      <c r="Q2447" s="288">
        <v>4161.5039999999999</v>
      </c>
      <c r="R2447" s="288">
        <v>4487.5919999999996</v>
      </c>
      <c r="S2447" s="288">
        <v>-328.41719999999998</v>
      </c>
      <c r="T2447" s="288"/>
      <c r="U2447" s="288">
        <v>0</v>
      </c>
      <c r="V2447" s="289">
        <v>4487.5919999999996</v>
      </c>
      <c r="W2447" s="289">
        <v>0</v>
      </c>
      <c r="X2447" s="288">
        <v>1.7837565366480925</v>
      </c>
      <c r="Y2447" s="288">
        <v>1.92352850407201</v>
      </c>
      <c r="Z2447" s="288">
        <v>-0.14077033861980282</v>
      </c>
      <c r="AA2447" s="288">
        <v>0</v>
      </c>
      <c r="AB2447" s="288">
        <v>0</v>
      </c>
      <c r="AC2447" s="289">
        <v>1.92352850407201</v>
      </c>
      <c r="AD2447" s="289">
        <v>0</v>
      </c>
    </row>
    <row r="2448" spans="1:30" ht="15" customHeight="1" x14ac:dyDescent="0.25">
      <c r="A2448" s="282" t="s">
        <v>3683</v>
      </c>
      <c r="B2448" s="282" t="s">
        <v>3684</v>
      </c>
      <c r="C2448" s="282" t="s">
        <v>3685</v>
      </c>
      <c r="D2448" s="283" t="s">
        <v>3693</v>
      </c>
      <c r="E2448" s="403">
        <v>45098</v>
      </c>
      <c r="F2448" s="403">
        <v>46854</v>
      </c>
      <c r="G2448" s="283" t="s">
        <v>193</v>
      </c>
      <c r="H2448" s="282" t="s">
        <v>3691</v>
      </c>
      <c r="I2448" s="285"/>
      <c r="J2448" s="282" t="s">
        <v>184</v>
      </c>
      <c r="K2448" s="283" t="s">
        <v>3694</v>
      </c>
      <c r="L2448" s="286" t="s">
        <v>2283</v>
      </c>
      <c r="M2448" s="287" t="s">
        <v>159</v>
      </c>
      <c r="N2448" s="287" t="s">
        <v>159</v>
      </c>
      <c r="O2448" s="287" t="s">
        <v>159</v>
      </c>
      <c r="P2448" s="287">
        <v>2333</v>
      </c>
      <c r="Q2448" s="288">
        <v>4173.1500000000005</v>
      </c>
      <c r="R2448" s="288">
        <v>4496.6500000000005</v>
      </c>
      <c r="S2448" s="288">
        <v>-329.97</v>
      </c>
      <c r="T2448" s="288"/>
      <c r="U2448" s="288">
        <v>0</v>
      </c>
      <c r="V2448" s="289">
        <v>4496.6500000000005</v>
      </c>
      <c r="W2448" s="289">
        <v>0</v>
      </c>
      <c r="X2448" s="288">
        <v>1.7887483926275185</v>
      </c>
      <c r="Y2448" s="288">
        <v>1.9274110587226749</v>
      </c>
      <c r="Z2448" s="288">
        <v>-0.1414359194170596</v>
      </c>
      <c r="AA2448" s="288">
        <v>0</v>
      </c>
      <c r="AB2448" s="288">
        <v>0</v>
      </c>
      <c r="AC2448" s="289">
        <v>1.9274110587226749</v>
      </c>
      <c r="AD2448" s="289">
        <v>0</v>
      </c>
    </row>
    <row r="2449" spans="1:30" ht="15" customHeight="1" x14ac:dyDescent="0.25">
      <c r="A2449" s="282" t="s">
        <v>3683</v>
      </c>
      <c r="B2449" s="282" t="s">
        <v>3684</v>
      </c>
      <c r="C2449" s="282" t="s">
        <v>3689</v>
      </c>
      <c r="D2449" s="283" t="s">
        <v>3695</v>
      </c>
      <c r="E2449" s="403">
        <v>44953</v>
      </c>
      <c r="F2449" s="403">
        <v>46778</v>
      </c>
      <c r="G2449" s="283" t="s">
        <v>237</v>
      </c>
      <c r="H2449" s="282" t="s">
        <v>3696</v>
      </c>
      <c r="I2449" s="285"/>
      <c r="J2449" s="282" t="s">
        <v>184</v>
      </c>
      <c r="K2449" s="283" t="s">
        <v>3697</v>
      </c>
      <c r="L2449" s="286" t="s">
        <v>2283</v>
      </c>
      <c r="M2449" s="287" t="s">
        <v>159</v>
      </c>
      <c r="N2449" s="287" t="s">
        <v>159</v>
      </c>
      <c r="O2449" s="287" t="s">
        <v>159</v>
      </c>
      <c r="P2449" s="287">
        <v>41765</v>
      </c>
      <c r="Q2449" s="288">
        <v>108920</v>
      </c>
      <c r="R2449" s="288">
        <v>117114</v>
      </c>
      <c r="S2449" s="288">
        <v>-8251.9025999999994</v>
      </c>
      <c r="T2449" s="288">
        <v>134.001</v>
      </c>
      <c r="U2449" s="288">
        <v>0</v>
      </c>
      <c r="V2449" s="289">
        <v>117248.001</v>
      </c>
      <c r="W2449" s="289">
        <v>0</v>
      </c>
      <c r="X2449" s="288">
        <v>2.6079252963007304</v>
      </c>
      <c r="Y2449" s="288">
        <v>2.804118280857177</v>
      </c>
      <c r="Z2449" s="288">
        <v>-0.1975793750748234</v>
      </c>
      <c r="AA2449" s="288">
        <v>3.2084520531545555E-3</v>
      </c>
      <c r="AB2449" s="288">
        <v>0</v>
      </c>
      <c r="AC2449" s="289">
        <v>2.8073267329103313</v>
      </c>
      <c r="AD2449" s="289">
        <v>0</v>
      </c>
    </row>
    <row r="2450" spans="1:30" ht="15" customHeight="1" x14ac:dyDescent="0.25">
      <c r="A2450" s="282" t="s">
        <v>3683</v>
      </c>
      <c r="B2450" s="282" t="s">
        <v>3684</v>
      </c>
      <c r="C2450" s="282" t="s">
        <v>3685</v>
      </c>
      <c r="D2450" s="283" t="s">
        <v>3698</v>
      </c>
      <c r="E2450" s="403">
        <v>44702</v>
      </c>
      <c r="F2450" s="403">
        <v>46526</v>
      </c>
      <c r="G2450" s="283" t="s">
        <v>237</v>
      </c>
      <c r="H2450" s="282" t="s">
        <v>3699</v>
      </c>
      <c r="I2450" s="285"/>
      <c r="J2450" s="282" t="s">
        <v>184</v>
      </c>
      <c r="K2450" s="283" t="s">
        <v>3700</v>
      </c>
      <c r="L2450" s="286" t="s">
        <v>2283</v>
      </c>
      <c r="M2450" s="287" t="s">
        <v>159</v>
      </c>
      <c r="N2450" s="287" t="s">
        <v>159</v>
      </c>
      <c r="O2450" s="287" t="s">
        <v>159</v>
      </c>
      <c r="P2450" s="287">
        <v>7395</v>
      </c>
      <c r="Q2450" s="288">
        <v>26803</v>
      </c>
      <c r="R2450" s="288">
        <v>28743</v>
      </c>
      <c r="S2450" s="288">
        <v>-3059.8580000000002</v>
      </c>
      <c r="T2450" s="288">
        <v>58.149000000000001</v>
      </c>
      <c r="U2450" s="288">
        <v>0</v>
      </c>
      <c r="V2450" s="289">
        <v>28801.149000000001</v>
      </c>
      <c r="W2450" s="289">
        <v>0</v>
      </c>
      <c r="X2450" s="288">
        <v>3.6244759972954701</v>
      </c>
      <c r="Y2450" s="288">
        <v>3.8868154158215011</v>
      </c>
      <c r="Z2450" s="288">
        <v>-0.4137739012846518</v>
      </c>
      <c r="AA2450" s="288">
        <v>7.8632860040567954E-3</v>
      </c>
      <c r="AB2450" s="288">
        <v>0</v>
      </c>
      <c r="AC2450" s="289">
        <v>3.894678701825558</v>
      </c>
      <c r="AD2450" s="289">
        <v>0</v>
      </c>
    </row>
    <row r="2451" spans="1:30" ht="15" customHeight="1" x14ac:dyDescent="0.25">
      <c r="A2451" s="282" t="s">
        <v>3683</v>
      </c>
      <c r="B2451" s="282" t="s">
        <v>3684</v>
      </c>
      <c r="C2451" s="282" t="s">
        <v>3685</v>
      </c>
      <c r="D2451" s="283" t="s">
        <v>3701</v>
      </c>
      <c r="E2451" s="403">
        <v>45100</v>
      </c>
      <c r="F2451" s="403">
        <v>46927</v>
      </c>
      <c r="G2451" s="283" t="s">
        <v>193</v>
      </c>
      <c r="H2451" s="282" t="s">
        <v>3702</v>
      </c>
      <c r="I2451" s="285"/>
      <c r="J2451" s="282" t="s">
        <v>184</v>
      </c>
      <c r="K2451" s="283" t="s">
        <v>3703</v>
      </c>
      <c r="L2451" s="286" t="s">
        <v>2283</v>
      </c>
      <c r="M2451" s="287" t="s">
        <v>159</v>
      </c>
      <c r="N2451" s="287" t="s">
        <v>159</v>
      </c>
      <c r="O2451" s="287" t="s">
        <v>159</v>
      </c>
      <c r="P2451" s="287">
        <v>2609</v>
      </c>
      <c r="Q2451" s="288">
        <v>6525</v>
      </c>
      <c r="R2451" s="288">
        <v>6873</v>
      </c>
      <c r="S2451" s="288">
        <v>-339.29999999999995</v>
      </c>
      <c r="T2451" s="288">
        <v>3.4219999999999997</v>
      </c>
      <c r="U2451" s="288">
        <v>0</v>
      </c>
      <c r="V2451" s="289">
        <v>6876.4219999999996</v>
      </c>
      <c r="W2451" s="289">
        <v>0</v>
      </c>
      <c r="X2451" s="288">
        <v>2.5009582215408201</v>
      </c>
      <c r="Y2451" s="288">
        <v>2.6343426600229973</v>
      </c>
      <c r="Z2451" s="288">
        <v>-0.13004982752012265</v>
      </c>
      <c r="AA2451" s="288">
        <v>1.3116136450747411E-3</v>
      </c>
      <c r="AB2451" s="288">
        <v>0</v>
      </c>
      <c r="AC2451" s="289">
        <v>2.6356542736680719</v>
      </c>
      <c r="AD2451" s="289">
        <v>0</v>
      </c>
    </row>
    <row r="2452" spans="1:30" ht="15" customHeight="1" x14ac:dyDescent="0.25">
      <c r="A2452" s="282" t="s">
        <v>3683</v>
      </c>
      <c r="B2452" s="282" t="s">
        <v>3684</v>
      </c>
      <c r="C2452" s="282" t="s">
        <v>3689</v>
      </c>
      <c r="D2452" s="283" t="s">
        <v>3704</v>
      </c>
      <c r="E2452" s="403">
        <v>45100</v>
      </c>
      <c r="F2452" s="403">
        <v>46927</v>
      </c>
      <c r="G2452" s="283" t="s">
        <v>193</v>
      </c>
      <c r="H2452" s="282" t="s">
        <v>3702</v>
      </c>
      <c r="I2452" s="285"/>
      <c r="J2452" s="282" t="s">
        <v>184</v>
      </c>
      <c r="K2452" s="283" t="s">
        <v>3705</v>
      </c>
      <c r="L2452" s="286" t="s">
        <v>2283</v>
      </c>
      <c r="M2452" s="287" t="s">
        <v>159</v>
      </c>
      <c r="N2452" s="287" t="s">
        <v>159</v>
      </c>
      <c r="O2452" s="287" t="s">
        <v>159</v>
      </c>
      <c r="P2452" s="287">
        <v>7030</v>
      </c>
      <c r="Q2452" s="288">
        <v>19300.96</v>
      </c>
      <c r="R2452" s="288">
        <v>19854.240000000002</v>
      </c>
      <c r="S2452" s="288">
        <v>-566.048</v>
      </c>
      <c r="T2452" s="288">
        <v>9.8951999999999991</v>
      </c>
      <c r="U2452" s="288">
        <v>0</v>
      </c>
      <c r="V2452" s="289">
        <v>19864.135200000001</v>
      </c>
      <c r="W2452" s="289">
        <v>0</v>
      </c>
      <c r="X2452" s="288">
        <v>2.7455135135135134</v>
      </c>
      <c r="Y2452" s="288">
        <v>2.8242162162162163</v>
      </c>
      <c r="Z2452" s="288">
        <v>-8.0518918918918922E-2</v>
      </c>
      <c r="AA2452" s="288">
        <v>1.4075675675675674E-3</v>
      </c>
      <c r="AB2452" s="288">
        <v>0</v>
      </c>
      <c r="AC2452" s="289">
        <v>2.8256237837837839</v>
      </c>
      <c r="AD2452" s="289">
        <v>0</v>
      </c>
    </row>
    <row r="2453" spans="1:30" ht="15" customHeight="1" x14ac:dyDescent="0.25">
      <c r="A2453" s="282" t="s">
        <v>3683</v>
      </c>
      <c r="B2453" s="282" t="s">
        <v>3684</v>
      </c>
      <c r="C2453" s="282" t="s">
        <v>3689</v>
      </c>
      <c r="D2453" s="283" t="s">
        <v>3706</v>
      </c>
      <c r="E2453" s="403">
        <v>45100</v>
      </c>
      <c r="F2453" s="403">
        <v>46927</v>
      </c>
      <c r="G2453" s="283" t="s">
        <v>193</v>
      </c>
      <c r="H2453" s="282" t="s">
        <v>3707</v>
      </c>
      <c r="I2453" s="285"/>
      <c r="J2453" s="282" t="s">
        <v>184</v>
      </c>
      <c r="K2453" s="283" t="s">
        <v>3708</v>
      </c>
      <c r="L2453" s="286" t="s">
        <v>2283</v>
      </c>
      <c r="M2453" s="287" t="s">
        <v>159</v>
      </c>
      <c r="N2453" s="287" t="s">
        <v>159</v>
      </c>
      <c r="O2453" s="287" t="s">
        <v>159</v>
      </c>
      <c r="P2453" s="287">
        <v>12564</v>
      </c>
      <c r="Q2453" s="288">
        <v>32193.749999999996</v>
      </c>
      <c r="R2453" s="288">
        <v>32937.5</v>
      </c>
      <c r="S2453" s="288">
        <v>-745.875</v>
      </c>
      <c r="T2453" s="288">
        <v>17.956250000000001</v>
      </c>
      <c r="U2453" s="288">
        <v>0</v>
      </c>
      <c r="V2453" s="289">
        <v>32955.456250000003</v>
      </c>
      <c r="W2453" s="289">
        <v>0</v>
      </c>
      <c r="X2453" s="288">
        <v>2.5623806112702958</v>
      </c>
      <c r="Y2453" s="288">
        <v>2.6215775230818212</v>
      </c>
      <c r="Z2453" s="288">
        <v>-5.9366045845272206E-2</v>
      </c>
      <c r="AA2453" s="288">
        <v>1.4291825851639607E-3</v>
      </c>
      <c r="AB2453" s="288">
        <v>0</v>
      </c>
      <c r="AC2453" s="289">
        <v>2.623006705666985</v>
      </c>
      <c r="AD2453" s="289">
        <v>0</v>
      </c>
    </row>
    <row r="2454" spans="1:30" ht="15" customHeight="1" x14ac:dyDescent="0.25">
      <c r="A2454" s="282" t="s">
        <v>3683</v>
      </c>
      <c r="B2454" s="282" t="s">
        <v>3709</v>
      </c>
      <c r="C2454" s="282" t="s">
        <v>3709</v>
      </c>
      <c r="D2454" s="283" t="s">
        <v>3710</v>
      </c>
      <c r="E2454" s="403">
        <v>44547</v>
      </c>
      <c r="F2454" s="403">
        <v>46372</v>
      </c>
      <c r="G2454" s="283" t="s">
        <v>237</v>
      </c>
      <c r="H2454" s="282" t="s">
        <v>3711</v>
      </c>
      <c r="I2454" s="285"/>
      <c r="J2454" s="282" t="s">
        <v>184</v>
      </c>
      <c r="K2454" s="283" t="s">
        <v>3712</v>
      </c>
      <c r="L2454" s="286" t="s">
        <v>2283</v>
      </c>
      <c r="M2454" s="287" t="s">
        <v>159</v>
      </c>
      <c r="N2454" s="287" t="s">
        <v>159</v>
      </c>
      <c r="O2454" s="287" t="s">
        <v>159</v>
      </c>
      <c r="P2454" s="287" t="s">
        <v>159</v>
      </c>
      <c r="Q2454" s="288">
        <v>116001</v>
      </c>
      <c r="R2454" s="288">
        <v>117960</v>
      </c>
      <c r="S2454" s="288">
        <v>-1792.8</v>
      </c>
      <c r="T2454" s="288">
        <v>205.77</v>
      </c>
      <c r="U2454" s="288">
        <v>0</v>
      </c>
      <c r="V2454" s="289">
        <v>118165.77</v>
      </c>
      <c r="W2454" s="289">
        <v>0</v>
      </c>
      <c r="X2454" s="288" t="s">
        <v>159</v>
      </c>
      <c r="Y2454" s="288" t="s">
        <v>159</v>
      </c>
      <c r="Z2454" s="288" t="s">
        <v>159</v>
      </c>
      <c r="AA2454" s="288" t="s">
        <v>159</v>
      </c>
      <c r="AB2454" s="288" t="s">
        <v>159</v>
      </c>
      <c r="AC2454" s="289">
        <v>0</v>
      </c>
      <c r="AD2454" s="289">
        <v>0</v>
      </c>
    </row>
    <row r="2455" spans="1:30" ht="15" customHeight="1" x14ac:dyDescent="0.25">
      <c r="A2455" s="282" t="s">
        <v>3683</v>
      </c>
      <c r="B2455" s="282" t="s">
        <v>3709</v>
      </c>
      <c r="C2455" s="282" t="s">
        <v>3709</v>
      </c>
      <c r="D2455" s="283" t="s">
        <v>3713</v>
      </c>
      <c r="E2455" s="403">
        <v>44776</v>
      </c>
      <c r="F2455" s="403">
        <v>46588</v>
      </c>
      <c r="G2455" s="283" t="s">
        <v>237</v>
      </c>
      <c r="H2455" s="282" t="s">
        <v>3714</v>
      </c>
      <c r="I2455" s="285"/>
      <c r="J2455" s="282" t="s">
        <v>184</v>
      </c>
      <c r="K2455" s="283" t="s">
        <v>3715</v>
      </c>
      <c r="L2455" s="286" t="s">
        <v>2283</v>
      </c>
      <c r="M2455" s="287" t="s">
        <v>159</v>
      </c>
      <c r="N2455" s="287" t="s">
        <v>159</v>
      </c>
      <c r="O2455" s="287" t="s">
        <v>159</v>
      </c>
      <c r="P2455" s="287" t="s">
        <v>159</v>
      </c>
      <c r="Q2455" s="288">
        <v>34615</v>
      </c>
      <c r="R2455" s="288">
        <v>34905</v>
      </c>
      <c r="S2455" s="288">
        <v>-424.91200000000003</v>
      </c>
      <c r="T2455" s="288">
        <v>156.64200000000002</v>
      </c>
      <c r="U2455" s="288">
        <v>0</v>
      </c>
      <c r="V2455" s="289">
        <v>35061.642</v>
      </c>
      <c r="W2455" s="289">
        <v>0</v>
      </c>
      <c r="X2455" s="288" t="s">
        <v>159</v>
      </c>
      <c r="Y2455" s="288" t="s">
        <v>159</v>
      </c>
      <c r="Z2455" s="288" t="s">
        <v>159</v>
      </c>
      <c r="AA2455" s="288" t="s">
        <v>159</v>
      </c>
      <c r="AB2455" s="288" t="s">
        <v>159</v>
      </c>
      <c r="AC2455" s="289">
        <v>0</v>
      </c>
      <c r="AD2455" s="289">
        <v>0</v>
      </c>
    </row>
    <row r="2456" spans="1:30" ht="15" customHeight="1" x14ac:dyDescent="0.25">
      <c r="A2456" s="282" t="s">
        <v>3683</v>
      </c>
      <c r="B2456" s="282" t="s">
        <v>3709</v>
      </c>
      <c r="C2456" s="282" t="s">
        <v>3709</v>
      </c>
      <c r="D2456" s="283" t="s">
        <v>3716</v>
      </c>
      <c r="E2456" s="403">
        <v>45268</v>
      </c>
      <c r="F2456" s="403">
        <v>47095</v>
      </c>
      <c r="G2456" s="283" t="s">
        <v>237</v>
      </c>
      <c r="H2456" s="282" t="s">
        <v>3717</v>
      </c>
      <c r="I2456" s="285"/>
      <c r="J2456" s="282" t="s">
        <v>184</v>
      </c>
      <c r="K2456" s="283" t="s">
        <v>3718</v>
      </c>
      <c r="L2456" s="286" t="s">
        <v>2283</v>
      </c>
      <c r="M2456" s="287" t="s">
        <v>159</v>
      </c>
      <c r="N2456" s="287" t="s">
        <v>159</v>
      </c>
      <c r="O2456" s="287" t="s">
        <v>159</v>
      </c>
      <c r="P2456" s="287" t="s">
        <v>159</v>
      </c>
      <c r="Q2456" s="288">
        <v>20100</v>
      </c>
      <c r="R2456" s="288">
        <v>20300</v>
      </c>
      <c r="S2456" s="288">
        <v>-257</v>
      </c>
      <c r="T2456" s="288">
        <v>19.100000000000001</v>
      </c>
      <c r="U2456" s="288">
        <v>0</v>
      </c>
      <c r="V2456" s="289">
        <v>20319.099999999999</v>
      </c>
      <c r="W2456" s="289">
        <v>0</v>
      </c>
      <c r="X2456" s="288" t="s">
        <v>159</v>
      </c>
      <c r="Y2456" s="288" t="s">
        <v>159</v>
      </c>
      <c r="Z2456" s="288" t="s">
        <v>159</v>
      </c>
      <c r="AA2456" s="288" t="s">
        <v>159</v>
      </c>
      <c r="AB2456" s="288" t="s">
        <v>159</v>
      </c>
      <c r="AC2456" s="289">
        <v>0</v>
      </c>
      <c r="AD2456" s="289">
        <v>0</v>
      </c>
    </row>
    <row r="2457" spans="1:30" ht="15" customHeight="1" x14ac:dyDescent="0.25">
      <c r="A2457" s="282" t="s">
        <v>3683</v>
      </c>
      <c r="B2457" s="282" t="s">
        <v>3709</v>
      </c>
      <c r="C2457" s="282" t="s">
        <v>3709</v>
      </c>
      <c r="D2457" s="283" t="s">
        <v>3719</v>
      </c>
      <c r="E2457" s="403">
        <v>44776</v>
      </c>
      <c r="F2457" s="403">
        <v>46598</v>
      </c>
      <c r="G2457" s="283" t="s">
        <v>237</v>
      </c>
      <c r="H2457" s="282" t="s">
        <v>3720</v>
      </c>
      <c r="I2457" s="285"/>
      <c r="J2457" s="282" t="s">
        <v>184</v>
      </c>
      <c r="K2457" s="283" t="s">
        <v>3721</v>
      </c>
      <c r="L2457" s="286" t="s">
        <v>2283</v>
      </c>
      <c r="M2457" s="287" t="s">
        <v>159</v>
      </c>
      <c r="N2457" s="287" t="s">
        <v>159</v>
      </c>
      <c r="O2457" s="287" t="s">
        <v>159</v>
      </c>
      <c r="P2457" s="287" t="s">
        <v>159</v>
      </c>
      <c r="Q2457" s="288">
        <v>37384</v>
      </c>
      <c r="R2457" s="288">
        <v>37614</v>
      </c>
      <c r="S2457" s="288">
        <v>-457.92500000000001</v>
      </c>
      <c r="T2457" s="288">
        <v>150.63300000000001</v>
      </c>
      <c r="U2457" s="288">
        <v>0</v>
      </c>
      <c r="V2457" s="289">
        <v>37764.633000000002</v>
      </c>
      <c r="W2457" s="289">
        <v>0</v>
      </c>
      <c r="X2457" s="288" t="s">
        <v>159</v>
      </c>
      <c r="Y2457" s="288" t="s">
        <v>159</v>
      </c>
      <c r="Z2457" s="288" t="s">
        <v>159</v>
      </c>
      <c r="AA2457" s="288" t="s">
        <v>159</v>
      </c>
      <c r="AB2457" s="288" t="s">
        <v>159</v>
      </c>
      <c r="AC2457" s="289">
        <v>0</v>
      </c>
      <c r="AD2457" s="289">
        <v>0</v>
      </c>
    </row>
    <row r="2458" spans="1:30" ht="15" customHeight="1" x14ac:dyDescent="0.25">
      <c r="A2458" s="282" t="s">
        <v>3683</v>
      </c>
      <c r="B2458" s="282" t="s">
        <v>3684</v>
      </c>
      <c r="C2458" s="282" t="s">
        <v>260</v>
      </c>
      <c r="D2458" s="283" t="s">
        <v>3722</v>
      </c>
      <c r="E2458" s="403">
        <v>44462</v>
      </c>
      <c r="F2458" s="403">
        <v>46287</v>
      </c>
      <c r="G2458" s="283" t="s">
        <v>237</v>
      </c>
      <c r="H2458" s="282" t="s">
        <v>3723</v>
      </c>
      <c r="I2458" s="285"/>
      <c r="J2458" s="282" t="s">
        <v>184</v>
      </c>
      <c r="K2458" s="283" t="s">
        <v>3724</v>
      </c>
      <c r="L2458" s="286" t="s">
        <v>2283</v>
      </c>
      <c r="M2458" s="287" t="s">
        <v>159</v>
      </c>
      <c r="N2458" s="287" t="s">
        <v>159</v>
      </c>
      <c r="O2458" s="287" t="s">
        <v>159</v>
      </c>
      <c r="P2458" s="287" t="s">
        <v>159</v>
      </c>
      <c r="Q2458" s="288">
        <v>18333.065999999999</v>
      </c>
      <c r="R2458" s="288">
        <v>18333.065999999999</v>
      </c>
      <c r="S2458" s="288">
        <v>70.254450000000006</v>
      </c>
      <c r="T2458" s="288">
        <v>37.669767</v>
      </c>
      <c r="U2458" s="288">
        <v>0</v>
      </c>
      <c r="V2458" s="289">
        <v>18440.990216999999</v>
      </c>
      <c r="W2458" s="289">
        <v>0</v>
      </c>
      <c r="X2458" s="288" t="s">
        <v>159</v>
      </c>
      <c r="Y2458" s="288" t="s">
        <v>159</v>
      </c>
      <c r="Z2458" s="288" t="s">
        <v>159</v>
      </c>
      <c r="AA2458" s="288" t="s">
        <v>159</v>
      </c>
      <c r="AB2458" s="288" t="s">
        <v>159</v>
      </c>
      <c r="AC2458" s="289">
        <v>0</v>
      </c>
      <c r="AD2458" s="289">
        <v>0</v>
      </c>
    </row>
    <row r="2459" spans="1:30" ht="15" customHeight="1" x14ac:dyDescent="0.25">
      <c r="A2459" s="282" t="s">
        <v>3683</v>
      </c>
      <c r="B2459" s="282" t="s">
        <v>3709</v>
      </c>
      <c r="C2459" s="282" t="s">
        <v>3709</v>
      </c>
      <c r="D2459" s="283" t="s">
        <v>3725</v>
      </c>
      <c r="E2459" s="403">
        <v>45183</v>
      </c>
      <c r="F2459" s="403">
        <v>47009</v>
      </c>
      <c r="G2459" s="283" t="s">
        <v>237</v>
      </c>
      <c r="H2459" s="282" t="s">
        <v>3726</v>
      </c>
      <c r="I2459" s="285"/>
      <c r="J2459" s="282" t="s">
        <v>184</v>
      </c>
      <c r="K2459" s="283" t="s">
        <v>3727</v>
      </c>
      <c r="L2459" s="286" t="s">
        <v>2283</v>
      </c>
      <c r="M2459" s="287" t="s">
        <v>159</v>
      </c>
      <c r="N2459" s="287" t="s">
        <v>159</v>
      </c>
      <c r="O2459" s="287" t="s">
        <v>159</v>
      </c>
      <c r="P2459" s="287" t="s">
        <v>159</v>
      </c>
      <c r="Q2459" s="288">
        <v>41057</v>
      </c>
      <c r="R2459" s="288">
        <v>41107</v>
      </c>
      <c r="S2459" s="288">
        <v>-154</v>
      </c>
      <c r="T2459" s="288">
        <v>132.17000000000002</v>
      </c>
      <c r="U2459" s="288">
        <v>0</v>
      </c>
      <c r="V2459" s="289">
        <v>41239.17</v>
      </c>
      <c r="W2459" s="289">
        <v>0</v>
      </c>
      <c r="X2459" s="288" t="s">
        <v>159</v>
      </c>
      <c r="Y2459" s="288" t="s">
        <v>159</v>
      </c>
      <c r="Z2459" s="288" t="s">
        <v>159</v>
      </c>
      <c r="AA2459" s="288" t="s">
        <v>159</v>
      </c>
      <c r="AB2459" s="288" t="s">
        <v>159</v>
      </c>
      <c r="AC2459" s="289">
        <v>0</v>
      </c>
      <c r="AD2459" s="289">
        <v>0</v>
      </c>
    </row>
    <row r="2460" spans="1:30" ht="15" customHeight="1" x14ac:dyDescent="0.25">
      <c r="A2460" s="282" t="s">
        <v>3683</v>
      </c>
      <c r="B2460" s="282" t="s">
        <v>3684</v>
      </c>
      <c r="C2460" s="282" t="s">
        <v>3728</v>
      </c>
      <c r="D2460" s="283" t="s">
        <v>3729</v>
      </c>
      <c r="E2460" s="403">
        <v>45216</v>
      </c>
      <c r="F2460" s="403">
        <v>47043</v>
      </c>
      <c r="G2460" s="283" t="s">
        <v>182</v>
      </c>
      <c r="H2460" s="282" t="s">
        <v>3730</v>
      </c>
      <c r="I2460" s="285"/>
      <c r="J2460" s="282" t="s">
        <v>184</v>
      </c>
      <c r="K2460" s="283" t="s">
        <v>3731</v>
      </c>
      <c r="L2460" s="286" t="s">
        <v>2283</v>
      </c>
      <c r="M2460" s="287" t="s">
        <v>159</v>
      </c>
      <c r="N2460" s="287" t="s">
        <v>159</v>
      </c>
      <c r="O2460" s="287" t="s">
        <v>159</v>
      </c>
      <c r="P2460" s="287">
        <v>63730</v>
      </c>
      <c r="Q2460" s="288">
        <v>139806.1</v>
      </c>
      <c r="R2460" s="288">
        <v>139806.1</v>
      </c>
      <c r="S2460" s="288">
        <v>-657.95344999999998</v>
      </c>
      <c r="T2460" s="288">
        <v>426.62479999999999</v>
      </c>
      <c r="U2460" s="288">
        <v>0</v>
      </c>
      <c r="V2460" s="289">
        <v>140232.7248</v>
      </c>
      <c r="W2460" s="289">
        <v>0</v>
      </c>
      <c r="X2460" s="288">
        <v>2.1937250902243841</v>
      </c>
      <c r="Y2460" s="288">
        <v>2.1937250902243841</v>
      </c>
      <c r="Z2460" s="288">
        <v>-1.0324077357602384E-2</v>
      </c>
      <c r="AA2460" s="288">
        <v>6.6942538835713166E-3</v>
      </c>
      <c r="AB2460" s="288">
        <v>0</v>
      </c>
      <c r="AC2460" s="289">
        <v>2.2004193441079556</v>
      </c>
      <c r="AD2460" s="289">
        <v>0</v>
      </c>
    </row>
    <row r="2461" spans="1:30" ht="15" customHeight="1" x14ac:dyDescent="0.25">
      <c r="A2461" s="282" t="s">
        <v>3683</v>
      </c>
      <c r="B2461" s="282" t="s">
        <v>3684</v>
      </c>
      <c r="C2461" s="282" t="s">
        <v>260</v>
      </c>
      <c r="D2461" s="283" t="s">
        <v>3732</v>
      </c>
      <c r="E2461" s="403">
        <v>44462</v>
      </c>
      <c r="F2461" s="403">
        <v>46287</v>
      </c>
      <c r="G2461" s="283" t="s">
        <v>237</v>
      </c>
      <c r="H2461" s="282" t="s">
        <v>3723</v>
      </c>
      <c r="I2461" s="285"/>
      <c r="J2461" s="282" t="s">
        <v>184</v>
      </c>
      <c r="K2461" s="283" t="s">
        <v>3724</v>
      </c>
      <c r="L2461" s="286" t="s">
        <v>2283</v>
      </c>
      <c r="M2461" s="287" t="s">
        <v>159</v>
      </c>
      <c r="N2461" s="287" t="s">
        <v>159</v>
      </c>
      <c r="O2461" s="287" t="s">
        <v>159</v>
      </c>
      <c r="P2461" s="287" t="s">
        <v>159</v>
      </c>
      <c r="Q2461" s="288">
        <v>39983.705999999998</v>
      </c>
      <c r="R2461" s="288">
        <v>39211.074000000001</v>
      </c>
      <c r="S2461" s="288">
        <v>799.6741199999999</v>
      </c>
      <c r="T2461" s="288">
        <v>67.798457999999997</v>
      </c>
      <c r="U2461" s="288">
        <v>0</v>
      </c>
      <c r="V2461" s="289">
        <v>40078.546578000001</v>
      </c>
      <c r="W2461" s="289">
        <v>0</v>
      </c>
      <c r="X2461" s="288" t="s">
        <v>159</v>
      </c>
      <c r="Y2461" s="288" t="s">
        <v>159</v>
      </c>
      <c r="Z2461" s="288" t="s">
        <v>159</v>
      </c>
      <c r="AA2461" s="288" t="s">
        <v>159</v>
      </c>
      <c r="AB2461" s="288" t="s">
        <v>159</v>
      </c>
      <c r="AC2461" s="289">
        <v>0</v>
      </c>
      <c r="AD2461" s="289">
        <v>0</v>
      </c>
    </row>
    <row r="2462" spans="1:30" ht="15" customHeight="1" x14ac:dyDescent="0.25">
      <c r="A2462" s="282" t="s">
        <v>3683</v>
      </c>
      <c r="B2462" s="282" t="s">
        <v>3684</v>
      </c>
      <c r="C2462" s="282" t="s">
        <v>3689</v>
      </c>
      <c r="D2462" s="283" t="s">
        <v>3733</v>
      </c>
      <c r="E2462" s="403">
        <v>44770</v>
      </c>
      <c r="F2462" s="403">
        <v>46595</v>
      </c>
      <c r="G2462" s="283" t="s">
        <v>237</v>
      </c>
      <c r="H2462" s="282" t="s">
        <v>3734</v>
      </c>
      <c r="I2462" s="285"/>
      <c r="J2462" s="282" t="s">
        <v>184</v>
      </c>
      <c r="K2462" s="283" t="s">
        <v>3735</v>
      </c>
      <c r="L2462" s="286" t="s">
        <v>2283</v>
      </c>
      <c r="M2462" s="287" t="s">
        <v>159</v>
      </c>
      <c r="N2462" s="287" t="s">
        <v>159</v>
      </c>
      <c r="O2462" s="287" t="s">
        <v>159</v>
      </c>
      <c r="P2462" s="287">
        <v>12304</v>
      </c>
      <c r="Q2462" s="288">
        <v>61749.24</v>
      </c>
      <c r="R2462" s="288">
        <v>61396.790000000008</v>
      </c>
      <c r="S2462" s="288">
        <v>350.33530000000002</v>
      </c>
      <c r="T2462" s="288">
        <v>52.303580000000004</v>
      </c>
      <c r="U2462" s="288">
        <v>0</v>
      </c>
      <c r="V2462" s="289">
        <v>61799.428880000007</v>
      </c>
      <c r="W2462" s="289">
        <v>0</v>
      </c>
      <c r="X2462" s="288">
        <v>5.0186313394018205</v>
      </c>
      <c r="Y2462" s="288">
        <v>4.9899861833550068</v>
      </c>
      <c r="Z2462" s="288">
        <v>2.847328511053316E-2</v>
      </c>
      <c r="AA2462" s="288">
        <v>4.2509411573472041E-3</v>
      </c>
      <c r="AB2462" s="288">
        <v>0</v>
      </c>
      <c r="AC2462" s="289">
        <v>5.0227104096228876</v>
      </c>
      <c r="AD2462" s="289">
        <v>0</v>
      </c>
    </row>
    <row r="2463" spans="1:30" ht="15" customHeight="1" x14ac:dyDescent="0.25">
      <c r="A2463" s="282" t="s">
        <v>3683</v>
      </c>
      <c r="B2463" s="282" t="s">
        <v>3684</v>
      </c>
      <c r="C2463" s="282" t="s">
        <v>3728</v>
      </c>
      <c r="D2463" s="283" t="s">
        <v>3736</v>
      </c>
      <c r="E2463" s="403">
        <v>44770</v>
      </c>
      <c r="F2463" s="403">
        <v>46595</v>
      </c>
      <c r="G2463" s="283" t="s">
        <v>237</v>
      </c>
      <c r="H2463" s="282" t="s">
        <v>3737</v>
      </c>
      <c r="I2463" s="285"/>
      <c r="J2463" s="282" t="s">
        <v>184</v>
      </c>
      <c r="K2463" s="283" t="s">
        <v>3738</v>
      </c>
      <c r="L2463" s="286" t="s">
        <v>2283</v>
      </c>
      <c r="M2463" s="287" t="s">
        <v>159</v>
      </c>
      <c r="N2463" s="287" t="s">
        <v>159</v>
      </c>
      <c r="O2463" s="287" t="s">
        <v>159</v>
      </c>
      <c r="P2463" s="287">
        <v>46348</v>
      </c>
      <c r="Q2463" s="288">
        <v>259393.2</v>
      </c>
      <c r="R2463" s="288">
        <v>257974.19999999998</v>
      </c>
      <c r="S2463" s="288">
        <v>1220.3399999999999</v>
      </c>
      <c r="T2463" s="288">
        <v>214.55279999999999</v>
      </c>
      <c r="U2463" s="288">
        <v>0</v>
      </c>
      <c r="V2463" s="289">
        <v>259409.09279999998</v>
      </c>
      <c r="W2463" s="289">
        <v>0</v>
      </c>
      <c r="X2463" s="288">
        <v>5.596642789332873</v>
      </c>
      <c r="Y2463" s="288">
        <v>5.5660265815137651</v>
      </c>
      <c r="Z2463" s="288">
        <v>2.6329938724432553E-2</v>
      </c>
      <c r="AA2463" s="288">
        <v>4.6291706222490719E-3</v>
      </c>
      <c r="AB2463" s="288">
        <v>0</v>
      </c>
      <c r="AC2463" s="289">
        <v>5.5969856908604472</v>
      </c>
      <c r="AD2463" s="289">
        <v>0</v>
      </c>
    </row>
    <row r="2464" spans="1:30" ht="15" customHeight="1" x14ac:dyDescent="0.25">
      <c r="A2464" s="282" t="s">
        <v>3739</v>
      </c>
      <c r="B2464" s="282"/>
      <c r="C2464" s="282" t="s">
        <v>260</v>
      </c>
      <c r="D2464" s="283" t="s">
        <v>3740</v>
      </c>
      <c r="E2464" s="403">
        <v>45215</v>
      </c>
      <c r="F2464" s="403">
        <v>47041</v>
      </c>
      <c r="G2464" s="283" t="s">
        <v>237</v>
      </c>
      <c r="H2464" s="282" t="s">
        <v>3741</v>
      </c>
      <c r="I2464" s="285"/>
      <c r="J2464" s="282" t="s">
        <v>184</v>
      </c>
      <c r="K2464" s="283" t="s">
        <v>3742</v>
      </c>
      <c r="L2464" s="286" t="s">
        <v>321</v>
      </c>
      <c r="M2464" s="287" t="s">
        <v>159</v>
      </c>
      <c r="N2464" s="287">
        <v>0.184</v>
      </c>
      <c r="O2464" s="287" t="s">
        <v>159</v>
      </c>
      <c r="P2464" s="287" t="s">
        <v>159</v>
      </c>
      <c r="Q2464" s="288">
        <v>0.35399999999999998</v>
      </c>
      <c r="R2464" s="288">
        <v>0.41699999999999998</v>
      </c>
      <c r="S2464" s="288">
        <v>-6.4699999999999994E-2</v>
      </c>
      <c r="T2464" s="288">
        <v>2.1900000000000001E-4</v>
      </c>
      <c r="U2464" s="288">
        <v>0</v>
      </c>
      <c r="V2464" s="289">
        <v>0.41721900000000001</v>
      </c>
      <c r="W2464" s="289">
        <v>0</v>
      </c>
      <c r="X2464" s="288">
        <v>1.9239130434782608</v>
      </c>
      <c r="Y2464" s="288">
        <v>2.2663043478260869</v>
      </c>
      <c r="Z2464" s="288">
        <v>-0.35163043478260869</v>
      </c>
      <c r="AA2464" s="288">
        <v>1.190217391304348E-3</v>
      </c>
      <c r="AB2464" s="288">
        <v>0</v>
      </c>
      <c r="AC2464" s="289">
        <v>2.2674945652173912</v>
      </c>
      <c r="AD2464" s="289">
        <v>0</v>
      </c>
    </row>
    <row r="2465" spans="1:30" ht="15" customHeight="1" x14ac:dyDescent="0.25">
      <c r="A2465" s="282" t="s">
        <v>3739</v>
      </c>
      <c r="B2465" s="282"/>
      <c r="C2465" s="282" t="s">
        <v>260</v>
      </c>
      <c r="D2465" s="283" t="s">
        <v>3743</v>
      </c>
      <c r="E2465" s="403">
        <v>45215</v>
      </c>
      <c r="F2465" s="403">
        <v>47041</v>
      </c>
      <c r="G2465" s="283" t="s">
        <v>237</v>
      </c>
      <c r="H2465" s="282" t="s">
        <v>3744</v>
      </c>
      <c r="I2465" s="285"/>
      <c r="J2465" s="282" t="s">
        <v>184</v>
      </c>
      <c r="K2465" s="283" t="s">
        <v>3745</v>
      </c>
      <c r="L2465" s="286" t="s">
        <v>321</v>
      </c>
      <c r="M2465" s="287" t="s">
        <v>159</v>
      </c>
      <c r="N2465" s="287">
        <v>0.24399999999999999</v>
      </c>
      <c r="O2465" s="287" t="s">
        <v>159</v>
      </c>
      <c r="P2465" s="287" t="s">
        <v>159</v>
      </c>
      <c r="Q2465" s="288">
        <v>0.44700000000000001</v>
      </c>
      <c r="R2465" s="288">
        <v>0.499</v>
      </c>
      <c r="S2465" s="288">
        <v>-5.5E-2</v>
      </c>
      <c r="T2465" s="288">
        <v>1.7799999999999999E-4</v>
      </c>
      <c r="U2465" s="288">
        <v>0</v>
      </c>
      <c r="V2465" s="289">
        <v>0.49917800000000001</v>
      </c>
      <c r="W2465" s="289">
        <v>0</v>
      </c>
      <c r="X2465" s="288">
        <v>1.8319672131147542</v>
      </c>
      <c r="Y2465" s="288">
        <v>2.0450819672131146</v>
      </c>
      <c r="Z2465" s="288">
        <v>-0.22540983606557377</v>
      </c>
      <c r="AA2465" s="288">
        <v>7.2950819672131146E-4</v>
      </c>
      <c r="AB2465" s="288">
        <v>0</v>
      </c>
      <c r="AC2465" s="289">
        <v>2.045811475409836</v>
      </c>
      <c r="AD2465" s="289">
        <v>0</v>
      </c>
    </row>
    <row r="2466" spans="1:30" ht="15" customHeight="1" x14ac:dyDescent="0.25">
      <c r="A2466" s="282" t="s">
        <v>3739</v>
      </c>
      <c r="B2466" s="282"/>
      <c r="C2466" s="282" t="s">
        <v>260</v>
      </c>
      <c r="D2466" s="283" t="s">
        <v>3746</v>
      </c>
      <c r="E2466" s="403">
        <v>45126</v>
      </c>
      <c r="F2466" s="403">
        <v>46952</v>
      </c>
      <c r="G2466" s="283" t="s">
        <v>237</v>
      </c>
      <c r="H2466" s="282" t="s">
        <v>3747</v>
      </c>
      <c r="I2466" s="285"/>
      <c r="J2466" s="282" t="s">
        <v>184</v>
      </c>
      <c r="K2466" s="283" t="s">
        <v>3748</v>
      </c>
      <c r="L2466" s="286" t="s">
        <v>321</v>
      </c>
      <c r="M2466" s="287" t="s">
        <v>159</v>
      </c>
      <c r="N2466" s="287">
        <v>0.253</v>
      </c>
      <c r="O2466" s="287" t="s">
        <v>159</v>
      </c>
      <c r="P2466" s="287" t="s">
        <v>159</v>
      </c>
      <c r="Q2466" s="288">
        <v>0.55300000000000005</v>
      </c>
      <c r="R2466" s="288">
        <v>0.60899999999999999</v>
      </c>
      <c r="S2466" s="288">
        <v>-5.9299999999999999E-2</v>
      </c>
      <c r="T2466" s="288">
        <v>3.3199999999999999E-4</v>
      </c>
      <c r="U2466" s="288">
        <v>0</v>
      </c>
      <c r="V2466" s="289">
        <v>0.60933199999999998</v>
      </c>
      <c r="W2466" s="289">
        <v>0</v>
      </c>
      <c r="X2466" s="288">
        <v>2.1857707509881426</v>
      </c>
      <c r="Y2466" s="288">
        <v>2.4071146245059287</v>
      </c>
      <c r="Z2466" s="288">
        <v>-0.23438735177865611</v>
      </c>
      <c r="AA2466" s="288">
        <v>1.3122529644268774E-3</v>
      </c>
      <c r="AB2466" s="288">
        <v>0</v>
      </c>
      <c r="AC2466" s="289">
        <v>2.4084268774703554</v>
      </c>
      <c r="AD2466" s="289">
        <v>0</v>
      </c>
    </row>
    <row r="2467" spans="1:30" ht="15" customHeight="1" x14ac:dyDescent="0.25">
      <c r="A2467" s="282" t="s">
        <v>3739</v>
      </c>
      <c r="B2467" s="282"/>
      <c r="C2467" s="282" t="s">
        <v>260</v>
      </c>
      <c r="D2467" s="283" t="s">
        <v>3749</v>
      </c>
      <c r="E2467" s="403">
        <v>45215</v>
      </c>
      <c r="F2467" s="403">
        <v>47041</v>
      </c>
      <c r="G2467" s="283" t="s">
        <v>237</v>
      </c>
      <c r="H2467" s="282" t="s">
        <v>3750</v>
      </c>
      <c r="I2467" s="285"/>
      <c r="J2467" s="282" t="s">
        <v>184</v>
      </c>
      <c r="K2467" s="283" t="s">
        <v>3751</v>
      </c>
      <c r="L2467" s="286" t="s">
        <v>321</v>
      </c>
      <c r="M2467" s="287" t="s">
        <v>159</v>
      </c>
      <c r="N2467" s="287">
        <v>0.249</v>
      </c>
      <c r="O2467" s="287" t="s">
        <v>159</v>
      </c>
      <c r="P2467" s="287" t="s">
        <v>159</v>
      </c>
      <c r="Q2467" s="288">
        <v>0.48599999999999999</v>
      </c>
      <c r="R2467" s="288">
        <v>0.52800000000000002</v>
      </c>
      <c r="S2467" s="288">
        <v>-4.53E-2</v>
      </c>
      <c r="T2467" s="288">
        <v>1.9000000000000001E-4</v>
      </c>
      <c r="U2467" s="288">
        <v>0</v>
      </c>
      <c r="V2467" s="289">
        <v>0.52819000000000005</v>
      </c>
      <c r="W2467" s="289">
        <v>0</v>
      </c>
      <c r="X2467" s="288">
        <v>1.9518072289156627</v>
      </c>
      <c r="Y2467" s="288">
        <v>2.1204819277108435</v>
      </c>
      <c r="Z2467" s="288">
        <v>-0.1819277108433735</v>
      </c>
      <c r="AA2467" s="288">
        <v>7.6305220883534145E-4</v>
      </c>
      <c r="AB2467" s="288">
        <v>0</v>
      </c>
      <c r="AC2467" s="289">
        <v>2.1212449799196791</v>
      </c>
      <c r="AD2467" s="289">
        <v>0</v>
      </c>
    </row>
    <row r="2468" spans="1:30" ht="15" customHeight="1" x14ac:dyDescent="0.25">
      <c r="A2468" s="282" t="s">
        <v>3739</v>
      </c>
      <c r="B2468" s="282"/>
      <c r="C2468" s="282" t="s">
        <v>260</v>
      </c>
      <c r="D2468" s="283" t="s">
        <v>3752</v>
      </c>
      <c r="E2468" s="403">
        <v>45215</v>
      </c>
      <c r="F2468" s="403">
        <v>47041</v>
      </c>
      <c r="G2468" s="283" t="s">
        <v>237</v>
      </c>
      <c r="H2468" s="282" t="s">
        <v>3753</v>
      </c>
      <c r="I2468" s="285"/>
      <c r="J2468" s="282" t="s">
        <v>184</v>
      </c>
      <c r="K2468" s="283" t="s">
        <v>3754</v>
      </c>
      <c r="L2468" s="286" t="s">
        <v>321</v>
      </c>
      <c r="M2468" s="287" t="s">
        <v>159</v>
      </c>
      <c r="N2468" s="287">
        <v>0.153</v>
      </c>
      <c r="O2468" s="287" t="s">
        <v>159</v>
      </c>
      <c r="P2468" s="287" t="s">
        <v>159</v>
      </c>
      <c r="Q2468" s="288">
        <v>0.315</v>
      </c>
      <c r="R2468" s="288">
        <v>0.34200000000000003</v>
      </c>
      <c r="S2468" s="288">
        <v>-2.9000000000000001E-2</v>
      </c>
      <c r="T2468" s="288">
        <v>1.2999999999999999E-4</v>
      </c>
      <c r="U2468" s="288">
        <v>0</v>
      </c>
      <c r="V2468" s="289">
        <v>0.34213000000000005</v>
      </c>
      <c r="W2468" s="289">
        <v>0</v>
      </c>
      <c r="X2468" s="288">
        <v>2.0588235294117649</v>
      </c>
      <c r="Y2468" s="288">
        <v>2.2352941176470589</v>
      </c>
      <c r="Z2468" s="288">
        <v>-0.18954248366013074</v>
      </c>
      <c r="AA2468" s="288">
        <v>8.4967320261437906E-4</v>
      </c>
      <c r="AB2468" s="288">
        <v>0</v>
      </c>
      <c r="AC2468" s="289">
        <v>2.2361437908496731</v>
      </c>
      <c r="AD2468" s="289">
        <v>0</v>
      </c>
    </row>
    <row r="2469" spans="1:30" ht="15" customHeight="1" x14ac:dyDescent="0.25">
      <c r="A2469" s="282" t="s">
        <v>3739</v>
      </c>
      <c r="B2469" s="282"/>
      <c r="C2469" s="282" t="s">
        <v>260</v>
      </c>
      <c r="D2469" s="283" t="s">
        <v>3755</v>
      </c>
      <c r="E2469" s="403">
        <v>44419</v>
      </c>
      <c r="F2469" s="403">
        <v>46244</v>
      </c>
      <c r="G2469" s="283" t="s">
        <v>237</v>
      </c>
      <c r="H2469" s="282" t="s">
        <v>3756</v>
      </c>
      <c r="I2469" s="285"/>
      <c r="J2469" s="282" t="s">
        <v>184</v>
      </c>
      <c r="K2469" s="283" t="s">
        <v>3757</v>
      </c>
      <c r="L2469" s="286" t="s">
        <v>321</v>
      </c>
      <c r="M2469" s="287" t="s">
        <v>159</v>
      </c>
      <c r="N2469" s="287" t="s">
        <v>159</v>
      </c>
      <c r="O2469" s="287" t="s">
        <v>159</v>
      </c>
      <c r="P2469" s="287" t="s">
        <v>159</v>
      </c>
      <c r="Q2469" s="288">
        <v>2.25</v>
      </c>
      <c r="R2469" s="288">
        <v>2.27</v>
      </c>
      <c r="S2469" s="288">
        <v>-3.3300000000000003E-2</v>
      </c>
      <c r="T2469" s="288">
        <v>1.66E-2</v>
      </c>
      <c r="U2469" s="288">
        <v>0</v>
      </c>
      <c r="V2469" s="289">
        <v>2.2866</v>
      </c>
      <c r="W2469" s="289">
        <v>0</v>
      </c>
      <c r="X2469" s="288" t="s">
        <v>159</v>
      </c>
      <c r="Y2469" s="288" t="s">
        <v>159</v>
      </c>
      <c r="Z2469" s="288" t="s">
        <v>159</v>
      </c>
      <c r="AA2469" s="288" t="s">
        <v>159</v>
      </c>
      <c r="AB2469" s="288" t="s">
        <v>159</v>
      </c>
      <c r="AC2469" s="289">
        <v>0</v>
      </c>
      <c r="AD2469" s="289">
        <v>0</v>
      </c>
    </row>
    <row r="2470" spans="1:30" ht="15" customHeight="1" x14ac:dyDescent="0.25">
      <c r="A2470" s="282" t="s">
        <v>3739</v>
      </c>
      <c r="B2470" s="282"/>
      <c r="C2470" s="282" t="s">
        <v>260</v>
      </c>
      <c r="D2470" s="283" t="s">
        <v>3758</v>
      </c>
      <c r="E2470" s="403">
        <v>44419</v>
      </c>
      <c r="F2470" s="403">
        <v>46244</v>
      </c>
      <c r="G2470" s="283" t="s">
        <v>237</v>
      </c>
      <c r="H2470" s="282" t="s">
        <v>3756</v>
      </c>
      <c r="I2470" s="285"/>
      <c r="J2470" s="282" t="s">
        <v>184</v>
      </c>
      <c r="K2470" s="283" t="s">
        <v>3757</v>
      </c>
      <c r="L2470" s="286" t="s">
        <v>321</v>
      </c>
      <c r="M2470" s="287" t="s">
        <v>159</v>
      </c>
      <c r="N2470" s="287" t="s">
        <v>159</v>
      </c>
      <c r="O2470" s="287" t="s">
        <v>159</v>
      </c>
      <c r="P2470" s="287" t="s">
        <v>159</v>
      </c>
      <c r="Q2470" s="288">
        <v>2.17</v>
      </c>
      <c r="R2470" s="288">
        <v>2.1800000000000002</v>
      </c>
      <c r="S2470" s="288">
        <v>-2.9899999999999999E-2</v>
      </c>
      <c r="T2470" s="288">
        <v>1.66E-2</v>
      </c>
      <c r="U2470" s="288">
        <v>0</v>
      </c>
      <c r="V2470" s="289">
        <v>2.1966000000000001</v>
      </c>
      <c r="W2470" s="289">
        <v>0</v>
      </c>
      <c r="X2470" s="288" t="s">
        <v>159</v>
      </c>
      <c r="Y2470" s="288" t="s">
        <v>159</v>
      </c>
      <c r="Z2470" s="288" t="s">
        <v>159</v>
      </c>
      <c r="AA2470" s="288" t="s">
        <v>159</v>
      </c>
      <c r="AB2470" s="288" t="s">
        <v>159</v>
      </c>
      <c r="AC2470" s="289">
        <v>0</v>
      </c>
      <c r="AD2470" s="289">
        <v>0</v>
      </c>
    </row>
    <row r="2471" spans="1:30" ht="15" customHeight="1" x14ac:dyDescent="0.25">
      <c r="A2471" s="282" t="s">
        <v>3739</v>
      </c>
      <c r="B2471" s="282"/>
      <c r="C2471" s="282" t="s">
        <v>260</v>
      </c>
      <c r="D2471" s="283" t="s">
        <v>3759</v>
      </c>
      <c r="E2471" s="403">
        <v>45216</v>
      </c>
      <c r="F2471" s="403">
        <v>46989</v>
      </c>
      <c r="G2471" s="283" t="s">
        <v>237</v>
      </c>
      <c r="H2471" s="282" t="s">
        <v>3760</v>
      </c>
      <c r="I2471" s="285"/>
      <c r="J2471" s="282" t="s">
        <v>184</v>
      </c>
      <c r="K2471" s="283" t="s">
        <v>3761</v>
      </c>
      <c r="L2471" s="286" t="s">
        <v>321</v>
      </c>
      <c r="M2471" s="287" t="s">
        <v>159</v>
      </c>
      <c r="N2471" s="287">
        <v>1.86</v>
      </c>
      <c r="O2471" s="287" t="s">
        <v>159</v>
      </c>
      <c r="P2471" s="287" t="s">
        <v>159</v>
      </c>
      <c r="Q2471" s="288">
        <v>5.26</v>
      </c>
      <c r="R2471" s="288">
        <v>5.28</v>
      </c>
      <c r="S2471" s="288">
        <v>-4.1599999999999998E-2</v>
      </c>
      <c r="T2471" s="288">
        <v>3.15E-2</v>
      </c>
      <c r="U2471" s="288">
        <v>0</v>
      </c>
      <c r="V2471" s="289">
        <v>5.3115000000000006</v>
      </c>
      <c r="W2471" s="289">
        <v>0</v>
      </c>
      <c r="X2471" s="288">
        <v>2.8279569892473115</v>
      </c>
      <c r="Y2471" s="288">
        <v>2.838709677419355</v>
      </c>
      <c r="Z2471" s="288">
        <v>-2.2365591397849459E-2</v>
      </c>
      <c r="AA2471" s="288">
        <v>1.693548387096774E-2</v>
      </c>
      <c r="AB2471" s="288">
        <v>0</v>
      </c>
      <c r="AC2471" s="289">
        <v>2.8556451612903229</v>
      </c>
      <c r="AD2471" s="289">
        <v>0</v>
      </c>
    </row>
    <row r="2472" spans="1:30" ht="15" customHeight="1" x14ac:dyDescent="0.25">
      <c r="A2472" s="282" t="s">
        <v>3739</v>
      </c>
      <c r="B2472" s="282"/>
      <c r="C2472" s="282" t="s">
        <v>260</v>
      </c>
      <c r="D2472" s="283" t="s">
        <v>3762</v>
      </c>
      <c r="E2472" s="403">
        <v>45216</v>
      </c>
      <c r="F2472" s="403">
        <v>46989</v>
      </c>
      <c r="G2472" s="283" t="s">
        <v>237</v>
      </c>
      <c r="H2472" s="282" t="s">
        <v>3760</v>
      </c>
      <c r="I2472" s="285"/>
      <c r="J2472" s="282" t="s">
        <v>184</v>
      </c>
      <c r="K2472" s="283" t="s">
        <v>3761</v>
      </c>
      <c r="L2472" s="286" t="s">
        <v>321</v>
      </c>
      <c r="M2472" s="287" t="s">
        <v>159</v>
      </c>
      <c r="N2472" s="287">
        <v>1.86</v>
      </c>
      <c r="O2472" s="287" t="s">
        <v>159</v>
      </c>
      <c r="P2472" s="287" t="s">
        <v>159</v>
      </c>
      <c r="Q2472" s="288">
        <v>5.26</v>
      </c>
      <c r="R2472" s="288">
        <v>5.28</v>
      </c>
      <c r="S2472" s="288">
        <v>-4.1599999999999998E-2</v>
      </c>
      <c r="T2472" s="288">
        <v>3.15E-2</v>
      </c>
      <c r="U2472" s="288">
        <v>0</v>
      </c>
      <c r="V2472" s="289">
        <v>5.3115000000000006</v>
      </c>
      <c r="W2472" s="289">
        <v>0</v>
      </c>
      <c r="X2472" s="288">
        <v>2.8279569892473115</v>
      </c>
      <c r="Y2472" s="288">
        <v>2.838709677419355</v>
      </c>
      <c r="Z2472" s="288">
        <v>-2.2365591397849459E-2</v>
      </c>
      <c r="AA2472" s="288">
        <v>1.693548387096774E-2</v>
      </c>
      <c r="AB2472" s="288">
        <v>0</v>
      </c>
      <c r="AC2472" s="289">
        <v>2.8556451612903229</v>
      </c>
      <c r="AD2472" s="289">
        <v>0</v>
      </c>
    </row>
    <row r="2473" spans="1:30" ht="15" customHeight="1" x14ac:dyDescent="0.25">
      <c r="A2473" s="282" t="s">
        <v>3739</v>
      </c>
      <c r="B2473" s="282"/>
      <c r="C2473" s="282" t="s">
        <v>260</v>
      </c>
      <c r="D2473" s="283" t="s">
        <v>3763</v>
      </c>
      <c r="E2473" s="403">
        <v>45216</v>
      </c>
      <c r="F2473" s="403">
        <v>46989</v>
      </c>
      <c r="G2473" s="283" t="s">
        <v>237</v>
      </c>
      <c r="H2473" s="282" t="s">
        <v>3760</v>
      </c>
      <c r="I2473" s="285"/>
      <c r="J2473" s="282" t="s">
        <v>184</v>
      </c>
      <c r="K2473" s="283" t="s">
        <v>3761</v>
      </c>
      <c r="L2473" s="286" t="s">
        <v>321</v>
      </c>
      <c r="M2473" s="287" t="s">
        <v>159</v>
      </c>
      <c r="N2473" s="287">
        <v>1.86</v>
      </c>
      <c r="O2473" s="287" t="s">
        <v>159</v>
      </c>
      <c r="P2473" s="287" t="s">
        <v>159</v>
      </c>
      <c r="Q2473" s="288">
        <v>5.26</v>
      </c>
      <c r="R2473" s="288">
        <v>5.28</v>
      </c>
      <c r="S2473" s="288">
        <v>-4.1599999999999998E-2</v>
      </c>
      <c r="T2473" s="288">
        <v>3.15E-2</v>
      </c>
      <c r="U2473" s="288">
        <v>0</v>
      </c>
      <c r="V2473" s="289">
        <v>5.3115000000000006</v>
      </c>
      <c r="W2473" s="289">
        <v>0</v>
      </c>
      <c r="X2473" s="288">
        <v>2.8279569892473115</v>
      </c>
      <c r="Y2473" s="288">
        <v>2.838709677419355</v>
      </c>
      <c r="Z2473" s="288">
        <v>-2.2365591397849459E-2</v>
      </c>
      <c r="AA2473" s="288">
        <v>1.693548387096774E-2</v>
      </c>
      <c r="AB2473" s="288">
        <v>0</v>
      </c>
      <c r="AC2473" s="289">
        <v>2.8556451612903229</v>
      </c>
      <c r="AD2473" s="289">
        <v>0</v>
      </c>
    </row>
    <row r="2474" spans="1:30" ht="15" customHeight="1" x14ac:dyDescent="0.25">
      <c r="A2474" s="282" t="s">
        <v>3739</v>
      </c>
      <c r="B2474" s="282"/>
      <c r="C2474" s="282" t="s">
        <v>260</v>
      </c>
      <c r="D2474" s="283" t="s">
        <v>3764</v>
      </c>
      <c r="E2474" s="403">
        <v>45216</v>
      </c>
      <c r="F2474" s="403">
        <v>46989</v>
      </c>
      <c r="G2474" s="283" t="s">
        <v>237</v>
      </c>
      <c r="H2474" s="282" t="s">
        <v>3765</v>
      </c>
      <c r="I2474" s="285"/>
      <c r="J2474" s="282" t="s">
        <v>184</v>
      </c>
      <c r="K2474" s="283" t="s">
        <v>3766</v>
      </c>
      <c r="L2474" s="286" t="s">
        <v>321</v>
      </c>
      <c r="M2474" s="287" t="s">
        <v>159</v>
      </c>
      <c r="N2474" s="287">
        <v>1.89</v>
      </c>
      <c r="O2474" s="287" t="s">
        <v>159</v>
      </c>
      <c r="P2474" s="287" t="s">
        <v>159</v>
      </c>
      <c r="Q2474" s="288">
        <v>5.52</v>
      </c>
      <c r="R2474" s="288">
        <v>5.54</v>
      </c>
      <c r="S2474" s="288">
        <v>-4.0599999999999997E-2</v>
      </c>
      <c r="T2474" s="288">
        <v>2.9600000000000001E-2</v>
      </c>
      <c r="U2474" s="288">
        <v>0</v>
      </c>
      <c r="V2474" s="289">
        <v>5.5696000000000003</v>
      </c>
      <c r="W2474" s="289">
        <v>0</v>
      </c>
      <c r="X2474" s="288">
        <v>2.9206349206349205</v>
      </c>
      <c r="Y2474" s="288">
        <v>2.9312169312169312</v>
      </c>
      <c r="Z2474" s="288">
        <v>-2.148148148148148E-2</v>
      </c>
      <c r="AA2474" s="288">
        <v>1.5661375661375664E-2</v>
      </c>
      <c r="AB2474" s="288">
        <v>0</v>
      </c>
      <c r="AC2474" s="289">
        <v>2.9468783068783067</v>
      </c>
      <c r="AD2474" s="289">
        <v>0</v>
      </c>
    </row>
    <row r="2475" spans="1:30" ht="15" customHeight="1" x14ac:dyDescent="0.25">
      <c r="A2475" s="282" t="s">
        <v>3739</v>
      </c>
      <c r="B2475" s="282"/>
      <c r="C2475" s="282" t="s">
        <v>260</v>
      </c>
      <c r="D2475" s="283" t="s">
        <v>3767</v>
      </c>
      <c r="E2475" s="403">
        <v>45216</v>
      </c>
      <c r="F2475" s="403">
        <v>46989</v>
      </c>
      <c r="G2475" s="283" t="s">
        <v>237</v>
      </c>
      <c r="H2475" s="282" t="s">
        <v>3765</v>
      </c>
      <c r="I2475" s="285"/>
      <c r="J2475" s="282" t="s">
        <v>184</v>
      </c>
      <c r="K2475" s="283" t="s">
        <v>3766</v>
      </c>
      <c r="L2475" s="286" t="s">
        <v>321</v>
      </c>
      <c r="M2475" s="287" t="s">
        <v>159</v>
      </c>
      <c r="N2475" s="287">
        <v>1.89</v>
      </c>
      <c r="O2475" s="287" t="s">
        <v>159</v>
      </c>
      <c r="P2475" s="287" t="s">
        <v>159</v>
      </c>
      <c r="Q2475" s="288">
        <v>5.52</v>
      </c>
      <c r="R2475" s="288">
        <v>5.54</v>
      </c>
      <c r="S2475" s="288">
        <v>-4.0599999999999997E-2</v>
      </c>
      <c r="T2475" s="288">
        <v>2.9600000000000001E-2</v>
      </c>
      <c r="U2475" s="288">
        <v>0</v>
      </c>
      <c r="V2475" s="289">
        <v>5.5696000000000003</v>
      </c>
      <c r="W2475" s="289">
        <v>0</v>
      </c>
      <c r="X2475" s="288">
        <v>2.9206349206349205</v>
      </c>
      <c r="Y2475" s="288">
        <v>2.9312169312169312</v>
      </c>
      <c r="Z2475" s="288">
        <v>-2.148148148148148E-2</v>
      </c>
      <c r="AA2475" s="288">
        <v>1.5661375661375664E-2</v>
      </c>
      <c r="AB2475" s="288">
        <v>0</v>
      </c>
      <c r="AC2475" s="289">
        <v>2.9468783068783067</v>
      </c>
      <c r="AD2475" s="289">
        <v>0</v>
      </c>
    </row>
    <row r="2476" spans="1:30" ht="15" customHeight="1" x14ac:dyDescent="0.25">
      <c r="A2476" s="282" t="s">
        <v>3739</v>
      </c>
      <c r="B2476" s="282"/>
      <c r="C2476" s="282" t="s">
        <v>260</v>
      </c>
      <c r="D2476" s="283" t="s">
        <v>3768</v>
      </c>
      <c r="E2476" s="403">
        <v>45216</v>
      </c>
      <c r="F2476" s="403">
        <v>46989</v>
      </c>
      <c r="G2476" s="283" t="s">
        <v>237</v>
      </c>
      <c r="H2476" s="282" t="s">
        <v>3765</v>
      </c>
      <c r="I2476" s="285"/>
      <c r="J2476" s="282" t="s">
        <v>184</v>
      </c>
      <c r="K2476" s="283" t="s">
        <v>3766</v>
      </c>
      <c r="L2476" s="286" t="s">
        <v>321</v>
      </c>
      <c r="M2476" s="287" t="s">
        <v>159</v>
      </c>
      <c r="N2476" s="287">
        <v>1.89</v>
      </c>
      <c r="O2476" s="287" t="s">
        <v>159</v>
      </c>
      <c r="P2476" s="287" t="s">
        <v>159</v>
      </c>
      <c r="Q2476" s="288">
        <v>5.52</v>
      </c>
      <c r="R2476" s="288">
        <v>5.54</v>
      </c>
      <c r="S2476" s="288">
        <v>-4.0599999999999997E-2</v>
      </c>
      <c r="T2476" s="288">
        <v>2.9600000000000001E-2</v>
      </c>
      <c r="U2476" s="288">
        <v>0</v>
      </c>
      <c r="V2476" s="289">
        <v>5.5696000000000003</v>
      </c>
      <c r="W2476" s="289">
        <v>0</v>
      </c>
      <c r="X2476" s="288">
        <v>2.9206349206349205</v>
      </c>
      <c r="Y2476" s="288">
        <v>2.9312169312169312</v>
      </c>
      <c r="Z2476" s="288">
        <v>-2.148148148148148E-2</v>
      </c>
      <c r="AA2476" s="288">
        <v>1.5661375661375664E-2</v>
      </c>
      <c r="AB2476" s="288">
        <v>0</v>
      </c>
      <c r="AC2476" s="289">
        <v>2.9468783068783067</v>
      </c>
      <c r="AD2476" s="289">
        <v>0</v>
      </c>
    </row>
    <row r="2477" spans="1:30" ht="15" customHeight="1" x14ac:dyDescent="0.25">
      <c r="A2477" s="282" t="s">
        <v>3739</v>
      </c>
      <c r="B2477" s="282"/>
      <c r="C2477" s="282" t="s">
        <v>260</v>
      </c>
      <c r="D2477" s="283" t="s">
        <v>3769</v>
      </c>
      <c r="E2477" s="403">
        <v>44419</v>
      </c>
      <c r="F2477" s="403">
        <v>46244</v>
      </c>
      <c r="G2477" s="283" t="s">
        <v>237</v>
      </c>
      <c r="H2477" s="282" t="s">
        <v>3770</v>
      </c>
      <c r="I2477" s="285"/>
      <c r="J2477" s="282" t="s">
        <v>184</v>
      </c>
      <c r="K2477" s="283" t="s">
        <v>3771</v>
      </c>
      <c r="L2477" s="286" t="s">
        <v>321</v>
      </c>
      <c r="M2477" s="287" t="s">
        <v>159</v>
      </c>
      <c r="N2477" s="287" t="s">
        <v>159</v>
      </c>
      <c r="O2477" s="287" t="s">
        <v>159</v>
      </c>
      <c r="P2477" s="287" t="s">
        <v>159</v>
      </c>
      <c r="Q2477" s="288">
        <v>3.47</v>
      </c>
      <c r="R2477" s="288">
        <v>3.49</v>
      </c>
      <c r="S2477" s="288">
        <v>-2.1399999999999999E-2</v>
      </c>
      <c r="T2477" s="288">
        <v>1.98E-3</v>
      </c>
      <c r="U2477" s="288">
        <v>0</v>
      </c>
      <c r="V2477" s="289">
        <v>3.4919800000000003</v>
      </c>
      <c r="W2477" s="289">
        <v>0</v>
      </c>
      <c r="X2477" s="288" t="s">
        <v>159</v>
      </c>
      <c r="Y2477" s="288" t="s">
        <v>159</v>
      </c>
      <c r="Z2477" s="288" t="s">
        <v>159</v>
      </c>
      <c r="AA2477" s="288" t="s">
        <v>159</v>
      </c>
      <c r="AB2477" s="288" t="s">
        <v>159</v>
      </c>
      <c r="AC2477" s="289">
        <v>0</v>
      </c>
      <c r="AD2477" s="289">
        <v>0</v>
      </c>
    </row>
    <row r="2478" spans="1:30" ht="15" customHeight="1" x14ac:dyDescent="0.25">
      <c r="A2478" s="282" t="s">
        <v>3739</v>
      </c>
      <c r="B2478" s="282"/>
      <c r="C2478" s="282" t="s">
        <v>260</v>
      </c>
      <c r="D2478" s="283" t="s">
        <v>3772</v>
      </c>
      <c r="E2478" s="403">
        <v>44419</v>
      </c>
      <c r="F2478" s="403">
        <v>46244</v>
      </c>
      <c r="G2478" s="283" t="s">
        <v>237</v>
      </c>
      <c r="H2478" s="282" t="s">
        <v>3770</v>
      </c>
      <c r="I2478" s="285"/>
      <c r="J2478" s="282" t="s">
        <v>184</v>
      </c>
      <c r="K2478" s="283" t="s">
        <v>3771</v>
      </c>
      <c r="L2478" s="286" t="s">
        <v>321</v>
      </c>
      <c r="M2478" s="287" t="s">
        <v>159</v>
      </c>
      <c r="N2478" s="287" t="s">
        <v>159</v>
      </c>
      <c r="O2478" s="287" t="s">
        <v>159</v>
      </c>
      <c r="P2478" s="287" t="s">
        <v>159</v>
      </c>
      <c r="Q2478" s="288">
        <v>3.84</v>
      </c>
      <c r="R2478" s="288">
        <v>3.86</v>
      </c>
      <c r="S2478" s="288">
        <v>-1.9300000000000001E-2</v>
      </c>
      <c r="T2478" s="288">
        <v>2.0899999999999998E-3</v>
      </c>
      <c r="U2478" s="288">
        <v>0</v>
      </c>
      <c r="V2478" s="289">
        <v>3.8620899999999998</v>
      </c>
      <c r="W2478" s="289">
        <v>0</v>
      </c>
      <c r="X2478" s="288" t="s">
        <v>159</v>
      </c>
      <c r="Y2478" s="288" t="s">
        <v>159</v>
      </c>
      <c r="Z2478" s="288" t="s">
        <v>159</v>
      </c>
      <c r="AA2478" s="288" t="s">
        <v>159</v>
      </c>
      <c r="AB2478" s="288" t="s">
        <v>159</v>
      </c>
      <c r="AC2478" s="289">
        <v>0</v>
      </c>
      <c r="AD2478" s="289">
        <v>0</v>
      </c>
    </row>
    <row r="2479" spans="1:30" ht="15" customHeight="1" x14ac:dyDescent="0.25">
      <c r="A2479" s="282" t="s">
        <v>3739</v>
      </c>
      <c r="B2479" s="282"/>
      <c r="C2479" s="282" t="s">
        <v>260</v>
      </c>
      <c r="D2479" s="283" t="s">
        <v>3773</v>
      </c>
      <c r="E2479" s="403">
        <v>45216</v>
      </c>
      <c r="F2479" s="403">
        <v>46989</v>
      </c>
      <c r="G2479" s="283" t="s">
        <v>237</v>
      </c>
      <c r="H2479" s="282" t="s">
        <v>3774</v>
      </c>
      <c r="I2479" s="285"/>
      <c r="J2479" s="282" t="s">
        <v>184</v>
      </c>
      <c r="K2479" s="283" t="s">
        <v>3775</v>
      </c>
      <c r="L2479" s="286" t="s">
        <v>321</v>
      </c>
      <c r="M2479" s="287" t="s">
        <v>159</v>
      </c>
      <c r="N2479" s="287">
        <v>3.1</v>
      </c>
      <c r="O2479" s="287" t="s">
        <v>159</v>
      </c>
      <c r="P2479" s="287" t="s">
        <v>159</v>
      </c>
      <c r="Q2479" s="288">
        <v>9.6300000000000008</v>
      </c>
      <c r="R2479" s="288">
        <v>9.6300000000000008</v>
      </c>
      <c r="S2479" s="288">
        <v>-5.5800000000000002E-2</v>
      </c>
      <c r="T2479" s="288">
        <v>5.1799999999999999E-2</v>
      </c>
      <c r="U2479" s="288">
        <v>0</v>
      </c>
      <c r="V2479" s="289">
        <v>9.6818000000000008</v>
      </c>
      <c r="W2479" s="289">
        <v>0</v>
      </c>
      <c r="X2479" s="288">
        <v>3.1064516129032258</v>
      </c>
      <c r="Y2479" s="288">
        <v>3.1064516129032258</v>
      </c>
      <c r="Z2479" s="288">
        <v>-1.7999999999999999E-2</v>
      </c>
      <c r="AA2479" s="288">
        <v>1.6709677419354838E-2</v>
      </c>
      <c r="AB2479" s="288">
        <v>0</v>
      </c>
      <c r="AC2479" s="289">
        <v>3.1231612903225807</v>
      </c>
      <c r="AD2479" s="289">
        <v>0</v>
      </c>
    </row>
    <row r="2480" spans="1:30" ht="15" customHeight="1" x14ac:dyDescent="0.25">
      <c r="A2480" s="282" t="s">
        <v>3739</v>
      </c>
      <c r="B2480" s="282"/>
      <c r="C2480" s="282" t="s">
        <v>260</v>
      </c>
      <c r="D2480" s="283" t="s">
        <v>3776</v>
      </c>
      <c r="E2480" s="403">
        <v>44419</v>
      </c>
      <c r="F2480" s="403">
        <v>46244</v>
      </c>
      <c r="G2480" s="283" t="s">
        <v>237</v>
      </c>
      <c r="H2480" s="282" t="s">
        <v>3770</v>
      </c>
      <c r="I2480" s="285"/>
      <c r="J2480" s="282" t="s">
        <v>184</v>
      </c>
      <c r="K2480" s="283" t="s">
        <v>3771</v>
      </c>
      <c r="L2480" s="286" t="s">
        <v>321</v>
      </c>
      <c r="M2480" s="287" t="s">
        <v>159</v>
      </c>
      <c r="N2480" s="287" t="s">
        <v>159</v>
      </c>
      <c r="O2480" s="287" t="s">
        <v>159</v>
      </c>
      <c r="P2480" s="287" t="s">
        <v>159</v>
      </c>
      <c r="Q2480" s="288">
        <v>3.68</v>
      </c>
      <c r="R2480" s="288">
        <v>3.69</v>
      </c>
      <c r="S2480" s="288">
        <v>-1.6199999999999999E-2</v>
      </c>
      <c r="T2480" s="288">
        <v>2.0999999999999999E-3</v>
      </c>
      <c r="U2480" s="288">
        <v>0</v>
      </c>
      <c r="V2480" s="289">
        <v>3.6920999999999999</v>
      </c>
      <c r="W2480" s="289">
        <v>0</v>
      </c>
      <c r="X2480" s="288" t="s">
        <v>159</v>
      </c>
      <c r="Y2480" s="288" t="s">
        <v>159</v>
      </c>
      <c r="Z2480" s="288" t="s">
        <v>159</v>
      </c>
      <c r="AA2480" s="288" t="s">
        <v>159</v>
      </c>
      <c r="AB2480" s="288" t="s">
        <v>159</v>
      </c>
      <c r="AC2480" s="289">
        <v>0</v>
      </c>
      <c r="AD2480" s="289">
        <v>0</v>
      </c>
    </row>
    <row r="2481" spans="1:30" ht="15" customHeight="1" x14ac:dyDescent="0.25">
      <c r="A2481" s="282" t="s">
        <v>3739</v>
      </c>
      <c r="B2481" s="282"/>
      <c r="C2481" s="282" t="s">
        <v>260</v>
      </c>
      <c r="D2481" s="283" t="s">
        <v>3777</v>
      </c>
      <c r="E2481" s="403">
        <v>44419</v>
      </c>
      <c r="F2481" s="403">
        <v>46244</v>
      </c>
      <c r="G2481" s="283" t="s">
        <v>237</v>
      </c>
      <c r="H2481" s="282" t="s">
        <v>3770</v>
      </c>
      <c r="I2481" s="285"/>
      <c r="J2481" s="282" t="s">
        <v>184</v>
      </c>
      <c r="K2481" s="283" t="s">
        <v>3771</v>
      </c>
      <c r="L2481" s="286" t="s">
        <v>321</v>
      </c>
      <c r="M2481" s="287" t="s">
        <v>159</v>
      </c>
      <c r="N2481" s="287" t="s">
        <v>159</v>
      </c>
      <c r="O2481" s="287" t="s">
        <v>159</v>
      </c>
      <c r="P2481" s="287" t="s">
        <v>159</v>
      </c>
      <c r="Q2481" s="288">
        <v>3.8</v>
      </c>
      <c r="R2481" s="288">
        <v>3.81</v>
      </c>
      <c r="S2481" s="288">
        <v>-1.5800000000000002E-2</v>
      </c>
      <c r="T2481" s="288">
        <v>2.15E-3</v>
      </c>
      <c r="U2481" s="288">
        <v>0</v>
      </c>
      <c r="V2481" s="289">
        <v>3.8121499999999999</v>
      </c>
      <c r="W2481" s="289">
        <v>0</v>
      </c>
      <c r="X2481" s="288" t="s">
        <v>159</v>
      </c>
      <c r="Y2481" s="288" t="s">
        <v>159</v>
      </c>
      <c r="Z2481" s="288" t="s">
        <v>159</v>
      </c>
      <c r="AA2481" s="288" t="s">
        <v>159</v>
      </c>
      <c r="AB2481" s="288" t="s">
        <v>159</v>
      </c>
      <c r="AC2481" s="289">
        <v>0</v>
      </c>
      <c r="AD2481" s="289">
        <v>0</v>
      </c>
    </row>
    <row r="2482" spans="1:30" ht="15" customHeight="1" x14ac:dyDescent="0.25">
      <c r="A2482" s="282" t="s">
        <v>3739</v>
      </c>
      <c r="B2482" s="282"/>
      <c r="C2482" s="282" t="s">
        <v>260</v>
      </c>
      <c r="D2482" s="283" t="s">
        <v>3778</v>
      </c>
      <c r="E2482" s="403">
        <v>44419</v>
      </c>
      <c r="F2482" s="403">
        <v>46244</v>
      </c>
      <c r="G2482" s="283" t="s">
        <v>237</v>
      </c>
      <c r="H2482" s="282" t="s">
        <v>3770</v>
      </c>
      <c r="I2482" s="285"/>
      <c r="J2482" s="282" t="s">
        <v>184</v>
      </c>
      <c r="K2482" s="283" t="s">
        <v>3771</v>
      </c>
      <c r="L2482" s="286" t="s">
        <v>321</v>
      </c>
      <c r="M2482" s="287" t="s">
        <v>159</v>
      </c>
      <c r="N2482" s="287" t="s">
        <v>159</v>
      </c>
      <c r="O2482" s="287" t="s">
        <v>159</v>
      </c>
      <c r="P2482" s="287" t="s">
        <v>159</v>
      </c>
      <c r="Q2482" s="288">
        <v>4.82</v>
      </c>
      <c r="R2482" s="288">
        <v>4.83</v>
      </c>
      <c r="S2482" s="288">
        <v>-1.49E-2</v>
      </c>
      <c r="T2482" s="288">
        <v>2.3800000000000002E-3</v>
      </c>
      <c r="U2482" s="288">
        <v>0</v>
      </c>
      <c r="V2482" s="289">
        <v>4.8323799999999997</v>
      </c>
      <c r="W2482" s="289">
        <v>0</v>
      </c>
      <c r="X2482" s="288" t="s">
        <v>159</v>
      </c>
      <c r="Y2482" s="288" t="s">
        <v>159</v>
      </c>
      <c r="Z2482" s="288" t="s">
        <v>159</v>
      </c>
      <c r="AA2482" s="288" t="s">
        <v>159</v>
      </c>
      <c r="AB2482" s="288" t="s">
        <v>159</v>
      </c>
      <c r="AC2482" s="289">
        <v>0</v>
      </c>
      <c r="AD2482" s="289">
        <v>0</v>
      </c>
    </row>
    <row r="2483" spans="1:30" ht="15" customHeight="1" x14ac:dyDescent="0.25">
      <c r="A2483" s="282" t="s">
        <v>3739</v>
      </c>
      <c r="B2483" s="282"/>
      <c r="C2483" s="282" t="s">
        <v>260</v>
      </c>
      <c r="D2483" s="283" t="s">
        <v>3779</v>
      </c>
      <c r="E2483" s="403">
        <v>44419</v>
      </c>
      <c r="F2483" s="403">
        <v>46244</v>
      </c>
      <c r="G2483" s="283" t="s">
        <v>237</v>
      </c>
      <c r="H2483" s="282" t="s">
        <v>3770</v>
      </c>
      <c r="I2483" s="285"/>
      <c r="J2483" s="282" t="s">
        <v>184</v>
      </c>
      <c r="K2483" s="283" t="s">
        <v>3771</v>
      </c>
      <c r="L2483" s="286" t="s">
        <v>321</v>
      </c>
      <c r="M2483" s="287" t="s">
        <v>159</v>
      </c>
      <c r="N2483" s="287" t="s">
        <v>159</v>
      </c>
      <c r="O2483" s="287" t="s">
        <v>159</v>
      </c>
      <c r="P2483" s="287" t="s">
        <v>159</v>
      </c>
      <c r="Q2483" s="288">
        <v>5.79</v>
      </c>
      <c r="R2483" s="288">
        <v>5.8</v>
      </c>
      <c r="S2483" s="288">
        <v>-1.29E-2</v>
      </c>
      <c r="T2483" s="288">
        <v>2.33E-3</v>
      </c>
      <c r="U2483" s="288">
        <v>0</v>
      </c>
      <c r="V2483" s="289">
        <v>5.8023299999999995</v>
      </c>
      <c r="W2483" s="289">
        <v>0</v>
      </c>
      <c r="X2483" s="288" t="s">
        <v>159</v>
      </c>
      <c r="Y2483" s="288" t="s">
        <v>159</v>
      </c>
      <c r="Z2483" s="288" t="s">
        <v>159</v>
      </c>
      <c r="AA2483" s="288" t="s">
        <v>159</v>
      </c>
      <c r="AB2483" s="288" t="s">
        <v>159</v>
      </c>
      <c r="AC2483" s="289">
        <v>0</v>
      </c>
      <c r="AD2483" s="289">
        <v>0</v>
      </c>
    </row>
    <row r="2484" spans="1:30" ht="15" customHeight="1" x14ac:dyDescent="0.25">
      <c r="A2484" s="282" t="s">
        <v>3739</v>
      </c>
      <c r="B2484" s="282"/>
      <c r="C2484" s="282" t="s">
        <v>260</v>
      </c>
      <c r="D2484" s="283" t="s">
        <v>3780</v>
      </c>
      <c r="E2484" s="403">
        <v>44419</v>
      </c>
      <c r="F2484" s="403">
        <v>46244</v>
      </c>
      <c r="G2484" s="283" t="s">
        <v>237</v>
      </c>
      <c r="H2484" s="282" t="s">
        <v>3770</v>
      </c>
      <c r="I2484" s="285"/>
      <c r="J2484" s="282" t="s">
        <v>184</v>
      </c>
      <c r="K2484" s="283" t="s">
        <v>3771</v>
      </c>
      <c r="L2484" s="286" t="s">
        <v>321</v>
      </c>
      <c r="M2484" s="287" t="s">
        <v>159</v>
      </c>
      <c r="N2484" s="287" t="s">
        <v>159</v>
      </c>
      <c r="O2484" s="287" t="s">
        <v>159</v>
      </c>
      <c r="P2484" s="287" t="s">
        <v>159</v>
      </c>
      <c r="Q2484" s="288">
        <v>6.41</v>
      </c>
      <c r="R2484" s="288">
        <v>6.42</v>
      </c>
      <c r="S2484" s="288">
        <v>-1.0500000000000001E-2</v>
      </c>
      <c r="T2484" s="288">
        <v>2.4599999999999999E-3</v>
      </c>
      <c r="U2484" s="288">
        <v>0</v>
      </c>
      <c r="V2484" s="289">
        <v>6.4224600000000001</v>
      </c>
      <c r="W2484" s="289">
        <v>0</v>
      </c>
      <c r="X2484" s="288" t="s">
        <v>159</v>
      </c>
      <c r="Y2484" s="288" t="s">
        <v>159</v>
      </c>
      <c r="Z2484" s="288" t="s">
        <v>159</v>
      </c>
      <c r="AA2484" s="288" t="s">
        <v>159</v>
      </c>
      <c r="AB2484" s="288" t="s">
        <v>159</v>
      </c>
      <c r="AC2484" s="289">
        <v>0</v>
      </c>
      <c r="AD2484" s="289">
        <v>0</v>
      </c>
    </row>
    <row r="2485" spans="1:30" ht="15" customHeight="1" x14ac:dyDescent="0.25">
      <c r="A2485" s="282" t="s">
        <v>3739</v>
      </c>
      <c r="B2485" s="282"/>
      <c r="C2485" s="282" t="s">
        <v>260</v>
      </c>
      <c r="D2485" s="283" t="s">
        <v>3781</v>
      </c>
      <c r="E2485" s="403">
        <v>44419</v>
      </c>
      <c r="F2485" s="403">
        <v>46244</v>
      </c>
      <c r="G2485" s="283" t="s">
        <v>237</v>
      </c>
      <c r="H2485" s="282" t="s">
        <v>3770</v>
      </c>
      <c r="I2485" s="285"/>
      <c r="J2485" s="282" t="s">
        <v>184</v>
      </c>
      <c r="K2485" s="283" t="s">
        <v>3771</v>
      </c>
      <c r="L2485" s="286" t="s">
        <v>321</v>
      </c>
      <c r="M2485" s="287" t="s">
        <v>159</v>
      </c>
      <c r="N2485" s="287" t="s">
        <v>159</v>
      </c>
      <c r="O2485" s="287" t="s">
        <v>159</v>
      </c>
      <c r="P2485" s="287" t="s">
        <v>159</v>
      </c>
      <c r="Q2485" s="288">
        <v>7.31</v>
      </c>
      <c r="R2485" s="288">
        <v>7.32</v>
      </c>
      <c r="S2485" s="288">
        <v>-5.1900000000000002E-3</v>
      </c>
      <c r="T2485" s="288">
        <v>2.65E-3</v>
      </c>
      <c r="U2485" s="288">
        <v>0</v>
      </c>
      <c r="V2485" s="289">
        <v>7.3226500000000003</v>
      </c>
      <c r="W2485" s="289">
        <v>0</v>
      </c>
      <c r="X2485" s="288" t="s">
        <v>159</v>
      </c>
      <c r="Y2485" s="288" t="s">
        <v>159</v>
      </c>
      <c r="Z2485" s="288" t="s">
        <v>159</v>
      </c>
      <c r="AA2485" s="288" t="s">
        <v>159</v>
      </c>
      <c r="AB2485" s="288" t="s">
        <v>159</v>
      </c>
      <c r="AC2485" s="289">
        <v>0</v>
      </c>
      <c r="AD2485" s="289">
        <v>0</v>
      </c>
    </row>
    <row r="2486" spans="1:30" ht="15" customHeight="1" x14ac:dyDescent="0.25">
      <c r="A2486" s="282" t="s">
        <v>3739</v>
      </c>
      <c r="B2486" s="282"/>
      <c r="C2486" s="282" t="s">
        <v>260</v>
      </c>
      <c r="D2486" s="283" t="s">
        <v>3782</v>
      </c>
      <c r="E2486" s="403">
        <v>43935</v>
      </c>
      <c r="F2486" s="403">
        <v>45754</v>
      </c>
      <c r="G2486" s="283" t="s">
        <v>2202</v>
      </c>
      <c r="H2486" s="282" t="s">
        <v>3783</v>
      </c>
      <c r="I2486" s="285"/>
      <c r="J2486" s="282" t="s">
        <v>184</v>
      </c>
      <c r="K2486" s="283" t="s">
        <v>3784</v>
      </c>
      <c r="L2486" s="286" t="s">
        <v>321</v>
      </c>
      <c r="M2486" s="287" t="s">
        <v>159</v>
      </c>
      <c r="N2486" s="287" t="s">
        <v>159</v>
      </c>
      <c r="O2486" s="287" t="s">
        <v>159</v>
      </c>
      <c r="P2486" s="287" t="s">
        <v>159</v>
      </c>
      <c r="Q2486" s="288">
        <v>3.16</v>
      </c>
      <c r="R2486" s="288"/>
      <c r="S2486" s="288"/>
      <c r="T2486" s="288"/>
      <c r="U2486" s="288">
        <v>0</v>
      </c>
      <c r="V2486" s="289">
        <v>3.16</v>
      </c>
      <c r="W2486" s="289">
        <v>0</v>
      </c>
      <c r="X2486" s="288" t="s">
        <v>159</v>
      </c>
      <c r="Y2486" s="288" t="s">
        <v>159</v>
      </c>
      <c r="Z2486" s="288" t="s">
        <v>159</v>
      </c>
      <c r="AA2486" s="288" t="s">
        <v>159</v>
      </c>
      <c r="AB2486" s="288" t="s">
        <v>159</v>
      </c>
      <c r="AC2486" s="289">
        <v>0</v>
      </c>
      <c r="AD2486" s="289">
        <v>0</v>
      </c>
    </row>
    <row r="2487" spans="1:30" ht="15" customHeight="1" x14ac:dyDescent="0.25">
      <c r="A2487" s="282" t="s">
        <v>3739</v>
      </c>
      <c r="B2487" s="282"/>
      <c r="C2487" s="282" t="s">
        <v>260</v>
      </c>
      <c r="D2487" s="283" t="s">
        <v>3785</v>
      </c>
      <c r="E2487" s="403">
        <v>43935</v>
      </c>
      <c r="F2487" s="403">
        <v>45754</v>
      </c>
      <c r="G2487" s="283" t="s">
        <v>2202</v>
      </c>
      <c r="H2487" s="282" t="s">
        <v>3783</v>
      </c>
      <c r="I2487" s="285"/>
      <c r="J2487" s="282" t="s">
        <v>184</v>
      </c>
      <c r="K2487" s="283" t="s">
        <v>3784</v>
      </c>
      <c r="L2487" s="286" t="s">
        <v>321</v>
      </c>
      <c r="M2487" s="287" t="s">
        <v>159</v>
      </c>
      <c r="N2487" s="287" t="s">
        <v>159</v>
      </c>
      <c r="O2487" s="287" t="s">
        <v>159</v>
      </c>
      <c r="P2487" s="287" t="s">
        <v>159</v>
      </c>
      <c r="Q2487" s="288">
        <v>3.16</v>
      </c>
      <c r="R2487" s="288"/>
      <c r="S2487" s="288"/>
      <c r="T2487" s="288"/>
      <c r="U2487" s="288">
        <v>0</v>
      </c>
      <c r="V2487" s="289">
        <v>3.16</v>
      </c>
      <c r="W2487" s="289">
        <v>0</v>
      </c>
      <c r="X2487" s="288" t="s">
        <v>159</v>
      </c>
      <c r="Y2487" s="288" t="s">
        <v>159</v>
      </c>
      <c r="Z2487" s="288" t="s">
        <v>159</v>
      </c>
      <c r="AA2487" s="288" t="s">
        <v>159</v>
      </c>
      <c r="AB2487" s="288" t="s">
        <v>159</v>
      </c>
      <c r="AC2487" s="289">
        <v>0</v>
      </c>
      <c r="AD2487" s="289">
        <v>0</v>
      </c>
    </row>
    <row r="2488" spans="1:30" ht="15" customHeight="1" x14ac:dyDescent="0.25">
      <c r="A2488" s="282" t="s">
        <v>3739</v>
      </c>
      <c r="B2488" s="282"/>
      <c r="C2488" s="282" t="s">
        <v>260</v>
      </c>
      <c r="D2488" s="283" t="s">
        <v>3786</v>
      </c>
      <c r="E2488" s="403">
        <v>43935</v>
      </c>
      <c r="F2488" s="403">
        <v>45754</v>
      </c>
      <c r="G2488" s="283" t="s">
        <v>2202</v>
      </c>
      <c r="H2488" s="282" t="s">
        <v>3783</v>
      </c>
      <c r="I2488" s="285"/>
      <c r="J2488" s="282" t="s">
        <v>184</v>
      </c>
      <c r="K2488" s="283" t="s">
        <v>3784</v>
      </c>
      <c r="L2488" s="286" t="s">
        <v>321</v>
      </c>
      <c r="M2488" s="287" t="s">
        <v>159</v>
      </c>
      <c r="N2488" s="287" t="s">
        <v>159</v>
      </c>
      <c r="O2488" s="287" t="s">
        <v>159</v>
      </c>
      <c r="P2488" s="287" t="s">
        <v>159</v>
      </c>
      <c r="Q2488" s="288">
        <v>3.16</v>
      </c>
      <c r="R2488" s="288"/>
      <c r="S2488" s="288"/>
      <c r="T2488" s="288"/>
      <c r="U2488" s="288">
        <v>0</v>
      </c>
      <c r="V2488" s="289">
        <v>3.16</v>
      </c>
      <c r="W2488" s="289">
        <v>0</v>
      </c>
      <c r="X2488" s="288" t="s">
        <v>159</v>
      </c>
      <c r="Y2488" s="288" t="s">
        <v>159</v>
      </c>
      <c r="Z2488" s="288" t="s">
        <v>159</v>
      </c>
      <c r="AA2488" s="288" t="s">
        <v>159</v>
      </c>
      <c r="AB2488" s="288" t="s">
        <v>159</v>
      </c>
      <c r="AC2488" s="289">
        <v>0</v>
      </c>
      <c r="AD2488" s="289">
        <v>0</v>
      </c>
    </row>
    <row r="2489" spans="1:30" ht="15" customHeight="1" x14ac:dyDescent="0.25">
      <c r="A2489" s="282" t="s">
        <v>3739</v>
      </c>
      <c r="B2489" s="282"/>
      <c r="C2489" s="282" t="s">
        <v>260</v>
      </c>
      <c r="D2489" s="283" t="s">
        <v>3787</v>
      </c>
      <c r="E2489" s="403">
        <v>43935</v>
      </c>
      <c r="F2489" s="403">
        <v>45754</v>
      </c>
      <c r="G2489" s="283" t="s">
        <v>2202</v>
      </c>
      <c r="H2489" s="282" t="s">
        <v>3783</v>
      </c>
      <c r="I2489" s="285"/>
      <c r="J2489" s="282" t="s">
        <v>184</v>
      </c>
      <c r="K2489" s="283" t="s">
        <v>3784</v>
      </c>
      <c r="L2489" s="286" t="s">
        <v>321</v>
      </c>
      <c r="M2489" s="287" t="s">
        <v>159</v>
      </c>
      <c r="N2489" s="287" t="s">
        <v>159</v>
      </c>
      <c r="O2489" s="287" t="s">
        <v>159</v>
      </c>
      <c r="P2489" s="287" t="s">
        <v>159</v>
      </c>
      <c r="Q2489" s="288">
        <v>2.93</v>
      </c>
      <c r="R2489" s="288"/>
      <c r="S2489" s="288"/>
      <c r="T2489" s="288"/>
      <c r="U2489" s="288">
        <v>0</v>
      </c>
      <c r="V2489" s="289">
        <v>2.93</v>
      </c>
      <c r="W2489" s="289">
        <v>0</v>
      </c>
      <c r="X2489" s="288" t="s">
        <v>159</v>
      </c>
      <c r="Y2489" s="288" t="s">
        <v>159</v>
      </c>
      <c r="Z2489" s="288" t="s">
        <v>159</v>
      </c>
      <c r="AA2489" s="288" t="s">
        <v>159</v>
      </c>
      <c r="AB2489" s="288" t="s">
        <v>159</v>
      </c>
      <c r="AC2489" s="289">
        <v>0</v>
      </c>
      <c r="AD2489" s="289">
        <v>0</v>
      </c>
    </row>
    <row r="2490" spans="1:30" ht="15" customHeight="1" x14ac:dyDescent="0.25">
      <c r="A2490" s="282" t="s">
        <v>3739</v>
      </c>
      <c r="B2490" s="282"/>
      <c r="C2490" s="282" t="s">
        <v>260</v>
      </c>
      <c r="D2490" s="283" t="s">
        <v>3788</v>
      </c>
      <c r="E2490" s="403">
        <v>43935</v>
      </c>
      <c r="F2490" s="403">
        <v>45754</v>
      </c>
      <c r="G2490" s="283" t="s">
        <v>2202</v>
      </c>
      <c r="H2490" s="282" t="s">
        <v>3783</v>
      </c>
      <c r="I2490" s="285"/>
      <c r="J2490" s="282" t="s">
        <v>184</v>
      </c>
      <c r="K2490" s="283" t="s">
        <v>3784</v>
      </c>
      <c r="L2490" s="286" t="s">
        <v>321</v>
      </c>
      <c r="M2490" s="287" t="s">
        <v>159</v>
      </c>
      <c r="N2490" s="287" t="s">
        <v>159</v>
      </c>
      <c r="O2490" s="287" t="s">
        <v>159</v>
      </c>
      <c r="P2490" s="287" t="s">
        <v>159</v>
      </c>
      <c r="Q2490" s="288">
        <v>2.93</v>
      </c>
      <c r="R2490" s="288"/>
      <c r="S2490" s="288"/>
      <c r="T2490" s="288"/>
      <c r="U2490" s="288">
        <v>0</v>
      </c>
      <c r="V2490" s="289">
        <v>2.93</v>
      </c>
      <c r="W2490" s="289">
        <v>0</v>
      </c>
      <c r="X2490" s="288" t="s">
        <v>159</v>
      </c>
      <c r="Y2490" s="288" t="s">
        <v>159</v>
      </c>
      <c r="Z2490" s="288" t="s">
        <v>159</v>
      </c>
      <c r="AA2490" s="288" t="s">
        <v>159</v>
      </c>
      <c r="AB2490" s="288" t="s">
        <v>159</v>
      </c>
      <c r="AC2490" s="289">
        <v>0</v>
      </c>
      <c r="AD2490" s="289">
        <v>0</v>
      </c>
    </row>
    <row r="2491" spans="1:30" ht="15" customHeight="1" x14ac:dyDescent="0.25">
      <c r="A2491" s="282" t="s">
        <v>3739</v>
      </c>
      <c r="B2491" s="282"/>
      <c r="C2491" s="282" t="s">
        <v>260</v>
      </c>
      <c r="D2491" s="283" t="s">
        <v>3789</v>
      </c>
      <c r="E2491" s="403">
        <v>43935</v>
      </c>
      <c r="F2491" s="403">
        <v>45754</v>
      </c>
      <c r="G2491" s="283" t="s">
        <v>2202</v>
      </c>
      <c r="H2491" s="282" t="s">
        <v>3783</v>
      </c>
      <c r="I2491" s="285"/>
      <c r="J2491" s="282" t="s">
        <v>184</v>
      </c>
      <c r="K2491" s="283" t="s">
        <v>3784</v>
      </c>
      <c r="L2491" s="286" t="s">
        <v>321</v>
      </c>
      <c r="M2491" s="287" t="s">
        <v>159</v>
      </c>
      <c r="N2491" s="287" t="s">
        <v>159</v>
      </c>
      <c r="O2491" s="287" t="s">
        <v>159</v>
      </c>
      <c r="P2491" s="287" t="s">
        <v>159</v>
      </c>
      <c r="Q2491" s="288">
        <v>3.25</v>
      </c>
      <c r="R2491" s="288"/>
      <c r="S2491" s="288"/>
      <c r="T2491" s="288"/>
      <c r="U2491" s="288">
        <v>0</v>
      </c>
      <c r="V2491" s="289">
        <v>3.25</v>
      </c>
      <c r="W2491" s="289">
        <v>0</v>
      </c>
      <c r="X2491" s="288" t="s">
        <v>159</v>
      </c>
      <c r="Y2491" s="288" t="s">
        <v>159</v>
      </c>
      <c r="Z2491" s="288" t="s">
        <v>159</v>
      </c>
      <c r="AA2491" s="288" t="s">
        <v>159</v>
      </c>
      <c r="AB2491" s="288" t="s">
        <v>159</v>
      </c>
      <c r="AC2491" s="289">
        <v>0</v>
      </c>
      <c r="AD2491" s="289">
        <v>0</v>
      </c>
    </row>
    <row r="2492" spans="1:30" ht="15" customHeight="1" x14ac:dyDescent="0.25">
      <c r="A2492" s="282" t="s">
        <v>3739</v>
      </c>
      <c r="B2492" s="282"/>
      <c r="C2492" s="282" t="s">
        <v>260</v>
      </c>
      <c r="D2492" s="283" t="s">
        <v>3790</v>
      </c>
      <c r="E2492" s="403">
        <v>43935</v>
      </c>
      <c r="F2492" s="403">
        <v>45754</v>
      </c>
      <c r="G2492" s="283" t="s">
        <v>2202</v>
      </c>
      <c r="H2492" s="282" t="s">
        <v>3783</v>
      </c>
      <c r="I2492" s="285"/>
      <c r="J2492" s="282" t="s">
        <v>184</v>
      </c>
      <c r="K2492" s="283" t="s">
        <v>3784</v>
      </c>
      <c r="L2492" s="286" t="s">
        <v>321</v>
      </c>
      <c r="M2492" s="287" t="s">
        <v>159</v>
      </c>
      <c r="N2492" s="287" t="s">
        <v>159</v>
      </c>
      <c r="O2492" s="287" t="s">
        <v>159</v>
      </c>
      <c r="P2492" s="287" t="s">
        <v>159</v>
      </c>
      <c r="Q2492" s="288">
        <v>3.25</v>
      </c>
      <c r="R2492" s="288"/>
      <c r="S2492" s="288"/>
      <c r="T2492" s="288"/>
      <c r="U2492" s="288">
        <v>0</v>
      </c>
      <c r="V2492" s="289">
        <v>3.25</v>
      </c>
      <c r="W2492" s="289">
        <v>0</v>
      </c>
      <c r="X2492" s="288" t="s">
        <v>159</v>
      </c>
      <c r="Y2492" s="288" t="s">
        <v>159</v>
      </c>
      <c r="Z2492" s="288" t="s">
        <v>159</v>
      </c>
      <c r="AA2492" s="288" t="s">
        <v>159</v>
      </c>
      <c r="AB2492" s="288" t="s">
        <v>159</v>
      </c>
      <c r="AC2492" s="289">
        <v>0</v>
      </c>
      <c r="AD2492" s="289">
        <v>0</v>
      </c>
    </row>
    <row r="2493" spans="1:30" ht="15" customHeight="1" x14ac:dyDescent="0.25">
      <c r="A2493" s="282" t="s">
        <v>3739</v>
      </c>
      <c r="B2493" s="282"/>
      <c r="C2493" s="282" t="s">
        <v>260</v>
      </c>
      <c r="D2493" s="283" t="s">
        <v>3791</v>
      </c>
      <c r="E2493" s="403">
        <v>44334</v>
      </c>
      <c r="F2493" s="403">
        <v>46160</v>
      </c>
      <c r="G2493" s="283" t="s">
        <v>3792</v>
      </c>
      <c r="H2493" s="282" t="s">
        <v>3793</v>
      </c>
      <c r="I2493" s="285"/>
      <c r="J2493" s="282" t="s">
        <v>184</v>
      </c>
      <c r="K2493" s="283" t="s">
        <v>3794</v>
      </c>
      <c r="L2493" s="286" t="s">
        <v>321</v>
      </c>
      <c r="M2493" s="287" t="s">
        <v>159</v>
      </c>
      <c r="N2493" s="287">
        <v>8.1999999999999993</v>
      </c>
      <c r="O2493" s="287" t="s">
        <v>159</v>
      </c>
      <c r="P2493" s="287" t="s">
        <v>159</v>
      </c>
      <c r="Q2493" s="288">
        <v>2.6800000000000001E-2</v>
      </c>
      <c r="R2493" s="288"/>
      <c r="S2493" s="288"/>
      <c r="T2493" s="288"/>
      <c r="U2493" s="288">
        <v>0</v>
      </c>
      <c r="V2493" s="289">
        <v>2.6800000000000001E-2</v>
      </c>
      <c r="W2493" s="289">
        <v>0</v>
      </c>
      <c r="X2493" s="288">
        <v>3.2682926829268296E-3</v>
      </c>
      <c r="Y2493" s="288">
        <v>0</v>
      </c>
      <c r="Z2493" s="288">
        <v>0</v>
      </c>
      <c r="AA2493" s="288">
        <v>0</v>
      </c>
      <c r="AB2493" s="288">
        <v>0</v>
      </c>
      <c r="AC2493" s="289">
        <v>3.2682926829268296E-3</v>
      </c>
      <c r="AD2493" s="289">
        <v>0</v>
      </c>
    </row>
    <row r="2494" spans="1:30" ht="15" customHeight="1" x14ac:dyDescent="0.25">
      <c r="A2494" s="282" t="s">
        <v>3739</v>
      </c>
      <c r="B2494" s="282"/>
      <c r="C2494" s="282" t="s">
        <v>260</v>
      </c>
      <c r="D2494" s="283" t="s">
        <v>3795</v>
      </c>
      <c r="E2494" s="403">
        <v>44334</v>
      </c>
      <c r="F2494" s="403">
        <v>46160</v>
      </c>
      <c r="G2494" s="283" t="s">
        <v>3792</v>
      </c>
      <c r="H2494" s="282" t="s">
        <v>3793</v>
      </c>
      <c r="I2494" s="285"/>
      <c r="J2494" s="282" t="s">
        <v>184</v>
      </c>
      <c r="K2494" s="283" t="s">
        <v>3794</v>
      </c>
      <c r="L2494" s="286" t="s">
        <v>321</v>
      </c>
      <c r="M2494" s="287" t="s">
        <v>159</v>
      </c>
      <c r="N2494" s="287">
        <v>8.1999999999999993</v>
      </c>
      <c r="O2494" s="287" t="s">
        <v>159</v>
      </c>
      <c r="P2494" s="287" t="s">
        <v>159</v>
      </c>
      <c r="Q2494" s="288">
        <v>2.6800000000000001E-3</v>
      </c>
      <c r="R2494" s="288"/>
      <c r="S2494" s="288"/>
      <c r="T2494" s="288"/>
      <c r="U2494" s="288">
        <v>0</v>
      </c>
      <c r="V2494" s="289">
        <v>2.6800000000000001E-3</v>
      </c>
      <c r="W2494" s="289">
        <v>0</v>
      </c>
      <c r="X2494" s="288">
        <v>3.2682926829268299E-4</v>
      </c>
      <c r="Y2494" s="288">
        <v>0</v>
      </c>
      <c r="Z2494" s="288">
        <v>0</v>
      </c>
      <c r="AA2494" s="288">
        <v>0</v>
      </c>
      <c r="AB2494" s="288">
        <v>0</v>
      </c>
      <c r="AC2494" s="289">
        <v>3.2682926829268299E-4</v>
      </c>
      <c r="AD2494" s="289">
        <v>0</v>
      </c>
    </row>
    <row r="2495" spans="1:30" ht="15" customHeight="1" x14ac:dyDescent="0.25">
      <c r="A2495" s="282" t="s">
        <v>3739</v>
      </c>
      <c r="B2495" s="282"/>
      <c r="C2495" s="282" t="s">
        <v>260</v>
      </c>
      <c r="D2495" s="283" t="s">
        <v>3796</v>
      </c>
      <c r="E2495" s="403">
        <v>44334</v>
      </c>
      <c r="F2495" s="403">
        <v>46160</v>
      </c>
      <c r="G2495" s="283" t="s">
        <v>3792</v>
      </c>
      <c r="H2495" s="282" t="s">
        <v>3793</v>
      </c>
      <c r="I2495" s="285"/>
      <c r="J2495" s="282" t="s">
        <v>184</v>
      </c>
      <c r="K2495" s="283" t="s">
        <v>3794</v>
      </c>
      <c r="L2495" s="286" t="s">
        <v>321</v>
      </c>
      <c r="M2495" s="287" t="s">
        <v>159</v>
      </c>
      <c r="N2495" s="287">
        <v>7</v>
      </c>
      <c r="O2495" s="287" t="s">
        <v>159</v>
      </c>
      <c r="P2495" s="287" t="s">
        <v>159</v>
      </c>
      <c r="Q2495" s="288">
        <v>2.0199999999999999E-2</v>
      </c>
      <c r="R2495" s="288"/>
      <c r="S2495" s="288"/>
      <c r="T2495" s="288"/>
      <c r="U2495" s="288">
        <v>0</v>
      </c>
      <c r="V2495" s="289">
        <v>2.0199999999999999E-2</v>
      </c>
      <c r="W2495" s="289">
        <v>0</v>
      </c>
      <c r="X2495" s="288">
        <v>2.8857142857142857E-3</v>
      </c>
      <c r="Y2495" s="288">
        <v>0</v>
      </c>
      <c r="Z2495" s="288">
        <v>0</v>
      </c>
      <c r="AA2495" s="288">
        <v>0</v>
      </c>
      <c r="AB2495" s="288">
        <v>0</v>
      </c>
      <c r="AC2495" s="289">
        <v>2.8857142857142857E-3</v>
      </c>
      <c r="AD2495" s="289">
        <v>0</v>
      </c>
    </row>
    <row r="2496" spans="1:30" ht="15" customHeight="1" x14ac:dyDescent="0.25">
      <c r="A2496" s="282" t="s">
        <v>3739</v>
      </c>
      <c r="B2496" s="282"/>
      <c r="C2496" s="282" t="s">
        <v>260</v>
      </c>
      <c r="D2496" s="283" t="s">
        <v>3797</v>
      </c>
      <c r="E2496" s="403">
        <v>44334</v>
      </c>
      <c r="F2496" s="403">
        <v>46160</v>
      </c>
      <c r="G2496" s="283" t="s">
        <v>3792</v>
      </c>
      <c r="H2496" s="282" t="s">
        <v>3793</v>
      </c>
      <c r="I2496" s="285"/>
      <c r="J2496" s="282" t="s">
        <v>184</v>
      </c>
      <c r="K2496" s="283" t="s">
        <v>3794</v>
      </c>
      <c r="L2496" s="286" t="s">
        <v>321</v>
      </c>
      <c r="M2496" s="287" t="s">
        <v>159</v>
      </c>
      <c r="N2496" s="287">
        <v>6.5</v>
      </c>
      <c r="O2496" s="287" t="s">
        <v>159</v>
      </c>
      <c r="P2496" s="287" t="s">
        <v>159</v>
      </c>
      <c r="Q2496" s="288">
        <v>2.5000000000000001E-2</v>
      </c>
      <c r="R2496" s="288"/>
      <c r="S2496" s="288"/>
      <c r="T2496" s="288"/>
      <c r="U2496" s="288">
        <v>0</v>
      </c>
      <c r="V2496" s="289">
        <v>2.5000000000000001E-2</v>
      </c>
      <c r="W2496" s="289">
        <v>0</v>
      </c>
      <c r="X2496" s="288">
        <v>3.8461538461538464E-3</v>
      </c>
      <c r="Y2496" s="288">
        <v>0</v>
      </c>
      <c r="Z2496" s="288">
        <v>0</v>
      </c>
      <c r="AA2496" s="288">
        <v>0</v>
      </c>
      <c r="AB2496" s="288">
        <v>0</v>
      </c>
      <c r="AC2496" s="289">
        <v>3.8461538461538464E-3</v>
      </c>
      <c r="AD2496" s="289">
        <v>0</v>
      </c>
    </row>
    <row r="2497" spans="1:30" ht="15" customHeight="1" x14ac:dyDescent="0.25">
      <c r="A2497" s="282" t="s">
        <v>3739</v>
      </c>
      <c r="B2497" s="282"/>
      <c r="C2497" s="282" t="s">
        <v>260</v>
      </c>
      <c r="D2497" s="283" t="s">
        <v>3798</v>
      </c>
      <c r="E2497" s="403">
        <v>44334</v>
      </c>
      <c r="F2497" s="403">
        <v>46160</v>
      </c>
      <c r="G2497" s="283" t="s">
        <v>3792</v>
      </c>
      <c r="H2497" s="282" t="s">
        <v>3793</v>
      </c>
      <c r="I2497" s="285"/>
      <c r="J2497" s="282" t="s">
        <v>184</v>
      </c>
      <c r="K2497" s="283" t="s">
        <v>3794</v>
      </c>
      <c r="L2497" s="286" t="s">
        <v>321</v>
      </c>
      <c r="M2497" s="287" t="s">
        <v>159</v>
      </c>
      <c r="N2497" s="287">
        <v>6.5</v>
      </c>
      <c r="O2497" s="287" t="s">
        <v>159</v>
      </c>
      <c r="P2497" s="287" t="s">
        <v>159</v>
      </c>
      <c r="Q2497" s="288">
        <v>2.5000000000000001E-3</v>
      </c>
      <c r="R2497" s="288"/>
      <c r="S2497" s="288"/>
      <c r="T2497" s="288"/>
      <c r="U2497" s="288">
        <v>0</v>
      </c>
      <c r="V2497" s="289">
        <v>2.5000000000000001E-3</v>
      </c>
      <c r="W2497" s="289">
        <v>0</v>
      </c>
      <c r="X2497" s="288">
        <v>3.8461538461538462E-4</v>
      </c>
      <c r="Y2497" s="288">
        <v>0</v>
      </c>
      <c r="Z2497" s="288">
        <v>0</v>
      </c>
      <c r="AA2497" s="288">
        <v>0</v>
      </c>
      <c r="AB2497" s="288">
        <v>0</v>
      </c>
      <c r="AC2497" s="289">
        <v>3.8461538461538462E-4</v>
      </c>
      <c r="AD2497" s="289">
        <v>0</v>
      </c>
    </row>
    <row r="2498" spans="1:30" ht="15" customHeight="1" x14ac:dyDescent="0.25">
      <c r="A2498" s="282" t="s">
        <v>3739</v>
      </c>
      <c r="B2498" s="282"/>
      <c r="C2498" s="282" t="s">
        <v>260</v>
      </c>
      <c r="D2498" s="283" t="s">
        <v>3799</v>
      </c>
      <c r="E2498" s="403">
        <v>44334</v>
      </c>
      <c r="F2498" s="403">
        <v>46160</v>
      </c>
      <c r="G2498" s="283" t="s">
        <v>3792</v>
      </c>
      <c r="H2498" s="282" t="s">
        <v>3793</v>
      </c>
      <c r="I2498" s="285"/>
      <c r="J2498" s="282" t="s">
        <v>184</v>
      </c>
      <c r="K2498" s="283" t="s">
        <v>3794</v>
      </c>
      <c r="L2498" s="286" t="s">
        <v>321</v>
      </c>
      <c r="M2498" s="287" t="s">
        <v>159</v>
      </c>
      <c r="N2498" s="287">
        <v>5</v>
      </c>
      <c r="O2498" s="287" t="s">
        <v>159</v>
      </c>
      <c r="P2498" s="287" t="s">
        <v>159</v>
      </c>
      <c r="Q2498" s="288">
        <v>1.54E-2</v>
      </c>
      <c r="R2498" s="288"/>
      <c r="S2498" s="288"/>
      <c r="T2498" s="288"/>
      <c r="U2498" s="288">
        <v>0</v>
      </c>
      <c r="V2498" s="289">
        <v>1.54E-2</v>
      </c>
      <c r="W2498" s="289">
        <v>0</v>
      </c>
      <c r="X2498" s="288">
        <v>3.0800000000000003E-3</v>
      </c>
      <c r="Y2498" s="288">
        <v>0</v>
      </c>
      <c r="Z2498" s="288">
        <v>0</v>
      </c>
      <c r="AA2498" s="288">
        <v>0</v>
      </c>
      <c r="AB2498" s="288">
        <v>0</v>
      </c>
      <c r="AC2498" s="289">
        <v>3.0800000000000003E-3</v>
      </c>
      <c r="AD2498" s="289">
        <v>0</v>
      </c>
    </row>
    <row r="2499" spans="1:30" ht="15" customHeight="1" x14ac:dyDescent="0.25">
      <c r="A2499" s="282" t="s">
        <v>3739</v>
      </c>
      <c r="B2499" s="282"/>
      <c r="C2499" s="282" t="s">
        <v>260</v>
      </c>
      <c r="D2499" s="283" t="s">
        <v>3800</v>
      </c>
      <c r="E2499" s="403">
        <v>44334</v>
      </c>
      <c r="F2499" s="403">
        <v>46160</v>
      </c>
      <c r="G2499" s="283" t="s">
        <v>3792</v>
      </c>
      <c r="H2499" s="282" t="s">
        <v>3793</v>
      </c>
      <c r="I2499" s="285"/>
      <c r="J2499" s="282" t="s">
        <v>184</v>
      </c>
      <c r="K2499" s="283" t="s">
        <v>3794</v>
      </c>
      <c r="L2499" s="286" t="s">
        <v>321</v>
      </c>
      <c r="M2499" s="287" t="s">
        <v>159</v>
      </c>
      <c r="N2499" s="287">
        <v>5</v>
      </c>
      <c r="O2499" s="287" t="s">
        <v>159</v>
      </c>
      <c r="P2499" s="287" t="s">
        <v>159</v>
      </c>
      <c r="Q2499" s="288">
        <v>1.5399999999999999E-3</v>
      </c>
      <c r="R2499" s="288"/>
      <c r="S2499" s="288"/>
      <c r="T2499" s="288"/>
      <c r="U2499" s="288">
        <v>0</v>
      </c>
      <c r="V2499" s="289">
        <v>1.5399999999999999E-3</v>
      </c>
      <c r="W2499" s="289">
        <v>0</v>
      </c>
      <c r="X2499" s="288">
        <v>3.0800000000000001E-4</v>
      </c>
      <c r="Y2499" s="288">
        <v>0</v>
      </c>
      <c r="Z2499" s="288">
        <v>0</v>
      </c>
      <c r="AA2499" s="288">
        <v>0</v>
      </c>
      <c r="AB2499" s="288">
        <v>0</v>
      </c>
      <c r="AC2499" s="289">
        <v>3.0800000000000001E-4</v>
      </c>
      <c r="AD2499" s="289">
        <v>0</v>
      </c>
    </row>
    <row r="2500" spans="1:30" ht="15" customHeight="1" x14ac:dyDescent="0.25">
      <c r="A2500" s="282" t="s">
        <v>3739</v>
      </c>
      <c r="B2500" s="282"/>
      <c r="C2500" s="282" t="s">
        <v>260</v>
      </c>
      <c r="D2500" s="283" t="s">
        <v>3801</v>
      </c>
      <c r="E2500" s="403">
        <v>43935</v>
      </c>
      <c r="F2500" s="403">
        <v>45754</v>
      </c>
      <c r="G2500" s="283" t="s">
        <v>2202</v>
      </c>
      <c r="H2500" s="282" t="s">
        <v>3802</v>
      </c>
      <c r="I2500" s="285"/>
      <c r="J2500" s="282" t="s">
        <v>184</v>
      </c>
      <c r="K2500" s="283" t="s">
        <v>3803</v>
      </c>
      <c r="L2500" s="286" t="s">
        <v>321</v>
      </c>
      <c r="M2500" s="287" t="s">
        <v>159</v>
      </c>
      <c r="N2500" s="287" t="s">
        <v>159</v>
      </c>
      <c r="O2500" s="287" t="s">
        <v>159</v>
      </c>
      <c r="P2500" s="287" t="s">
        <v>159</v>
      </c>
      <c r="Q2500" s="288">
        <v>1.71</v>
      </c>
      <c r="R2500" s="288"/>
      <c r="S2500" s="288"/>
      <c r="T2500" s="288"/>
      <c r="U2500" s="288">
        <v>0</v>
      </c>
      <c r="V2500" s="289">
        <v>1.71</v>
      </c>
      <c r="W2500" s="289">
        <v>0</v>
      </c>
      <c r="X2500" s="288" t="s">
        <v>159</v>
      </c>
      <c r="Y2500" s="288" t="s">
        <v>159</v>
      </c>
      <c r="Z2500" s="288" t="s">
        <v>159</v>
      </c>
      <c r="AA2500" s="288" t="s">
        <v>159</v>
      </c>
      <c r="AB2500" s="288" t="s">
        <v>159</v>
      </c>
      <c r="AC2500" s="289">
        <v>0</v>
      </c>
      <c r="AD2500" s="289">
        <v>0</v>
      </c>
    </row>
    <row r="2501" spans="1:30" ht="15" customHeight="1" x14ac:dyDescent="0.25">
      <c r="A2501" s="282" t="s">
        <v>3739</v>
      </c>
      <c r="B2501" s="282"/>
      <c r="C2501" s="282" t="s">
        <v>260</v>
      </c>
      <c r="D2501" s="283" t="s">
        <v>3804</v>
      </c>
      <c r="E2501" s="403">
        <v>44650</v>
      </c>
      <c r="F2501" s="403">
        <v>46443</v>
      </c>
      <c r="G2501" s="283" t="s">
        <v>193</v>
      </c>
      <c r="H2501" s="282" t="s">
        <v>3805</v>
      </c>
      <c r="I2501" s="285"/>
      <c r="J2501" s="282" t="s">
        <v>184</v>
      </c>
      <c r="K2501" s="283" t="s">
        <v>3806</v>
      </c>
      <c r="L2501" s="286" t="s">
        <v>321</v>
      </c>
      <c r="M2501" s="287" t="s">
        <v>159</v>
      </c>
      <c r="N2501" s="287">
        <v>5.51</v>
      </c>
      <c r="O2501" s="287" t="s">
        <v>159</v>
      </c>
      <c r="P2501" s="287" t="s">
        <v>159</v>
      </c>
      <c r="Q2501" s="288">
        <v>3.41</v>
      </c>
      <c r="R2501" s="288"/>
      <c r="S2501" s="288"/>
      <c r="T2501" s="288"/>
      <c r="U2501" s="288">
        <v>0</v>
      </c>
      <c r="V2501" s="289">
        <v>3.41</v>
      </c>
      <c r="W2501" s="289">
        <v>0</v>
      </c>
      <c r="X2501" s="288">
        <v>0.61887477313974593</v>
      </c>
      <c r="Y2501" s="288">
        <v>0</v>
      </c>
      <c r="Z2501" s="288">
        <v>0</v>
      </c>
      <c r="AA2501" s="288">
        <v>0</v>
      </c>
      <c r="AB2501" s="288">
        <v>0</v>
      </c>
      <c r="AC2501" s="289">
        <v>0.61887477313974593</v>
      </c>
      <c r="AD2501" s="289">
        <v>0</v>
      </c>
    </row>
    <row r="2502" spans="1:30" ht="15" customHeight="1" x14ac:dyDescent="0.25">
      <c r="A2502" s="282" t="s">
        <v>3739</v>
      </c>
      <c r="B2502" s="282"/>
      <c r="C2502" s="282" t="s">
        <v>260</v>
      </c>
      <c r="D2502" s="283" t="s">
        <v>3807</v>
      </c>
      <c r="E2502" s="403">
        <v>44650</v>
      </c>
      <c r="F2502" s="403">
        <v>46443</v>
      </c>
      <c r="G2502" s="283" t="s">
        <v>193</v>
      </c>
      <c r="H2502" s="282" t="s">
        <v>3805</v>
      </c>
      <c r="I2502" s="285"/>
      <c r="J2502" s="282" t="s">
        <v>184</v>
      </c>
      <c r="K2502" s="283" t="s">
        <v>3806</v>
      </c>
      <c r="L2502" s="286" t="s">
        <v>321</v>
      </c>
      <c r="M2502" s="287" t="s">
        <v>159</v>
      </c>
      <c r="N2502" s="287">
        <v>5.51</v>
      </c>
      <c r="O2502" s="287" t="s">
        <v>159</v>
      </c>
      <c r="P2502" s="287" t="s">
        <v>159</v>
      </c>
      <c r="Q2502" s="288">
        <v>3.55</v>
      </c>
      <c r="R2502" s="288"/>
      <c r="S2502" s="288"/>
      <c r="T2502" s="288"/>
      <c r="U2502" s="288">
        <v>0</v>
      </c>
      <c r="V2502" s="289">
        <v>3.55</v>
      </c>
      <c r="W2502" s="289">
        <v>0</v>
      </c>
      <c r="X2502" s="288">
        <v>0.64428312159709622</v>
      </c>
      <c r="Y2502" s="288">
        <v>0</v>
      </c>
      <c r="Z2502" s="288">
        <v>0</v>
      </c>
      <c r="AA2502" s="288">
        <v>0</v>
      </c>
      <c r="AB2502" s="288">
        <v>0</v>
      </c>
      <c r="AC2502" s="289">
        <v>0.64428312159709622</v>
      </c>
      <c r="AD2502" s="289">
        <v>0</v>
      </c>
    </row>
    <row r="2503" spans="1:30" ht="15" customHeight="1" x14ac:dyDescent="0.25">
      <c r="A2503" s="282" t="s">
        <v>3739</v>
      </c>
      <c r="B2503" s="282"/>
      <c r="C2503" s="282" t="s">
        <v>260</v>
      </c>
      <c r="D2503" s="283" t="s">
        <v>3808</v>
      </c>
      <c r="E2503" s="403">
        <v>44650</v>
      </c>
      <c r="F2503" s="403">
        <v>46443</v>
      </c>
      <c r="G2503" s="283" t="s">
        <v>193</v>
      </c>
      <c r="H2503" s="282" t="s">
        <v>3805</v>
      </c>
      <c r="I2503" s="285"/>
      <c r="J2503" s="282" t="s">
        <v>184</v>
      </c>
      <c r="K2503" s="283" t="s">
        <v>3806</v>
      </c>
      <c r="L2503" s="286" t="s">
        <v>321</v>
      </c>
      <c r="M2503" s="287" t="s">
        <v>159</v>
      </c>
      <c r="N2503" s="287">
        <v>5.51</v>
      </c>
      <c r="O2503" s="287" t="s">
        <v>159</v>
      </c>
      <c r="P2503" s="287" t="s">
        <v>159</v>
      </c>
      <c r="Q2503" s="288">
        <v>2.81</v>
      </c>
      <c r="R2503" s="288"/>
      <c r="S2503" s="288"/>
      <c r="T2503" s="288"/>
      <c r="U2503" s="288">
        <v>0</v>
      </c>
      <c r="V2503" s="289">
        <v>2.81</v>
      </c>
      <c r="W2503" s="289">
        <v>0</v>
      </c>
      <c r="X2503" s="288">
        <v>0.50998185117967332</v>
      </c>
      <c r="Y2503" s="288">
        <v>0</v>
      </c>
      <c r="Z2503" s="288">
        <v>0</v>
      </c>
      <c r="AA2503" s="288">
        <v>0</v>
      </c>
      <c r="AB2503" s="288">
        <v>0</v>
      </c>
      <c r="AC2503" s="289">
        <v>0.50998185117967332</v>
      </c>
      <c r="AD2503" s="289">
        <v>0</v>
      </c>
    </row>
    <row r="2504" spans="1:30" ht="15" customHeight="1" x14ac:dyDescent="0.25">
      <c r="A2504" s="282" t="s">
        <v>3739</v>
      </c>
      <c r="B2504" s="282"/>
      <c r="C2504" s="282" t="s">
        <v>260</v>
      </c>
      <c r="D2504" s="283" t="s">
        <v>3809</v>
      </c>
      <c r="E2504" s="403">
        <v>44650</v>
      </c>
      <c r="F2504" s="403">
        <v>46443</v>
      </c>
      <c r="G2504" s="283" t="s">
        <v>193</v>
      </c>
      <c r="H2504" s="282" t="s">
        <v>3805</v>
      </c>
      <c r="I2504" s="285"/>
      <c r="J2504" s="282" t="s">
        <v>184</v>
      </c>
      <c r="K2504" s="283" t="s">
        <v>3806</v>
      </c>
      <c r="L2504" s="286" t="s">
        <v>321</v>
      </c>
      <c r="M2504" s="287" t="s">
        <v>159</v>
      </c>
      <c r="N2504" s="287">
        <v>5.51</v>
      </c>
      <c r="O2504" s="287" t="s">
        <v>159</v>
      </c>
      <c r="P2504" s="287" t="s">
        <v>159</v>
      </c>
      <c r="Q2504" s="288">
        <v>2.4</v>
      </c>
      <c r="R2504" s="288"/>
      <c r="S2504" s="288"/>
      <c r="T2504" s="288"/>
      <c r="U2504" s="288">
        <v>0</v>
      </c>
      <c r="V2504" s="289">
        <v>2.4</v>
      </c>
      <c r="W2504" s="289">
        <v>0</v>
      </c>
      <c r="X2504" s="288">
        <v>0.43557168784029038</v>
      </c>
      <c r="Y2504" s="288">
        <v>0</v>
      </c>
      <c r="Z2504" s="288">
        <v>0</v>
      </c>
      <c r="AA2504" s="288">
        <v>0</v>
      </c>
      <c r="AB2504" s="288">
        <v>0</v>
      </c>
      <c r="AC2504" s="289">
        <v>0.43557168784029038</v>
      </c>
      <c r="AD2504" s="289">
        <v>0</v>
      </c>
    </row>
    <row r="2505" spans="1:30" ht="15" customHeight="1" x14ac:dyDescent="0.25">
      <c r="A2505" s="282" t="s">
        <v>3739</v>
      </c>
      <c r="B2505" s="282"/>
      <c r="C2505" s="282" t="s">
        <v>260</v>
      </c>
      <c r="D2505" s="283" t="s">
        <v>3810</v>
      </c>
      <c r="E2505" s="403">
        <v>44650</v>
      </c>
      <c r="F2505" s="403">
        <v>46443</v>
      </c>
      <c r="G2505" s="283" t="s">
        <v>193</v>
      </c>
      <c r="H2505" s="282" t="s">
        <v>3805</v>
      </c>
      <c r="I2505" s="285"/>
      <c r="J2505" s="282" t="s">
        <v>184</v>
      </c>
      <c r="K2505" s="283" t="s">
        <v>3806</v>
      </c>
      <c r="L2505" s="286" t="s">
        <v>321</v>
      </c>
      <c r="M2505" s="287" t="s">
        <v>159</v>
      </c>
      <c r="N2505" s="287">
        <v>5.51</v>
      </c>
      <c r="O2505" s="287" t="s">
        <v>159</v>
      </c>
      <c r="P2505" s="287" t="s">
        <v>159</v>
      </c>
      <c r="Q2505" s="288">
        <v>3.9</v>
      </c>
      <c r="R2505" s="288"/>
      <c r="S2505" s="288"/>
      <c r="T2505" s="288"/>
      <c r="U2505" s="288">
        <v>0</v>
      </c>
      <c r="V2505" s="289">
        <v>3.9</v>
      </c>
      <c r="W2505" s="289">
        <v>0</v>
      </c>
      <c r="X2505" s="288">
        <v>0.7078039927404719</v>
      </c>
      <c r="Y2505" s="288">
        <v>0</v>
      </c>
      <c r="Z2505" s="288">
        <v>0</v>
      </c>
      <c r="AA2505" s="288">
        <v>0</v>
      </c>
      <c r="AB2505" s="288">
        <v>0</v>
      </c>
      <c r="AC2505" s="289">
        <v>0.7078039927404719</v>
      </c>
      <c r="AD2505" s="289">
        <v>0</v>
      </c>
    </row>
    <row r="2506" spans="1:30" ht="15" customHeight="1" x14ac:dyDescent="0.25">
      <c r="A2506" s="282" t="s">
        <v>3739</v>
      </c>
      <c r="B2506" s="282"/>
      <c r="C2506" s="282" t="s">
        <v>260</v>
      </c>
      <c r="D2506" s="283" t="s">
        <v>3811</v>
      </c>
      <c r="E2506" s="403">
        <v>44650</v>
      </c>
      <c r="F2506" s="403">
        <v>46443</v>
      </c>
      <c r="G2506" s="283" t="s">
        <v>193</v>
      </c>
      <c r="H2506" s="282" t="s">
        <v>3805</v>
      </c>
      <c r="I2506" s="285"/>
      <c r="J2506" s="282" t="s">
        <v>184</v>
      </c>
      <c r="K2506" s="283" t="s">
        <v>3806</v>
      </c>
      <c r="L2506" s="286" t="s">
        <v>321</v>
      </c>
      <c r="M2506" s="287" t="s">
        <v>159</v>
      </c>
      <c r="N2506" s="287">
        <v>5.51</v>
      </c>
      <c r="O2506" s="287" t="s">
        <v>159</v>
      </c>
      <c r="P2506" s="287" t="s">
        <v>159</v>
      </c>
      <c r="Q2506" s="288">
        <v>2.81</v>
      </c>
      <c r="R2506" s="288"/>
      <c r="S2506" s="288"/>
      <c r="T2506" s="288"/>
      <c r="U2506" s="288">
        <v>0</v>
      </c>
      <c r="V2506" s="289">
        <v>2.81</v>
      </c>
      <c r="W2506" s="289">
        <v>0</v>
      </c>
      <c r="X2506" s="288">
        <v>0.50998185117967332</v>
      </c>
      <c r="Y2506" s="288">
        <v>0</v>
      </c>
      <c r="Z2506" s="288">
        <v>0</v>
      </c>
      <c r="AA2506" s="288">
        <v>0</v>
      </c>
      <c r="AB2506" s="288">
        <v>0</v>
      </c>
      <c r="AC2506" s="289">
        <v>0.50998185117967332</v>
      </c>
      <c r="AD2506" s="289">
        <v>0</v>
      </c>
    </row>
    <row r="2507" spans="1:30" ht="15" customHeight="1" x14ac:dyDescent="0.25">
      <c r="A2507" s="282" t="s">
        <v>3739</v>
      </c>
      <c r="B2507" s="282"/>
      <c r="C2507" s="282" t="s">
        <v>260</v>
      </c>
      <c r="D2507" s="283" t="s">
        <v>3812</v>
      </c>
      <c r="E2507" s="403">
        <v>44650</v>
      </c>
      <c r="F2507" s="403">
        <v>46443</v>
      </c>
      <c r="G2507" s="283" t="s">
        <v>193</v>
      </c>
      <c r="H2507" s="282" t="s">
        <v>3805</v>
      </c>
      <c r="I2507" s="285"/>
      <c r="J2507" s="282" t="s">
        <v>184</v>
      </c>
      <c r="K2507" s="283" t="s">
        <v>3806</v>
      </c>
      <c r="L2507" s="286" t="s">
        <v>321</v>
      </c>
      <c r="M2507" s="287" t="s">
        <v>159</v>
      </c>
      <c r="N2507" s="287">
        <v>5.51</v>
      </c>
      <c r="O2507" s="287" t="s">
        <v>159</v>
      </c>
      <c r="P2507" s="287" t="s">
        <v>159</v>
      </c>
      <c r="Q2507" s="288">
        <v>2.4</v>
      </c>
      <c r="R2507" s="288"/>
      <c r="S2507" s="288"/>
      <c r="T2507" s="288"/>
      <c r="U2507" s="288">
        <v>0</v>
      </c>
      <c r="V2507" s="289">
        <v>2.4</v>
      </c>
      <c r="W2507" s="289">
        <v>0</v>
      </c>
      <c r="X2507" s="288">
        <v>0.43557168784029038</v>
      </c>
      <c r="Y2507" s="288">
        <v>0</v>
      </c>
      <c r="Z2507" s="288">
        <v>0</v>
      </c>
      <c r="AA2507" s="288">
        <v>0</v>
      </c>
      <c r="AB2507" s="288">
        <v>0</v>
      </c>
      <c r="AC2507" s="289">
        <v>0.43557168784029038</v>
      </c>
      <c r="AD2507" s="289">
        <v>0</v>
      </c>
    </row>
    <row r="2508" spans="1:30" ht="15" customHeight="1" x14ac:dyDescent="0.25">
      <c r="A2508" s="282" t="s">
        <v>3739</v>
      </c>
      <c r="B2508" s="282"/>
      <c r="C2508" s="282" t="s">
        <v>260</v>
      </c>
      <c r="D2508" s="283" t="s">
        <v>3813</v>
      </c>
      <c r="E2508" s="403">
        <v>45016</v>
      </c>
      <c r="F2508" s="403">
        <v>46840</v>
      </c>
      <c r="G2508" s="283" t="s">
        <v>237</v>
      </c>
      <c r="H2508" s="282" t="s">
        <v>3814</v>
      </c>
      <c r="I2508" s="285"/>
      <c r="J2508" s="282" t="s">
        <v>184</v>
      </c>
      <c r="K2508" s="283" t="s">
        <v>3815</v>
      </c>
      <c r="L2508" s="286" t="s">
        <v>321</v>
      </c>
      <c r="M2508" s="287" t="s">
        <v>159</v>
      </c>
      <c r="N2508" s="287" t="s">
        <v>159</v>
      </c>
      <c r="O2508" s="287" t="s">
        <v>159</v>
      </c>
      <c r="P2508" s="287" t="s">
        <v>159</v>
      </c>
      <c r="Q2508" s="288">
        <v>6.34</v>
      </c>
      <c r="R2508" s="288">
        <v>6.32</v>
      </c>
      <c r="S2508" s="288">
        <v>4.2199999999999998E-3</v>
      </c>
      <c r="T2508" s="288">
        <v>1.4999999999999999E-2</v>
      </c>
      <c r="U2508" s="288">
        <v>0</v>
      </c>
      <c r="V2508" s="289">
        <v>6.3392200000000001</v>
      </c>
      <c r="W2508" s="289">
        <v>0</v>
      </c>
      <c r="X2508" s="288" t="s">
        <v>159</v>
      </c>
      <c r="Y2508" s="288" t="s">
        <v>159</v>
      </c>
      <c r="Z2508" s="288" t="s">
        <v>159</v>
      </c>
      <c r="AA2508" s="288" t="s">
        <v>159</v>
      </c>
      <c r="AB2508" s="288" t="s">
        <v>159</v>
      </c>
      <c r="AC2508" s="289">
        <v>0</v>
      </c>
      <c r="AD2508" s="289">
        <v>0</v>
      </c>
    </row>
    <row r="2509" spans="1:30" ht="15" customHeight="1" x14ac:dyDescent="0.25">
      <c r="A2509" s="282" t="s">
        <v>3739</v>
      </c>
      <c r="B2509" s="282"/>
      <c r="C2509" s="282" t="s">
        <v>260</v>
      </c>
      <c r="D2509" s="283" t="s">
        <v>3816</v>
      </c>
      <c r="E2509" s="403">
        <v>45016</v>
      </c>
      <c r="F2509" s="403">
        <v>46840</v>
      </c>
      <c r="G2509" s="283" t="s">
        <v>237</v>
      </c>
      <c r="H2509" s="282" t="s">
        <v>3814</v>
      </c>
      <c r="I2509" s="285"/>
      <c r="J2509" s="282" t="s">
        <v>184</v>
      </c>
      <c r="K2509" s="283" t="s">
        <v>3815</v>
      </c>
      <c r="L2509" s="286" t="s">
        <v>321</v>
      </c>
      <c r="M2509" s="287" t="s">
        <v>159</v>
      </c>
      <c r="N2509" s="287" t="s">
        <v>159</v>
      </c>
      <c r="O2509" s="287" t="s">
        <v>159</v>
      </c>
      <c r="P2509" s="287" t="s">
        <v>159</v>
      </c>
      <c r="Q2509" s="288">
        <v>3.52</v>
      </c>
      <c r="R2509" s="288">
        <v>3.51</v>
      </c>
      <c r="S2509" s="288">
        <v>2.99E-3</v>
      </c>
      <c r="T2509" s="288"/>
      <c r="U2509" s="288">
        <v>0</v>
      </c>
      <c r="V2509" s="289">
        <v>3.5129899999999998</v>
      </c>
      <c r="W2509" s="289">
        <v>0</v>
      </c>
      <c r="X2509" s="288" t="s">
        <v>159</v>
      </c>
      <c r="Y2509" s="288" t="s">
        <v>159</v>
      </c>
      <c r="Z2509" s="288" t="s">
        <v>159</v>
      </c>
      <c r="AA2509" s="288" t="s">
        <v>159</v>
      </c>
      <c r="AB2509" s="288" t="s">
        <v>159</v>
      </c>
      <c r="AC2509" s="289">
        <v>0</v>
      </c>
      <c r="AD2509" s="289">
        <v>0</v>
      </c>
    </row>
    <row r="2510" spans="1:30" ht="15" customHeight="1" x14ac:dyDescent="0.25">
      <c r="A2510" s="282" t="s">
        <v>3817</v>
      </c>
      <c r="B2510" s="282" t="s">
        <v>3818</v>
      </c>
      <c r="C2510" s="282" t="s">
        <v>260</v>
      </c>
      <c r="D2510" s="283" t="s">
        <v>3819</v>
      </c>
      <c r="E2510" s="403">
        <v>45184</v>
      </c>
      <c r="F2510" s="403">
        <v>47011</v>
      </c>
      <c r="G2510" s="283" t="s">
        <v>237</v>
      </c>
      <c r="H2510" s="282" t="s">
        <v>3820</v>
      </c>
      <c r="I2510" s="285"/>
      <c r="J2510" s="282" t="s">
        <v>184</v>
      </c>
      <c r="K2510" s="283" t="s">
        <v>3821</v>
      </c>
      <c r="L2510" s="286" t="s">
        <v>321</v>
      </c>
      <c r="M2510" s="287" t="s">
        <v>159</v>
      </c>
      <c r="N2510" s="287">
        <v>36.08</v>
      </c>
      <c r="O2510" s="287" t="s">
        <v>159</v>
      </c>
      <c r="P2510" s="287" t="s">
        <v>159</v>
      </c>
      <c r="Q2510" s="288">
        <v>32.6</v>
      </c>
      <c r="R2510" s="288">
        <v>56.7</v>
      </c>
      <c r="S2510" s="288">
        <v>-25.8</v>
      </c>
      <c r="T2510" s="288">
        <v>1.56</v>
      </c>
      <c r="U2510" s="288">
        <v>16.6496</v>
      </c>
      <c r="V2510" s="289">
        <v>58.260000000000005</v>
      </c>
      <c r="W2510" s="289">
        <v>16.6496</v>
      </c>
      <c r="X2510" s="288">
        <v>0.90354767184035489</v>
      </c>
      <c r="Y2510" s="288">
        <v>1.571507760532151</v>
      </c>
      <c r="Z2510" s="288">
        <v>-0.71507760532150777</v>
      </c>
      <c r="AA2510" s="288">
        <v>4.3237250554323731E-2</v>
      </c>
      <c r="AB2510" s="288">
        <v>0.46146341463414636</v>
      </c>
      <c r="AC2510" s="289">
        <v>1.6147450110864747</v>
      </c>
      <c r="AD2510" s="289">
        <v>0.46146341463414636</v>
      </c>
    </row>
    <row r="2511" spans="1:30" ht="15" customHeight="1" x14ac:dyDescent="0.25">
      <c r="A2511" s="282" t="s">
        <v>3817</v>
      </c>
      <c r="B2511" s="282" t="s">
        <v>3822</v>
      </c>
      <c r="C2511" s="282" t="s">
        <v>260</v>
      </c>
      <c r="D2511" s="283" t="s">
        <v>3823</v>
      </c>
      <c r="E2511" s="403">
        <v>44753</v>
      </c>
      <c r="F2511" s="403">
        <v>46579</v>
      </c>
      <c r="G2511" s="283" t="s">
        <v>3824</v>
      </c>
      <c r="H2511" s="282" t="s">
        <v>3825</v>
      </c>
      <c r="I2511" s="285"/>
      <c r="J2511" s="282" t="s">
        <v>184</v>
      </c>
      <c r="K2511" s="283" t="s">
        <v>3826</v>
      </c>
      <c r="L2511" s="286" t="s">
        <v>321</v>
      </c>
      <c r="M2511" s="287" t="s">
        <v>159</v>
      </c>
      <c r="N2511" s="287">
        <v>43.345000000000006</v>
      </c>
      <c r="O2511" s="287" t="s">
        <v>159</v>
      </c>
      <c r="P2511" s="287" t="s">
        <v>159</v>
      </c>
      <c r="Q2511" s="288">
        <v>281</v>
      </c>
      <c r="R2511" s="288">
        <v>285</v>
      </c>
      <c r="S2511" s="288">
        <v>-2.5899999999999999E-2</v>
      </c>
      <c r="T2511" s="288">
        <v>6.8000000000000005E-4</v>
      </c>
      <c r="U2511" s="288">
        <v>0</v>
      </c>
      <c r="V2511" s="289">
        <v>285.00067999999999</v>
      </c>
      <c r="W2511" s="289">
        <v>0</v>
      </c>
      <c r="X2511" s="288">
        <v>6.4828699965393923</v>
      </c>
      <c r="Y2511" s="288">
        <v>6.5751528434652196</v>
      </c>
      <c r="Z2511" s="288">
        <v>-5.97531433844734E-4</v>
      </c>
      <c r="AA2511" s="288">
        <v>1.5688083977390701E-5</v>
      </c>
      <c r="AB2511" s="288">
        <v>0</v>
      </c>
      <c r="AC2511" s="289">
        <v>6.5751685315491972</v>
      </c>
      <c r="AD2511" s="289">
        <v>0</v>
      </c>
    </row>
    <row r="2512" spans="1:30" ht="15" customHeight="1" x14ac:dyDescent="0.25">
      <c r="A2512" s="282" t="s">
        <v>3817</v>
      </c>
      <c r="B2512" s="282" t="s">
        <v>3822</v>
      </c>
      <c r="C2512" s="282" t="s">
        <v>260</v>
      </c>
      <c r="D2512" s="283" t="s">
        <v>3827</v>
      </c>
      <c r="E2512" s="403">
        <v>44571</v>
      </c>
      <c r="F2512" s="403">
        <v>46397</v>
      </c>
      <c r="G2512" s="283" t="s">
        <v>237</v>
      </c>
      <c r="H2512" s="282" t="s">
        <v>3828</v>
      </c>
      <c r="I2512" s="285"/>
      <c r="J2512" s="282" t="s">
        <v>184</v>
      </c>
      <c r="K2512" s="283" t="s">
        <v>3829</v>
      </c>
      <c r="L2512" s="286" t="s">
        <v>321</v>
      </c>
      <c r="M2512" s="287" t="s">
        <v>159</v>
      </c>
      <c r="N2512" s="287">
        <v>51.005434782608695</v>
      </c>
      <c r="O2512" s="287" t="s">
        <v>159</v>
      </c>
      <c r="P2512" s="287" t="s">
        <v>159</v>
      </c>
      <c r="Q2512" s="288">
        <v>165</v>
      </c>
      <c r="R2512" s="288">
        <v>164</v>
      </c>
      <c r="S2512" s="288">
        <v>0.76700000000000002</v>
      </c>
      <c r="T2512" s="288">
        <v>0.67100000000000004</v>
      </c>
      <c r="U2512" s="288">
        <v>0</v>
      </c>
      <c r="V2512" s="289">
        <v>165.43799999999999</v>
      </c>
      <c r="W2512" s="289">
        <v>0</v>
      </c>
      <c r="X2512" s="288">
        <v>3.2349493873201918</v>
      </c>
      <c r="Y2512" s="288">
        <v>3.2153436334576453</v>
      </c>
      <c r="Z2512" s="288">
        <v>1.5037613212573256E-2</v>
      </c>
      <c r="AA2512" s="288">
        <v>1.315546084176878E-2</v>
      </c>
      <c r="AB2512" s="288">
        <v>0</v>
      </c>
      <c r="AC2512" s="289">
        <v>3.2435367075119874</v>
      </c>
      <c r="AD2512" s="289">
        <v>0</v>
      </c>
    </row>
    <row r="2513" spans="1:30" ht="15" customHeight="1" x14ac:dyDescent="0.25">
      <c r="A2513" s="282" t="s">
        <v>3817</v>
      </c>
      <c r="B2513" s="282" t="s">
        <v>3822</v>
      </c>
      <c r="C2513" s="282" t="s">
        <v>260</v>
      </c>
      <c r="D2513" s="283" t="s">
        <v>3830</v>
      </c>
      <c r="E2513" s="403">
        <v>44034</v>
      </c>
      <c r="F2513" s="403">
        <v>45860</v>
      </c>
      <c r="G2513" s="283" t="s">
        <v>237</v>
      </c>
      <c r="H2513" s="282" t="s">
        <v>3831</v>
      </c>
      <c r="I2513" s="285"/>
      <c r="J2513" s="282" t="s">
        <v>184</v>
      </c>
      <c r="K2513" s="283" t="s">
        <v>3832</v>
      </c>
      <c r="L2513" s="286" t="s">
        <v>321</v>
      </c>
      <c r="M2513" s="287" t="s">
        <v>159</v>
      </c>
      <c r="N2513" s="287">
        <v>48.8</v>
      </c>
      <c r="O2513" s="287" t="s">
        <v>159</v>
      </c>
      <c r="P2513" s="287" t="s">
        <v>159</v>
      </c>
      <c r="Q2513" s="288">
        <v>117</v>
      </c>
      <c r="R2513" s="288">
        <v>117</v>
      </c>
      <c r="S2513" s="288">
        <v>0.112</v>
      </c>
      <c r="T2513" s="288">
        <v>0.14599999999999999</v>
      </c>
      <c r="U2513" s="288">
        <v>0</v>
      </c>
      <c r="V2513" s="289">
        <v>117.258</v>
      </c>
      <c r="W2513" s="289">
        <v>0</v>
      </c>
      <c r="X2513" s="288">
        <v>2.3975409836065573</v>
      </c>
      <c r="Y2513" s="288">
        <v>2.3975409836065573</v>
      </c>
      <c r="Z2513" s="288">
        <v>2.2950819672131148E-3</v>
      </c>
      <c r="AA2513" s="288">
        <v>2.9918032786885244E-3</v>
      </c>
      <c r="AB2513" s="288">
        <v>0</v>
      </c>
      <c r="AC2513" s="289">
        <v>2.4028278688524591</v>
      </c>
      <c r="AD2513" s="289">
        <v>0</v>
      </c>
    </row>
    <row r="2514" spans="1:30" ht="15" customHeight="1" x14ac:dyDescent="0.25">
      <c r="A2514" s="282" t="s">
        <v>3817</v>
      </c>
      <c r="B2514" s="282" t="s">
        <v>3822</v>
      </c>
      <c r="C2514" s="282" t="s">
        <v>260</v>
      </c>
      <c r="D2514" s="283" t="s">
        <v>3833</v>
      </c>
      <c r="E2514" s="403">
        <v>44571</v>
      </c>
      <c r="F2514" s="403">
        <v>46397</v>
      </c>
      <c r="G2514" s="283" t="s">
        <v>237</v>
      </c>
      <c r="H2514" s="282" t="s">
        <v>3828</v>
      </c>
      <c r="I2514" s="285"/>
      <c r="J2514" s="282" t="s">
        <v>184</v>
      </c>
      <c r="K2514" s="283" t="s">
        <v>3829</v>
      </c>
      <c r="L2514" s="286" t="s">
        <v>321</v>
      </c>
      <c r="M2514" s="287" t="s">
        <v>159</v>
      </c>
      <c r="N2514" s="287">
        <v>34.815217391304344</v>
      </c>
      <c r="O2514" s="287" t="s">
        <v>159</v>
      </c>
      <c r="P2514" s="287" t="s">
        <v>159</v>
      </c>
      <c r="Q2514" s="288">
        <v>117</v>
      </c>
      <c r="R2514" s="288">
        <v>116</v>
      </c>
      <c r="S2514" s="288">
        <v>0.70199999999999996</v>
      </c>
      <c r="T2514" s="288">
        <v>0.53200000000000003</v>
      </c>
      <c r="U2514" s="288">
        <v>0</v>
      </c>
      <c r="V2514" s="289">
        <v>117.23399999999999</v>
      </c>
      <c r="W2514" s="289">
        <v>0</v>
      </c>
      <c r="X2514" s="288">
        <v>3.36059943802685</v>
      </c>
      <c r="Y2514" s="288">
        <v>3.3318763659069628</v>
      </c>
      <c r="Z2514" s="288">
        <v>2.0163596628161098E-2</v>
      </c>
      <c r="AA2514" s="288">
        <v>1.5280674367780208E-2</v>
      </c>
      <c r="AB2514" s="288">
        <v>0</v>
      </c>
      <c r="AC2514" s="289">
        <v>3.3673206369029041</v>
      </c>
      <c r="AD2514" s="289">
        <v>0</v>
      </c>
    </row>
    <row r="2515" spans="1:30" ht="15" customHeight="1" x14ac:dyDescent="0.25">
      <c r="A2515" s="282" t="s">
        <v>3817</v>
      </c>
      <c r="B2515" s="282" t="s">
        <v>3822</v>
      </c>
      <c r="C2515" s="282" t="s">
        <v>260</v>
      </c>
      <c r="D2515" s="283" t="s">
        <v>3834</v>
      </c>
      <c r="E2515" s="403">
        <v>44571</v>
      </c>
      <c r="F2515" s="403">
        <v>46397</v>
      </c>
      <c r="G2515" s="283" t="s">
        <v>237</v>
      </c>
      <c r="H2515" s="282" t="s">
        <v>3828</v>
      </c>
      <c r="I2515" s="285"/>
      <c r="J2515" s="282" t="s">
        <v>184</v>
      </c>
      <c r="K2515" s="283" t="s">
        <v>3829</v>
      </c>
      <c r="L2515" s="286" t="s">
        <v>321</v>
      </c>
      <c r="M2515" s="287" t="s">
        <v>159</v>
      </c>
      <c r="N2515" s="287">
        <v>51.364130434782609</v>
      </c>
      <c r="O2515" s="287" t="s">
        <v>159</v>
      </c>
      <c r="P2515" s="287" t="s">
        <v>159</v>
      </c>
      <c r="Q2515" s="288">
        <v>135</v>
      </c>
      <c r="R2515" s="288">
        <v>134</v>
      </c>
      <c r="S2515" s="288">
        <v>0.71499999999999997</v>
      </c>
      <c r="T2515" s="288">
        <v>0.50800000000000001</v>
      </c>
      <c r="U2515" s="288">
        <v>0</v>
      </c>
      <c r="V2515" s="289">
        <v>135.22300000000001</v>
      </c>
      <c r="W2515" s="289">
        <v>0</v>
      </c>
      <c r="X2515" s="288">
        <v>2.6282933022960533</v>
      </c>
      <c r="Y2515" s="288">
        <v>2.6088244630197863</v>
      </c>
      <c r="Z2515" s="288">
        <v>1.3920220082530948E-2</v>
      </c>
      <c r="AA2515" s="288">
        <v>9.8901703523436666E-3</v>
      </c>
      <c r="AB2515" s="288">
        <v>0</v>
      </c>
      <c r="AC2515" s="289">
        <v>2.6326348534546611</v>
      </c>
      <c r="AD2515" s="289">
        <v>0</v>
      </c>
    </row>
    <row r="2516" spans="1:30" ht="15" customHeight="1" x14ac:dyDescent="0.25">
      <c r="A2516" s="282" t="s">
        <v>3817</v>
      </c>
      <c r="B2516" s="282" t="s">
        <v>3822</v>
      </c>
      <c r="C2516" s="282" t="s">
        <v>260</v>
      </c>
      <c r="D2516" s="283" t="s">
        <v>3835</v>
      </c>
      <c r="E2516" s="403">
        <v>45005</v>
      </c>
      <c r="F2516" s="403">
        <v>46831</v>
      </c>
      <c r="G2516" s="283" t="s">
        <v>237</v>
      </c>
      <c r="H2516" s="282" t="s">
        <v>3836</v>
      </c>
      <c r="I2516" s="285"/>
      <c r="J2516" s="282" t="s">
        <v>184</v>
      </c>
      <c r="K2516" s="283" t="s">
        <v>3837</v>
      </c>
      <c r="L2516" s="286" t="s">
        <v>321</v>
      </c>
      <c r="M2516" s="287" t="s">
        <v>159</v>
      </c>
      <c r="N2516" s="287">
        <v>40.020000000000003</v>
      </c>
      <c r="O2516" s="287" t="s">
        <v>159</v>
      </c>
      <c r="P2516" s="287" t="s">
        <v>159</v>
      </c>
      <c r="Q2516" s="288">
        <v>46.1</v>
      </c>
      <c r="R2516" s="288">
        <v>63.2</v>
      </c>
      <c r="S2516" s="288">
        <v>-17.2</v>
      </c>
      <c r="T2516" s="288">
        <v>5.6099999999999997E-2</v>
      </c>
      <c r="U2516" s="288">
        <v>30.8</v>
      </c>
      <c r="V2516" s="289">
        <v>76.856099999999998</v>
      </c>
      <c r="W2516" s="289">
        <v>30.8</v>
      </c>
      <c r="X2516" s="288">
        <v>1.1519240379810094</v>
      </c>
      <c r="Y2516" s="288">
        <v>1.5792103948025986</v>
      </c>
      <c r="Z2516" s="288">
        <v>-0.42978510744627679</v>
      </c>
      <c r="AA2516" s="288">
        <v>1.401799100449775E-3</v>
      </c>
      <c r="AB2516" s="288">
        <v>0.76961519240379805</v>
      </c>
      <c r="AC2516" s="289">
        <v>1.9204422788605697</v>
      </c>
      <c r="AD2516" s="289">
        <v>0.76961519240379805</v>
      </c>
    </row>
    <row r="2517" spans="1:30" ht="15" customHeight="1" x14ac:dyDescent="0.25">
      <c r="A2517" s="282" t="s">
        <v>3817</v>
      </c>
      <c r="B2517" s="282" t="s">
        <v>3818</v>
      </c>
      <c r="C2517" s="282" t="s">
        <v>260</v>
      </c>
      <c r="D2517" s="283" t="s">
        <v>3838</v>
      </c>
      <c r="E2517" s="403">
        <v>45005</v>
      </c>
      <c r="F2517" s="403">
        <v>46831</v>
      </c>
      <c r="G2517" s="283" t="s">
        <v>237</v>
      </c>
      <c r="H2517" s="282" t="s">
        <v>3839</v>
      </c>
      <c r="I2517" s="285"/>
      <c r="J2517" s="282" t="s">
        <v>184</v>
      </c>
      <c r="K2517" s="283" t="s">
        <v>3840</v>
      </c>
      <c r="L2517" s="286" t="s">
        <v>321</v>
      </c>
      <c r="M2517" s="287" t="s">
        <v>159</v>
      </c>
      <c r="N2517" s="287">
        <v>35.521978021978022</v>
      </c>
      <c r="O2517" s="287" t="s">
        <v>159</v>
      </c>
      <c r="P2517" s="287" t="s">
        <v>159</v>
      </c>
      <c r="Q2517" s="288">
        <v>38.799999999999997</v>
      </c>
      <c r="R2517" s="288">
        <v>54.5</v>
      </c>
      <c r="S2517" s="288">
        <v>-15.9</v>
      </c>
      <c r="T2517" s="288">
        <v>9.4200000000000006E-2</v>
      </c>
      <c r="U2517" s="288">
        <v>26.400000000000002</v>
      </c>
      <c r="V2517" s="289">
        <v>65.094200000000001</v>
      </c>
      <c r="W2517" s="289">
        <v>26.400000000000002</v>
      </c>
      <c r="X2517" s="288">
        <v>1.0922815158546015</v>
      </c>
      <c r="Y2517" s="288">
        <v>1.5342614075792731</v>
      </c>
      <c r="Z2517" s="288">
        <v>-0.44761020881670532</v>
      </c>
      <c r="AA2517" s="288">
        <v>2.6518793503480281E-3</v>
      </c>
      <c r="AB2517" s="288">
        <v>0.74320185614849199</v>
      </c>
      <c r="AC2517" s="289">
        <v>1.8325049342614079</v>
      </c>
      <c r="AD2517" s="289">
        <v>0.74320185614849199</v>
      </c>
    </row>
    <row r="2518" spans="1:30" ht="15" customHeight="1" x14ac:dyDescent="0.25">
      <c r="A2518" s="282" t="s">
        <v>3817</v>
      </c>
      <c r="B2518" s="282" t="s">
        <v>3818</v>
      </c>
      <c r="C2518" s="282" t="s">
        <v>260</v>
      </c>
      <c r="D2518" s="283" t="s">
        <v>3841</v>
      </c>
      <c r="E2518" s="403">
        <v>44697</v>
      </c>
      <c r="F2518" s="403">
        <v>46522</v>
      </c>
      <c r="G2518" s="283" t="s">
        <v>237</v>
      </c>
      <c r="H2518" s="282" t="s">
        <v>3842</v>
      </c>
      <c r="I2518" s="285"/>
      <c r="J2518" s="282" t="s">
        <v>184</v>
      </c>
      <c r="K2518" s="283" t="s">
        <v>191</v>
      </c>
      <c r="L2518" s="286" t="s">
        <v>321</v>
      </c>
      <c r="M2518" s="287" t="s">
        <v>159</v>
      </c>
      <c r="N2518" s="287">
        <v>37.17</v>
      </c>
      <c r="O2518" s="287" t="s">
        <v>159</v>
      </c>
      <c r="P2518" s="287" t="s">
        <v>159</v>
      </c>
      <c r="Q2518" s="288">
        <v>37.380000000000003</v>
      </c>
      <c r="R2518" s="288">
        <v>54.62</v>
      </c>
      <c r="S2518" s="288">
        <v>-17.54</v>
      </c>
      <c r="T2518" s="288">
        <v>0.13</v>
      </c>
      <c r="U2518" s="288">
        <v>18.7</v>
      </c>
      <c r="V2518" s="289">
        <v>55.91</v>
      </c>
      <c r="W2518" s="289">
        <v>18.7</v>
      </c>
      <c r="X2518" s="288">
        <v>1.0056497175141244</v>
      </c>
      <c r="Y2518" s="288">
        <v>1.4694646220069947</v>
      </c>
      <c r="Z2518" s="288">
        <v>-0.47188592951304809</v>
      </c>
      <c r="AA2518" s="288">
        <v>3.4974441754102772E-3</v>
      </c>
      <c r="AB2518" s="288">
        <v>0.50309389292440132</v>
      </c>
      <c r="AC2518" s="289">
        <v>1.5041700295937581</v>
      </c>
      <c r="AD2518" s="289">
        <v>0.50309389292440132</v>
      </c>
    </row>
    <row r="2519" spans="1:30" ht="15" customHeight="1" x14ac:dyDescent="0.25">
      <c r="A2519" s="72" t="s">
        <v>3817</v>
      </c>
      <c r="B2519" s="72" t="s">
        <v>3818</v>
      </c>
      <c r="C2519" s="72" t="s">
        <v>260</v>
      </c>
      <c r="D2519" s="296" t="s">
        <v>3841</v>
      </c>
      <c r="E2519" s="406">
        <v>44697</v>
      </c>
      <c r="F2519" s="406">
        <v>46522</v>
      </c>
      <c r="G2519" s="296" t="s">
        <v>237</v>
      </c>
      <c r="H2519" s="72" t="s">
        <v>3842</v>
      </c>
      <c r="I2519" s="297"/>
      <c r="J2519" s="72" t="s">
        <v>184</v>
      </c>
      <c r="K2519" s="296" t="s">
        <v>191</v>
      </c>
      <c r="L2519" s="298" t="s">
        <v>321</v>
      </c>
      <c r="M2519" s="299" t="s">
        <v>159</v>
      </c>
      <c r="N2519" s="299">
        <v>37.17</v>
      </c>
      <c r="O2519" s="299" t="s">
        <v>159</v>
      </c>
      <c r="P2519" s="299" t="s">
        <v>159</v>
      </c>
      <c r="Q2519" s="300">
        <v>37.380000000000003</v>
      </c>
      <c r="R2519" s="300">
        <v>54.62</v>
      </c>
      <c r="S2519" s="300">
        <v>-17.54</v>
      </c>
      <c r="T2519" s="300">
        <v>0.13</v>
      </c>
      <c r="U2519" s="300">
        <v>18.7</v>
      </c>
      <c r="V2519" s="301">
        <v>55.91</v>
      </c>
      <c r="W2519" s="301">
        <v>18.7</v>
      </c>
      <c r="X2519" s="300">
        <v>1.0056497175141244</v>
      </c>
      <c r="Y2519" s="300">
        <v>1.4694646220069947</v>
      </c>
      <c r="Z2519" s="300">
        <v>-0.47188592951304809</v>
      </c>
      <c r="AA2519" s="300">
        <v>3.4974441754102772E-3</v>
      </c>
      <c r="AB2519" s="300">
        <v>0.50309389292440132</v>
      </c>
      <c r="AC2519" s="301">
        <v>1.5041700295937581</v>
      </c>
      <c r="AD2519" s="301">
        <v>0.50309389292440132</v>
      </c>
    </row>
    <row r="2520" spans="1:30" x14ac:dyDescent="0.25">
      <c r="A2520" s="302"/>
      <c r="B2520" s="302"/>
      <c r="C2520" s="302"/>
      <c r="D2520" s="303"/>
      <c r="E2520" s="407"/>
      <c r="F2520" s="407"/>
      <c r="G2520" s="303"/>
      <c r="H2520" s="302"/>
      <c r="I2520" s="304"/>
      <c r="J2520" s="302"/>
      <c r="K2520" s="303"/>
      <c r="L2520" s="305"/>
      <c r="M2520" s="306"/>
      <c r="N2520" s="306"/>
      <c r="O2520" s="306"/>
      <c r="P2520" s="306"/>
      <c r="Q2520" s="307"/>
      <c r="R2520" s="307"/>
      <c r="S2520" s="307"/>
      <c r="T2520" s="307"/>
      <c r="U2520" s="307"/>
      <c r="V2520" s="308"/>
      <c r="W2520" s="308"/>
      <c r="X2520" s="307"/>
      <c r="Y2520" s="307"/>
      <c r="Z2520" s="307"/>
      <c r="AA2520" s="307"/>
      <c r="AB2520" s="307"/>
      <c r="AC2520" s="308"/>
      <c r="AD2520" s="309"/>
    </row>
  </sheetData>
  <mergeCells count="1">
    <mergeCell ref="A3:C3"/>
  </mergeCells>
  <phoneticPr fontId="4" type="noConversion"/>
  <hyperlinks>
    <hyperlink ref="K1273" r:id="rId1" xr:uid="{FC2119BD-4770-42C0-ADB3-22872B750FF3}"/>
    <hyperlink ref="K497:K518" r:id="rId2" display="https://epd-australasia.com/wp-content/uploads/2023/04/SP05522-Adbri-EPD-Concrete_NT_Mar23.pdf" xr:uid="{25693AF0-C9C3-47D6-99E2-76F54791B4AE}"/>
    <hyperlink ref="K498:K698" r:id="rId3" display="https://epd-australasia.com/wp-content/uploads/2023/04/SP05522-Adbri-EPD-Concrete_NT_Mar23.pdf" xr:uid="{8D2DFBD9-0376-41CC-ABA7-D7A8869AA4C1}"/>
  </hyperlinks>
  <pageMargins left="0.7" right="0.7" top="0.75" bottom="0.75" header="0.3" footer="0.3"/>
  <pageSetup paperSize="9" orientation="portrait" r:id="rId4"/>
  <tableParts count="1">
    <tablePart r:id="rId5"/>
  </tablePar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AD6B89-A4E8-44A1-9C83-DF3F71532A5A}">
  <sheetPr codeName="Sheet28">
    <tabColor rgb="FF00CCFF"/>
  </sheetPr>
  <dimension ref="A1:I166"/>
  <sheetViews>
    <sheetView showGridLines="0" zoomScale="80" zoomScaleNormal="80" workbookViewId="0"/>
  </sheetViews>
  <sheetFormatPr defaultRowHeight="13.2" x14ac:dyDescent="0.25"/>
  <cols>
    <col min="1" max="1" width="26.109375" customWidth="1"/>
    <col min="2" max="2" width="128.88671875" customWidth="1"/>
    <col min="3" max="3" width="21" customWidth="1"/>
    <col min="4" max="6" width="19.88671875" style="96" customWidth="1"/>
    <col min="7" max="7" width="23.5546875" style="96" customWidth="1"/>
    <col min="8" max="8" width="14.44140625" customWidth="1"/>
  </cols>
  <sheetData>
    <row r="1" spans="1:7" x14ac:dyDescent="0.25">
      <c r="A1" s="4" t="str" cm="1">
        <f t="array" aca="1" ref="A1" ca="1">MID(CELL("filename",A1),FIND("]",CELL("filename",A1))+1,255)</f>
        <v>Steel_cladding_painted</v>
      </c>
    </row>
    <row r="2" spans="1:7" x14ac:dyDescent="0.25">
      <c r="A2" s="4"/>
    </row>
    <row r="3" spans="1:7" x14ac:dyDescent="0.25">
      <c r="A3" s="4" t="s">
        <v>4048</v>
      </c>
      <c r="B3" t="s">
        <v>4170</v>
      </c>
    </row>
    <row r="4" spans="1:7" x14ac:dyDescent="0.25">
      <c r="A4" s="4"/>
    </row>
    <row r="5" spans="1:7" ht="73.5" customHeight="1" x14ac:dyDescent="0.25">
      <c r="A5" s="26" t="s">
        <v>4050</v>
      </c>
      <c r="B5" s="14" t="s">
        <v>4171</v>
      </c>
    </row>
    <row r="6" spans="1:7" x14ac:dyDescent="0.25">
      <c r="A6" s="26" t="s">
        <v>4052</v>
      </c>
      <c r="B6" s="27" t="s">
        <v>68</v>
      </c>
    </row>
    <row r="7" spans="1:7" x14ac:dyDescent="0.25">
      <c r="A7" s="26" t="s">
        <v>4053</v>
      </c>
      <c r="B7" s="27" t="s">
        <v>68</v>
      </c>
    </row>
    <row r="8" spans="1:7" x14ac:dyDescent="0.25">
      <c r="A8" s="26" t="s">
        <v>4054</v>
      </c>
      <c r="B8" s="27" t="s">
        <v>68</v>
      </c>
    </row>
    <row r="9" spans="1:7" x14ac:dyDescent="0.25">
      <c r="A9" s="26" t="s">
        <v>4055</v>
      </c>
      <c r="B9" s="4" t="s">
        <v>68</v>
      </c>
    </row>
    <row r="10" spans="1:7" x14ac:dyDescent="0.25">
      <c r="A10" s="26"/>
      <c r="B10" s="4"/>
    </row>
    <row r="11" spans="1:7" ht="26.4" x14ac:dyDescent="0.25">
      <c r="A11" s="26" t="s">
        <v>4056</v>
      </c>
      <c r="B11" s="14" t="s">
        <v>4169</v>
      </c>
    </row>
    <row r="12" spans="1:7" x14ac:dyDescent="0.25">
      <c r="A12" s="101"/>
    </row>
    <row r="13" spans="1:7" x14ac:dyDescent="0.25">
      <c r="A13" s="101"/>
    </row>
    <row r="14" spans="1:7" x14ac:dyDescent="0.25">
      <c r="A14" s="26" t="s">
        <v>4057</v>
      </c>
    </row>
    <row r="15" spans="1:7" x14ac:dyDescent="0.25">
      <c r="A15" s="26"/>
      <c r="D15" s="112" t="s">
        <v>4058</v>
      </c>
      <c r="E15" s="113"/>
      <c r="F15" s="114" t="s">
        <v>4059</v>
      </c>
      <c r="G15" s="113"/>
    </row>
    <row r="16" spans="1:7" ht="39.6" x14ac:dyDescent="0.25">
      <c r="B16" s="28" t="s">
        <v>3302</v>
      </c>
      <c r="C16" s="23" t="s">
        <v>23</v>
      </c>
      <c r="D16" s="24" t="s">
        <v>141</v>
      </c>
      <c r="E16" s="25" t="s">
        <v>148</v>
      </c>
      <c r="F16" s="24" t="s">
        <v>142</v>
      </c>
      <c r="G16" s="24" t="s">
        <v>149</v>
      </c>
    </row>
    <row r="17" spans="2:8" x14ac:dyDescent="0.25">
      <c r="B17" s="29"/>
      <c r="C17" s="30" t="s">
        <v>4060</v>
      </c>
      <c r="D17" s="118" t="str" cm="1">
        <f t="array" ref="D17">IF(AND(_xlfn.ANCHORARRAY(C23)=C23),C23,"Mixed")</f>
        <v>m²</v>
      </c>
      <c r="E17" s="118" t="s">
        <v>219</v>
      </c>
      <c r="F17" s="118" t="str" cm="1">
        <f t="array" ref="F17">IF(AND(_xlfn.ANCHORARRAY(C23)=C23),C23,"Mixed")</f>
        <v>m²</v>
      </c>
      <c r="G17" s="119" t="s">
        <v>219</v>
      </c>
    </row>
    <row r="18" spans="2:8" s="14" customFormat="1" x14ac:dyDescent="0.25">
      <c r="B18" s="31"/>
      <c r="C18" s="4" t="s">
        <v>4061</v>
      </c>
      <c r="D18" s="96">
        <f t="shared" ref="D18:G18" si="0">MAX(_xlfn.ANCHORARRAY(D23))</f>
        <v>24.9</v>
      </c>
      <c r="E18" s="96">
        <f t="shared" si="0"/>
        <v>5.3781699999999999</v>
      </c>
      <c r="F18" s="96">
        <f t="shared" si="0"/>
        <v>0</v>
      </c>
      <c r="G18" s="121">
        <f t="shared" si="0"/>
        <v>0</v>
      </c>
      <c r="H18"/>
    </row>
    <row r="19" spans="2:8" x14ac:dyDescent="0.25">
      <c r="B19" s="122"/>
      <c r="C19" s="4" t="s">
        <v>4062</v>
      </c>
      <c r="D19" s="96">
        <f>MIN(_xlfn.ANCHORARRAY(D23))</f>
        <v>9.49</v>
      </c>
      <c r="E19" s="96">
        <f t="shared" ref="E19:G19" si="1">MIN(_xlfn.ANCHORARRAY(E23))</f>
        <v>2.9837702871410734</v>
      </c>
      <c r="F19" s="96">
        <f t="shared" si="1"/>
        <v>0</v>
      </c>
      <c r="G19" s="121">
        <f t="shared" si="1"/>
        <v>0</v>
      </c>
    </row>
    <row r="20" spans="2:8" x14ac:dyDescent="0.25">
      <c r="B20" s="122"/>
      <c r="C20" s="4" t="s">
        <v>4063</v>
      </c>
      <c r="D20" s="96">
        <f>AVERAGE(_xlfn.ANCHORARRAY(D23))</f>
        <v>14.874138993181814</v>
      </c>
      <c r="E20" s="96">
        <f t="shared" ref="E20:G20" si="2">AVERAGE(_xlfn.ANCHORARRAY(E23))</f>
        <v>3.5126376685710636</v>
      </c>
      <c r="F20" s="96">
        <f t="shared" si="2"/>
        <v>0</v>
      </c>
      <c r="G20" s="121">
        <f t="shared" si="2"/>
        <v>0</v>
      </c>
    </row>
    <row r="21" spans="2:8" x14ac:dyDescent="0.25">
      <c r="B21" s="122"/>
      <c r="C21" s="4"/>
      <c r="G21" s="121"/>
    </row>
    <row r="22" spans="2:8" x14ac:dyDescent="0.25">
      <c r="B22" s="32" t="s">
        <v>4064</v>
      </c>
      <c r="D22"/>
      <c r="E22"/>
      <c r="F22"/>
      <c r="G22" s="124"/>
    </row>
    <row r="23" spans="2:8" x14ac:dyDescent="0.25">
      <c r="B23" s="122" t="str" cm="1">
        <f t="array" ref="B23:B66">_xlfn.UNIQUE(_xlfn._xlws.FILTER('EPD List'!D:D,ISNUMBER(SEARCH(B16,'EPD List'!C:C)),0))</f>
        <v>Steel, Steel cladding - painted, COLORBOND® steel in 1.00mm base metal thickness (BMT), incl. rollforming (Bluescope)</v>
      </c>
      <c r="C23" t="str" cm="1">
        <f t="array" ref="C23:C66">_xlfn.IFNA(INDEX('EPD List'!$A:$AB,MATCH(_xlfn.ANCHORARRAY(B23),'EPD List'!$D:$D,0),MATCH(C$16,'EPD List'!$7:$7,0)),"")</f>
        <v>m²</v>
      </c>
      <c r="D23" s="96" cm="1">
        <f t="array" ref="D23:D66">_xlfn.IFNA(VALUE((INDEX('EPD List'!$A:$AD,MATCH(_xlfn.ANCHORARRAY($B23),'EPD List'!$D:$D,0),MATCH(D$16,'EPD List'!$7:$7,0)))),"")</f>
        <v>24.9</v>
      </c>
      <c r="E23" s="96" cm="1">
        <f t="array" ref="E23:E66">_xlfn.IFNA(VALUE((INDEX('EPD List'!$A:$AD,MATCH(_xlfn.ANCHORARRAY($B23),'EPD List'!$D:$D,0),MATCH(E$16,'EPD List'!$7:$7,0)))),"")</f>
        <v>3.1086142322097379</v>
      </c>
      <c r="F23" s="96" cm="1">
        <f t="array" ref="F23:F66">_xlfn.IFNA(VALUE((INDEX('EPD List'!$A:$AD,MATCH(_xlfn.ANCHORARRAY($B23),'EPD List'!$D:$D,0),MATCH(F$16,'EPD List'!$7:$7,0)))),"")</f>
        <v>0</v>
      </c>
      <c r="G23" s="121" cm="1">
        <f t="array" ref="G23:G66">_xlfn.IFNA(VALUE((INDEX('EPD List'!$A:$AD,MATCH(_xlfn.ANCHORARRAY($B23),'EPD List'!$D:$D,0),MATCH(G$16,'EPD List'!$7:$7,0)))),"")</f>
        <v>0</v>
      </c>
    </row>
    <row r="24" spans="2:8" x14ac:dyDescent="0.25">
      <c r="B24" s="122" t="str">
        <v>Steel, Roofing, COLORBOND® Coolmax® steel in 0.55mm base material thickness (BMT), incl. rollforming (Bluescope)</v>
      </c>
      <c r="C24" t="str">
        <v>m²</v>
      </c>
      <c r="D24" s="96">
        <v>15.3</v>
      </c>
      <c r="E24" s="96">
        <v>3.4000000000000004</v>
      </c>
      <c r="F24" s="96">
        <v>0</v>
      </c>
      <c r="G24" s="121">
        <v>0</v>
      </c>
    </row>
    <row r="25" spans="2:8" x14ac:dyDescent="0.25">
      <c r="B25" s="122" t="str">
        <v>Steel, Steel cladding - painted, COLORBOND® steel in 0.75mm base metal thickness (BMT), incl. rollforming (Bluescope)</v>
      </c>
      <c r="C25" t="str">
        <v>m²</v>
      </c>
      <c r="D25" s="96">
        <v>19.5</v>
      </c>
      <c r="E25" s="96">
        <v>3.2231404958677685</v>
      </c>
      <c r="F25" s="96">
        <v>0</v>
      </c>
      <c r="G25" s="121">
        <v>0</v>
      </c>
    </row>
    <row r="26" spans="2:8" x14ac:dyDescent="0.25">
      <c r="B26" s="122" t="str">
        <v>Steel, Steel cladding - painted, COLORBOND® steel in 0.70mm base metal thickness (BMT), incl. rollforming (Bluescope)</v>
      </c>
      <c r="C26" t="str">
        <v>m²</v>
      </c>
      <c r="D26" s="96">
        <v>18.399999999999999</v>
      </c>
      <c r="E26" s="96">
        <v>3.2566371681415927</v>
      </c>
      <c r="F26" s="96">
        <v>0</v>
      </c>
      <c r="G26" s="121">
        <v>0</v>
      </c>
    </row>
    <row r="27" spans="2:8" x14ac:dyDescent="0.25">
      <c r="B27" s="122" t="str">
        <v>Steel, Roofing, COLORBOND® Coolmax® steel in 0.48mm base material thickness (BMT), incl. rollforming (Bluescope)</v>
      </c>
      <c r="C27" t="str">
        <v>m²</v>
      </c>
      <c r="D27" s="96">
        <v>13.8</v>
      </c>
      <c r="E27" s="96">
        <v>3.4936708860759493</v>
      </c>
      <c r="F27" s="96">
        <v>0</v>
      </c>
      <c r="G27" s="121">
        <v>0</v>
      </c>
    </row>
    <row r="28" spans="2:8" x14ac:dyDescent="0.25">
      <c r="B28" s="122" t="str">
        <v>Steel, Steel cladding - painted, COLORBOND® steel in 0.60mm base metal thickness (BMT), incl. rollforming (Bluescope)</v>
      </c>
      <c r="C28" t="str">
        <v>m²</v>
      </c>
      <c r="D28" s="96">
        <v>16.3</v>
      </c>
      <c r="E28" s="96">
        <v>3.3470225872689938</v>
      </c>
      <c r="F28" s="96">
        <v>0</v>
      </c>
      <c r="G28" s="121">
        <v>0</v>
      </c>
    </row>
    <row r="29" spans="2:8" x14ac:dyDescent="0.25">
      <c r="B29" s="122" t="str">
        <v>Steel, Roofing, COLORBOND® Coolmax® steel in 0.42mm base material thickness (BMT), incl. rollforming (Bluescope)</v>
      </c>
      <c r="C29" t="str">
        <v>m²</v>
      </c>
      <c r="D29" s="96">
        <v>12.5</v>
      </c>
      <c r="E29" s="96">
        <v>3.5919540229885056</v>
      </c>
      <c r="F29" s="96">
        <v>0</v>
      </c>
      <c r="G29" s="121">
        <v>0</v>
      </c>
    </row>
    <row r="30" spans="2:8" x14ac:dyDescent="0.25">
      <c r="B30" s="122" t="str">
        <v>Steel, Steel cladding - painted, COLORBOND® steel in 0.55mm base metal thickness (BMT), incl. rollforming (Bluescope)</v>
      </c>
      <c r="C30" t="str">
        <v>m²</v>
      </c>
      <c r="D30" s="96">
        <v>15.2</v>
      </c>
      <c r="E30" s="96">
        <v>3.3928571428571423</v>
      </c>
      <c r="F30" s="96">
        <v>0</v>
      </c>
      <c r="G30" s="121">
        <v>0</v>
      </c>
    </row>
    <row r="31" spans="2:8" x14ac:dyDescent="0.25">
      <c r="B31" s="122" t="str">
        <v>Steel, Steel cladding - painted, COLORBOND® steel in 0.48mm base metal thickness (BMT), incl. rollforming (Bluescope)</v>
      </c>
      <c r="C31" t="str">
        <v>m²</v>
      </c>
      <c r="D31" s="96">
        <v>13.7</v>
      </c>
      <c r="E31" s="96">
        <v>3.4860050890585237</v>
      </c>
      <c r="F31" s="96">
        <v>0</v>
      </c>
      <c r="G31" s="121">
        <v>0</v>
      </c>
    </row>
    <row r="32" spans="2:8" x14ac:dyDescent="0.25">
      <c r="B32" s="122" t="str">
        <v>Steel, Steel cladding - painted, COLORBOND® steel in 0.45mm base metal thickness (BMT), incl. rollforming (Bluescope)</v>
      </c>
      <c r="C32" t="str">
        <v>m²</v>
      </c>
      <c r="D32" s="96">
        <v>13.1</v>
      </c>
      <c r="E32" s="96">
        <v>3.5501355013550135</v>
      </c>
      <c r="F32" s="96">
        <v>0</v>
      </c>
      <c r="G32" s="121">
        <v>0</v>
      </c>
    </row>
    <row r="33" spans="2:7" x14ac:dyDescent="0.25">
      <c r="B33" s="122" t="str">
        <v>Steel, Steel cladding - painted, COLORBOND® steel in 0.42mm base metal thickness (BMT), incl. rollforming (Bluescope)</v>
      </c>
      <c r="C33" t="str">
        <v>m²</v>
      </c>
      <c r="D33" s="96">
        <v>12.4</v>
      </c>
      <c r="E33" s="96">
        <v>3.5838150289017343</v>
      </c>
      <c r="F33" s="96">
        <v>0</v>
      </c>
      <c r="G33" s="121">
        <v>0</v>
      </c>
    </row>
    <row r="34" spans="2:7" x14ac:dyDescent="0.25">
      <c r="B34" s="122" t="str">
        <v>Steel, Steel cladding - painted, COLORBOND® steel in 0.40mm base metal thickness (BMT), incl. rollforming (Bluescope)</v>
      </c>
      <c r="C34" t="str">
        <v>m²</v>
      </c>
      <c r="D34" s="96">
        <v>12</v>
      </c>
      <c r="E34" s="96">
        <v>3.6363636363636367</v>
      </c>
      <c r="F34" s="96">
        <v>0</v>
      </c>
      <c r="G34" s="121">
        <v>0</v>
      </c>
    </row>
    <row r="35" spans="2:7" x14ac:dyDescent="0.25">
      <c r="B35" s="122" t="str">
        <v>Steel, Steel cladding - painted, COLORBOND® steel in 0.35mm base metal thickness (BMT), incl. rollforming (Bluescope)</v>
      </c>
      <c r="C35" t="str">
        <v>m²</v>
      </c>
      <c r="D35" s="96">
        <v>10.9</v>
      </c>
      <c r="E35" s="96">
        <v>3.7457044673539519</v>
      </c>
      <c r="F35" s="96">
        <v>0</v>
      </c>
      <c r="G35" s="121">
        <v>0</v>
      </c>
    </row>
    <row r="36" spans="2:7" x14ac:dyDescent="0.25">
      <c r="B36" s="122" t="str">
        <v>Steel, Steel cladding - painted, COLORBOND® steel in 0.30mm base metal thickness (BMT), incl. rollforming (Bluescope)</v>
      </c>
      <c r="C36" t="str">
        <v>m²</v>
      </c>
      <c r="D36" s="96">
        <v>9.84</v>
      </c>
      <c r="E36" s="96">
        <v>3.9203187250996017</v>
      </c>
      <c r="F36" s="96">
        <v>0</v>
      </c>
      <c r="G36" s="121">
        <v>0</v>
      </c>
    </row>
    <row r="37" spans="2:7" x14ac:dyDescent="0.25">
      <c r="B37" s="122" t="str">
        <v>Steel, Roofing, COLORBOND® Coolmax® steel in 0.42mm base material thickness (BMT) (Bluescope)</v>
      </c>
      <c r="C37" t="str">
        <v>m²</v>
      </c>
      <c r="D37" s="96">
        <v>12.1</v>
      </c>
      <c r="E37" s="96">
        <v>3.4770114942528734</v>
      </c>
      <c r="F37" s="96">
        <v>0</v>
      </c>
      <c r="G37" s="121">
        <v>0</v>
      </c>
    </row>
    <row r="38" spans="2:7" x14ac:dyDescent="0.25">
      <c r="B38" s="122" t="str">
        <v>Steel, Steel cladding - painted, COLORBOND® steel Metallic in 0.42mm base metal thickness (BMT) (Bluescope)</v>
      </c>
      <c r="C38" t="str">
        <v>m²</v>
      </c>
      <c r="D38" s="96">
        <v>12.4</v>
      </c>
      <c r="E38" s="96">
        <v>3.5734870317002883</v>
      </c>
      <c r="F38" s="96">
        <v>0</v>
      </c>
      <c r="G38" s="121">
        <v>0</v>
      </c>
    </row>
    <row r="39" spans="2:7" x14ac:dyDescent="0.25">
      <c r="B39" s="122" t="str">
        <v>Steel, Roofing, COLORBOND® Coolmax® steel in 0.48mm base material thickness (BMT) (Bluescope)</v>
      </c>
      <c r="C39" t="str">
        <v>m²</v>
      </c>
      <c r="D39" s="96">
        <v>13.3</v>
      </c>
      <c r="E39" s="96">
        <v>3.3670886075949369</v>
      </c>
      <c r="F39" s="96">
        <v>0</v>
      </c>
      <c r="G39" s="121">
        <v>0</v>
      </c>
    </row>
    <row r="40" spans="2:7" x14ac:dyDescent="0.25">
      <c r="B40" s="122" t="str">
        <v>Steel, Steel cladding - painted, COLORBOND® steel Metallic in 0.48mm base metal thickness (BMT) (Bluescope)</v>
      </c>
      <c r="C40" t="str">
        <v>m²</v>
      </c>
      <c r="D40" s="96">
        <v>13.7</v>
      </c>
      <c r="E40" s="96">
        <v>3.4771573604060912</v>
      </c>
      <c r="F40" s="96">
        <v>0</v>
      </c>
      <c r="G40" s="121">
        <v>0</v>
      </c>
    </row>
    <row r="41" spans="2:7" x14ac:dyDescent="0.25">
      <c r="B41" s="122" t="str">
        <v>Steel, Steel cladding - painted, COLORBOND® steel in 0.30mm base metal thickness (BMT) (Bluescope)</v>
      </c>
      <c r="C41" t="str">
        <v>m²</v>
      </c>
      <c r="D41" s="96">
        <v>9.49</v>
      </c>
      <c r="E41" s="96">
        <v>3.7808764940239046</v>
      </c>
      <c r="F41" s="96">
        <v>0</v>
      </c>
      <c r="G41" s="121">
        <v>0</v>
      </c>
    </row>
    <row r="42" spans="2:7" x14ac:dyDescent="0.25">
      <c r="B42" s="122" t="str">
        <v>Steel, Roofing, COLORBOND® Coolmax® steel in 0.55mm base material thickness (BMT) (Bluescope)</v>
      </c>
      <c r="C42" t="str">
        <v>m²</v>
      </c>
      <c r="D42" s="96">
        <v>14.8</v>
      </c>
      <c r="E42" s="96">
        <v>3.2888888888888892</v>
      </c>
      <c r="F42" s="96">
        <v>0</v>
      </c>
      <c r="G42" s="121">
        <v>0</v>
      </c>
    </row>
    <row r="43" spans="2:7" x14ac:dyDescent="0.25">
      <c r="B43" s="122" t="str">
        <v>Steel, Steel cladding - painted, COLORBOND® steel Metallic in 0.55mm base metal thickness (BMT) (Bluescope)</v>
      </c>
      <c r="C43" t="str">
        <v>m²</v>
      </c>
      <c r="D43" s="96">
        <v>15.1</v>
      </c>
      <c r="E43" s="96">
        <v>3.3630289532293984</v>
      </c>
      <c r="F43" s="96">
        <v>0</v>
      </c>
      <c r="G43" s="121">
        <v>0</v>
      </c>
    </row>
    <row r="44" spans="2:7" x14ac:dyDescent="0.25">
      <c r="B44" s="122" t="str">
        <v>Steel, Steel cladding - painted, COLORBOND® steel in 0.35mm base metal thickness (BMT) (Bluescope)</v>
      </c>
      <c r="C44" t="str">
        <v>m²</v>
      </c>
      <c r="D44" s="96">
        <v>10.5</v>
      </c>
      <c r="E44" s="96">
        <v>3.608247422680412</v>
      </c>
      <c r="F44" s="96">
        <v>0</v>
      </c>
      <c r="G44" s="121">
        <v>0</v>
      </c>
    </row>
    <row r="45" spans="2:7" x14ac:dyDescent="0.25">
      <c r="B45" s="122" t="str">
        <v>Steel, Steel cladding - painted, COLORBOND® steel Metallic in 0.60mm base metal thickness (BMT) (Bluescope)</v>
      </c>
      <c r="C45" t="str">
        <v>m²</v>
      </c>
      <c r="D45" s="96">
        <v>16.100000000000001</v>
      </c>
      <c r="E45" s="96">
        <v>3.2991803278688527</v>
      </c>
      <c r="F45" s="96">
        <v>0</v>
      </c>
      <c r="G45" s="121">
        <v>0</v>
      </c>
    </row>
    <row r="46" spans="2:7" x14ac:dyDescent="0.25">
      <c r="B46" s="122" t="str">
        <v>Steel, Steel cladding - painted, COLORBOND® steel in 0.40mm base metal thickness (BMT) (Bluescope)</v>
      </c>
      <c r="C46" t="str">
        <v>m²</v>
      </c>
      <c r="D46" s="96">
        <v>11.5</v>
      </c>
      <c r="E46" s="96">
        <v>3.4848484848484849</v>
      </c>
      <c r="F46" s="96">
        <v>0</v>
      </c>
      <c r="G46" s="121">
        <v>0</v>
      </c>
    </row>
    <row r="47" spans="2:7" x14ac:dyDescent="0.25">
      <c r="B47" s="122" t="str">
        <v>Steel, Steel cladding - painted, COLORBOND® steel in 0.42mm base metal thickness (BMT) (Bluescope)</v>
      </c>
      <c r="C47" t="str">
        <v>m²</v>
      </c>
      <c r="D47" s="96">
        <v>12</v>
      </c>
      <c r="E47" s="96">
        <v>3.4682080924855492</v>
      </c>
      <c r="F47" s="96">
        <v>0</v>
      </c>
      <c r="G47" s="121">
        <v>0</v>
      </c>
    </row>
    <row r="48" spans="2:7" x14ac:dyDescent="0.25">
      <c r="B48" s="122" t="str">
        <v>Steel, Steel cladding - painted, COLORBOND® steel Metallic in 0.70mm base metal thickness (BMT) (Bluescope)</v>
      </c>
      <c r="C48" t="str">
        <v>m²</v>
      </c>
      <c r="D48" s="96">
        <v>18.2</v>
      </c>
      <c r="E48" s="96">
        <v>3.2098765432098766</v>
      </c>
      <c r="F48" s="96">
        <v>0</v>
      </c>
      <c r="G48" s="121">
        <v>0</v>
      </c>
    </row>
    <row r="49" spans="2:7" x14ac:dyDescent="0.25">
      <c r="B49" s="122" t="str">
        <v>Steel, Steel cladding - painted, COLORBOND® steel in 0.45mm base metal thickness (BMT) (Bluescope)</v>
      </c>
      <c r="C49" t="str">
        <v>m²</v>
      </c>
      <c r="D49" s="96">
        <v>12.6</v>
      </c>
      <c r="E49" s="96">
        <v>3.4146341463414633</v>
      </c>
      <c r="F49" s="96">
        <v>0</v>
      </c>
      <c r="G49" s="121">
        <v>0</v>
      </c>
    </row>
    <row r="50" spans="2:7" x14ac:dyDescent="0.25">
      <c r="B50" s="122" t="str">
        <v>Steel, Steel cladding - painted, COLORBOND® steel in 0.48mm base metal thickness (BMT) (Bluescope)</v>
      </c>
      <c r="C50" t="str">
        <v>m²</v>
      </c>
      <c r="D50" s="96">
        <v>13.2</v>
      </c>
      <c r="E50" s="96">
        <v>3.3587786259541983</v>
      </c>
      <c r="F50" s="96">
        <v>0</v>
      </c>
      <c r="G50" s="121">
        <v>0</v>
      </c>
    </row>
    <row r="51" spans="2:7" x14ac:dyDescent="0.25">
      <c r="B51" s="122" t="str">
        <v>Steel, Steel cladding - painted, COLORBOND® steel Metallic in 0.75mm base metal thickness (BMT) (Bluescope)</v>
      </c>
      <c r="C51" t="str">
        <v>m²</v>
      </c>
      <c r="D51" s="96">
        <v>19.2</v>
      </c>
      <c r="E51" s="96">
        <v>3.1683168316831685</v>
      </c>
      <c r="F51" s="96">
        <v>0</v>
      </c>
      <c r="G51" s="121">
        <v>0</v>
      </c>
    </row>
    <row r="52" spans="2:7" x14ac:dyDescent="0.25">
      <c r="B52" s="122" t="str">
        <v>Steel, Steel cladding - painted, COLORBOND® steel in 0.55mm base metal thickness (BMT) (Bluescope)</v>
      </c>
      <c r="C52" t="str">
        <v>m²</v>
      </c>
      <c r="D52" s="96">
        <v>14.6</v>
      </c>
      <c r="E52" s="96">
        <v>3.2589285714285712</v>
      </c>
      <c r="F52" s="96">
        <v>0</v>
      </c>
      <c r="G52" s="121">
        <v>0</v>
      </c>
    </row>
    <row r="53" spans="2:7" x14ac:dyDescent="0.25">
      <c r="B53" s="122" t="str">
        <v>Steel, Steel cladding - painted, COLORBOND® Ultra steel in 0.42mm base metal thickness (BMT) (Bluescope)</v>
      </c>
      <c r="C53" t="str">
        <v>m²</v>
      </c>
      <c r="D53" s="96">
        <v>12.7</v>
      </c>
      <c r="E53" s="96">
        <v>3.6182336182336181</v>
      </c>
      <c r="F53" s="96">
        <v>0</v>
      </c>
      <c r="G53" s="121">
        <v>0</v>
      </c>
    </row>
    <row r="54" spans="2:7" x14ac:dyDescent="0.25">
      <c r="B54" s="122" t="str">
        <v>Steel, Steel cladding - painted, COLORBOND® steel in 0.60mm base metal thickness (BMT) (Bluescope)</v>
      </c>
      <c r="C54" t="str">
        <v>m²</v>
      </c>
      <c r="D54" s="96">
        <v>15.7</v>
      </c>
      <c r="E54" s="96">
        <v>3.223819301848049</v>
      </c>
      <c r="F54" s="96">
        <v>0</v>
      </c>
      <c r="G54" s="121">
        <v>0</v>
      </c>
    </row>
    <row r="55" spans="2:7" x14ac:dyDescent="0.25">
      <c r="B55" s="122" t="str">
        <v>Steel, Steel cladding - painted, COLORBOND® Ultra steel in 0.48mm base metal thickness (BMT) (Bluescope)</v>
      </c>
      <c r="C55" t="str">
        <v>m²</v>
      </c>
      <c r="D55" s="96">
        <v>13.9</v>
      </c>
      <c r="E55" s="96">
        <v>3.4924623115577891</v>
      </c>
      <c r="F55" s="96">
        <v>0</v>
      </c>
      <c r="G55" s="121">
        <v>0</v>
      </c>
    </row>
    <row r="56" spans="2:7" x14ac:dyDescent="0.25">
      <c r="B56" s="122" t="str">
        <v>Steel, Steel cladding - painted, COLORBOND® steel in 0.70mm base metal thickness (BMT) (Bluescope)</v>
      </c>
      <c r="C56" t="str">
        <v>m²</v>
      </c>
      <c r="D56" s="96">
        <v>17.7</v>
      </c>
      <c r="E56" s="96">
        <v>3.1327433628318579</v>
      </c>
      <c r="F56" s="96">
        <v>0</v>
      </c>
      <c r="G56" s="121">
        <v>0</v>
      </c>
    </row>
    <row r="57" spans="2:7" x14ac:dyDescent="0.25">
      <c r="B57" s="122" t="str">
        <v>Steel, Steel cladding - painted, COLORBOND® Ultra steel in 0.55mm base metal thickness (BMT) (Bluescope)</v>
      </c>
      <c r="C57" t="str">
        <v>m²</v>
      </c>
      <c r="D57" s="96">
        <v>15.4</v>
      </c>
      <c r="E57" s="96">
        <v>3.3995584988962473</v>
      </c>
      <c r="F57" s="96">
        <v>0</v>
      </c>
      <c r="G57" s="121">
        <v>0</v>
      </c>
    </row>
    <row r="58" spans="2:7" x14ac:dyDescent="0.25">
      <c r="B58" s="122" t="str">
        <v>Steel, Steel cladding - painted, COLORBOND® steel in 0.75mm base metal thickness (BMT) (Bluescope)</v>
      </c>
      <c r="C58" t="str">
        <v>m²</v>
      </c>
      <c r="D58" s="96">
        <v>18.8</v>
      </c>
      <c r="E58" s="96">
        <v>3.1074380165289259</v>
      </c>
      <c r="F58" s="96">
        <v>0</v>
      </c>
      <c r="G58" s="121">
        <v>0</v>
      </c>
    </row>
    <row r="59" spans="2:7" x14ac:dyDescent="0.25">
      <c r="B59" s="122" t="str">
        <v>Steel, Steel cladding - painted, COLORBOND® Ultra steel in 0.60mm base metal thickness (BMT) (Bluescope)</v>
      </c>
      <c r="C59" t="str">
        <v>m²</v>
      </c>
      <c r="D59" s="96">
        <v>16.399999999999999</v>
      </c>
      <c r="E59" s="96">
        <v>3.333333333333333</v>
      </c>
      <c r="F59" s="96">
        <v>0</v>
      </c>
      <c r="G59" s="121">
        <v>0</v>
      </c>
    </row>
    <row r="60" spans="2:7" x14ac:dyDescent="0.25">
      <c r="B60" s="122" t="str">
        <v>Steel, Steel cladding - painted, COLORBOND® Ultra steel in 0.70mm base metal thickness (BMT) (Bluescope)</v>
      </c>
      <c r="C60" t="str">
        <v>m²</v>
      </c>
      <c r="D60" s="96">
        <v>18.399999999999999</v>
      </c>
      <c r="E60" s="96">
        <v>3.2280701754385963</v>
      </c>
      <c r="F60" s="96">
        <v>0</v>
      </c>
      <c r="G60" s="121">
        <v>0</v>
      </c>
    </row>
    <row r="61" spans="2:7" x14ac:dyDescent="0.25">
      <c r="B61" s="122" t="str">
        <v>Steel, Steel cladding - painted, COLORBOND® Ultra steel in 0.75mm base metal thickness (BMT) (Bluescope)</v>
      </c>
      <c r="C61" t="str">
        <v>m²</v>
      </c>
      <c r="D61" s="96">
        <v>19.5</v>
      </c>
      <c r="E61" s="96">
        <v>3.1967213114754101</v>
      </c>
      <c r="F61" s="96">
        <v>0</v>
      </c>
      <c r="G61" s="121">
        <v>0</v>
      </c>
    </row>
    <row r="62" spans="2:7" x14ac:dyDescent="0.25">
      <c r="B62" s="122" t="str">
        <v>Steel, Steel cladding - painted, COLORBOND® steel in 1.00mm base metal thickness (BMT) (Bluescope)</v>
      </c>
      <c r="C62" t="str">
        <v>m²</v>
      </c>
      <c r="D62" s="96">
        <v>23.9</v>
      </c>
      <c r="E62" s="96">
        <v>2.9837702871410734</v>
      </c>
      <c r="F62" s="96">
        <v>0</v>
      </c>
      <c r="G62" s="121">
        <v>0</v>
      </c>
    </row>
    <row r="63" spans="2:7" x14ac:dyDescent="0.25">
      <c r="B63" s="122" t="str">
        <v>Steel cladding - painted, , Zinacore 0.42mm (Colorcote) (New Zealand)</v>
      </c>
      <c r="C63" t="str">
        <v>m²</v>
      </c>
      <c r="D63" s="96">
        <v>14.7</v>
      </c>
      <c r="E63" s="96">
        <v>4.4585987261146496</v>
      </c>
      <c r="F63" s="96">
        <v>0</v>
      </c>
      <c r="G63" s="121">
        <v>0</v>
      </c>
    </row>
    <row r="64" spans="2:7" x14ac:dyDescent="0.25">
      <c r="B64" s="122" t="str">
        <v>Steel cladding - painted, , Zinacore 0.48mm (Colorcote) (New Zealand)</v>
      </c>
      <c r="C64" t="str">
        <v>m²</v>
      </c>
      <c r="D64" s="96">
        <v>16.399999999999999</v>
      </c>
      <c r="E64" s="96">
        <v>4.3524416135881099</v>
      </c>
      <c r="F64" s="96">
        <v>0</v>
      </c>
      <c r="G64" s="121">
        <v>0</v>
      </c>
    </row>
    <row r="65" spans="2:7" x14ac:dyDescent="0.25">
      <c r="B65" s="122" t="str">
        <v>steel cladding - painted, , Pre-painted galvanized steel (JSW Steel) (Global)</v>
      </c>
      <c r="C65" t="str">
        <v>m²</v>
      </c>
      <c r="D65" s="96">
        <v>13.499206699999998</v>
      </c>
      <c r="E65" s="96">
        <v>5.3781699999999999</v>
      </c>
      <c r="F65" s="96">
        <v>0</v>
      </c>
      <c r="G65" s="121">
        <v>0</v>
      </c>
    </row>
    <row r="66" spans="2:7" x14ac:dyDescent="0.25">
      <c r="B66" s="122" t="str">
        <v>steel cladding - painted, , Pre-painted galvalume steel product (JSW Steel) (Global)</v>
      </c>
      <c r="C66" t="str">
        <v>m²</v>
      </c>
      <c r="D66" s="96">
        <v>10.832908999999999</v>
      </c>
      <c r="E66" s="96">
        <v>4.3158999999999992</v>
      </c>
      <c r="F66" s="96">
        <v>0</v>
      </c>
      <c r="G66" s="121">
        <v>0</v>
      </c>
    </row>
    <row r="67" spans="2:7" x14ac:dyDescent="0.25">
      <c r="B67" s="122"/>
      <c r="G67" s="121"/>
    </row>
    <row r="68" spans="2:7" x14ac:dyDescent="0.25">
      <c r="B68" s="122"/>
      <c r="G68" s="121"/>
    </row>
    <row r="69" spans="2:7" x14ac:dyDescent="0.25">
      <c r="B69" s="122"/>
      <c r="G69" s="121"/>
    </row>
    <row r="70" spans="2:7" x14ac:dyDescent="0.25">
      <c r="B70" s="122"/>
      <c r="G70" s="121"/>
    </row>
    <row r="71" spans="2:7" x14ac:dyDescent="0.25">
      <c r="B71" s="122"/>
      <c r="G71" s="121"/>
    </row>
    <row r="72" spans="2:7" x14ac:dyDescent="0.25">
      <c r="B72" s="122"/>
      <c r="G72" s="121"/>
    </row>
    <row r="73" spans="2:7" x14ac:dyDescent="0.25">
      <c r="B73" s="122"/>
      <c r="G73" s="121"/>
    </row>
    <row r="74" spans="2:7" x14ac:dyDescent="0.25">
      <c r="B74" s="122"/>
      <c r="G74" s="121"/>
    </row>
    <row r="75" spans="2:7" x14ac:dyDescent="0.25">
      <c r="B75" s="122"/>
      <c r="G75" s="121"/>
    </row>
    <row r="76" spans="2:7" x14ac:dyDescent="0.25">
      <c r="B76" s="122"/>
      <c r="G76" s="121"/>
    </row>
    <row r="77" spans="2:7" x14ac:dyDescent="0.25">
      <c r="B77" s="122"/>
      <c r="G77" s="121"/>
    </row>
    <row r="78" spans="2:7" x14ac:dyDescent="0.25">
      <c r="B78" s="122"/>
      <c r="G78" s="121"/>
    </row>
    <row r="79" spans="2:7" x14ac:dyDescent="0.25">
      <c r="B79" s="122"/>
      <c r="G79" s="121"/>
    </row>
    <row r="80" spans="2:7" x14ac:dyDescent="0.25">
      <c r="B80" s="122"/>
      <c r="G80" s="121"/>
    </row>
    <row r="81" spans="2:9" x14ac:dyDescent="0.25">
      <c r="B81" s="122"/>
      <c r="G81" s="121"/>
    </row>
    <row r="82" spans="2:9" x14ac:dyDescent="0.25">
      <c r="B82" s="122"/>
      <c r="G82" s="121"/>
    </row>
    <row r="83" spans="2:9" x14ac:dyDescent="0.25">
      <c r="B83" s="122"/>
      <c r="G83" s="121"/>
    </row>
    <row r="84" spans="2:9" x14ac:dyDescent="0.25">
      <c r="B84" s="122"/>
      <c r="G84" s="121"/>
    </row>
    <row r="85" spans="2:9" x14ac:dyDescent="0.25">
      <c r="B85" s="122"/>
      <c r="G85" s="121"/>
    </row>
    <row r="86" spans="2:9" x14ac:dyDescent="0.25">
      <c r="B86" s="122"/>
      <c r="G86" s="121"/>
    </row>
    <row r="87" spans="2:9" x14ac:dyDescent="0.25">
      <c r="B87" s="122"/>
      <c r="G87" s="121"/>
    </row>
    <row r="88" spans="2:9" x14ac:dyDescent="0.25">
      <c r="B88" s="122"/>
      <c r="G88" s="121"/>
    </row>
    <row r="89" spans="2:9" x14ac:dyDescent="0.25">
      <c r="B89" s="122"/>
      <c r="G89" s="121"/>
    </row>
    <row r="90" spans="2:9" x14ac:dyDescent="0.25">
      <c r="B90" s="122"/>
      <c r="G90" s="121"/>
      <c r="I90" s="96"/>
    </row>
    <row r="91" spans="2:9" x14ac:dyDescent="0.25">
      <c r="B91" s="122"/>
      <c r="G91" s="121"/>
    </row>
    <row r="92" spans="2:9" x14ac:dyDescent="0.25">
      <c r="B92" s="122"/>
      <c r="G92" s="121"/>
    </row>
    <row r="93" spans="2:9" x14ac:dyDescent="0.25">
      <c r="B93" s="122"/>
      <c r="G93" s="121"/>
    </row>
    <row r="94" spans="2:9" x14ac:dyDescent="0.25">
      <c r="B94" s="122"/>
      <c r="G94" s="121"/>
    </row>
    <row r="95" spans="2:9" x14ac:dyDescent="0.25">
      <c r="B95" s="122"/>
      <c r="G95" s="121"/>
    </row>
    <row r="96" spans="2:9" x14ac:dyDescent="0.25">
      <c r="B96" s="122"/>
      <c r="G96" s="121"/>
    </row>
    <row r="97" spans="2:7" x14ac:dyDescent="0.25">
      <c r="B97" s="122"/>
      <c r="G97" s="121"/>
    </row>
    <row r="98" spans="2:7" x14ac:dyDescent="0.25">
      <c r="B98" s="122"/>
      <c r="G98" s="121"/>
    </row>
    <row r="99" spans="2:7" x14ac:dyDescent="0.25">
      <c r="B99" s="122"/>
      <c r="G99" s="121"/>
    </row>
    <row r="100" spans="2:7" x14ac:dyDescent="0.25">
      <c r="B100" s="122"/>
      <c r="G100" s="121"/>
    </row>
    <row r="101" spans="2:7" x14ac:dyDescent="0.25">
      <c r="B101" s="122"/>
      <c r="G101" s="121"/>
    </row>
    <row r="102" spans="2:7" x14ac:dyDescent="0.25">
      <c r="B102" s="122"/>
      <c r="G102" s="121"/>
    </row>
    <row r="103" spans="2:7" x14ac:dyDescent="0.25">
      <c r="B103" s="122"/>
      <c r="G103" s="121"/>
    </row>
    <row r="104" spans="2:7" x14ac:dyDescent="0.25">
      <c r="B104" s="122"/>
      <c r="G104" s="121"/>
    </row>
    <row r="105" spans="2:7" x14ac:dyDescent="0.25">
      <c r="B105" s="122"/>
      <c r="G105" s="121"/>
    </row>
    <row r="106" spans="2:7" x14ac:dyDescent="0.25">
      <c r="B106" s="122"/>
      <c r="G106" s="121"/>
    </row>
    <row r="107" spans="2:7" x14ac:dyDescent="0.25">
      <c r="B107" s="122"/>
      <c r="G107" s="121"/>
    </row>
    <row r="108" spans="2:7" x14ac:dyDescent="0.25">
      <c r="B108" s="122"/>
      <c r="G108" s="121"/>
    </row>
    <row r="109" spans="2:7" x14ac:dyDescent="0.25">
      <c r="B109" s="122"/>
      <c r="G109" s="121"/>
    </row>
    <row r="110" spans="2:7" x14ac:dyDescent="0.25">
      <c r="B110" s="122"/>
      <c r="G110" s="121"/>
    </row>
    <row r="111" spans="2:7" x14ac:dyDescent="0.25">
      <c r="B111" s="122"/>
      <c r="G111" s="121"/>
    </row>
    <row r="112" spans="2:7" x14ac:dyDescent="0.25">
      <c r="B112" s="122"/>
      <c r="G112" s="121"/>
    </row>
    <row r="113" spans="2:7" x14ac:dyDescent="0.25">
      <c r="B113" s="122"/>
      <c r="G113" s="121"/>
    </row>
    <row r="114" spans="2:7" x14ac:dyDescent="0.25">
      <c r="B114" s="122"/>
      <c r="G114" s="121"/>
    </row>
    <row r="115" spans="2:7" x14ac:dyDescent="0.25">
      <c r="B115" s="122"/>
      <c r="G115" s="121"/>
    </row>
    <row r="116" spans="2:7" x14ac:dyDescent="0.25">
      <c r="B116" s="122"/>
      <c r="G116" s="121"/>
    </row>
    <row r="117" spans="2:7" x14ac:dyDescent="0.25">
      <c r="B117" s="122"/>
      <c r="G117" s="121"/>
    </row>
    <row r="118" spans="2:7" x14ac:dyDescent="0.25">
      <c r="B118" s="122"/>
      <c r="G118" s="121"/>
    </row>
    <row r="119" spans="2:7" x14ac:dyDescent="0.25">
      <c r="B119" s="122"/>
      <c r="G119" s="121"/>
    </row>
    <row r="120" spans="2:7" x14ac:dyDescent="0.25">
      <c r="B120" s="122"/>
      <c r="G120" s="121"/>
    </row>
    <row r="121" spans="2:7" x14ac:dyDescent="0.25">
      <c r="B121" s="122"/>
      <c r="G121" s="121"/>
    </row>
    <row r="122" spans="2:7" x14ac:dyDescent="0.25">
      <c r="B122" s="122"/>
      <c r="G122" s="121"/>
    </row>
    <row r="123" spans="2:7" x14ac:dyDescent="0.25">
      <c r="B123" s="122"/>
      <c r="G123" s="121"/>
    </row>
    <row r="124" spans="2:7" x14ac:dyDescent="0.25">
      <c r="B124" s="122"/>
      <c r="G124" s="121"/>
    </row>
    <row r="125" spans="2:7" x14ac:dyDescent="0.25">
      <c r="B125" s="122"/>
      <c r="G125" s="121"/>
    </row>
    <row r="126" spans="2:7" x14ac:dyDescent="0.25">
      <c r="B126" s="122"/>
      <c r="G126" s="121"/>
    </row>
    <row r="127" spans="2:7" x14ac:dyDescent="0.25">
      <c r="B127" s="122"/>
      <c r="G127" s="121"/>
    </row>
    <row r="128" spans="2:7" x14ac:dyDescent="0.25">
      <c r="B128" s="122"/>
      <c r="G128" s="121"/>
    </row>
    <row r="129" spans="2:7" x14ac:dyDescent="0.25">
      <c r="B129" s="122"/>
      <c r="G129" s="121"/>
    </row>
    <row r="130" spans="2:7" x14ac:dyDescent="0.25">
      <c r="B130" s="122"/>
      <c r="G130" s="121"/>
    </row>
    <row r="131" spans="2:7" x14ac:dyDescent="0.25">
      <c r="B131" s="122"/>
      <c r="G131" s="121"/>
    </row>
    <row r="132" spans="2:7" x14ac:dyDescent="0.25">
      <c r="B132" s="122"/>
      <c r="G132" s="121"/>
    </row>
    <row r="133" spans="2:7" x14ac:dyDescent="0.25">
      <c r="B133" s="122"/>
      <c r="G133" s="121"/>
    </row>
    <row r="134" spans="2:7" x14ac:dyDescent="0.25">
      <c r="B134" s="122"/>
      <c r="G134" s="121"/>
    </row>
    <row r="135" spans="2:7" x14ac:dyDescent="0.25">
      <c r="B135" s="122"/>
      <c r="G135" s="121"/>
    </row>
    <row r="136" spans="2:7" x14ac:dyDescent="0.25">
      <c r="B136" s="122"/>
      <c r="G136" s="121"/>
    </row>
    <row r="137" spans="2:7" x14ac:dyDescent="0.25">
      <c r="B137" s="122"/>
      <c r="G137" s="121"/>
    </row>
    <row r="138" spans="2:7" x14ac:dyDescent="0.25">
      <c r="B138" s="122"/>
      <c r="G138" s="121"/>
    </row>
    <row r="139" spans="2:7" x14ac:dyDescent="0.25">
      <c r="B139" s="122"/>
      <c r="G139" s="121"/>
    </row>
    <row r="140" spans="2:7" x14ac:dyDescent="0.25">
      <c r="B140" s="122"/>
      <c r="G140" s="121"/>
    </row>
    <row r="141" spans="2:7" x14ac:dyDescent="0.25">
      <c r="B141" s="122"/>
      <c r="G141" s="121"/>
    </row>
    <row r="142" spans="2:7" x14ac:dyDescent="0.25">
      <c r="B142" s="122"/>
      <c r="G142" s="121"/>
    </row>
    <row r="143" spans="2:7" x14ac:dyDescent="0.25">
      <c r="B143" s="122"/>
      <c r="G143" s="121"/>
    </row>
    <row r="144" spans="2:7" x14ac:dyDescent="0.25">
      <c r="B144" s="122"/>
      <c r="G144" s="121"/>
    </row>
    <row r="145" spans="2:7" x14ac:dyDescent="0.25">
      <c r="B145" s="122"/>
      <c r="G145" s="121"/>
    </row>
    <row r="146" spans="2:7" x14ac:dyDescent="0.25">
      <c r="B146" s="122"/>
      <c r="G146" s="121"/>
    </row>
    <row r="147" spans="2:7" x14ac:dyDescent="0.25">
      <c r="B147" s="122"/>
      <c r="G147" s="121"/>
    </row>
    <row r="148" spans="2:7" x14ac:dyDescent="0.25">
      <c r="B148" s="122"/>
      <c r="G148" s="121"/>
    </row>
    <row r="149" spans="2:7" x14ac:dyDescent="0.25">
      <c r="B149" s="122"/>
      <c r="G149" s="121"/>
    </row>
    <row r="150" spans="2:7" x14ac:dyDescent="0.25">
      <c r="B150" s="122"/>
      <c r="G150" s="121"/>
    </row>
    <row r="151" spans="2:7" x14ac:dyDescent="0.25">
      <c r="B151" s="122"/>
      <c r="G151" s="121"/>
    </row>
    <row r="152" spans="2:7" x14ac:dyDescent="0.25">
      <c r="B152" s="122"/>
      <c r="G152" s="121"/>
    </row>
    <row r="153" spans="2:7" x14ac:dyDescent="0.25">
      <c r="B153" s="122"/>
      <c r="G153" s="121"/>
    </row>
    <row r="154" spans="2:7" x14ac:dyDescent="0.25">
      <c r="B154" s="122"/>
      <c r="G154" s="121"/>
    </row>
    <row r="155" spans="2:7" x14ac:dyDescent="0.25">
      <c r="B155" s="122"/>
      <c r="G155" s="121"/>
    </row>
    <row r="156" spans="2:7" x14ac:dyDescent="0.25">
      <c r="B156" s="122"/>
      <c r="G156" s="121"/>
    </row>
    <row r="157" spans="2:7" x14ac:dyDescent="0.25">
      <c r="B157" s="122"/>
      <c r="G157" s="121"/>
    </row>
    <row r="158" spans="2:7" x14ac:dyDescent="0.25">
      <c r="B158" s="122"/>
      <c r="G158" s="121"/>
    </row>
    <row r="159" spans="2:7" x14ac:dyDescent="0.25">
      <c r="B159" s="122"/>
      <c r="G159" s="121"/>
    </row>
    <row r="160" spans="2:7" x14ac:dyDescent="0.25">
      <c r="B160" s="122"/>
      <c r="G160" s="121"/>
    </row>
    <row r="161" spans="2:7" x14ac:dyDescent="0.25">
      <c r="B161" s="122"/>
      <c r="G161" s="121"/>
    </row>
    <row r="162" spans="2:7" x14ac:dyDescent="0.25">
      <c r="B162" s="122"/>
      <c r="G162" s="121"/>
    </row>
    <row r="163" spans="2:7" x14ac:dyDescent="0.25">
      <c r="B163" s="122"/>
      <c r="G163" s="121"/>
    </row>
    <row r="164" spans="2:7" x14ac:dyDescent="0.25">
      <c r="B164" s="122"/>
      <c r="G164" s="121"/>
    </row>
    <row r="165" spans="2:7" x14ac:dyDescent="0.25">
      <c r="B165" s="122"/>
      <c r="G165" s="121"/>
    </row>
    <row r="166" spans="2:7" x14ac:dyDescent="0.25">
      <c r="B166" s="125"/>
      <c r="C166" s="126"/>
      <c r="D166" s="127"/>
      <c r="E166" s="127"/>
      <c r="F166" s="127"/>
      <c r="G166" s="128"/>
    </row>
  </sheetData>
  <dataValidations count="1">
    <dataValidation type="list" allowBlank="1" showInputMessage="1" showErrorMessage="1" sqref="B6:B9" xr:uid="{4291074C-1705-4270-AEC7-BAF7DE9DDAF5}">
      <formula1>"Tier 1,Tier 2,Tier 3,Tier 4"</formula1>
    </dataValidation>
  </dataValidation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BF7A57-3B28-42D2-A90A-E21B91D08BE4}">
  <sheetPr codeName="Sheet29">
    <tabColor rgb="FF00CCFF"/>
  </sheetPr>
  <dimension ref="A1:I166"/>
  <sheetViews>
    <sheetView showGridLines="0" zoomScale="80" zoomScaleNormal="80" workbookViewId="0"/>
  </sheetViews>
  <sheetFormatPr defaultRowHeight="13.2" x14ac:dyDescent="0.25"/>
  <cols>
    <col min="1" max="1" width="26.109375" customWidth="1"/>
    <col min="2" max="2" width="128.88671875" customWidth="1"/>
    <col min="3" max="3" width="21" customWidth="1"/>
    <col min="4" max="6" width="19.88671875" style="96" customWidth="1"/>
    <col min="7" max="7" width="23.5546875" style="96" customWidth="1"/>
    <col min="8" max="8" width="14.44140625" customWidth="1"/>
  </cols>
  <sheetData>
    <row r="1" spans="1:7" x14ac:dyDescent="0.25">
      <c r="A1" s="4" t="str" cm="1">
        <f t="array" aca="1" ref="A1" ca="1">MID(CELL("filename",A1),FIND("]",CELL("filename",A1))+1,255)</f>
        <v>Aluminium_cladding</v>
      </c>
    </row>
    <row r="2" spans="1:7" x14ac:dyDescent="0.25">
      <c r="A2" s="4"/>
    </row>
    <row r="3" spans="1:7" x14ac:dyDescent="0.25">
      <c r="A3" s="4" t="s">
        <v>4048</v>
      </c>
      <c r="B3" t="s">
        <v>4172</v>
      </c>
    </row>
    <row r="4" spans="1:7" x14ac:dyDescent="0.25">
      <c r="A4" s="4"/>
    </row>
    <row r="5" spans="1:7" ht="73.5" customHeight="1" x14ac:dyDescent="0.25">
      <c r="A5" s="26" t="s">
        <v>4050</v>
      </c>
      <c r="B5" s="14" t="s">
        <v>4173</v>
      </c>
    </row>
    <row r="6" spans="1:7" x14ac:dyDescent="0.25">
      <c r="A6" s="26" t="s">
        <v>4052</v>
      </c>
      <c r="B6" s="27" t="s">
        <v>70</v>
      </c>
    </row>
    <row r="7" spans="1:7" x14ac:dyDescent="0.25">
      <c r="A7" s="26" t="s">
        <v>4053</v>
      </c>
      <c r="B7" s="27" t="s">
        <v>71</v>
      </c>
    </row>
    <row r="8" spans="1:7" x14ac:dyDescent="0.25">
      <c r="A8" s="26" t="s">
        <v>4054</v>
      </c>
      <c r="B8" s="27" t="s">
        <v>71</v>
      </c>
    </row>
    <row r="9" spans="1:7" x14ac:dyDescent="0.25">
      <c r="A9" s="26" t="s">
        <v>4055</v>
      </c>
      <c r="B9" s="4" t="s">
        <v>71</v>
      </c>
    </row>
    <row r="10" spans="1:7" ht="26.4" x14ac:dyDescent="0.25">
      <c r="A10" s="26"/>
      <c r="B10" s="14" t="s">
        <v>4169</v>
      </c>
    </row>
    <row r="11" spans="1:7" x14ac:dyDescent="0.25">
      <c r="A11" s="26" t="s">
        <v>4056</v>
      </c>
      <c r="B11" s="14"/>
    </row>
    <row r="12" spans="1:7" x14ac:dyDescent="0.25">
      <c r="A12" s="101"/>
    </row>
    <row r="13" spans="1:7" x14ac:dyDescent="0.25">
      <c r="A13" s="101"/>
    </row>
    <row r="14" spans="1:7" x14ac:dyDescent="0.25">
      <c r="A14" s="26" t="s">
        <v>4057</v>
      </c>
    </row>
    <row r="15" spans="1:7" x14ac:dyDescent="0.25">
      <c r="A15" s="26"/>
      <c r="D15" s="112" t="s">
        <v>4058</v>
      </c>
      <c r="E15" s="113"/>
      <c r="F15" s="114" t="s">
        <v>4059</v>
      </c>
      <c r="G15" s="113"/>
    </row>
    <row r="16" spans="1:7" ht="39.6" x14ac:dyDescent="0.25">
      <c r="B16" s="28" t="s">
        <v>4174</v>
      </c>
      <c r="C16" s="23" t="s">
        <v>23</v>
      </c>
      <c r="D16" s="24" t="s">
        <v>141</v>
      </c>
      <c r="E16" s="25" t="s">
        <v>148</v>
      </c>
      <c r="F16" s="24" t="s">
        <v>142</v>
      </c>
      <c r="G16" s="24" t="s">
        <v>149</v>
      </c>
    </row>
    <row r="17" spans="2:8" x14ac:dyDescent="0.25">
      <c r="B17" s="29"/>
      <c r="C17" s="30" t="s">
        <v>4060</v>
      </c>
      <c r="D17" s="118" t="str" cm="1">
        <f t="array" ref="D17">IF(AND(_xlfn.ANCHORARRAY(C23)=C23),C23,"Mixed")</f>
        <v>kg</v>
      </c>
      <c r="E17" s="118" t="s">
        <v>219</v>
      </c>
      <c r="F17" s="118" t="str" cm="1">
        <f t="array" ref="F17">IF(AND(_xlfn.ANCHORARRAY(C23)=C23),C23,"Mixed")</f>
        <v>kg</v>
      </c>
      <c r="G17" s="119" t="s">
        <v>219</v>
      </c>
    </row>
    <row r="18" spans="2:8" s="14" customFormat="1" x14ac:dyDescent="0.25">
      <c r="B18" s="31"/>
      <c r="C18" s="4" t="s">
        <v>4061</v>
      </c>
      <c r="D18" s="96">
        <f t="shared" ref="D18:G18" si="0">MAX(_xlfn.ANCHORARRAY(D23))</f>
        <v>17.548175481754814</v>
      </c>
      <c r="E18" s="96">
        <f t="shared" si="0"/>
        <v>17.548175481754814</v>
      </c>
      <c r="F18" s="96">
        <f t="shared" si="0"/>
        <v>0</v>
      </c>
      <c r="G18" s="121">
        <f t="shared" si="0"/>
        <v>0</v>
      </c>
      <c r="H18"/>
    </row>
    <row r="19" spans="2:8" x14ac:dyDescent="0.25">
      <c r="B19" s="122"/>
      <c r="C19" s="4" t="s">
        <v>4062</v>
      </c>
      <c r="D19" s="96">
        <f>MIN(_xlfn.ANCHORARRAY(D23))</f>
        <v>17.501317870321561</v>
      </c>
      <c r="E19" s="96">
        <f t="shared" ref="E19:G19" si="1">MIN(_xlfn.ANCHORARRAY(E23))</f>
        <v>17.501317870321561</v>
      </c>
      <c r="F19" s="96">
        <f t="shared" si="1"/>
        <v>0</v>
      </c>
      <c r="G19" s="121">
        <f t="shared" si="1"/>
        <v>0</v>
      </c>
    </row>
    <row r="20" spans="2:8" x14ac:dyDescent="0.25">
      <c r="B20" s="122"/>
      <c r="C20" s="4" t="s">
        <v>4063</v>
      </c>
      <c r="D20" s="96">
        <f>AVERAGE(_xlfn.ANCHORARRAY(D23))</f>
        <v>17.524746676038188</v>
      </c>
      <c r="E20" s="96">
        <f t="shared" ref="E20:G20" si="2">AVERAGE(_xlfn.ANCHORARRAY(E23))</f>
        <v>17.524746676038188</v>
      </c>
      <c r="F20" s="96">
        <f t="shared" si="2"/>
        <v>0</v>
      </c>
      <c r="G20" s="121">
        <f t="shared" si="2"/>
        <v>0</v>
      </c>
    </row>
    <row r="21" spans="2:8" x14ac:dyDescent="0.25">
      <c r="B21" s="122"/>
      <c r="C21" s="4"/>
      <c r="G21" s="121"/>
    </row>
    <row r="22" spans="2:8" x14ac:dyDescent="0.25">
      <c r="B22" s="32" t="s">
        <v>4064</v>
      </c>
      <c r="D22"/>
      <c r="E22"/>
      <c r="F22"/>
      <c r="G22" s="124"/>
    </row>
    <row r="23" spans="2:8" x14ac:dyDescent="0.25">
      <c r="B23" s="122" t="str" cm="1">
        <f t="array" ref="B23:B24">_xlfn.UNIQUE(_xlfn._xlws.FILTER('EPD List'!D:D,ISNUMBER(SEARCH(B16,'EPD List'!C:C)),0))</f>
        <v>Alum cladding, , Alumigard 0.70mm (Colorcote) (New Zealand)</v>
      </c>
      <c r="C23" t="str" cm="1">
        <f t="array" ref="C23:C24">_xlfn.IFNA(INDEX('EPD List'!$A:$AB,MATCH(_xlfn.ANCHORARRAY(B23),'EPD List'!$D:$D,0),MATCH(C$16,'EPD List'!$7:$7,0)),"")</f>
        <v>kg</v>
      </c>
      <c r="D23" s="96" cm="1">
        <f t="array" ref="D23:D24">_xlfn.IFNA(VALUE((INDEX('EPD List'!$A:$AD,MATCH(_xlfn.ANCHORARRAY($B23),'EPD List'!$D:$D,0),MATCH(D$16,'EPD List'!$7:$7,0)))),"")</f>
        <v>17.501317870321561</v>
      </c>
      <c r="E23" s="96" cm="1">
        <f t="array" ref="E23:E24">_xlfn.IFNA(VALUE((INDEX('EPD List'!$A:$AD,MATCH(_xlfn.ANCHORARRAY($B23),'EPD List'!$D:$D,0),MATCH(E$16,'EPD List'!$7:$7,0)))),"")</f>
        <v>17.501317870321561</v>
      </c>
      <c r="F23" s="96" cm="1">
        <f t="array" ref="F23:F24">_xlfn.IFNA(VALUE((INDEX('EPD List'!$A:$AD,MATCH(_xlfn.ANCHORARRAY($B23),'EPD List'!$D:$D,0),MATCH(F$16,'EPD List'!$7:$7,0)))),"")</f>
        <v>0</v>
      </c>
      <c r="G23" s="121" cm="1">
        <f t="array" ref="G23:G24">_xlfn.IFNA(VALUE((INDEX('EPD List'!$A:$AD,MATCH(_xlfn.ANCHORARRAY($B23),'EPD List'!$D:$D,0),MATCH(G$16,'EPD List'!$7:$7,0)))),"")</f>
        <v>0</v>
      </c>
    </row>
    <row r="24" spans="2:8" x14ac:dyDescent="0.25">
      <c r="B24" s="122" t="str">
        <v>Alum cladding, , Alumigard 0.90mm (Colorcote) (New Zealand)</v>
      </c>
      <c r="C24" t="str">
        <v>kg</v>
      </c>
      <c r="D24" s="96">
        <v>17.548175481754814</v>
      </c>
      <c r="E24" s="96">
        <v>17.548175481754814</v>
      </c>
      <c r="F24" s="96">
        <v>0</v>
      </c>
      <c r="G24" s="121">
        <v>0</v>
      </c>
    </row>
    <row r="25" spans="2:8" x14ac:dyDescent="0.25">
      <c r="B25" s="122"/>
      <c r="G25" s="121"/>
    </row>
    <row r="26" spans="2:8" x14ac:dyDescent="0.25">
      <c r="B26" s="122"/>
      <c r="G26" s="121"/>
    </row>
    <row r="27" spans="2:8" x14ac:dyDescent="0.25">
      <c r="B27" s="122"/>
      <c r="G27" s="121"/>
    </row>
    <row r="28" spans="2:8" x14ac:dyDescent="0.25">
      <c r="B28" s="122"/>
      <c r="G28" s="121"/>
    </row>
    <row r="29" spans="2:8" x14ac:dyDescent="0.25">
      <c r="B29" s="122"/>
      <c r="G29" s="121"/>
    </row>
    <row r="30" spans="2:8" x14ac:dyDescent="0.25">
      <c r="B30" s="122"/>
      <c r="G30" s="121"/>
    </row>
    <row r="31" spans="2:8" x14ac:dyDescent="0.25">
      <c r="B31" s="122"/>
      <c r="G31" s="121"/>
    </row>
    <row r="32" spans="2:8" x14ac:dyDescent="0.25">
      <c r="B32" s="122"/>
      <c r="G32" s="121"/>
    </row>
    <row r="33" spans="2:7" x14ac:dyDescent="0.25">
      <c r="B33" s="122"/>
      <c r="G33" s="121"/>
    </row>
    <row r="34" spans="2:7" x14ac:dyDescent="0.25">
      <c r="B34" s="122"/>
      <c r="G34" s="121"/>
    </row>
    <row r="35" spans="2:7" x14ac:dyDescent="0.25">
      <c r="B35" s="122"/>
      <c r="G35" s="121"/>
    </row>
    <row r="36" spans="2:7" x14ac:dyDescent="0.25">
      <c r="B36" s="122"/>
      <c r="G36" s="121"/>
    </row>
    <row r="37" spans="2:7" x14ac:dyDescent="0.25">
      <c r="B37" s="122"/>
      <c r="G37" s="121"/>
    </row>
    <row r="38" spans="2:7" x14ac:dyDescent="0.25">
      <c r="B38" s="122"/>
      <c r="G38" s="121"/>
    </row>
    <row r="39" spans="2:7" x14ac:dyDescent="0.25">
      <c r="B39" s="122"/>
      <c r="G39" s="121"/>
    </row>
    <row r="40" spans="2:7" x14ac:dyDescent="0.25">
      <c r="B40" s="122"/>
      <c r="G40" s="121"/>
    </row>
    <row r="41" spans="2:7" x14ac:dyDescent="0.25">
      <c r="B41" s="122"/>
      <c r="G41" s="121"/>
    </row>
    <row r="42" spans="2:7" x14ac:dyDescent="0.25">
      <c r="B42" s="122"/>
      <c r="G42" s="121"/>
    </row>
    <row r="43" spans="2:7" x14ac:dyDescent="0.25">
      <c r="B43" s="122"/>
      <c r="G43" s="121"/>
    </row>
    <row r="44" spans="2:7" x14ac:dyDescent="0.25">
      <c r="B44" s="122"/>
      <c r="G44" s="121"/>
    </row>
    <row r="45" spans="2:7" x14ac:dyDescent="0.25">
      <c r="B45" s="122"/>
      <c r="G45" s="121"/>
    </row>
    <row r="46" spans="2:7" x14ac:dyDescent="0.25">
      <c r="B46" s="122"/>
      <c r="G46" s="121"/>
    </row>
    <row r="47" spans="2:7" x14ac:dyDescent="0.25">
      <c r="B47" s="122"/>
      <c r="G47" s="121"/>
    </row>
    <row r="48" spans="2:7" x14ac:dyDescent="0.25">
      <c r="B48" s="122"/>
      <c r="G48" s="121"/>
    </row>
    <row r="49" spans="2:7" x14ac:dyDescent="0.25">
      <c r="B49" s="122"/>
      <c r="G49" s="121"/>
    </row>
    <row r="50" spans="2:7" x14ac:dyDescent="0.25">
      <c r="B50" s="122"/>
      <c r="G50" s="121"/>
    </row>
    <row r="51" spans="2:7" x14ac:dyDescent="0.25">
      <c r="B51" s="122"/>
      <c r="G51" s="121"/>
    </row>
    <row r="52" spans="2:7" x14ac:dyDescent="0.25">
      <c r="B52" s="122"/>
      <c r="G52" s="121"/>
    </row>
    <row r="53" spans="2:7" x14ac:dyDescent="0.25">
      <c r="B53" s="122"/>
      <c r="G53" s="121"/>
    </row>
    <row r="54" spans="2:7" x14ac:dyDescent="0.25">
      <c r="B54" s="122"/>
      <c r="G54" s="121"/>
    </row>
    <row r="55" spans="2:7" x14ac:dyDescent="0.25">
      <c r="B55" s="122"/>
      <c r="G55" s="121"/>
    </row>
    <row r="56" spans="2:7" x14ac:dyDescent="0.25">
      <c r="B56" s="122"/>
      <c r="G56" s="121"/>
    </row>
    <row r="57" spans="2:7" x14ac:dyDescent="0.25">
      <c r="B57" s="122"/>
      <c r="G57" s="121"/>
    </row>
    <row r="58" spans="2:7" x14ac:dyDescent="0.25">
      <c r="B58" s="122"/>
      <c r="G58" s="121"/>
    </row>
    <row r="59" spans="2:7" x14ac:dyDescent="0.25">
      <c r="B59" s="122"/>
      <c r="G59" s="121"/>
    </row>
    <row r="60" spans="2:7" x14ac:dyDescent="0.25">
      <c r="B60" s="122"/>
      <c r="G60" s="121"/>
    </row>
    <row r="61" spans="2:7" x14ac:dyDescent="0.25">
      <c r="B61" s="122"/>
      <c r="G61" s="121"/>
    </row>
    <row r="62" spans="2:7" x14ac:dyDescent="0.25">
      <c r="B62" s="122"/>
      <c r="G62" s="121"/>
    </row>
    <row r="63" spans="2:7" x14ac:dyDescent="0.25">
      <c r="B63" s="122"/>
      <c r="G63" s="121"/>
    </row>
    <row r="64" spans="2:7" x14ac:dyDescent="0.25">
      <c r="B64" s="122"/>
      <c r="G64" s="121"/>
    </row>
    <row r="65" spans="2:7" x14ac:dyDescent="0.25">
      <c r="B65" s="122"/>
      <c r="G65" s="121"/>
    </row>
    <row r="66" spans="2:7" x14ac:dyDescent="0.25">
      <c r="B66" s="122"/>
      <c r="G66" s="121"/>
    </row>
    <row r="67" spans="2:7" x14ac:dyDescent="0.25">
      <c r="B67" s="122"/>
      <c r="G67" s="121"/>
    </row>
    <row r="68" spans="2:7" x14ac:dyDescent="0.25">
      <c r="B68" s="122"/>
      <c r="G68" s="121"/>
    </row>
    <row r="69" spans="2:7" x14ac:dyDescent="0.25">
      <c r="B69" s="122"/>
      <c r="G69" s="121"/>
    </row>
    <row r="70" spans="2:7" x14ac:dyDescent="0.25">
      <c r="B70" s="122"/>
      <c r="G70" s="121"/>
    </row>
    <row r="71" spans="2:7" x14ac:dyDescent="0.25">
      <c r="B71" s="122"/>
      <c r="G71" s="121"/>
    </row>
    <row r="72" spans="2:7" x14ac:dyDescent="0.25">
      <c r="B72" s="122"/>
      <c r="G72" s="121"/>
    </row>
    <row r="73" spans="2:7" x14ac:dyDescent="0.25">
      <c r="B73" s="122"/>
      <c r="G73" s="121"/>
    </row>
    <row r="74" spans="2:7" x14ac:dyDescent="0.25">
      <c r="B74" s="122"/>
      <c r="G74" s="121"/>
    </row>
    <row r="75" spans="2:7" x14ac:dyDescent="0.25">
      <c r="B75" s="122"/>
      <c r="G75" s="121"/>
    </row>
    <row r="76" spans="2:7" x14ac:dyDescent="0.25">
      <c r="B76" s="122"/>
      <c r="G76" s="121"/>
    </row>
    <row r="77" spans="2:7" x14ac:dyDescent="0.25">
      <c r="B77" s="122"/>
      <c r="G77" s="121"/>
    </row>
    <row r="78" spans="2:7" x14ac:dyDescent="0.25">
      <c r="B78" s="122"/>
      <c r="G78" s="121"/>
    </row>
    <row r="79" spans="2:7" x14ac:dyDescent="0.25">
      <c r="B79" s="122"/>
      <c r="G79" s="121"/>
    </row>
    <row r="80" spans="2:7" x14ac:dyDescent="0.25">
      <c r="B80" s="122"/>
      <c r="G80" s="121"/>
    </row>
    <row r="81" spans="2:9" x14ac:dyDescent="0.25">
      <c r="B81" s="122"/>
      <c r="G81" s="121"/>
    </row>
    <row r="82" spans="2:9" x14ac:dyDescent="0.25">
      <c r="B82" s="122"/>
      <c r="G82" s="121"/>
    </row>
    <row r="83" spans="2:9" x14ac:dyDescent="0.25">
      <c r="B83" s="122"/>
      <c r="G83" s="121"/>
    </row>
    <row r="84" spans="2:9" x14ac:dyDescent="0.25">
      <c r="B84" s="122"/>
      <c r="G84" s="121"/>
    </row>
    <row r="85" spans="2:9" x14ac:dyDescent="0.25">
      <c r="B85" s="122"/>
      <c r="G85" s="121"/>
    </row>
    <row r="86" spans="2:9" x14ac:dyDescent="0.25">
      <c r="B86" s="122"/>
      <c r="G86" s="121"/>
    </row>
    <row r="87" spans="2:9" x14ac:dyDescent="0.25">
      <c r="B87" s="122"/>
      <c r="G87" s="121"/>
    </row>
    <row r="88" spans="2:9" x14ac:dyDescent="0.25">
      <c r="B88" s="122"/>
      <c r="G88" s="121"/>
    </row>
    <row r="89" spans="2:9" x14ac:dyDescent="0.25">
      <c r="B89" s="122"/>
      <c r="G89" s="121"/>
    </row>
    <row r="90" spans="2:9" x14ac:dyDescent="0.25">
      <c r="B90" s="122"/>
      <c r="G90" s="121"/>
      <c r="I90" s="96"/>
    </row>
    <row r="91" spans="2:9" x14ac:dyDescent="0.25">
      <c r="B91" s="122"/>
      <c r="G91" s="121"/>
    </row>
    <row r="92" spans="2:9" x14ac:dyDescent="0.25">
      <c r="B92" s="122"/>
      <c r="G92" s="121"/>
    </row>
    <row r="93" spans="2:9" x14ac:dyDescent="0.25">
      <c r="B93" s="122"/>
      <c r="G93" s="121"/>
    </row>
    <row r="94" spans="2:9" x14ac:dyDescent="0.25">
      <c r="B94" s="122"/>
      <c r="G94" s="121"/>
    </row>
    <row r="95" spans="2:9" x14ac:dyDescent="0.25">
      <c r="B95" s="122"/>
      <c r="G95" s="121"/>
    </row>
    <row r="96" spans="2:9" x14ac:dyDescent="0.25">
      <c r="B96" s="122"/>
      <c r="G96" s="121"/>
    </row>
    <row r="97" spans="2:7" x14ac:dyDescent="0.25">
      <c r="B97" s="122"/>
      <c r="G97" s="121"/>
    </row>
    <row r="98" spans="2:7" x14ac:dyDescent="0.25">
      <c r="B98" s="122"/>
      <c r="G98" s="121"/>
    </row>
    <row r="99" spans="2:7" x14ac:dyDescent="0.25">
      <c r="B99" s="122"/>
      <c r="G99" s="121"/>
    </row>
    <row r="100" spans="2:7" x14ac:dyDescent="0.25">
      <c r="B100" s="122"/>
      <c r="G100" s="121"/>
    </row>
    <row r="101" spans="2:7" x14ac:dyDescent="0.25">
      <c r="B101" s="122"/>
      <c r="G101" s="121"/>
    </row>
    <row r="102" spans="2:7" x14ac:dyDescent="0.25">
      <c r="B102" s="122"/>
      <c r="G102" s="121"/>
    </row>
    <row r="103" spans="2:7" x14ac:dyDescent="0.25">
      <c r="B103" s="122"/>
      <c r="G103" s="121"/>
    </row>
    <row r="104" spans="2:7" x14ac:dyDescent="0.25">
      <c r="B104" s="122"/>
      <c r="G104" s="121"/>
    </row>
    <row r="105" spans="2:7" x14ac:dyDescent="0.25">
      <c r="B105" s="122"/>
      <c r="G105" s="121"/>
    </row>
    <row r="106" spans="2:7" x14ac:dyDescent="0.25">
      <c r="B106" s="122"/>
      <c r="G106" s="121"/>
    </row>
    <row r="107" spans="2:7" x14ac:dyDescent="0.25">
      <c r="B107" s="122"/>
      <c r="G107" s="121"/>
    </row>
    <row r="108" spans="2:7" x14ac:dyDescent="0.25">
      <c r="B108" s="122"/>
      <c r="G108" s="121"/>
    </row>
    <row r="109" spans="2:7" x14ac:dyDescent="0.25">
      <c r="B109" s="122"/>
      <c r="G109" s="121"/>
    </row>
    <row r="110" spans="2:7" x14ac:dyDescent="0.25">
      <c r="B110" s="122"/>
      <c r="G110" s="121"/>
    </row>
    <row r="111" spans="2:7" x14ac:dyDescent="0.25">
      <c r="B111" s="122"/>
      <c r="G111" s="121"/>
    </row>
    <row r="112" spans="2:7" x14ac:dyDescent="0.25">
      <c r="B112" s="122"/>
      <c r="G112" s="121"/>
    </row>
    <row r="113" spans="2:7" x14ac:dyDescent="0.25">
      <c r="B113" s="122"/>
      <c r="G113" s="121"/>
    </row>
    <row r="114" spans="2:7" x14ac:dyDescent="0.25">
      <c r="B114" s="122"/>
      <c r="G114" s="121"/>
    </row>
    <row r="115" spans="2:7" x14ac:dyDescent="0.25">
      <c r="B115" s="122"/>
      <c r="G115" s="121"/>
    </row>
    <row r="116" spans="2:7" x14ac:dyDescent="0.25">
      <c r="B116" s="122"/>
      <c r="G116" s="121"/>
    </row>
    <row r="117" spans="2:7" x14ac:dyDescent="0.25">
      <c r="B117" s="122"/>
      <c r="G117" s="121"/>
    </row>
    <row r="118" spans="2:7" x14ac:dyDescent="0.25">
      <c r="B118" s="122"/>
      <c r="G118" s="121"/>
    </row>
    <row r="119" spans="2:7" x14ac:dyDescent="0.25">
      <c r="B119" s="122"/>
      <c r="G119" s="121"/>
    </row>
    <row r="120" spans="2:7" x14ac:dyDescent="0.25">
      <c r="B120" s="122"/>
      <c r="G120" s="121"/>
    </row>
    <row r="121" spans="2:7" x14ac:dyDescent="0.25">
      <c r="B121" s="122"/>
      <c r="G121" s="121"/>
    </row>
    <row r="122" spans="2:7" x14ac:dyDescent="0.25">
      <c r="B122" s="122"/>
      <c r="G122" s="121"/>
    </row>
    <row r="123" spans="2:7" x14ac:dyDescent="0.25">
      <c r="B123" s="122"/>
      <c r="G123" s="121"/>
    </row>
    <row r="124" spans="2:7" x14ac:dyDescent="0.25">
      <c r="B124" s="122"/>
      <c r="G124" s="121"/>
    </row>
    <row r="125" spans="2:7" x14ac:dyDescent="0.25">
      <c r="B125" s="122"/>
      <c r="G125" s="121"/>
    </row>
    <row r="126" spans="2:7" x14ac:dyDescent="0.25">
      <c r="B126" s="122"/>
      <c r="G126" s="121"/>
    </row>
    <row r="127" spans="2:7" x14ac:dyDescent="0.25">
      <c r="B127" s="122"/>
      <c r="G127" s="121"/>
    </row>
    <row r="128" spans="2:7" x14ac:dyDescent="0.25">
      <c r="B128" s="122"/>
      <c r="G128" s="121"/>
    </row>
    <row r="129" spans="2:7" x14ac:dyDescent="0.25">
      <c r="B129" s="122"/>
      <c r="G129" s="121"/>
    </row>
    <row r="130" spans="2:7" x14ac:dyDescent="0.25">
      <c r="B130" s="122"/>
      <c r="G130" s="121"/>
    </row>
    <row r="131" spans="2:7" x14ac:dyDescent="0.25">
      <c r="B131" s="122"/>
      <c r="G131" s="121"/>
    </row>
    <row r="132" spans="2:7" x14ac:dyDescent="0.25">
      <c r="B132" s="122"/>
      <c r="G132" s="121"/>
    </row>
    <row r="133" spans="2:7" x14ac:dyDescent="0.25">
      <c r="B133" s="122"/>
      <c r="G133" s="121"/>
    </row>
    <row r="134" spans="2:7" x14ac:dyDescent="0.25">
      <c r="B134" s="122"/>
      <c r="G134" s="121"/>
    </row>
    <row r="135" spans="2:7" x14ac:dyDescent="0.25">
      <c r="B135" s="122"/>
      <c r="G135" s="121"/>
    </row>
    <row r="136" spans="2:7" x14ac:dyDescent="0.25">
      <c r="B136" s="122"/>
      <c r="G136" s="121"/>
    </row>
    <row r="137" spans="2:7" x14ac:dyDescent="0.25">
      <c r="B137" s="122"/>
      <c r="G137" s="121"/>
    </row>
    <row r="138" spans="2:7" x14ac:dyDescent="0.25">
      <c r="B138" s="122"/>
      <c r="G138" s="121"/>
    </row>
    <row r="139" spans="2:7" x14ac:dyDescent="0.25">
      <c r="B139" s="122"/>
      <c r="G139" s="121"/>
    </row>
    <row r="140" spans="2:7" x14ac:dyDescent="0.25">
      <c r="B140" s="122"/>
      <c r="G140" s="121"/>
    </row>
    <row r="141" spans="2:7" x14ac:dyDescent="0.25">
      <c r="B141" s="122"/>
      <c r="G141" s="121"/>
    </row>
    <row r="142" spans="2:7" x14ac:dyDescent="0.25">
      <c r="B142" s="122"/>
      <c r="G142" s="121"/>
    </row>
    <row r="143" spans="2:7" x14ac:dyDescent="0.25">
      <c r="B143" s="122"/>
      <c r="G143" s="121"/>
    </row>
    <row r="144" spans="2:7" x14ac:dyDescent="0.25">
      <c r="B144" s="122"/>
      <c r="G144" s="121"/>
    </row>
    <row r="145" spans="2:7" x14ac:dyDescent="0.25">
      <c r="B145" s="122"/>
      <c r="G145" s="121"/>
    </row>
    <row r="146" spans="2:7" x14ac:dyDescent="0.25">
      <c r="B146" s="122"/>
      <c r="G146" s="121"/>
    </row>
    <row r="147" spans="2:7" x14ac:dyDescent="0.25">
      <c r="B147" s="122"/>
      <c r="G147" s="121"/>
    </row>
    <row r="148" spans="2:7" x14ac:dyDescent="0.25">
      <c r="B148" s="122"/>
      <c r="G148" s="121"/>
    </row>
    <row r="149" spans="2:7" x14ac:dyDescent="0.25">
      <c r="B149" s="122"/>
      <c r="G149" s="121"/>
    </row>
    <row r="150" spans="2:7" x14ac:dyDescent="0.25">
      <c r="B150" s="122"/>
      <c r="G150" s="121"/>
    </row>
    <row r="151" spans="2:7" x14ac:dyDescent="0.25">
      <c r="B151" s="122"/>
      <c r="G151" s="121"/>
    </row>
    <row r="152" spans="2:7" x14ac:dyDescent="0.25">
      <c r="B152" s="122"/>
      <c r="G152" s="121"/>
    </row>
    <row r="153" spans="2:7" x14ac:dyDescent="0.25">
      <c r="B153" s="122"/>
      <c r="G153" s="121"/>
    </row>
    <row r="154" spans="2:7" x14ac:dyDescent="0.25">
      <c r="B154" s="122"/>
      <c r="G154" s="121"/>
    </row>
    <row r="155" spans="2:7" x14ac:dyDescent="0.25">
      <c r="B155" s="122"/>
      <c r="G155" s="121"/>
    </row>
    <row r="156" spans="2:7" x14ac:dyDescent="0.25">
      <c r="B156" s="122"/>
      <c r="G156" s="121"/>
    </row>
    <row r="157" spans="2:7" x14ac:dyDescent="0.25">
      <c r="B157" s="122"/>
      <c r="G157" s="121"/>
    </row>
    <row r="158" spans="2:7" x14ac:dyDescent="0.25">
      <c r="B158" s="122"/>
      <c r="G158" s="121"/>
    </row>
    <row r="159" spans="2:7" x14ac:dyDescent="0.25">
      <c r="B159" s="122"/>
      <c r="G159" s="121"/>
    </row>
    <row r="160" spans="2:7" x14ac:dyDescent="0.25">
      <c r="B160" s="122"/>
      <c r="G160" s="121"/>
    </row>
    <row r="161" spans="2:7" x14ac:dyDescent="0.25">
      <c r="B161" s="122"/>
      <c r="G161" s="121"/>
    </row>
    <row r="162" spans="2:7" x14ac:dyDescent="0.25">
      <c r="B162" s="122"/>
      <c r="G162" s="121"/>
    </row>
    <row r="163" spans="2:7" x14ac:dyDescent="0.25">
      <c r="B163" s="122"/>
      <c r="G163" s="121"/>
    </row>
    <row r="164" spans="2:7" x14ac:dyDescent="0.25">
      <c r="B164" s="122"/>
      <c r="G164" s="121"/>
    </row>
    <row r="165" spans="2:7" x14ac:dyDescent="0.25">
      <c r="B165" s="122"/>
      <c r="G165" s="121"/>
    </row>
    <row r="166" spans="2:7" x14ac:dyDescent="0.25">
      <c r="B166" s="125"/>
      <c r="C166" s="126"/>
      <c r="D166" s="127"/>
      <c r="E166" s="127"/>
      <c r="F166" s="127"/>
      <c r="G166" s="128"/>
    </row>
  </sheetData>
  <dataValidations count="1">
    <dataValidation type="list" allowBlank="1" showInputMessage="1" showErrorMessage="1" sqref="B6:B9" xr:uid="{93EDCF1C-832E-4BD8-BADB-148897A148C7}">
      <formula1>"Tier 1,Tier 2,Tier 3,Tier 4"</formula1>
    </dataValidation>
  </dataValidation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B92A5C-478F-46EE-9A91-C5A53B0DE32E}">
  <sheetPr codeName="Sheet30">
    <tabColor rgb="FF00CCFF"/>
  </sheetPr>
  <dimension ref="A1:I166"/>
  <sheetViews>
    <sheetView showGridLines="0" zoomScale="80" zoomScaleNormal="80" workbookViewId="0"/>
  </sheetViews>
  <sheetFormatPr defaultRowHeight="13.2" x14ac:dyDescent="0.25"/>
  <cols>
    <col min="1" max="1" width="26.109375" customWidth="1"/>
    <col min="2" max="2" width="128.88671875" customWidth="1"/>
    <col min="3" max="3" width="21" customWidth="1"/>
    <col min="4" max="6" width="19.88671875" style="96" customWidth="1"/>
    <col min="7" max="7" width="23.5546875" style="96" customWidth="1"/>
    <col min="8" max="8" width="14.44140625" customWidth="1"/>
  </cols>
  <sheetData>
    <row r="1" spans="1:7" x14ac:dyDescent="0.25">
      <c r="A1" s="4" t="str" cm="1">
        <f t="array" aca="1" ref="A1" ca="1">MID(CELL("filename",A1),FIND("]",CELL("filename",A1))+1,255)</f>
        <v>Engineered_fill</v>
      </c>
    </row>
    <row r="2" spans="1:7" x14ac:dyDescent="0.25">
      <c r="A2" s="4"/>
    </row>
    <row r="3" spans="1:7" x14ac:dyDescent="0.25">
      <c r="A3" s="4" t="s">
        <v>4048</v>
      </c>
      <c r="B3" t="s">
        <v>4175</v>
      </c>
    </row>
    <row r="4" spans="1:7" x14ac:dyDescent="0.25">
      <c r="A4" s="4"/>
    </row>
    <row r="5" spans="1:7" ht="73.5" customHeight="1" x14ac:dyDescent="0.25">
      <c r="A5" s="26" t="s">
        <v>4050</v>
      </c>
      <c r="B5" s="14" t="s">
        <v>4176</v>
      </c>
    </row>
    <row r="6" spans="1:7" x14ac:dyDescent="0.25">
      <c r="A6" s="26" t="s">
        <v>4052</v>
      </c>
      <c r="B6" t="s">
        <v>69</v>
      </c>
    </row>
    <row r="7" spans="1:7" x14ac:dyDescent="0.25">
      <c r="A7" s="26" t="s">
        <v>4053</v>
      </c>
      <c r="B7" s="27" t="s">
        <v>68</v>
      </c>
    </row>
    <row r="8" spans="1:7" x14ac:dyDescent="0.25">
      <c r="A8" s="26" t="s">
        <v>4054</v>
      </c>
      <c r="B8" s="27" t="s">
        <v>70</v>
      </c>
    </row>
    <row r="9" spans="1:7" x14ac:dyDescent="0.25">
      <c r="A9" s="26" t="s">
        <v>4055</v>
      </c>
      <c r="B9" s="4" t="s">
        <v>70</v>
      </c>
    </row>
    <row r="10" spans="1:7" x14ac:dyDescent="0.25">
      <c r="A10" s="26"/>
      <c r="B10" s="4"/>
    </row>
    <row r="11" spans="1:7" x14ac:dyDescent="0.25">
      <c r="A11" s="26" t="s">
        <v>4056</v>
      </c>
      <c r="B11" s="14"/>
    </row>
    <row r="12" spans="1:7" x14ac:dyDescent="0.25">
      <c r="A12" s="101"/>
    </row>
    <row r="13" spans="1:7" x14ac:dyDescent="0.25">
      <c r="A13" s="101"/>
    </row>
    <row r="14" spans="1:7" x14ac:dyDescent="0.25">
      <c r="A14" s="26" t="s">
        <v>4057</v>
      </c>
    </row>
    <row r="15" spans="1:7" x14ac:dyDescent="0.25">
      <c r="A15" s="26"/>
      <c r="D15" s="112" t="s">
        <v>4058</v>
      </c>
      <c r="E15" s="113"/>
      <c r="F15" s="114" t="s">
        <v>4059</v>
      </c>
      <c r="G15" s="113"/>
    </row>
    <row r="16" spans="1:7" ht="39.6" x14ac:dyDescent="0.25">
      <c r="B16" s="28" t="s">
        <v>152</v>
      </c>
      <c r="C16" s="23" t="s">
        <v>23</v>
      </c>
      <c r="D16" s="24" t="s">
        <v>141</v>
      </c>
      <c r="E16" s="25" t="s">
        <v>148</v>
      </c>
      <c r="F16" s="24" t="s">
        <v>142</v>
      </c>
      <c r="G16" s="24" t="s">
        <v>149</v>
      </c>
    </row>
    <row r="17" spans="2:8" x14ac:dyDescent="0.25">
      <c r="B17" s="29"/>
      <c r="C17" s="30" t="s">
        <v>4060</v>
      </c>
      <c r="D17" s="118" t="str" cm="1">
        <f t="array" ref="D17">IF(AND(_xlfn.ANCHORARRAY(C23)=C23),C23,"Mixed")</f>
        <v>tonne</v>
      </c>
      <c r="E17" s="118" t="s">
        <v>219</v>
      </c>
      <c r="F17" s="118" t="str" cm="1">
        <f t="array" ref="F17">IF(AND(_xlfn.ANCHORARRAY(C23)=C23),C23,"Mixed")</f>
        <v>tonne</v>
      </c>
      <c r="G17" s="119" t="s">
        <v>219</v>
      </c>
    </row>
    <row r="18" spans="2:8" s="14" customFormat="1" x14ac:dyDescent="0.25">
      <c r="B18" s="31"/>
      <c r="C18" s="4" t="s">
        <v>4061</v>
      </c>
      <c r="D18" s="96">
        <f t="shared" ref="D18:G18" si="0">MAX(_xlfn.ANCHORARRAY(D23))</f>
        <v>9.24</v>
      </c>
      <c r="E18" s="96">
        <f t="shared" si="0"/>
        <v>9.2399999999999999E-3</v>
      </c>
      <c r="F18" s="96">
        <f t="shared" si="0"/>
        <v>0</v>
      </c>
      <c r="G18" s="121">
        <f t="shared" si="0"/>
        <v>0</v>
      </c>
      <c r="H18"/>
    </row>
    <row r="19" spans="2:8" x14ac:dyDescent="0.25">
      <c r="B19" s="122"/>
      <c r="C19" s="4" t="s">
        <v>4062</v>
      </c>
      <c r="D19" s="96">
        <f>MIN(_xlfn.ANCHORARRAY(D23))</f>
        <v>3.26</v>
      </c>
      <c r="E19" s="96">
        <f t="shared" ref="E19:G19" si="1">MIN(_xlfn.ANCHORARRAY(E23))</f>
        <v>3.2599999999999999E-3</v>
      </c>
      <c r="F19" s="96">
        <f t="shared" si="1"/>
        <v>0</v>
      </c>
      <c r="G19" s="121">
        <f t="shared" si="1"/>
        <v>0</v>
      </c>
    </row>
    <row r="20" spans="2:8" x14ac:dyDescent="0.25">
      <c r="B20" s="122"/>
      <c r="C20" s="4" t="s">
        <v>4063</v>
      </c>
      <c r="D20" s="96">
        <f>AVERAGE(_xlfn.ANCHORARRAY(D23))</f>
        <v>6.6602367000000013</v>
      </c>
      <c r="E20" s="96">
        <f t="shared" ref="E20:G20" si="2">AVERAGE(_xlfn.ANCHORARRAY(E23))</f>
        <v>6.6602366999999997E-3</v>
      </c>
      <c r="F20" s="96">
        <f t="shared" si="2"/>
        <v>0</v>
      </c>
      <c r="G20" s="121">
        <f t="shared" si="2"/>
        <v>0</v>
      </c>
    </row>
    <row r="21" spans="2:8" x14ac:dyDescent="0.25">
      <c r="B21" s="122"/>
      <c r="C21" s="4"/>
      <c r="G21" s="121"/>
    </row>
    <row r="22" spans="2:8" x14ac:dyDescent="0.25">
      <c r="B22" s="32" t="s">
        <v>4064</v>
      </c>
      <c r="D22"/>
      <c r="E22"/>
      <c r="F22"/>
      <c r="G22" s="124"/>
    </row>
    <row r="23" spans="2:8" x14ac:dyDescent="0.25">
      <c r="B23" s="122" t="str" cm="1">
        <f t="array" ref="B23:B32">_xlfn.UNIQUE(_xlfn._xlws.FILTER('EPD List'!D:D,ISNUMBER(SEARCH(B16,'EPD List'!C:C)),0))</f>
        <v>Aggregates, , Aggregates (BCG) (Australia)</v>
      </c>
      <c r="C23" t="str" cm="1">
        <f t="array" ref="C23:C32">_xlfn.IFNA(INDEX('EPD List'!$A:$AB,MATCH(_xlfn.ANCHORARRAY(B23),'EPD List'!$D:$D,0),MATCH(C$16,'EPD List'!$7:$7,0)),"")</f>
        <v>tonne</v>
      </c>
      <c r="D23" s="96" cm="1">
        <f t="array" ref="D23:D32">_xlfn.IFNA(VALUE((INDEX('EPD List'!$A:$AD,MATCH(_xlfn.ANCHORARRAY($B23),'EPD List'!$D:$D,0),MATCH(D$16,'EPD List'!$7:$7,0)))),"")</f>
        <v>4.9623670000000004</v>
      </c>
      <c r="E23" s="96" cm="1">
        <f t="array" ref="E23:E32">_xlfn.IFNA(VALUE((INDEX('EPD List'!$A:$AD,MATCH(_xlfn.ANCHORARRAY($B23),'EPD List'!$D:$D,0),MATCH(E$16,'EPD List'!$7:$7,0)))),"")</f>
        <v>4.9623670000000005E-3</v>
      </c>
      <c r="F23" s="96" cm="1">
        <f t="array" ref="F23:F32">_xlfn.IFNA(VALUE((INDEX('EPD List'!$A:$AD,MATCH(_xlfn.ANCHORARRAY($B23),'EPD List'!$D:$D,0),MATCH(F$16,'EPD List'!$7:$7,0)))),"")</f>
        <v>0</v>
      </c>
      <c r="G23" s="121" cm="1">
        <f t="array" ref="G23:G32">_xlfn.IFNA(VALUE((INDEX('EPD List'!$A:$AD,MATCH(_xlfn.ANCHORARRAY($B23),'EPD List'!$D:$D,0),MATCH(G$16,'EPD List'!$7:$7,0)))),"")</f>
        <v>0</v>
      </c>
    </row>
    <row r="24" spans="2:8" x14ac:dyDescent="0.25">
      <c r="B24" s="122" t="str">
        <v>Aggregates, , Tylden quarry products (Fulton Hogan) (Australia)</v>
      </c>
      <c r="C24" t="str">
        <v>tonne</v>
      </c>
      <c r="D24" s="96">
        <v>5.0999999999999996</v>
      </c>
      <c r="E24" s="96">
        <v>5.0999999999999995E-3</v>
      </c>
      <c r="F24" s="96">
        <v>0</v>
      </c>
      <c r="G24" s="121">
        <v>0</v>
      </c>
    </row>
    <row r="25" spans="2:8" x14ac:dyDescent="0.25">
      <c r="B25" s="122" t="str">
        <v>Aggregates, , Tynong quarry products (Fulton Hogan) (Australia)</v>
      </c>
      <c r="C25" t="str">
        <v>tonne</v>
      </c>
      <c r="D25" s="96">
        <v>7.8</v>
      </c>
      <c r="E25" s="96">
        <v>7.7999999999999996E-3</v>
      </c>
      <c r="F25" s="96">
        <v>0</v>
      </c>
      <c r="G25" s="121">
        <v>0</v>
      </c>
    </row>
    <row r="26" spans="2:8" x14ac:dyDescent="0.25">
      <c r="B26" s="122" t="str">
        <v>Aggregates, , Ballast (Holcim) (Australia)</v>
      </c>
      <c r="C26" t="str">
        <v>tonne</v>
      </c>
      <c r="D26" s="96">
        <v>7.81</v>
      </c>
      <c r="E26" s="96">
        <v>7.8099999999999992E-3</v>
      </c>
      <c r="F26" s="96">
        <v>0</v>
      </c>
      <c r="G26" s="121">
        <v>0</v>
      </c>
    </row>
    <row r="27" spans="2:8" x14ac:dyDescent="0.25">
      <c r="B27" s="122" t="str">
        <v>Aggregates, , Other
Aggregates (Holcim) (Australia)</v>
      </c>
      <c r="C27" t="str">
        <v>tonne</v>
      </c>
      <c r="D27" s="96">
        <v>6.12</v>
      </c>
      <c r="E27" s="96">
        <v>6.1200000000000004E-3</v>
      </c>
      <c r="F27" s="96">
        <v>0</v>
      </c>
      <c r="G27" s="121">
        <v>0</v>
      </c>
    </row>
    <row r="28" spans="2:8" x14ac:dyDescent="0.25">
      <c r="B28" s="122" t="str">
        <v>Aggregates, , Other
Roadbase (Holcim) (Australia)</v>
      </c>
      <c r="C28" t="str">
        <v>tonne</v>
      </c>
      <c r="D28" s="96">
        <v>9.24</v>
      </c>
      <c r="E28" s="96">
        <v>9.2399999999999999E-3</v>
      </c>
      <c r="F28" s="96">
        <v>0</v>
      </c>
      <c r="G28" s="121">
        <v>0</v>
      </c>
    </row>
    <row r="29" spans="2:8" x14ac:dyDescent="0.25">
      <c r="B29" s="122" t="str">
        <v>Aggregates, , Asphalt
Aggregates (Holcim) (Australia)</v>
      </c>
      <c r="C29" t="str">
        <v>tonne</v>
      </c>
      <c r="D29" s="96">
        <v>8.16</v>
      </c>
      <c r="E29" s="96">
        <v>8.1600000000000006E-3</v>
      </c>
      <c r="F29" s="96">
        <v>0</v>
      </c>
      <c r="G29" s="121">
        <v>0</v>
      </c>
    </row>
    <row r="30" spans="2:8" x14ac:dyDescent="0.25">
      <c r="B30" s="122" t="str">
        <v>Aggregates, , Sealing
Aggregates (Holcim) (Australia)</v>
      </c>
      <c r="C30" t="str">
        <v>tonne</v>
      </c>
      <c r="D30" s="96">
        <v>7.98</v>
      </c>
      <c r="E30" s="96">
        <v>7.980000000000001E-3</v>
      </c>
      <c r="F30" s="96">
        <v>0</v>
      </c>
      <c r="G30" s="121">
        <v>0</v>
      </c>
    </row>
    <row r="31" spans="2:8" x14ac:dyDescent="0.25">
      <c r="B31" s="122" t="str">
        <v>Aggregates, , Concrete
Aggregates (Holcim) (Australia)</v>
      </c>
      <c r="C31" t="str">
        <v>tonne</v>
      </c>
      <c r="D31" s="96">
        <v>6.17</v>
      </c>
      <c r="E31" s="96">
        <v>6.1700000000000001E-3</v>
      </c>
      <c r="F31" s="96">
        <v>0</v>
      </c>
      <c r="G31" s="121">
        <v>0</v>
      </c>
    </row>
    <row r="32" spans="2:8" x14ac:dyDescent="0.25">
      <c r="B32" s="122" t="str">
        <v>Aggregates, , Customer
Spec.
Roadbase (Holcim) (Australia)</v>
      </c>
      <c r="C32" t="str">
        <v>tonne</v>
      </c>
      <c r="D32" s="96">
        <v>3.26</v>
      </c>
      <c r="E32" s="96">
        <v>3.2599999999999999E-3</v>
      </c>
      <c r="F32" s="96">
        <v>0</v>
      </c>
      <c r="G32" s="121">
        <v>0</v>
      </c>
    </row>
    <row r="33" spans="2:7" x14ac:dyDescent="0.25">
      <c r="B33" s="122"/>
      <c r="G33" s="121"/>
    </row>
    <row r="34" spans="2:7" x14ac:dyDescent="0.25">
      <c r="B34" s="122"/>
      <c r="G34" s="121"/>
    </row>
    <row r="35" spans="2:7" x14ac:dyDescent="0.25">
      <c r="B35" s="122"/>
      <c r="G35" s="121"/>
    </row>
    <row r="36" spans="2:7" x14ac:dyDescent="0.25">
      <c r="B36" s="122"/>
      <c r="G36" s="121"/>
    </row>
    <row r="37" spans="2:7" x14ac:dyDescent="0.25">
      <c r="B37" s="122"/>
      <c r="G37" s="121"/>
    </row>
    <row r="38" spans="2:7" x14ac:dyDescent="0.25">
      <c r="B38" s="122"/>
      <c r="G38" s="121"/>
    </row>
    <row r="39" spans="2:7" x14ac:dyDescent="0.25">
      <c r="B39" s="122"/>
      <c r="G39" s="121"/>
    </row>
    <row r="40" spans="2:7" x14ac:dyDescent="0.25">
      <c r="B40" s="122"/>
      <c r="G40" s="121"/>
    </row>
    <row r="41" spans="2:7" x14ac:dyDescent="0.25">
      <c r="B41" s="122"/>
      <c r="G41" s="121"/>
    </row>
    <row r="42" spans="2:7" x14ac:dyDescent="0.25">
      <c r="B42" s="122"/>
      <c r="G42" s="121"/>
    </row>
    <row r="43" spans="2:7" x14ac:dyDescent="0.25">
      <c r="B43" s="122"/>
      <c r="G43" s="121"/>
    </row>
    <row r="44" spans="2:7" x14ac:dyDescent="0.25">
      <c r="B44" s="122"/>
      <c r="G44" s="121"/>
    </row>
    <row r="45" spans="2:7" x14ac:dyDescent="0.25">
      <c r="B45" s="122"/>
      <c r="G45" s="121"/>
    </row>
    <row r="46" spans="2:7" x14ac:dyDescent="0.25">
      <c r="B46" s="122"/>
      <c r="G46" s="121"/>
    </row>
    <row r="47" spans="2:7" x14ac:dyDescent="0.25">
      <c r="B47" s="122"/>
      <c r="G47" s="121"/>
    </row>
    <row r="48" spans="2:7" x14ac:dyDescent="0.25">
      <c r="B48" s="122"/>
      <c r="G48" s="121"/>
    </row>
    <row r="49" spans="2:7" x14ac:dyDescent="0.25">
      <c r="B49" s="122"/>
      <c r="G49" s="121"/>
    </row>
    <row r="50" spans="2:7" x14ac:dyDescent="0.25">
      <c r="B50" s="122"/>
      <c r="G50" s="121"/>
    </row>
    <row r="51" spans="2:7" x14ac:dyDescent="0.25">
      <c r="B51" s="122"/>
      <c r="G51" s="121"/>
    </row>
    <row r="52" spans="2:7" x14ac:dyDescent="0.25">
      <c r="B52" s="122"/>
      <c r="G52" s="121"/>
    </row>
    <row r="53" spans="2:7" x14ac:dyDescent="0.25">
      <c r="B53" s="122"/>
      <c r="G53" s="121"/>
    </row>
    <row r="54" spans="2:7" x14ac:dyDescent="0.25">
      <c r="B54" s="122"/>
      <c r="G54" s="121"/>
    </row>
    <row r="55" spans="2:7" x14ac:dyDescent="0.25">
      <c r="B55" s="122"/>
      <c r="G55" s="121"/>
    </row>
    <row r="56" spans="2:7" x14ac:dyDescent="0.25">
      <c r="B56" s="122"/>
      <c r="G56" s="121"/>
    </row>
    <row r="57" spans="2:7" x14ac:dyDescent="0.25">
      <c r="B57" s="122"/>
      <c r="G57" s="121"/>
    </row>
    <row r="58" spans="2:7" x14ac:dyDescent="0.25">
      <c r="B58" s="122"/>
      <c r="G58" s="121"/>
    </row>
    <row r="59" spans="2:7" x14ac:dyDescent="0.25">
      <c r="B59" s="122"/>
      <c r="G59" s="121"/>
    </row>
    <row r="60" spans="2:7" x14ac:dyDescent="0.25">
      <c r="B60" s="122"/>
      <c r="G60" s="121"/>
    </row>
    <row r="61" spans="2:7" x14ac:dyDescent="0.25">
      <c r="B61" s="122"/>
      <c r="G61" s="121"/>
    </row>
    <row r="62" spans="2:7" x14ac:dyDescent="0.25">
      <c r="B62" s="122"/>
      <c r="G62" s="121"/>
    </row>
    <row r="63" spans="2:7" x14ac:dyDescent="0.25">
      <c r="B63" s="122"/>
      <c r="G63" s="121"/>
    </row>
    <row r="64" spans="2:7" x14ac:dyDescent="0.25">
      <c r="B64" s="122"/>
      <c r="G64" s="121"/>
    </row>
    <row r="65" spans="2:7" x14ac:dyDescent="0.25">
      <c r="B65" s="122"/>
      <c r="G65" s="121"/>
    </row>
    <row r="66" spans="2:7" x14ac:dyDescent="0.25">
      <c r="B66" s="122"/>
      <c r="G66" s="121"/>
    </row>
    <row r="67" spans="2:7" x14ac:dyDescent="0.25">
      <c r="B67" s="122"/>
      <c r="G67" s="121"/>
    </row>
    <row r="68" spans="2:7" x14ac:dyDescent="0.25">
      <c r="B68" s="122"/>
      <c r="G68" s="121"/>
    </row>
    <row r="69" spans="2:7" x14ac:dyDescent="0.25">
      <c r="B69" s="122"/>
      <c r="G69" s="121"/>
    </row>
    <row r="70" spans="2:7" x14ac:dyDescent="0.25">
      <c r="B70" s="122"/>
      <c r="G70" s="121"/>
    </row>
    <row r="71" spans="2:7" x14ac:dyDescent="0.25">
      <c r="B71" s="122"/>
      <c r="G71" s="121"/>
    </row>
    <row r="72" spans="2:7" x14ac:dyDescent="0.25">
      <c r="B72" s="122"/>
      <c r="G72" s="121"/>
    </row>
    <row r="73" spans="2:7" x14ac:dyDescent="0.25">
      <c r="B73" s="122"/>
      <c r="G73" s="121"/>
    </row>
    <row r="74" spans="2:7" x14ac:dyDescent="0.25">
      <c r="B74" s="122"/>
      <c r="G74" s="121"/>
    </row>
    <row r="75" spans="2:7" x14ac:dyDescent="0.25">
      <c r="B75" s="122"/>
      <c r="G75" s="121"/>
    </row>
    <row r="76" spans="2:7" x14ac:dyDescent="0.25">
      <c r="B76" s="122"/>
      <c r="G76" s="121"/>
    </row>
    <row r="77" spans="2:7" x14ac:dyDescent="0.25">
      <c r="B77" s="122"/>
      <c r="G77" s="121"/>
    </row>
    <row r="78" spans="2:7" x14ac:dyDescent="0.25">
      <c r="B78" s="122"/>
      <c r="G78" s="121"/>
    </row>
    <row r="79" spans="2:7" x14ac:dyDescent="0.25">
      <c r="B79" s="122"/>
      <c r="G79" s="121"/>
    </row>
    <row r="80" spans="2:7" x14ac:dyDescent="0.25">
      <c r="B80" s="122"/>
      <c r="G80" s="121"/>
    </row>
    <row r="81" spans="2:9" x14ac:dyDescent="0.25">
      <c r="B81" s="122"/>
      <c r="G81" s="121"/>
    </row>
    <row r="82" spans="2:9" x14ac:dyDescent="0.25">
      <c r="B82" s="122"/>
      <c r="G82" s="121"/>
    </row>
    <row r="83" spans="2:9" x14ac:dyDescent="0.25">
      <c r="B83" s="122"/>
      <c r="G83" s="121"/>
    </row>
    <row r="84" spans="2:9" x14ac:dyDescent="0.25">
      <c r="B84" s="122"/>
      <c r="G84" s="121"/>
    </row>
    <row r="85" spans="2:9" x14ac:dyDescent="0.25">
      <c r="B85" s="122"/>
      <c r="G85" s="121"/>
    </row>
    <row r="86" spans="2:9" x14ac:dyDescent="0.25">
      <c r="B86" s="122"/>
      <c r="G86" s="121"/>
    </row>
    <row r="87" spans="2:9" x14ac:dyDescent="0.25">
      <c r="B87" s="122"/>
      <c r="G87" s="121"/>
    </row>
    <row r="88" spans="2:9" x14ac:dyDescent="0.25">
      <c r="B88" s="122"/>
      <c r="G88" s="121"/>
    </row>
    <row r="89" spans="2:9" x14ac:dyDescent="0.25">
      <c r="B89" s="122"/>
      <c r="G89" s="121"/>
    </row>
    <row r="90" spans="2:9" x14ac:dyDescent="0.25">
      <c r="B90" s="122"/>
      <c r="G90" s="121"/>
      <c r="I90" s="96"/>
    </row>
    <row r="91" spans="2:9" x14ac:dyDescent="0.25">
      <c r="B91" s="122"/>
      <c r="G91" s="121"/>
    </row>
    <row r="92" spans="2:9" x14ac:dyDescent="0.25">
      <c r="B92" s="122"/>
      <c r="G92" s="121"/>
    </row>
    <row r="93" spans="2:9" x14ac:dyDescent="0.25">
      <c r="B93" s="122"/>
      <c r="G93" s="121"/>
    </row>
    <row r="94" spans="2:9" x14ac:dyDescent="0.25">
      <c r="B94" s="122"/>
      <c r="G94" s="121"/>
    </row>
    <row r="95" spans="2:9" x14ac:dyDescent="0.25">
      <c r="B95" s="122"/>
      <c r="G95" s="121"/>
    </row>
    <row r="96" spans="2:9" x14ac:dyDescent="0.25">
      <c r="B96" s="122"/>
      <c r="G96" s="121"/>
    </row>
    <row r="97" spans="2:7" x14ac:dyDescent="0.25">
      <c r="B97" s="122"/>
      <c r="G97" s="121"/>
    </row>
    <row r="98" spans="2:7" x14ac:dyDescent="0.25">
      <c r="B98" s="122"/>
      <c r="G98" s="121"/>
    </row>
    <row r="99" spans="2:7" x14ac:dyDescent="0.25">
      <c r="B99" s="122"/>
      <c r="G99" s="121"/>
    </row>
    <row r="100" spans="2:7" x14ac:dyDescent="0.25">
      <c r="B100" s="122"/>
      <c r="G100" s="121"/>
    </row>
    <row r="101" spans="2:7" x14ac:dyDescent="0.25">
      <c r="B101" s="122"/>
      <c r="G101" s="121"/>
    </row>
    <row r="102" spans="2:7" x14ac:dyDescent="0.25">
      <c r="B102" s="122"/>
      <c r="G102" s="121"/>
    </row>
    <row r="103" spans="2:7" x14ac:dyDescent="0.25">
      <c r="B103" s="122"/>
      <c r="G103" s="121"/>
    </row>
    <row r="104" spans="2:7" x14ac:dyDescent="0.25">
      <c r="B104" s="122"/>
      <c r="G104" s="121"/>
    </row>
    <row r="105" spans="2:7" x14ac:dyDescent="0.25">
      <c r="B105" s="122"/>
      <c r="G105" s="121"/>
    </row>
    <row r="106" spans="2:7" x14ac:dyDescent="0.25">
      <c r="B106" s="122"/>
      <c r="G106" s="121"/>
    </row>
    <row r="107" spans="2:7" x14ac:dyDescent="0.25">
      <c r="B107" s="122"/>
      <c r="G107" s="121"/>
    </row>
    <row r="108" spans="2:7" x14ac:dyDescent="0.25">
      <c r="B108" s="122"/>
      <c r="G108" s="121"/>
    </row>
    <row r="109" spans="2:7" x14ac:dyDescent="0.25">
      <c r="B109" s="122"/>
      <c r="G109" s="121"/>
    </row>
    <row r="110" spans="2:7" x14ac:dyDescent="0.25">
      <c r="B110" s="122"/>
      <c r="G110" s="121"/>
    </row>
    <row r="111" spans="2:7" x14ac:dyDescent="0.25">
      <c r="B111" s="122"/>
      <c r="G111" s="121"/>
    </row>
    <row r="112" spans="2:7" x14ac:dyDescent="0.25">
      <c r="B112" s="122"/>
      <c r="G112" s="121"/>
    </row>
    <row r="113" spans="2:7" x14ac:dyDescent="0.25">
      <c r="B113" s="122"/>
      <c r="G113" s="121"/>
    </row>
    <row r="114" spans="2:7" x14ac:dyDescent="0.25">
      <c r="B114" s="122"/>
      <c r="G114" s="121"/>
    </row>
    <row r="115" spans="2:7" x14ac:dyDescent="0.25">
      <c r="B115" s="122"/>
      <c r="G115" s="121"/>
    </row>
    <row r="116" spans="2:7" x14ac:dyDescent="0.25">
      <c r="B116" s="122"/>
      <c r="G116" s="121"/>
    </row>
    <row r="117" spans="2:7" x14ac:dyDescent="0.25">
      <c r="B117" s="122"/>
      <c r="G117" s="121"/>
    </row>
    <row r="118" spans="2:7" x14ac:dyDescent="0.25">
      <c r="B118" s="122"/>
      <c r="G118" s="121"/>
    </row>
    <row r="119" spans="2:7" x14ac:dyDescent="0.25">
      <c r="B119" s="122"/>
      <c r="G119" s="121"/>
    </row>
    <row r="120" spans="2:7" x14ac:dyDescent="0.25">
      <c r="B120" s="122"/>
      <c r="G120" s="121"/>
    </row>
    <row r="121" spans="2:7" x14ac:dyDescent="0.25">
      <c r="B121" s="122"/>
      <c r="G121" s="121"/>
    </row>
    <row r="122" spans="2:7" x14ac:dyDescent="0.25">
      <c r="B122" s="122"/>
      <c r="G122" s="121"/>
    </row>
    <row r="123" spans="2:7" x14ac:dyDescent="0.25">
      <c r="B123" s="122"/>
      <c r="G123" s="121"/>
    </row>
    <row r="124" spans="2:7" x14ac:dyDescent="0.25">
      <c r="B124" s="122"/>
      <c r="G124" s="121"/>
    </row>
    <row r="125" spans="2:7" x14ac:dyDescent="0.25">
      <c r="B125" s="122"/>
      <c r="G125" s="121"/>
    </row>
    <row r="126" spans="2:7" x14ac:dyDescent="0.25">
      <c r="B126" s="122"/>
      <c r="G126" s="121"/>
    </row>
    <row r="127" spans="2:7" x14ac:dyDescent="0.25">
      <c r="B127" s="122"/>
      <c r="G127" s="121"/>
    </row>
    <row r="128" spans="2:7" x14ac:dyDescent="0.25">
      <c r="B128" s="122"/>
      <c r="G128" s="121"/>
    </row>
    <row r="129" spans="2:7" x14ac:dyDescent="0.25">
      <c r="B129" s="122"/>
      <c r="G129" s="121"/>
    </row>
    <row r="130" spans="2:7" x14ac:dyDescent="0.25">
      <c r="B130" s="122"/>
      <c r="G130" s="121"/>
    </row>
    <row r="131" spans="2:7" x14ac:dyDescent="0.25">
      <c r="B131" s="122"/>
      <c r="G131" s="121"/>
    </row>
    <row r="132" spans="2:7" x14ac:dyDescent="0.25">
      <c r="B132" s="122"/>
      <c r="G132" s="121"/>
    </row>
    <row r="133" spans="2:7" x14ac:dyDescent="0.25">
      <c r="B133" s="122"/>
      <c r="G133" s="121"/>
    </row>
    <row r="134" spans="2:7" x14ac:dyDescent="0.25">
      <c r="B134" s="122"/>
      <c r="G134" s="121"/>
    </row>
    <row r="135" spans="2:7" x14ac:dyDescent="0.25">
      <c r="B135" s="122"/>
      <c r="G135" s="121"/>
    </row>
    <row r="136" spans="2:7" x14ac:dyDescent="0.25">
      <c r="B136" s="122"/>
      <c r="G136" s="121"/>
    </row>
    <row r="137" spans="2:7" x14ac:dyDescent="0.25">
      <c r="B137" s="122"/>
      <c r="G137" s="121"/>
    </row>
    <row r="138" spans="2:7" x14ac:dyDescent="0.25">
      <c r="B138" s="122"/>
      <c r="G138" s="121"/>
    </row>
    <row r="139" spans="2:7" x14ac:dyDescent="0.25">
      <c r="B139" s="122"/>
      <c r="G139" s="121"/>
    </row>
    <row r="140" spans="2:7" x14ac:dyDescent="0.25">
      <c r="B140" s="122"/>
      <c r="G140" s="121"/>
    </row>
    <row r="141" spans="2:7" x14ac:dyDescent="0.25">
      <c r="B141" s="122"/>
      <c r="G141" s="121"/>
    </row>
    <row r="142" spans="2:7" x14ac:dyDescent="0.25">
      <c r="B142" s="122"/>
      <c r="G142" s="121"/>
    </row>
    <row r="143" spans="2:7" x14ac:dyDescent="0.25">
      <c r="B143" s="122"/>
      <c r="G143" s="121"/>
    </row>
    <row r="144" spans="2:7" x14ac:dyDescent="0.25">
      <c r="B144" s="122"/>
      <c r="G144" s="121"/>
    </row>
    <row r="145" spans="2:7" x14ac:dyDescent="0.25">
      <c r="B145" s="122"/>
      <c r="G145" s="121"/>
    </row>
    <row r="146" spans="2:7" x14ac:dyDescent="0.25">
      <c r="B146" s="122"/>
      <c r="G146" s="121"/>
    </row>
    <row r="147" spans="2:7" x14ac:dyDescent="0.25">
      <c r="B147" s="122"/>
      <c r="G147" s="121"/>
    </row>
    <row r="148" spans="2:7" x14ac:dyDescent="0.25">
      <c r="B148" s="122"/>
      <c r="G148" s="121"/>
    </row>
    <row r="149" spans="2:7" x14ac:dyDescent="0.25">
      <c r="B149" s="122"/>
      <c r="G149" s="121"/>
    </row>
    <row r="150" spans="2:7" x14ac:dyDescent="0.25">
      <c r="B150" s="122"/>
      <c r="G150" s="121"/>
    </row>
    <row r="151" spans="2:7" x14ac:dyDescent="0.25">
      <c r="B151" s="122"/>
      <c r="G151" s="121"/>
    </row>
    <row r="152" spans="2:7" x14ac:dyDescent="0.25">
      <c r="B152" s="122"/>
      <c r="G152" s="121"/>
    </row>
    <row r="153" spans="2:7" x14ac:dyDescent="0.25">
      <c r="B153" s="122"/>
      <c r="G153" s="121"/>
    </row>
    <row r="154" spans="2:7" x14ac:dyDescent="0.25">
      <c r="B154" s="122"/>
      <c r="G154" s="121"/>
    </row>
    <row r="155" spans="2:7" x14ac:dyDescent="0.25">
      <c r="B155" s="122"/>
      <c r="G155" s="121"/>
    </row>
    <row r="156" spans="2:7" x14ac:dyDescent="0.25">
      <c r="B156" s="122"/>
      <c r="G156" s="121"/>
    </row>
    <row r="157" spans="2:7" x14ac:dyDescent="0.25">
      <c r="B157" s="122"/>
      <c r="G157" s="121"/>
    </row>
    <row r="158" spans="2:7" x14ac:dyDescent="0.25">
      <c r="B158" s="122"/>
      <c r="G158" s="121"/>
    </row>
    <row r="159" spans="2:7" x14ac:dyDescent="0.25">
      <c r="B159" s="122"/>
      <c r="G159" s="121"/>
    </row>
    <row r="160" spans="2:7" x14ac:dyDescent="0.25">
      <c r="B160" s="122"/>
      <c r="G160" s="121"/>
    </row>
    <row r="161" spans="2:7" x14ac:dyDescent="0.25">
      <c r="B161" s="122"/>
      <c r="G161" s="121"/>
    </row>
    <row r="162" spans="2:7" x14ac:dyDescent="0.25">
      <c r="B162" s="122"/>
      <c r="G162" s="121"/>
    </row>
    <row r="163" spans="2:7" x14ac:dyDescent="0.25">
      <c r="B163" s="122"/>
      <c r="G163" s="121"/>
    </row>
    <row r="164" spans="2:7" x14ac:dyDescent="0.25">
      <c r="B164" s="122"/>
      <c r="G164" s="121"/>
    </row>
    <row r="165" spans="2:7" x14ac:dyDescent="0.25">
      <c r="B165" s="122"/>
      <c r="G165" s="121"/>
    </row>
    <row r="166" spans="2:7" x14ac:dyDescent="0.25">
      <c r="B166" s="125"/>
      <c r="C166" s="126"/>
      <c r="D166" s="127"/>
      <c r="E166" s="127"/>
      <c r="F166" s="127"/>
      <c r="G166" s="128"/>
    </row>
  </sheetData>
  <dataValidations count="1">
    <dataValidation type="list" allowBlank="1" showInputMessage="1" showErrorMessage="1" sqref="B6:B9" xr:uid="{98968BC5-823E-4342-BAF7-D725DBCE5C5E}">
      <formula1>"Tier 1,Tier 2,Tier 3,Tier 4"</formula1>
    </dataValidation>
  </dataValidation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D47535-DB7D-4794-8831-A40566904222}">
  <sheetPr codeName="Sheet31">
    <tabColor rgb="FF00CCFF"/>
  </sheetPr>
  <dimension ref="A1:I166"/>
  <sheetViews>
    <sheetView showGridLines="0" zoomScale="80" zoomScaleNormal="80" workbookViewId="0"/>
  </sheetViews>
  <sheetFormatPr defaultRowHeight="13.2" x14ac:dyDescent="0.25"/>
  <cols>
    <col min="1" max="1" width="31.5546875" customWidth="1"/>
    <col min="2" max="2" width="128.88671875" customWidth="1"/>
    <col min="3" max="3" width="21" customWidth="1"/>
    <col min="4" max="6" width="19.88671875" style="96" customWidth="1"/>
    <col min="7" max="7" width="23.5546875" style="96" customWidth="1"/>
    <col min="8" max="8" width="14.44140625" customWidth="1"/>
  </cols>
  <sheetData>
    <row r="1" spans="1:7" x14ac:dyDescent="0.25">
      <c r="A1" s="4" t="str" cm="1">
        <f t="array" aca="1" ref="A1" ca="1">MID(CELL("filename",A1),FIND("]",CELL("filename",A1))+1,255)</f>
        <v>Recovered_aggregate</v>
      </c>
    </row>
    <row r="2" spans="1:7" x14ac:dyDescent="0.25">
      <c r="A2" s="4"/>
    </row>
    <row r="3" spans="1:7" x14ac:dyDescent="0.25">
      <c r="A3" s="4" t="s">
        <v>4048</v>
      </c>
      <c r="B3" t="s">
        <v>4177</v>
      </c>
    </row>
    <row r="4" spans="1:7" x14ac:dyDescent="0.25">
      <c r="A4" s="4"/>
    </row>
    <row r="5" spans="1:7" ht="73.5" customHeight="1" x14ac:dyDescent="0.25">
      <c r="A5" s="26" t="s">
        <v>4050</v>
      </c>
      <c r="B5" s="14" t="s">
        <v>4178</v>
      </c>
    </row>
    <row r="6" spans="1:7" x14ac:dyDescent="0.25">
      <c r="A6" s="26" t="s">
        <v>4052</v>
      </c>
      <c r="B6" t="s">
        <v>68</v>
      </c>
    </row>
    <row r="7" spans="1:7" x14ac:dyDescent="0.25">
      <c r="A7" s="26" t="s">
        <v>4053</v>
      </c>
      <c r="B7" s="27" t="s">
        <v>68</v>
      </c>
    </row>
    <row r="8" spans="1:7" x14ac:dyDescent="0.25">
      <c r="A8" s="26" t="s">
        <v>4054</v>
      </c>
      <c r="B8" s="27" t="s">
        <v>71</v>
      </c>
    </row>
    <row r="9" spans="1:7" x14ac:dyDescent="0.25">
      <c r="A9" s="26" t="s">
        <v>4055</v>
      </c>
      <c r="B9" s="4" t="s">
        <v>71</v>
      </c>
    </row>
    <row r="10" spans="1:7" x14ac:dyDescent="0.25">
      <c r="A10" s="26"/>
      <c r="B10" s="4"/>
    </row>
    <row r="11" spans="1:7" x14ac:dyDescent="0.25">
      <c r="A11" s="26" t="s">
        <v>4056</v>
      </c>
      <c r="B11" s="14"/>
    </row>
    <row r="12" spans="1:7" x14ac:dyDescent="0.25">
      <c r="A12" s="101"/>
    </row>
    <row r="13" spans="1:7" x14ac:dyDescent="0.25">
      <c r="A13" s="101"/>
    </row>
    <row r="14" spans="1:7" x14ac:dyDescent="0.25">
      <c r="A14" s="26" t="s">
        <v>4057</v>
      </c>
    </row>
    <row r="15" spans="1:7" x14ac:dyDescent="0.25">
      <c r="A15" s="26"/>
      <c r="D15" s="112" t="s">
        <v>4058</v>
      </c>
      <c r="E15" s="113"/>
      <c r="F15" s="114" t="s">
        <v>4059</v>
      </c>
      <c r="G15" s="113"/>
    </row>
    <row r="16" spans="1:7" ht="39.6" x14ac:dyDescent="0.25">
      <c r="B16" s="28" t="s">
        <v>161</v>
      </c>
      <c r="C16" s="23" t="s">
        <v>23</v>
      </c>
      <c r="D16" s="24" t="s">
        <v>141</v>
      </c>
      <c r="E16" s="25" t="s">
        <v>148</v>
      </c>
      <c r="F16" s="24" t="s">
        <v>142</v>
      </c>
      <c r="G16" s="24" t="s">
        <v>149</v>
      </c>
    </row>
    <row r="17" spans="2:8" x14ac:dyDescent="0.25">
      <c r="B17" s="29"/>
      <c r="C17" s="30" t="s">
        <v>4060</v>
      </c>
      <c r="D17" s="118" t="str" cm="1">
        <f t="array" ref="D17">IF(AND(_xlfn.ANCHORARRAY(C23)=C23),C23,"Mixed")</f>
        <v>tonne</v>
      </c>
      <c r="E17" s="118" t="s">
        <v>219</v>
      </c>
      <c r="F17" s="118" t="str" cm="1">
        <f t="array" ref="F17">IF(AND(_xlfn.ANCHORARRAY(C23)=C23),C23,"Mixed")</f>
        <v>tonne</v>
      </c>
      <c r="G17" s="119" t="s">
        <v>219</v>
      </c>
    </row>
    <row r="18" spans="2:8" s="14" customFormat="1" x14ac:dyDescent="0.25">
      <c r="B18" s="31"/>
      <c r="C18" s="4" t="s">
        <v>4061</v>
      </c>
      <c r="D18" s="96">
        <f t="shared" ref="D18:G18" si="0">MAX(_xlfn.ANCHORARRAY(D23))</f>
        <v>16</v>
      </c>
      <c r="E18" s="96">
        <f t="shared" si="0"/>
        <v>1.6E-2</v>
      </c>
      <c r="F18" s="96">
        <f t="shared" si="0"/>
        <v>0</v>
      </c>
      <c r="G18" s="121">
        <f t="shared" si="0"/>
        <v>0</v>
      </c>
      <c r="H18"/>
    </row>
    <row r="19" spans="2:8" x14ac:dyDescent="0.25">
      <c r="B19" s="122"/>
      <c r="C19" s="4" t="s">
        <v>4062</v>
      </c>
      <c r="D19" s="96">
        <f>MIN(_xlfn.ANCHORARRAY(D23))</f>
        <v>16</v>
      </c>
      <c r="E19" s="96">
        <f t="shared" ref="E19:G19" si="1">MIN(_xlfn.ANCHORARRAY(E23))</f>
        <v>1.6E-2</v>
      </c>
      <c r="F19" s="96">
        <f t="shared" si="1"/>
        <v>0</v>
      </c>
      <c r="G19" s="121">
        <f t="shared" si="1"/>
        <v>0</v>
      </c>
    </row>
    <row r="20" spans="2:8" x14ac:dyDescent="0.25">
      <c r="B20" s="122"/>
      <c r="C20" s="4" t="s">
        <v>4063</v>
      </c>
      <c r="D20" s="96">
        <f>AVERAGE(_xlfn.ANCHORARRAY(D23))</f>
        <v>16</v>
      </c>
      <c r="E20" s="96">
        <f t="shared" ref="E20:G20" si="2">AVERAGE(_xlfn.ANCHORARRAY(E23))</f>
        <v>1.6E-2</v>
      </c>
      <c r="F20" s="96">
        <f t="shared" si="2"/>
        <v>0</v>
      </c>
      <c r="G20" s="121">
        <f t="shared" si="2"/>
        <v>0</v>
      </c>
    </row>
    <row r="21" spans="2:8" x14ac:dyDescent="0.25">
      <c r="B21" s="122"/>
      <c r="C21" s="4"/>
      <c r="G21" s="121"/>
    </row>
    <row r="22" spans="2:8" x14ac:dyDescent="0.25">
      <c r="B22" s="32" t="s">
        <v>4064</v>
      </c>
      <c r="D22"/>
      <c r="E22"/>
      <c r="F22"/>
      <c r="G22" s="124"/>
    </row>
    <row r="23" spans="2:8" x14ac:dyDescent="0.25">
      <c r="B23" s="122" t="str" cm="1">
        <f t="array" ref="B23">_xlfn.UNIQUE(_xlfn._xlws.FILTER('EPD List'!D:D,ISNUMBER(SEARCH(B16,'EPD List'!C:C)),0))</f>
        <v>Recovered aggregate, , Recovered Aggregates (Repurpose It) (Australia)</v>
      </c>
      <c r="C23" t="str" cm="1">
        <f t="array" ref="C23">_xlfn.IFNA(INDEX('EPD List'!$A:$AB,MATCH(_xlfn.ANCHORARRAY(B23),'EPD List'!$D:$D,0),MATCH(C$16,'EPD List'!$7:$7,0)),"")</f>
        <v>tonne</v>
      </c>
      <c r="D23" s="96" cm="1">
        <f t="array" ref="D23">_xlfn.IFNA(VALUE((INDEX('EPD List'!$A:$AD,MATCH(_xlfn.ANCHORARRAY($B23),'EPD List'!$D:$D,0),MATCH(D$16,'EPD List'!$7:$7,0)))),"")</f>
        <v>16</v>
      </c>
      <c r="E23" s="96" cm="1">
        <f t="array" ref="E23">_xlfn.IFNA(VALUE((INDEX('EPD List'!$A:$AD,MATCH(_xlfn.ANCHORARRAY($B23),'EPD List'!$D:$D,0),MATCH(E$16,'EPD List'!$7:$7,0)))),"")</f>
        <v>1.6E-2</v>
      </c>
      <c r="F23" s="96" cm="1">
        <f t="array" ref="F23">_xlfn.IFNA(VALUE((INDEX('EPD List'!$A:$AD,MATCH(_xlfn.ANCHORARRAY($B23),'EPD List'!$D:$D,0),MATCH(F$16,'EPD List'!$7:$7,0)))),"")</f>
        <v>0</v>
      </c>
      <c r="G23" s="121" cm="1">
        <f t="array" ref="G23">_xlfn.IFNA(VALUE((INDEX('EPD List'!$A:$AD,MATCH(_xlfn.ANCHORARRAY($B23),'EPD List'!$D:$D,0),MATCH(G$16,'EPD List'!$7:$7,0)))),"")</f>
        <v>0</v>
      </c>
    </row>
    <row r="24" spans="2:8" x14ac:dyDescent="0.25">
      <c r="B24" s="122"/>
      <c r="G24" s="121"/>
    </row>
    <row r="25" spans="2:8" x14ac:dyDescent="0.25">
      <c r="B25" s="122"/>
      <c r="G25" s="121"/>
    </row>
    <row r="26" spans="2:8" x14ac:dyDescent="0.25">
      <c r="B26" s="122"/>
      <c r="G26" s="121"/>
    </row>
    <row r="27" spans="2:8" x14ac:dyDescent="0.25">
      <c r="B27" s="122"/>
      <c r="G27" s="121"/>
    </row>
    <row r="28" spans="2:8" x14ac:dyDescent="0.25">
      <c r="B28" s="122"/>
      <c r="G28" s="121"/>
    </row>
    <row r="29" spans="2:8" x14ac:dyDescent="0.25">
      <c r="B29" s="122"/>
      <c r="G29" s="121"/>
    </row>
    <row r="30" spans="2:8" x14ac:dyDescent="0.25">
      <c r="B30" s="122"/>
      <c r="G30" s="121"/>
    </row>
    <row r="31" spans="2:8" x14ac:dyDescent="0.25">
      <c r="B31" s="122"/>
      <c r="G31" s="121"/>
    </row>
    <row r="32" spans="2:8" x14ac:dyDescent="0.25">
      <c r="B32" s="122"/>
      <c r="G32" s="121"/>
    </row>
    <row r="33" spans="2:7" x14ac:dyDescent="0.25">
      <c r="B33" s="122"/>
      <c r="G33" s="121"/>
    </row>
    <row r="34" spans="2:7" x14ac:dyDescent="0.25">
      <c r="B34" s="122"/>
      <c r="G34" s="121"/>
    </row>
    <row r="35" spans="2:7" x14ac:dyDescent="0.25">
      <c r="B35" s="122"/>
      <c r="G35" s="121"/>
    </row>
    <row r="36" spans="2:7" x14ac:dyDescent="0.25">
      <c r="B36" s="122"/>
      <c r="G36" s="121"/>
    </row>
    <row r="37" spans="2:7" x14ac:dyDescent="0.25">
      <c r="B37" s="122"/>
      <c r="G37" s="121"/>
    </row>
    <row r="38" spans="2:7" x14ac:dyDescent="0.25">
      <c r="B38" s="122"/>
      <c r="G38" s="121"/>
    </row>
    <row r="39" spans="2:7" x14ac:dyDescent="0.25">
      <c r="B39" s="122"/>
      <c r="G39" s="121"/>
    </row>
    <row r="40" spans="2:7" x14ac:dyDescent="0.25">
      <c r="B40" s="122"/>
      <c r="G40" s="121"/>
    </row>
    <row r="41" spans="2:7" x14ac:dyDescent="0.25">
      <c r="B41" s="122"/>
      <c r="G41" s="121"/>
    </row>
    <row r="42" spans="2:7" x14ac:dyDescent="0.25">
      <c r="B42" s="122"/>
      <c r="G42" s="121"/>
    </row>
    <row r="43" spans="2:7" x14ac:dyDescent="0.25">
      <c r="B43" s="122"/>
      <c r="G43" s="121"/>
    </row>
    <row r="44" spans="2:7" x14ac:dyDescent="0.25">
      <c r="B44" s="122"/>
      <c r="G44" s="121"/>
    </row>
    <row r="45" spans="2:7" x14ac:dyDescent="0.25">
      <c r="B45" s="122"/>
      <c r="G45" s="121"/>
    </row>
    <row r="46" spans="2:7" x14ac:dyDescent="0.25">
      <c r="B46" s="122"/>
      <c r="G46" s="121"/>
    </row>
    <row r="47" spans="2:7" x14ac:dyDescent="0.25">
      <c r="B47" s="122"/>
      <c r="G47" s="121"/>
    </row>
    <row r="48" spans="2:7" x14ac:dyDescent="0.25">
      <c r="B48" s="122"/>
      <c r="G48" s="121"/>
    </row>
    <row r="49" spans="2:7" x14ac:dyDescent="0.25">
      <c r="B49" s="122"/>
      <c r="G49" s="121"/>
    </row>
    <row r="50" spans="2:7" x14ac:dyDescent="0.25">
      <c r="B50" s="122"/>
      <c r="G50" s="121"/>
    </row>
    <row r="51" spans="2:7" x14ac:dyDescent="0.25">
      <c r="B51" s="122"/>
      <c r="G51" s="121"/>
    </row>
    <row r="52" spans="2:7" x14ac:dyDescent="0.25">
      <c r="B52" s="122"/>
      <c r="G52" s="121"/>
    </row>
    <row r="53" spans="2:7" x14ac:dyDescent="0.25">
      <c r="B53" s="122"/>
      <c r="G53" s="121"/>
    </row>
    <row r="54" spans="2:7" x14ac:dyDescent="0.25">
      <c r="B54" s="122"/>
      <c r="G54" s="121"/>
    </row>
    <row r="55" spans="2:7" x14ac:dyDescent="0.25">
      <c r="B55" s="122"/>
      <c r="G55" s="121"/>
    </row>
    <row r="56" spans="2:7" x14ac:dyDescent="0.25">
      <c r="B56" s="122"/>
      <c r="G56" s="121"/>
    </row>
    <row r="57" spans="2:7" x14ac:dyDescent="0.25">
      <c r="B57" s="122"/>
      <c r="G57" s="121"/>
    </row>
    <row r="58" spans="2:7" x14ac:dyDescent="0.25">
      <c r="B58" s="122"/>
      <c r="G58" s="121"/>
    </row>
    <row r="59" spans="2:7" x14ac:dyDescent="0.25">
      <c r="B59" s="122"/>
      <c r="G59" s="121"/>
    </row>
    <row r="60" spans="2:7" x14ac:dyDescent="0.25">
      <c r="B60" s="122"/>
      <c r="G60" s="121"/>
    </row>
    <row r="61" spans="2:7" x14ac:dyDescent="0.25">
      <c r="B61" s="122"/>
      <c r="G61" s="121"/>
    </row>
    <row r="62" spans="2:7" x14ac:dyDescent="0.25">
      <c r="B62" s="122"/>
      <c r="G62" s="121"/>
    </row>
    <row r="63" spans="2:7" x14ac:dyDescent="0.25">
      <c r="B63" s="122"/>
      <c r="G63" s="121"/>
    </row>
    <row r="64" spans="2:7" x14ac:dyDescent="0.25">
      <c r="B64" s="122"/>
      <c r="G64" s="121"/>
    </row>
    <row r="65" spans="2:7" x14ac:dyDescent="0.25">
      <c r="B65" s="122"/>
      <c r="G65" s="121"/>
    </row>
    <row r="66" spans="2:7" x14ac:dyDescent="0.25">
      <c r="B66" s="122"/>
      <c r="G66" s="121"/>
    </row>
    <row r="67" spans="2:7" x14ac:dyDescent="0.25">
      <c r="B67" s="122"/>
      <c r="G67" s="121"/>
    </row>
    <row r="68" spans="2:7" x14ac:dyDescent="0.25">
      <c r="B68" s="122"/>
      <c r="G68" s="121"/>
    </row>
    <row r="69" spans="2:7" x14ac:dyDescent="0.25">
      <c r="B69" s="122"/>
      <c r="G69" s="121"/>
    </row>
    <row r="70" spans="2:7" x14ac:dyDescent="0.25">
      <c r="B70" s="122"/>
      <c r="G70" s="121"/>
    </row>
    <row r="71" spans="2:7" x14ac:dyDescent="0.25">
      <c r="B71" s="122"/>
      <c r="G71" s="121"/>
    </row>
    <row r="72" spans="2:7" x14ac:dyDescent="0.25">
      <c r="B72" s="122"/>
      <c r="G72" s="121"/>
    </row>
    <row r="73" spans="2:7" x14ac:dyDescent="0.25">
      <c r="B73" s="122"/>
      <c r="G73" s="121"/>
    </row>
    <row r="74" spans="2:7" x14ac:dyDescent="0.25">
      <c r="B74" s="122"/>
      <c r="G74" s="121"/>
    </row>
    <row r="75" spans="2:7" x14ac:dyDescent="0.25">
      <c r="B75" s="122"/>
      <c r="G75" s="121"/>
    </row>
    <row r="76" spans="2:7" x14ac:dyDescent="0.25">
      <c r="B76" s="122"/>
      <c r="G76" s="121"/>
    </row>
    <row r="77" spans="2:7" x14ac:dyDescent="0.25">
      <c r="B77" s="122"/>
      <c r="G77" s="121"/>
    </row>
    <row r="78" spans="2:7" x14ac:dyDescent="0.25">
      <c r="B78" s="122"/>
      <c r="G78" s="121"/>
    </row>
    <row r="79" spans="2:7" x14ac:dyDescent="0.25">
      <c r="B79" s="122"/>
      <c r="G79" s="121"/>
    </row>
    <row r="80" spans="2:7" x14ac:dyDescent="0.25">
      <c r="B80" s="122"/>
      <c r="G80" s="121"/>
    </row>
    <row r="81" spans="2:9" x14ac:dyDescent="0.25">
      <c r="B81" s="122"/>
      <c r="G81" s="121"/>
    </row>
    <row r="82" spans="2:9" x14ac:dyDescent="0.25">
      <c r="B82" s="122"/>
      <c r="G82" s="121"/>
    </row>
    <row r="83" spans="2:9" x14ac:dyDescent="0.25">
      <c r="B83" s="122"/>
      <c r="G83" s="121"/>
    </row>
    <row r="84" spans="2:9" x14ac:dyDescent="0.25">
      <c r="B84" s="122"/>
      <c r="G84" s="121"/>
    </row>
    <row r="85" spans="2:9" x14ac:dyDescent="0.25">
      <c r="B85" s="122"/>
      <c r="G85" s="121"/>
    </row>
    <row r="86" spans="2:9" x14ac:dyDescent="0.25">
      <c r="B86" s="122"/>
      <c r="G86" s="121"/>
    </row>
    <row r="87" spans="2:9" x14ac:dyDescent="0.25">
      <c r="B87" s="122"/>
      <c r="G87" s="121"/>
    </row>
    <row r="88" spans="2:9" x14ac:dyDescent="0.25">
      <c r="B88" s="122"/>
      <c r="G88" s="121"/>
    </row>
    <row r="89" spans="2:9" x14ac:dyDescent="0.25">
      <c r="B89" s="122"/>
      <c r="G89" s="121"/>
    </row>
    <row r="90" spans="2:9" x14ac:dyDescent="0.25">
      <c r="B90" s="122"/>
      <c r="G90" s="121"/>
      <c r="I90" s="96"/>
    </row>
    <row r="91" spans="2:9" x14ac:dyDescent="0.25">
      <c r="B91" s="122"/>
      <c r="G91" s="121"/>
    </row>
    <row r="92" spans="2:9" x14ac:dyDescent="0.25">
      <c r="B92" s="122"/>
      <c r="G92" s="121"/>
    </row>
    <row r="93" spans="2:9" x14ac:dyDescent="0.25">
      <c r="B93" s="122"/>
      <c r="G93" s="121"/>
    </row>
    <row r="94" spans="2:9" x14ac:dyDescent="0.25">
      <c r="B94" s="122"/>
      <c r="G94" s="121"/>
    </row>
    <row r="95" spans="2:9" x14ac:dyDescent="0.25">
      <c r="B95" s="122"/>
      <c r="G95" s="121"/>
    </row>
    <row r="96" spans="2:9" x14ac:dyDescent="0.25">
      <c r="B96" s="122"/>
      <c r="G96" s="121"/>
    </row>
    <row r="97" spans="2:7" x14ac:dyDescent="0.25">
      <c r="B97" s="122"/>
      <c r="G97" s="121"/>
    </row>
    <row r="98" spans="2:7" x14ac:dyDescent="0.25">
      <c r="B98" s="122"/>
      <c r="G98" s="121"/>
    </row>
    <row r="99" spans="2:7" x14ac:dyDescent="0.25">
      <c r="B99" s="122"/>
      <c r="G99" s="121"/>
    </row>
    <row r="100" spans="2:7" x14ac:dyDescent="0.25">
      <c r="B100" s="122"/>
      <c r="G100" s="121"/>
    </row>
    <row r="101" spans="2:7" x14ac:dyDescent="0.25">
      <c r="B101" s="122"/>
      <c r="G101" s="121"/>
    </row>
    <row r="102" spans="2:7" x14ac:dyDescent="0.25">
      <c r="B102" s="122"/>
      <c r="G102" s="121"/>
    </row>
    <row r="103" spans="2:7" x14ac:dyDescent="0.25">
      <c r="B103" s="122"/>
      <c r="G103" s="121"/>
    </row>
    <row r="104" spans="2:7" x14ac:dyDescent="0.25">
      <c r="B104" s="122"/>
      <c r="G104" s="121"/>
    </row>
    <row r="105" spans="2:7" x14ac:dyDescent="0.25">
      <c r="B105" s="122"/>
      <c r="G105" s="121"/>
    </row>
    <row r="106" spans="2:7" x14ac:dyDescent="0.25">
      <c r="B106" s="122"/>
      <c r="G106" s="121"/>
    </row>
    <row r="107" spans="2:7" x14ac:dyDescent="0.25">
      <c r="B107" s="122"/>
      <c r="G107" s="121"/>
    </row>
    <row r="108" spans="2:7" x14ac:dyDescent="0.25">
      <c r="B108" s="122"/>
      <c r="G108" s="121"/>
    </row>
    <row r="109" spans="2:7" x14ac:dyDescent="0.25">
      <c r="B109" s="122"/>
      <c r="G109" s="121"/>
    </row>
    <row r="110" spans="2:7" x14ac:dyDescent="0.25">
      <c r="B110" s="122"/>
      <c r="G110" s="121"/>
    </row>
    <row r="111" spans="2:7" x14ac:dyDescent="0.25">
      <c r="B111" s="122"/>
      <c r="G111" s="121"/>
    </row>
    <row r="112" spans="2:7" x14ac:dyDescent="0.25">
      <c r="B112" s="122"/>
      <c r="G112" s="121"/>
    </row>
    <row r="113" spans="2:7" x14ac:dyDescent="0.25">
      <c r="B113" s="122"/>
      <c r="G113" s="121"/>
    </row>
    <row r="114" spans="2:7" x14ac:dyDescent="0.25">
      <c r="B114" s="122"/>
      <c r="G114" s="121"/>
    </row>
    <row r="115" spans="2:7" x14ac:dyDescent="0.25">
      <c r="B115" s="122"/>
      <c r="G115" s="121"/>
    </row>
    <row r="116" spans="2:7" x14ac:dyDescent="0.25">
      <c r="B116" s="122"/>
      <c r="G116" s="121"/>
    </row>
    <row r="117" spans="2:7" x14ac:dyDescent="0.25">
      <c r="B117" s="122"/>
      <c r="G117" s="121"/>
    </row>
    <row r="118" spans="2:7" x14ac:dyDescent="0.25">
      <c r="B118" s="122"/>
      <c r="G118" s="121"/>
    </row>
    <row r="119" spans="2:7" x14ac:dyDescent="0.25">
      <c r="B119" s="122"/>
      <c r="G119" s="121"/>
    </row>
    <row r="120" spans="2:7" x14ac:dyDescent="0.25">
      <c r="B120" s="122"/>
      <c r="G120" s="121"/>
    </row>
    <row r="121" spans="2:7" x14ac:dyDescent="0.25">
      <c r="B121" s="122"/>
      <c r="G121" s="121"/>
    </row>
    <row r="122" spans="2:7" x14ac:dyDescent="0.25">
      <c r="B122" s="122"/>
      <c r="G122" s="121"/>
    </row>
    <row r="123" spans="2:7" x14ac:dyDescent="0.25">
      <c r="B123" s="122"/>
      <c r="G123" s="121"/>
    </row>
    <row r="124" spans="2:7" x14ac:dyDescent="0.25">
      <c r="B124" s="122"/>
      <c r="G124" s="121"/>
    </row>
    <row r="125" spans="2:7" x14ac:dyDescent="0.25">
      <c r="B125" s="122"/>
      <c r="G125" s="121"/>
    </row>
    <row r="126" spans="2:7" x14ac:dyDescent="0.25">
      <c r="B126" s="122"/>
      <c r="G126" s="121"/>
    </row>
    <row r="127" spans="2:7" x14ac:dyDescent="0.25">
      <c r="B127" s="122"/>
      <c r="G127" s="121"/>
    </row>
    <row r="128" spans="2:7" x14ac:dyDescent="0.25">
      <c r="B128" s="122"/>
      <c r="G128" s="121"/>
    </row>
    <row r="129" spans="2:7" x14ac:dyDescent="0.25">
      <c r="B129" s="122"/>
      <c r="G129" s="121"/>
    </row>
    <row r="130" spans="2:7" x14ac:dyDescent="0.25">
      <c r="B130" s="122"/>
      <c r="G130" s="121"/>
    </row>
    <row r="131" spans="2:7" x14ac:dyDescent="0.25">
      <c r="B131" s="122"/>
      <c r="G131" s="121"/>
    </row>
    <row r="132" spans="2:7" x14ac:dyDescent="0.25">
      <c r="B132" s="122"/>
      <c r="G132" s="121"/>
    </row>
    <row r="133" spans="2:7" x14ac:dyDescent="0.25">
      <c r="B133" s="122"/>
      <c r="G133" s="121"/>
    </row>
    <row r="134" spans="2:7" x14ac:dyDescent="0.25">
      <c r="B134" s="122"/>
      <c r="G134" s="121"/>
    </row>
    <row r="135" spans="2:7" x14ac:dyDescent="0.25">
      <c r="B135" s="122"/>
      <c r="G135" s="121"/>
    </row>
    <row r="136" spans="2:7" x14ac:dyDescent="0.25">
      <c r="B136" s="122"/>
      <c r="G136" s="121"/>
    </row>
    <row r="137" spans="2:7" x14ac:dyDescent="0.25">
      <c r="B137" s="122"/>
      <c r="G137" s="121"/>
    </row>
    <row r="138" spans="2:7" x14ac:dyDescent="0.25">
      <c r="B138" s="122"/>
      <c r="G138" s="121"/>
    </row>
    <row r="139" spans="2:7" x14ac:dyDescent="0.25">
      <c r="B139" s="122"/>
      <c r="G139" s="121"/>
    </row>
    <row r="140" spans="2:7" x14ac:dyDescent="0.25">
      <c r="B140" s="122"/>
      <c r="G140" s="121"/>
    </row>
    <row r="141" spans="2:7" x14ac:dyDescent="0.25">
      <c r="B141" s="122"/>
      <c r="G141" s="121"/>
    </row>
    <row r="142" spans="2:7" x14ac:dyDescent="0.25">
      <c r="B142" s="122"/>
      <c r="G142" s="121"/>
    </row>
    <row r="143" spans="2:7" x14ac:dyDescent="0.25">
      <c r="B143" s="122"/>
      <c r="G143" s="121"/>
    </row>
    <row r="144" spans="2:7" x14ac:dyDescent="0.25">
      <c r="B144" s="122"/>
      <c r="G144" s="121"/>
    </row>
    <row r="145" spans="2:7" x14ac:dyDescent="0.25">
      <c r="B145" s="122"/>
      <c r="G145" s="121"/>
    </row>
    <row r="146" spans="2:7" x14ac:dyDescent="0.25">
      <c r="B146" s="122"/>
      <c r="G146" s="121"/>
    </row>
    <row r="147" spans="2:7" x14ac:dyDescent="0.25">
      <c r="B147" s="122"/>
      <c r="G147" s="121"/>
    </row>
    <row r="148" spans="2:7" x14ac:dyDescent="0.25">
      <c r="B148" s="122"/>
      <c r="G148" s="121"/>
    </row>
    <row r="149" spans="2:7" x14ac:dyDescent="0.25">
      <c r="B149" s="122"/>
      <c r="G149" s="121"/>
    </row>
    <row r="150" spans="2:7" x14ac:dyDescent="0.25">
      <c r="B150" s="122"/>
      <c r="G150" s="121"/>
    </row>
    <row r="151" spans="2:7" x14ac:dyDescent="0.25">
      <c r="B151" s="122"/>
      <c r="G151" s="121"/>
    </row>
    <row r="152" spans="2:7" x14ac:dyDescent="0.25">
      <c r="B152" s="122"/>
      <c r="G152" s="121"/>
    </row>
    <row r="153" spans="2:7" x14ac:dyDescent="0.25">
      <c r="B153" s="122"/>
      <c r="G153" s="121"/>
    </row>
    <row r="154" spans="2:7" x14ac:dyDescent="0.25">
      <c r="B154" s="122"/>
      <c r="G154" s="121"/>
    </row>
    <row r="155" spans="2:7" x14ac:dyDescent="0.25">
      <c r="B155" s="122"/>
      <c r="G155" s="121"/>
    </row>
    <row r="156" spans="2:7" x14ac:dyDescent="0.25">
      <c r="B156" s="122"/>
      <c r="G156" s="121"/>
    </row>
    <row r="157" spans="2:7" x14ac:dyDescent="0.25">
      <c r="B157" s="122"/>
      <c r="G157" s="121"/>
    </row>
    <row r="158" spans="2:7" x14ac:dyDescent="0.25">
      <c r="B158" s="122"/>
      <c r="G158" s="121"/>
    </row>
    <row r="159" spans="2:7" x14ac:dyDescent="0.25">
      <c r="B159" s="122"/>
      <c r="G159" s="121"/>
    </row>
    <row r="160" spans="2:7" x14ac:dyDescent="0.25">
      <c r="B160" s="122"/>
      <c r="G160" s="121"/>
    </row>
    <row r="161" spans="2:7" x14ac:dyDescent="0.25">
      <c r="B161" s="122"/>
      <c r="G161" s="121"/>
    </row>
    <row r="162" spans="2:7" x14ac:dyDescent="0.25">
      <c r="B162" s="122"/>
      <c r="G162" s="121"/>
    </row>
    <row r="163" spans="2:7" x14ac:dyDescent="0.25">
      <c r="B163" s="122"/>
      <c r="G163" s="121"/>
    </row>
    <row r="164" spans="2:7" x14ac:dyDescent="0.25">
      <c r="B164" s="122"/>
      <c r="G164" s="121"/>
    </row>
    <row r="165" spans="2:7" x14ac:dyDescent="0.25">
      <c r="B165" s="122"/>
      <c r="G165" s="121"/>
    </row>
    <row r="166" spans="2:7" x14ac:dyDescent="0.25">
      <c r="B166" s="125"/>
      <c r="C166" s="126"/>
      <c r="D166" s="127"/>
      <c r="E166" s="127"/>
      <c r="F166" s="127"/>
      <c r="G166" s="128"/>
    </row>
  </sheetData>
  <dataValidations count="1">
    <dataValidation type="list" allowBlank="1" showInputMessage="1" showErrorMessage="1" sqref="B6:B9" xr:uid="{AF5F9528-F3D6-4BE7-8ECD-42FA3820F9DA}">
      <formula1>"Tier 1,Tier 2,Tier 3,Tier 4"</formula1>
    </dataValidation>
  </dataValidation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C931E2-156B-4F8E-8558-FCC0FE77C708}">
  <sheetPr codeName="Sheet32">
    <tabColor rgb="FF00CCFF"/>
  </sheetPr>
  <dimension ref="A1:I166"/>
  <sheetViews>
    <sheetView showGridLines="0" zoomScale="80" zoomScaleNormal="80" workbookViewId="0"/>
  </sheetViews>
  <sheetFormatPr defaultRowHeight="13.2" x14ac:dyDescent="0.25"/>
  <cols>
    <col min="1" max="1" width="26.109375" customWidth="1"/>
    <col min="2" max="2" width="128.88671875" customWidth="1"/>
    <col min="3" max="3" width="21" customWidth="1"/>
    <col min="4" max="6" width="19.88671875" style="96" customWidth="1"/>
    <col min="7" max="7" width="23.5546875" style="96" customWidth="1"/>
    <col min="8" max="8" width="14.44140625" customWidth="1"/>
  </cols>
  <sheetData>
    <row r="1" spans="1:7" x14ac:dyDescent="0.25">
      <c r="A1" s="4" t="str" cm="1">
        <f t="array" aca="1" ref="A1" ca="1">MID(CELL("filename",A1),FIND("]",CELL("filename",A1))+1,255)</f>
        <v>Stabilised_sand</v>
      </c>
    </row>
    <row r="2" spans="1:7" x14ac:dyDescent="0.25">
      <c r="A2" s="4"/>
    </row>
    <row r="3" spans="1:7" x14ac:dyDescent="0.25">
      <c r="A3" s="4" t="s">
        <v>4048</v>
      </c>
      <c r="B3" t="s">
        <v>4179</v>
      </c>
    </row>
    <row r="4" spans="1:7" x14ac:dyDescent="0.25">
      <c r="A4" s="4"/>
    </row>
    <row r="5" spans="1:7" ht="73.5" customHeight="1" x14ac:dyDescent="0.25">
      <c r="A5" s="26" t="s">
        <v>4050</v>
      </c>
      <c r="B5" s="14" t="s">
        <v>4180</v>
      </c>
    </row>
    <row r="6" spans="1:7" x14ac:dyDescent="0.25">
      <c r="A6" s="26" t="s">
        <v>4052</v>
      </c>
      <c r="B6" t="s">
        <v>68</v>
      </c>
    </row>
    <row r="7" spans="1:7" x14ac:dyDescent="0.25">
      <c r="A7" s="26" t="s">
        <v>4053</v>
      </c>
      <c r="B7" s="27" t="s">
        <v>68</v>
      </c>
    </row>
    <row r="8" spans="1:7" x14ac:dyDescent="0.25">
      <c r="A8" s="26" t="s">
        <v>4054</v>
      </c>
      <c r="B8" s="27" t="s">
        <v>69</v>
      </c>
    </row>
    <row r="9" spans="1:7" x14ac:dyDescent="0.25">
      <c r="A9" s="26" t="s">
        <v>4055</v>
      </c>
      <c r="B9" s="4" t="s">
        <v>69</v>
      </c>
    </row>
    <row r="10" spans="1:7" x14ac:dyDescent="0.25">
      <c r="A10" s="26"/>
      <c r="B10" s="4"/>
    </row>
    <row r="11" spans="1:7" x14ac:dyDescent="0.25">
      <c r="A11" s="26" t="s">
        <v>4056</v>
      </c>
      <c r="B11" s="14"/>
    </row>
    <row r="12" spans="1:7" x14ac:dyDescent="0.25">
      <c r="A12" s="101"/>
    </row>
    <row r="13" spans="1:7" x14ac:dyDescent="0.25">
      <c r="A13" s="101"/>
    </row>
    <row r="14" spans="1:7" x14ac:dyDescent="0.25">
      <c r="A14" s="26" t="s">
        <v>4057</v>
      </c>
    </row>
    <row r="15" spans="1:7" x14ac:dyDescent="0.25">
      <c r="A15" s="26"/>
      <c r="D15" s="112" t="s">
        <v>4058</v>
      </c>
      <c r="E15" s="113"/>
      <c r="F15" s="114" t="s">
        <v>4059</v>
      </c>
      <c r="G15" s="113"/>
    </row>
    <row r="16" spans="1:7" ht="39.6" x14ac:dyDescent="0.25">
      <c r="B16" s="28" t="s">
        <v>978</v>
      </c>
      <c r="C16" s="23" t="s">
        <v>23</v>
      </c>
      <c r="D16" s="24" t="s">
        <v>141</v>
      </c>
      <c r="E16" s="25" t="s">
        <v>148</v>
      </c>
      <c r="F16" s="24" t="s">
        <v>142</v>
      </c>
      <c r="G16" s="24" t="s">
        <v>149</v>
      </c>
    </row>
    <row r="17" spans="2:8" x14ac:dyDescent="0.25">
      <c r="B17" s="29"/>
      <c r="C17" s="30" t="s">
        <v>4060</v>
      </c>
      <c r="D17" s="118" t="str" cm="1">
        <f t="array" ref="D17">IF(AND(_xlfn.ANCHORARRAY(C23)=C23),C23,"Mixed")</f>
        <v>m³</v>
      </c>
      <c r="E17" s="118" t="s">
        <v>219</v>
      </c>
      <c r="F17" s="118" t="str" cm="1">
        <f t="array" ref="F17">IF(AND(_xlfn.ANCHORARRAY(C23)=C23),C23,"Mixed")</f>
        <v>m³</v>
      </c>
      <c r="G17" s="119" t="s">
        <v>219</v>
      </c>
    </row>
    <row r="18" spans="2:8" s="14" customFormat="1" x14ac:dyDescent="0.25">
      <c r="B18" s="31"/>
      <c r="C18" s="4" t="s">
        <v>4061</v>
      </c>
      <c r="D18" s="96">
        <f t="shared" ref="D18:G18" si="0">MAX(_xlfn.ANCHORARRAY(D23))</f>
        <v>344</v>
      </c>
      <c r="E18" s="96">
        <f t="shared" si="0"/>
        <v>0.19657142857142856</v>
      </c>
      <c r="F18" s="96">
        <f t="shared" si="0"/>
        <v>0</v>
      </c>
      <c r="G18" s="121">
        <f t="shared" si="0"/>
        <v>0</v>
      </c>
      <c r="H18"/>
    </row>
    <row r="19" spans="2:8" x14ac:dyDescent="0.25">
      <c r="B19" s="122"/>
      <c r="C19" s="4" t="s">
        <v>4062</v>
      </c>
      <c r="D19" s="96">
        <f>MIN(_xlfn.ANCHORARRAY(D23))</f>
        <v>67.8</v>
      </c>
      <c r="E19" s="96">
        <f t="shared" ref="E19:G19" si="1">MIN(_xlfn.ANCHORARRAY(E23))</f>
        <v>3.8742857142857141E-2</v>
      </c>
      <c r="F19" s="96">
        <f t="shared" si="1"/>
        <v>0</v>
      </c>
      <c r="G19" s="121">
        <f t="shared" si="1"/>
        <v>0</v>
      </c>
    </row>
    <row r="20" spans="2:8" x14ac:dyDescent="0.25">
      <c r="B20" s="122"/>
      <c r="C20" s="4" t="s">
        <v>4063</v>
      </c>
      <c r="D20" s="96">
        <f>AVERAGE(_xlfn.ANCHORARRAY(D23))</f>
        <v>184.63069999999999</v>
      </c>
      <c r="E20" s="96">
        <f t="shared" ref="E20:G20" si="2">AVERAGE(_xlfn.ANCHORARRAY(E23))</f>
        <v>0.10479222889610393</v>
      </c>
      <c r="F20" s="96">
        <f t="shared" si="2"/>
        <v>0</v>
      </c>
      <c r="G20" s="121">
        <f t="shared" si="2"/>
        <v>0</v>
      </c>
    </row>
    <row r="21" spans="2:8" x14ac:dyDescent="0.25">
      <c r="B21" s="122"/>
      <c r="C21" s="4"/>
      <c r="G21" s="121"/>
    </row>
    <row r="22" spans="2:8" x14ac:dyDescent="0.25">
      <c r="B22" s="32" t="s">
        <v>4064</v>
      </c>
      <c r="D22"/>
      <c r="E22"/>
      <c r="F22"/>
      <c r="G22" s="124"/>
    </row>
    <row r="23" spans="2:8" x14ac:dyDescent="0.25">
      <c r="B23" s="122" t="str" cm="1">
        <f t="array" ref="B23:B44">_xlfn.UNIQUE(_xlfn._xlws.FILTER('EPD List'!D:D,ISNUMBER(SEARCH(B16,'EPD List'!C:C)),0))</f>
        <v>Concrete, ? MPa, in-situ, no reinforcement, (Stabilised Sand
12:1) (Adbri) (QLD)</v>
      </c>
      <c r="C23" t="str" cm="1">
        <f t="array" ref="C23:C44">_xlfn.IFNA(INDEX('EPD List'!$A:$AB,MATCH(_xlfn.ANCHORARRAY(B23),'EPD List'!$D:$D,0),MATCH(C$16,'EPD List'!$7:$7,0)),"")</f>
        <v>m³</v>
      </c>
      <c r="D23" s="96" cm="1">
        <f t="array" ref="D23:D44">_xlfn.IFNA(VALUE((INDEX('EPD List'!$A:$AD,MATCH(_xlfn.ANCHORARRAY($B23),'EPD List'!$D:$D,0),MATCH(D$16,'EPD List'!$7:$7,0)))),"")</f>
        <v>101.0754</v>
      </c>
      <c r="E23" s="96" cm="1">
        <f t="array" ref="E23:E44">_xlfn.IFNA(VALUE((INDEX('EPD List'!$A:$AD,MATCH(_xlfn.ANCHORARRAY($B23),'EPD List'!$D:$D,0),MATCH(E$16,'EPD List'!$7:$7,0)))),"")</f>
        <v>4.2114749999999999E-2</v>
      </c>
      <c r="F23" s="96" cm="1">
        <f t="array" ref="F23:F44">_xlfn.IFNA(VALUE((INDEX('EPD List'!$A:$AD,MATCH(_xlfn.ANCHORARRAY($B23),'EPD List'!$D:$D,0),MATCH(F$16,'EPD List'!$7:$7,0)))),"")</f>
        <v>0</v>
      </c>
      <c r="G23" s="121" cm="1">
        <f t="array" ref="G23:G44">_xlfn.IFNA(VALUE((INDEX('EPD List'!$A:$AD,MATCH(_xlfn.ANCHORARRAY($B23),'EPD List'!$D:$D,0),MATCH(G$16,'EPD List'!$7:$7,0)))),"")</f>
        <v>0</v>
      </c>
    </row>
    <row r="24" spans="2:8" x14ac:dyDescent="0.25">
      <c r="B24" s="122" t="str">
        <v>Concrete, Stabilised Sand, in-situ, no reinforcement, Pre-mix Concrete STABILISED SAND 14:1 (Boral) (ACT), (Canberra) STABILISED SAND 14:1</v>
      </c>
      <c r="C24" t="str">
        <v>m³</v>
      </c>
      <c r="D24" s="96">
        <v>117</v>
      </c>
      <c r="E24" s="96">
        <v>6.6857142857142851E-2</v>
      </c>
      <c r="F24" s="96">
        <v>0</v>
      </c>
      <c r="G24" s="121">
        <v>0</v>
      </c>
    </row>
    <row r="25" spans="2:8" x14ac:dyDescent="0.25">
      <c r="B25" s="122" t="str">
        <v>Concrete, Stabilised Sand, in-situ, no reinforcement, Pre-mix Concrete STABILISED SAND 8:1 (Boral) (ACT), (Canberra) STABILISED SAND 8:1</v>
      </c>
      <c r="C25" t="str">
        <v>m³</v>
      </c>
      <c r="D25" s="96">
        <v>188</v>
      </c>
      <c r="E25" s="96">
        <v>0.10742857142857143</v>
      </c>
      <c r="F25" s="96">
        <v>0</v>
      </c>
      <c r="G25" s="121">
        <v>0</v>
      </c>
    </row>
    <row r="26" spans="2:8" x14ac:dyDescent="0.25">
      <c r="B26" s="122" t="str">
        <v>Concrete, Stabilised Sand, in-situ, no reinforcement, Pre-mix Concrete STABILISED SAND 4:1 (Boral) (ACT), (Canberra) STABILISED SAND 4:1</v>
      </c>
      <c r="C26" t="str">
        <v>m³</v>
      </c>
      <c r="D26" s="96">
        <v>318</v>
      </c>
      <c r="E26" s="96">
        <v>0.18171428571428572</v>
      </c>
      <c r="F26" s="96">
        <v>0</v>
      </c>
      <c r="G26" s="121">
        <v>0</v>
      </c>
    </row>
    <row r="27" spans="2:8" x14ac:dyDescent="0.25">
      <c r="B27" s="122" t="str">
        <v>Concrete, Stabilised Sand, in-situ, no reinforcement, Pre-mix Concrete STABILISED SAND 8:1 (Boral) (NSW), (Newcastle) STABILISED SAND 8:1</v>
      </c>
      <c r="C27" t="str">
        <v>m³</v>
      </c>
      <c r="D27" s="96">
        <v>123</v>
      </c>
      <c r="E27" s="96">
        <v>7.0285714285714285E-2</v>
      </c>
      <c r="F27" s="96">
        <v>0</v>
      </c>
      <c r="G27" s="121">
        <v>0</v>
      </c>
    </row>
    <row r="28" spans="2:8" x14ac:dyDescent="0.25">
      <c r="B28" s="122" t="str">
        <v>Concrete, Stabilised Sand, in-situ, no reinforcement, Pre-mix Concrete STABILISED SAND 4:1 (Boral) (NSW), (Newcastle) STABILISED SAND 4:1</v>
      </c>
      <c r="C28" t="str">
        <v>m³</v>
      </c>
      <c r="D28" s="96">
        <v>210</v>
      </c>
      <c r="E28" s="96">
        <v>0.12</v>
      </c>
      <c r="F28" s="96">
        <v>0</v>
      </c>
      <c r="G28" s="121">
        <v>0</v>
      </c>
    </row>
    <row r="29" spans="2:8" x14ac:dyDescent="0.25">
      <c r="B29" s="122" t="str">
        <v>Concrete, ? MPa, in-situ, no reinforcement, Pre-mix Concrete STABILISED SAND 4:1 (Boral) (NSW), (Sydney) STABILISED SAND 4:1</v>
      </c>
      <c r="C29" t="str">
        <v>m³</v>
      </c>
      <c r="D29" s="96">
        <v>172</v>
      </c>
      <c r="E29" s="96">
        <v>9.8285714285714282E-2</v>
      </c>
      <c r="F29" s="96">
        <v>0</v>
      </c>
      <c r="G29" s="121">
        <v>0</v>
      </c>
    </row>
    <row r="30" spans="2:8" x14ac:dyDescent="0.25">
      <c r="B30" s="122" t="str">
        <v>Concrete, Stabilised Sand, in-situ, no reinforcement, Pre-mix Concrete STABILISED SAND 8:1 (Boral) (NSW), (Wollongong) STABILISED SAND 8:1</v>
      </c>
      <c r="C30" t="str">
        <v>m³</v>
      </c>
      <c r="D30" s="96">
        <v>185</v>
      </c>
      <c r="E30" s="96">
        <v>0.10571428571428572</v>
      </c>
      <c r="F30" s="96">
        <v>0</v>
      </c>
      <c r="G30" s="121">
        <v>0</v>
      </c>
    </row>
    <row r="31" spans="2:8" x14ac:dyDescent="0.25">
      <c r="B31" s="122" t="str">
        <v>Concrete, Stabilised Sand, in-situ, no reinforcement, Pre-mix Concrete STABILISED SAND 4:1 (Boral) (NSW), (Wollongong) STABILISED SAND 4:1</v>
      </c>
      <c r="C31" t="str">
        <v>m³</v>
      </c>
      <c r="D31" s="96">
        <v>314</v>
      </c>
      <c r="E31" s="96">
        <v>0.17942857142857144</v>
      </c>
      <c r="F31" s="96">
        <v>0</v>
      </c>
      <c r="G31" s="121">
        <v>0</v>
      </c>
    </row>
    <row r="32" spans="2:8" x14ac:dyDescent="0.25">
      <c r="B32" s="122" t="str">
        <v>Concrete, Stabilised sand MPa, in-situ, no reinforcement, SS1100, Special Class (WA Premix) (WA), (Perth)</v>
      </c>
      <c r="C32" t="str">
        <v>m³</v>
      </c>
      <c r="D32" s="96">
        <v>124</v>
      </c>
      <c r="E32" s="96">
        <v>7.0857142857142855E-2</v>
      </c>
      <c r="F32" s="96">
        <v>0</v>
      </c>
      <c r="G32" s="121">
        <v>0</v>
      </c>
    </row>
    <row r="33" spans="2:7" x14ac:dyDescent="0.25">
      <c r="B33" s="122" t="str">
        <v>Concrete, Stabilised sand MPa, in-situ, no reinforcement, SS1150, Special Class (WA Premix) (WA), (Perth)</v>
      </c>
      <c r="C33" t="str">
        <v>m³</v>
      </c>
      <c r="D33" s="96">
        <v>179</v>
      </c>
      <c r="E33" s="96">
        <v>0.10228571428571429</v>
      </c>
      <c r="F33" s="96">
        <v>0</v>
      </c>
      <c r="G33" s="121">
        <v>0</v>
      </c>
    </row>
    <row r="34" spans="2:7" x14ac:dyDescent="0.25">
      <c r="B34" s="122" t="str">
        <v>Concrete, Stabilised sand MPa, in-situ, no reinforcement, SS1250, Special Class (WA Premix) (WA), (Perth)</v>
      </c>
      <c r="C34" t="str">
        <v>m³</v>
      </c>
      <c r="D34" s="96">
        <v>289</v>
      </c>
      <c r="E34" s="96">
        <v>0.16514285714285715</v>
      </c>
      <c r="F34" s="96">
        <v>0</v>
      </c>
      <c r="G34" s="121">
        <v>0</v>
      </c>
    </row>
    <row r="35" spans="2:7" x14ac:dyDescent="0.25">
      <c r="B35" s="122" t="str">
        <v>Concrete, Stabilised sand MPa, in-situ, no reinforcement, SS1300, Special Class (WA Premix) (WA), (Perth)</v>
      </c>
      <c r="C35" t="str">
        <v>m³</v>
      </c>
      <c r="D35" s="96">
        <v>344</v>
      </c>
      <c r="E35" s="96">
        <v>0.19657142857142856</v>
      </c>
      <c r="F35" s="96">
        <v>0</v>
      </c>
      <c r="G35" s="121">
        <v>0</v>
      </c>
    </row>
    <row r="36" spans="2:7" x14ac:dyDescent="0.25">
      <c r="B36" s="122" t="str">
        <v>Concrete, Stabilised sand MPa, in-situ, no reinforcement, SS2065, Special Class (WA Premix) (WA), (Perth)</v>
      </c>
      <c r="C36" t="str">
        <v>m³</v>
      </c>
      <c r="D36" s="96">
        <v>67.8</v>
      </c>
      <c r="E36" s="96">
        <v>3.8742857142857141E-2</v>
      </c>
      <c r="F36" s="96">
        <v>0</v>
      </c>
      <c r="G36" s="121">
        <v>0</v>
      </c>
    </row>
    <row r="37" spans="2:7" x14ac:dyDescent="0.25">
      <c r="B37" s="122" t="str">
        <v>Concrete, Stabilised sand MPa, in-situ, no reinforcement, SS2110, Special Class (WA Premix) (WA), (Perth)</v>
      </c>
      <c r="C37" t="str">
        <v>m³</v>
      </c>
      <c r="D37" s="96">
        <v>108</v>
      </c>
      <c r="E37" s="96">
        <v>6.1714285714285715E-2</v>
      </c>
      <c r="F37" s="96">
        <v>0</v>
      </c>
      <c r="G37" s="121">
        <v>0</v>
      </c>
    </row>
    <row r="38" spans="2:7" x14ac:dyDescent="0.25">
      <c r="B38" s="122" t="str">
        <v>Concrete, Stabilised sand MPa, in-situ, no reinforcement, SS2150, Special Class (WA Premix) (WA), (Perth)</v>
      </c>
      <c r="C38" t="str">
        <v>m³</v>
      </c>
      <c r="D38" s="96">
        <v>138</v>
      </c>
      <c r="E38" s="96">
        <v>7.8857142857142862E-2</v>
      </c>
      <c r="F38" s="96">
        <v>0</v>
      </c>
      <c r="G38" s="121">
        <v>0</v>
      </c>
    </row>
    <row r="39" spans="2:7" x14ac:dyDescent="0.25">
      <c r="B39" s="122" t="str">
        <v>Concrete, Stabilised sand MPa, in-situ, no reinforcement, SS2250, Special Class (WA Premix) (WA), (Perth)</v>
      </c>
      <c r="C39" t="str">
        <v>m³</v>
      </c>
      <c r="D39" s="96">
        <v>221</v>
      </c>
      <c r="E39" s="96">
        <v>0.12628571428571428</v>
      </c>
      <c r="F39" s="96">
        <v>0</v>
      </c>
      <c r="G39" s="121">
        <v>0</v>
      </c>
    </row>
    <row r="40" spans="2:7" x14ac:dyDescent="0.25">
      <c r="B40" s="122" t="str">
        <v>Concrete, Stabilised sand MPa, in-situ, no reinforcement, SS2300, Special Class (WA Premix) (WA), (Perth)</v>
      </c>
      <c r="C40" t="str">
        <v>m³</v>
      </c>
      <c r="D40" s="96">
        <v>267</v>
      </c>
      <c r="E40" s="96">
        <v>0.15257142857142858</v>
      </c>
      <c r="F40" s="96">
        <v>0</v>
      </c>
      <c r="G40" s="121">
        <v>0</v>
      </c>
    </row>
    <row r="41" spans="2:7" x14ac:dyDescent="0.25">
      <c r="B41" s="122" t="str">
        <v>Concrete, Sta MPa, NO FINES 6:1 (Concrite) (NSW) (Sydney Region, NSW)</v>
      </c>
      <c r="C41" t="str">
        <v>m³</v>
      </c>
      <c r="D41" s="96">
        <v>182</v>
      </c>
      <c r="E41" s="96">
        <v>0.104</v>
      </c>
      <c r="F41" s="96">
        <v>0</v>
      </c>
      <c r="G41" s="121">
        <v>0</v>
      </c>
    </row>
    <row r="42" spans="2:7" x14ac:dyDescent="0.25">
      <c r="B42" s="122" t="str">
        <v>Concrete, Sta MPa, Stabilised Sand 14:1 (Concrite) (NSW) (Sydney Region, NSW)</v>
      </c>
      <c r="C42" t="str">
        <v>m³</v>
      </c>
      <c r="D42" s="96">
        <v>83</v>
      </c>
      <c r="E42" s="96">
        <v>4.7428571428571431E-2</v>
      </c>
      <c r="F42" s="96">
        <v>0</v>
      </c>
      <c r="G42" s="121">
        <v>0</v>
      </c>
    </row>
    <row r="43" spans="2:7" x14ac:dyDescent="0.25">
      <c r="B43" s="122" t="str">
        <v>Concrete, Sta MPa, Stabilised Sand 4:1 (Concrite) (NSW) (Sydney Region, NSW)</v>
      </c>
      <c r="C43" t="str">
        <v>m³</v>
      </c>
      <c r="D43" s="96">
        <v>210</v>
      </c>
      <c r="E43" s="96">
        <v>0.12</v>
      </c>
      <c r="F43" s="96">
        <v>0</v>
      </c>
      <c r="G43" s="121">
        <v>0</v>
      </c>
    </row>
    <row r="44" spans="2:7" x14ac:dyDescent="0.25">
      <c r="B44" s="122" t="str">
        <v>Concrete, Sta MPa, Stabilised Sand 8:1 (Concrite) (NSW) (Sydney Region, NSW)</v>
      </c>
      <c r="C44" t="str">
        <v>m³</v>
      </c>
      <c r="D44" s="96">
        <v>121</v>
      </c>
      <c r="E44" s="96">
        <v>6.9142857142857145E-2</v>
      </c>
      <c r="F44" s="96">
        <v>0</v>
      </c>
      <c r="G44" s="121">
        <v>0</v>
      </c>
    </row>
    <row r="45" spans="2:7" x14ac:dyDescent="0.25">
      <c r="B45" s="122"/>
      <c r="G45" s="121"/>
    </row>
    <row r="46" spans="2:7" x14ac:dyDescent="0.25">
      <c r="B46" s="122"/>
      <c r="G46" s="121"/>
    </row>
    <row r="47" spans="2:7" x14ac:dyDescent="0.25">
      <c r="B47" s="122"/>
      <c r="G47" s="121"/>
    </row>
    <row r="48" spans="2:7" x14ac:dyDescent="0.25">
      <c r="B48" s="122"/>
      <c r="G48" s="121"/>
    </row>
    <row r="49" spans="2:7" x14ac:dyDescent="0.25">
      <c r="B49" s="122"/>
      <c r="G49" s="121"/>
    </row>
    <row r="50" spans="2:7" x14ac:dyDescent="0.25">
      <c r="B50" s="122"/>
      <c r="G50" s="121"/>
    </row>
    <row r="51" spans="2:7" x14ac:dyDescent="0.25">
      <c r="B51" s="122"/>
      <c r="G51" s="121"/>
    </row>
    <row r="52" spans="2:7" x14ac:dyDescent="0.25">
      <c r="B52" s="122"/>
      <c r="G52" s="121"/>
    </row>
    <row r="53" spans="2:7" x14ac:dyDescent="0.25">
      <c r="B53" s="122"/>
      <c r="G53" s="121"/>
    </row>
    <row r="54" spans="2:7" x14ac:dyDescent="0.25">
      <c r="B54" s="122"/>
      <c r="G54" s="121"/>
    </row>
    <row r="55" spans="2:7" x14ac:dyDescent="0.25">
      <c r="B55" s="122"/>
      <c r="G55" s="121"/>
    </row>
    <row r="56" spans="2:7" x14ac:dyDescent="0.25">
      <c r="B56" s="122"/>
      <c r="G56" s="121"/>
    </row>
    <row r="57" spans="2:7" x14ac:dyDescent="0.25">
      <c r="B57" s="122"/>
      <c r="G57" s="121"/>
    </row>
    <row r="58" spans="2:7" x14ac:dyDescent="0.25">
      <c r="B58" s="122"/>
      <c r="G58" s="121"/>
    </row>
    <row r="59" spans="2:7" x14ac:dyDescent="0.25">
      <c r="B59" s="122"/>
      <c r="G59" s="121"/>
    </row>
    <row r="60" spans="2:7" x14ac:dyDescent="0.25">
      <c r="B60" s="122"/>
      <c r="G60" s="121"/>
    </row>
    <row r="61" spans="2:7" x14ac:dyDescent="0.25">
      <c r="B61" s="122"/>
      <c r="G61" s="121"/>
    </row>
    <row r="62" spans="2:7" x14ac:dyDescent="0.25">
      <c r="B62" s="122"/>
      <c r="G62" s="121"/>
    </row>
    <row r="63" spans="2:7" x14ac:dyDescent="0.25">
      <c r="B63" s="122"/>
      <c r="G63" s="121"/>
    </row>
    <row r="64" spans="2:7" x14ac:dyDescent="0.25">
      <c r="B64" s="122"/>
      <c r="G64" s="121"/>
    </row>
    <row r="65" spans="2:7" x14ac:dyDescent="0.25">
      <c r="B65" s="122"/>
      <c r="G65" s="121"/>
    </row>
    <row r="66" spans="2:7" x14ac:dyDescent="0.25">
      <c r="B66" s="122"/>
      <c r="G66" s="121"/>
    </row>
    <row r="67" spans="2:7" x14ac:dyDescent="0.25">
      <c r="B67" s="122"/>
      <c r="G67" s="121"/>
    </row>
    <row r="68" spans="2:7" x14ac:dyDescent="0.25">
      <c r="B68" s="122"/>
      <c r="G68" s="121"/>
    </row>
    <row r="69" spans="2:7" x14ac:dyDescent="0.25">
      <c r="B69" s="122"/>
      <c r="G69" s="121"/>
    </row>
    <row r="70" spans="2:7" x14ac:dyDescent="0.25">
      <c r="B70" s="122"/>
      <c r="G70" s="121"/>
    </row>
    <row r="71" spans="2:7" x14ac:dyDescent="0.25">
      <c r="B71" s="122"/>
      <c r="G71" s="121"/>
    </row>
    <row r="72" spans="2:7" x14ac:dyDescent="0.25">
      <c r="B72" s="122"/>
      <c r="G72" s="121"/>
    </row>
    <row r="73" spans="2:7" x14ac:dyDescent="0.25">
      <c r="B73" s="122"/>
      <c r="G73" s="121"/>
    </row>
    <row r="74" spans="2:7" x14ac:dyDescent="0.25">
      <c r="B74" s="122"/>
      <c r="G74" s="121"/>
    </row>
    <row r="75" spans="2:7" x14ac:dyDescent="0.25">
      <c r="B75" s="122"/>
      <c r="G75" s="121"/>
    </row>
    <row r="76" spans="2:7" x14ac:dyDescent="0.25">
      <c r="B76" s="122"/>
      <c r="G76" s="121"/>
    </row>
    <row r="77" spans="2:7" x14ac:dyDescent="0.25">
      <c r="B77" s="122"/>
      <c r="G77" s="121"/>
    </row>
    <row r="78" spans="2:7" x14ac:dyDescent="0.25">
      <c r="B78" s="122"/>
      <c r="G78" s="121"/>
    </row>
    <row r="79" spans="2:7" x14ac:dyDescent="0.25">
      <c r="B79" s="122"/>
      <c r="G79" s="121"/>
    </row>
    <row r="80" spans="2:7" x14ac:dyDescent="0.25">
      <c r="B80" s="122"/>
      <c r="G80" s="121"/>
    </row>
    <row r="81" spans="2:9" x14ac:dyDescent="0.25">
      <c r="B81" s="122"/>
      <c r="G81" s="121"/>
    </row>
    <row r="82" spans="2:9" x14ac:dyDescent="0.25">
      <c r="B82" s="122"/>
      <c r="G82" s="121"/>
    </row>
    <row r="83" spans="2:9" x14ac:dyDescent="0.25">
      <c r="B83" s="122"/>
      <c r="G83" s="121"/>
    </row>
    <row r="84" spans="2:9" x14ac:dyDescent="0.25">
      <c r="B84" s="122"/>
      <c r="G84" s="121"/>
    </row>
    <row r="85" spans="2:9" x14ac:dyDescent="0.25">
      <c r="B85" s="122"/>
      <c r="G85" s="121"/>
    </row>
    <row r="86" spans="2:9" x14ac:dyDescent="0.25">
      <c r="B86" s="122"/>
      <c r="G86" s="121"/>
    </row>
    <row r="87" spans="2:9" x14ac:dyDescent="0.25">
      <c r="B87" s="122"/>
      <c r="G87" s="121"/>
    </row>
    <row r="88" spans="2:9" x14ac:dyDescent="0.25">
      <c r="B88" s="122"/>
      <c r="G88" s="121"/>
    </row>
    <row r="89" spans="2:9" x14ac:dyDescent="0.25">
      <c r="B89" s="122"/>
      <c r="G89" s="121"/>
    </row>
    <row r="90" spans="2:9" x14ac:dyDescent="0.25">
      <c r="B90" s="122"/>
      <c r="G90" s="121"/>
      <c r="I90" s="96"/>
    </row>
    <row r="91" spans="2:9" x14ac:dyDescent="0.25">
      <c r="B91" s="122"/>
      <c r="G91" s="121"/>
    </row>
    <row r="92" spans="2:9" x14ac:dyDescent="0.25">
      <c r="B92" s="122"/>
      <c r="G92" s="121"/>
    </row>
    <row r="93" spans="2:9" x14ac:dyDescent="0.25">
      <c r="B93" s="122"/>
      <c r="G93" s="121"/>
    </row>
    <row r="94" spans="2:9" x14ac:dyDescent="0.25">
      <c r="B94" s="122"/>
      <c r="G94" s="121"/>
    </row>
    <row r="95" spans="2:9" x14ac:dyDescent="0.25">
      <c r="B95" s="122"/>
      <c r="G95" s="121"/>
    </row>
    <row r="96" spans="2:9" x14ac:dyDescent="0.25">
      <c r="B96" s="122"/>
      <c r="G96" s="121"/>
    </row>
    <row r="97" spans="2:7" x14ac:dyDescent="0.25">
      <c r="B97" s="122"/>
      <c r="G97" s="121"/>
    </row>
    <row r="98" spans="2:7" x14ac:dyDescent="0.25">
      <c r="B98" s="122"/>
      <c r="G98" s="121"/>
    </row>
    <row r="99" spans="2:7" x14ac:dyDescent="0.25">
      <c r="B99" s="122"/>
      <c r="G99" s="121"/>
    </row>
    <row r="100" spans="2:7" x14ac:dyDescent="0.25">
      <c r="B100" s="122"/>
      <c r="G100" s="121"/>
    </row>
    <row r="101" spans="2:7" x14ac:dyDescent="0.25">
      <c r="B101" s="122"/>
      <c r="G101" s="121"/>
    </row>
    <row r="102" spans="2:7" x14ac:dyDescent="0.25">
      <c r="B102" s="122"/>
      <c r="G102" s="121"/>
    </row>
    <row r="103" spans="2:7" x14ac:dyDescent="0.25">
      <c r="B103" s="122"/>
      <c r="G103" s="121"/>
    </row>
    <row r="104" spans="2:7" x14ac:dyDescent="0.25">
      <c r="B104" s="122"/>
      <c r="G104" s="121"/>
    </row>
    <row r="105" spans="2:7" x14ac:dyDescent="0.25">
      <c r="B105" s="122"/>
      <c r="G105" s="121"/>
    </row>
    <row r="106" spans="2:7" x14ac:dyDescent="0.25">
      <c r="B106" s="122"/>
      <c r="G106" s="121"/>
    </row>
    <row r="107" spans="2:7" x14ac:dyDescent="0.25">
      <c r="B107" s="122"/>
      <c r="G107" s="121"/>
    </row>
    <row r="108" spans="2:7" x14ac:dyDescent="0.25">
      <c r="B108" s="122"/>
      <c r="G108" s="121"/>
    </row>
    <row r="109" spans="2:7" x14ac:dyDescent="0.25">
      <c r="B109" s="122"/>
      <c r="G109" s="121"/>
    </row>
    <row r="110" spans="2:7" x14ac:dyDescent="0.25">
      <c r="B110" s="122"/>
      <c r="G110" s="121"/>
    </row>
    <row r="111" spans="2:7" x14ac:dyDescent="0.25">
      <c r="B111" s="122"/>
      <c r="G111" s="121"/>
    </row>
    <row r="112" spans="2:7" x14ac:dyDescent="0.25">
      <c r="B112" s="122"/>
      <c r="G112" s="121"/>
    </row>
    <row r="113" spans="2:7" x14ac:dyDescent="0.25">
      <c r="B113" s="122"/>
      <c r="G113" s="121"/>
    </row>
    <row r="114" spans="2:7" x14ac:dyDescent="0.25">
      <c r="B114" s="122"/>
      <c r="G114" s="121"/>
    </row>
    <row r="115" spans="2:7" x14ac:dyDescent="0.25">
      <c r="B115" s="122"/>
      <c r="G115" s="121"/>
    </row>
    <row r="116" spans="2:7" x14ac:dyDescent="0.25">
      <c r="B116" s="122"/>
      <c r="G116" s="121"/>
    </row>
    <row r="117" spans="2:7" x14ac:dyDescent="0.25">
      <c r="B117" s="122"/>
      <c r="G117" s="121"/>
    </row>
    <row r="118" spans="2:7" x14ac:dyDescent="0.25">
      <c r="B118" s="122"/>
      <c r="G118" s="121"/>
    </row>
    <row r="119" spans="2:7" x14ac:dyDescent="0.25">
      <c r="B119" s="122"/>
      <c r="G119" s="121"/>
    </row>
    <row r="120" spans="2:7" x14ac:dyDescent="0.25">
      <c r="B120" s="122"/>
      <c r="G120" s="121"/>
    </row>
    <row r="121" spans="2:7" x14ac:dyDescent="0.25">
      <c r="B121" s="122"/>
      <c r="G121" s="121"/>
    </row>
    <row r="122" spans="2:7" x14ac:dyDescent="0.25">
      <c r="B122" s="122"/>
      <c r="G122" s="121"/>
    </row>
    <row r="123" spans="2:7" x14ac:dyDescent="0.25">
      <c r="B123" s="122"/>
      <c r="G123" s="121"/>
    </row>
    <row r="124" spans="2:7" x14ac:dyDescent="0.25">
      <c r="B124" s="122"/>
      <c r="G124" s="121"/>
    </row>
    <row r="125" spans="2:7" x14ac:dyDescent="0.25">
      <c r="B125" s="122"/>
      <c r="G125" s="121"/>
    </row>
    <row r="126" spans="2:7" x14ac:dyDescent="0.25">
      <c r="B126" s="122"/>
      <c r="G126" s="121"/>
    </row>
    <row r="127" spans="2:7" x14ac:dyDescent="0.25">
      <c r="B127" s="122"/>
      <c r="G127" s="121"/>
    </row>
    <row r="128" spans="2:7" x14ac:dyDescent="0.25">
      <c r="B128" s="122"/>
      <c r="G128" s="121"/>
    </row>
    <row r="129" spans="2:7" x14ac:dyDescent="0.25">
      <c r="B129" s="122"/>
      <c r="G129" s="121"/>
    </row>
    <row r="130" spans="2:7" x14ac:dyDescent="0.25">
      <c r="B130" s="122"/>
      <c r="G130" s="121"/>
    </row>
    <row r="131" spans="2:7" x14ac:dyDescent="0.25">
      <c r="B131" s="122"/>
      <c r="G131" s="121"/>
    </row>
    <row r="132" spans="2:7" x14ac:dyDescent="0.25">
      <c r="B132" s="122"/>
      <c r="G132" s="121"/>
    </row>
    <row r="133" spans="2:7" x14ac:dyDescent="0.25">
      <c r="B133" s="122"/>
      <c r="G133" s="121"/>
    </row>
    <row r="134" spans="2:7" x14ac:dyDescent="0.25">
      <c r="B134" s="122"/>
      <c r="G134" s="121"/>
    </row>
    <row r="135" spans="2:7" x14ac:dyDescent="0.25">
      <c r="B135" s="122"/>
      <c r="G135" s="121"/>
    </row>
    <row r="136" spans="2:7" x14ac:dyDescent="0.25">
      <c r="B136" s="122"/>
      <c r="G136" s="121"/>
    </row>
    <row r="137" spans="2:7" x14ac:dyDescent="0.25">
      <c r="B137" s="122"/>
      <c r="G137" s="121"/>
    </row>
    <row r="138" spans="2:7" x14ac:dyDescent="0.25">
      <c r="B138" s="122"/>
      <c r="G138" s="121"/>
    </row>
    <row r="139" spans="2:7" x14ac:dyDescent="0.25">
      <c r="B139" s="122"/>
      <c r="G139" s="121"/>
    </row>
    <row r="140" spans="2:7" x14ac:dyDescent="0.25">
      <c r="B140" s="122"/>
      <c r="G140" s="121"/>
    </row>
    <row r="141" spans="2:7" x14ac:dyDescent="0.25">
      <c r="B141" s="122"/>
      <c r="G141" s="121"/>
    </row>
    <row r="142" spans="2:7" x14ac:dyDescent="0.25">
      <c r="B142" s="122"/>
      <c r="G142" s="121"/>
    </row>
    <row r="143" spans="2:7" x14ac:dyDescent="0.25">
      <c r="B143" s="122"/>
      <c r="G143" s="121"/>
    </row>
    <row r="144" spans="2:7" x14ac:dyDescent="0.25">
      <c r="B144" s="122"/>
      <c r="G144" s="121"/>
    </row>
    <row r="145" spans="2:7" x14ac:dyDescent="0.25">
      <c r="B145" s="122"/>
      <c r="G145" s="121"/>
    </row>
    <row r="146" spans="2:7" x14ac:dyDescent="0.25">
      <c r="B146" s="122"/>
      <c r="G146" s="121"/>
    </row>
    <row r="147" spans="2:7" x14ac:dyDescent="0.25">
      <c r="B147" s="122"/>
      <c r="G147" s="121"/>
    </row>
    <row r="148" spans="2:7" x14ac:dyDescent="0.25">
      <c r="B148" s="122"/>
      <c r="G148" s="121"/>
    </row>
    <row r="149" spans="2:7" x14ac:dyDescent="0.25">
      <c r="B149" s="122"/>
      <c r="G149" s="121"/>
    </row>
    <row r="150" spans="2:7" x14ac:dyDescent="0.25">
      <c r="B150" s="122"/>
      <c r="G150" s="121"/>
    </row>
    <row r="151" spans="2:7" x14ac:dyDescent="0.25">
      <c r="B151" s="122"/>
      <c r="G151" s="121"/>
    </row>
    <row r="152" spans="2:7" x14ac:dyDescent="0.25">
      <c r="B152" s="122"/>
      <c r="G152" s="121"/>
    </row>
    <row r="153" spans="2:7" x14ac:dyDescent="0.25">
      <c r="B153" s="122"/>
      <c r="G153" s="121"/>
    </row>
    <row r="154" spans="2:7" x14ac:dyDescent="0.25">
      <c r="B154" s="122"/>
      <c r="G154" s="121"/>
    </row>
    <row r="155" spans="2:7" x14ac:dyDescent="0.25">
      <c r="B155" s="122"/>
      <c r="G155" s="121"/>
    </row>
    <row r="156" spans="2:7" x14ac:dyDescent="0.25">
      <c r="B156" s="122"/>
      <c r="G156" s="121"/>
    </row>
    <row r="157" spans="2:7" x14ac:dyDescent="0.25">
      <c r="B157" s="122"/>
      <c r="G157" s="121"/>
    </row>
    <row r="158" spans="2:7" x14ac:dyDescent="0.25">
      <c r="B158" s="122"/>
      <c r="G158" s="121"/>
    </row>
    <row r="159" spans="2:7" x14ac:dyDescent="0.25">
      <c r="B159" s="122"/>
      <c r="G159" s="121"/>
    </row>
    <row r="160" spans="2:7" x14ac:dyDescent="0.25">
      <c r="B160" s="122"/>
      <c r="G160" s="121"/>
    </row>
    <row r="161" spans="2:7" x14ac:dyDescent="0.25">
      <c r="B161" s="122"/>
      <c r="G161" s="121"/>
    </row>
    <row r="162" spans="2:7" x14ac:dyDescent="0.25">
      <c r="B162" s="122"/>
      <c r="G162" s="121"/>
    </row>
    <row r="163" spans="2:7" x14ac:dyDescent="0.25">
      <c r="B163" s="122"/>
      <c r="G163" s="121"/>
    </row>
    <row r="164" spans="2:7" x14ac:dyDescent="0.25">
      <c r="B164" s="122"/>
      <c r="G164" s="121"/>
    </row>
    <row r="165" spans="2:7" x14ac:dyDescent="0.25">
      <c r="B165" s="122"/>
      <c r="G165" s="121"/>
    </row>
    <row r="166" spans="2:7" x14ac:dyDescent="0.25">
      <c r="B166" s="125"/>
      <c r="C166" s="126"/>
      <c r="D166" s="127"/>
      <c r="E166" s="127"/>
      <c r="F166" s="127"/>
      <c r="G166" s="128"/>
    </row>
  </sheetData>
  <dataValidations count="1">
    <dataValidation type="list" allowBlank="1" showInputMessage="1" showErrorMessage="1" sqref="B6:B9" xr:uid="{1785BA0C-4A9C-4E3B-9CB7-30CE3F3E8CD8}">
      <formula1>"Tier 1,Tier 2,Tier 3,Tier 4"</formula1>
    </dataValidation>
  </dataValidation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2D248B-2830-4A1E-9C1B-87B531DD89FF}">
  <sheetPr codeName="Sheet33">
    <tabColor rgb="FF00CCFF"/>
  </sheetPr>
  <dimension ref="A1:I166"/>
  <sheetViews>
    <sheetView showGridLines="0" zoomScale="80" zoomScaleNormal="80" workbookViewId="0"/>
  </sheetViews>
  <sheetFormatPr defaultRowHeight="13.2" x14ac:dyDescent="0.25"/>
  <cols>
    <col min="1" max="1" width="29.88671875" customWidth="1"/>
    <col min="2" max="2" width="128.88671875" customWidth="1"/>
    <col min="3" max="3" width="21" customWidth="1"/>
    <col min="4" max="6" width="19.88671875" style="96" customWidth="1"/>
    <col min="7" max="7" width="23.5546875" style="96" customWidth="1"/>
    <col min="8" max="8" width="14.44140625" customWidth="1"/>
  </cols>
  <sheetData>
    <row r="1" spans="1:7" x14ac:dyDescent="0.25">
      <c r="A1" s="4" t="str" cm="1">
        <f t="array" aca="1" ref="A1" ca="1">MID(CELL("filename",A1),FIND("]",CELL("filename",A1))+1,255)</f>
        <v>Panel_SIP_less_equal_100</v>
      </c>
    </row>
    <row r="2" spans="1:7" x14ac:dyDescent="0.25">
      <c r="A2" s="4"/>
    </row>
    <row r="3" spans="1:7" x14ac:dyDescent="0.25">
      <c r="A3" s="4" t="s">
        <v>4048</v>
      </c>
      <c r="B3" t="s">
        <v>4181</v>
      </c>
    </row>
    <row r="4" spans="1:7" x14ac:dyDescent="0.25">
      <c r="A4" s="4"/>
    </row>
    <row r="5" spans="1:7" ht="73.5" customHeight="1" x14ac:dyDescent="0.25">
      <c r="A5" s="26" t="s">
        <v>4050</v>
      </c>
      <c r="B5" s="14" t="s">
        <v>4180</v>
      </c>
    </row>
    <row r="6" spans="1:7" x14ac:dyDescent="0.25">
      <c r="A6" s="26" t="s">
        <v>4052</v>
      </c>
      <c r="B6" t="s">
        <v>68</v>
      </c>
    </row>
    <row r="7" spans="1:7" x14ac:dyDescent="0.25">
      <c r="A7" s="26" t="s">
        <v>4053</v>
      </c>
      <c r="B7" s="27" t="s">
        <v>68</v>
      </c>
    </row>
    <row r="8" spans="1:7" x14ac:dyDescent="0.25">
      <c r="A8" s="26" t="s">
        <v>4054</v>
      </c>
      <c r="B8" s="27" t="s">
        <v>69</v>
      </c>
    </row>
    <row r="9" spans="1:7" x14ac:dyDescent="0.25">
      <c r="A9" s="26" t="s">
        <v>4055</v>
      </c>
      <c r="B9" s="4" t="s">
        <v>69</v>
      </c>
    </row>
    <row r="10" spans="1:7" x14ac:dyDescent="0.25">
      <c r="A10" s="26"/>
      <c r="B10" s="4"/>
    </row>
    <row r="11" spans="1:7" x14ac:dyDescent="0.25">
      <c r="A11" s="26" t="s">
        <v>4056</v>
      </c>
      <c r="B11" s="14" t="s">
        <v>4182</v>
      </c>
    </row>
    <row r="12" spans="1:7" x14ac:dyDescent="0.25">
      <c r="A12" s="101"/>
    </row>
    <row r="13" spans="1:7" x14ac:dyDescent="0.25">
      <c r="A13" s="101"/>
    </row>
    <row r="14" spans="1:7" x14ac:dyDescent="0.25">
      <c r="A14" s="26" t="s">
        <v>4057</v>
      </c>
    </row>
    <row r="15" spans="1:7" x14ac:dyDescent="0.25">
      <c r="A15" s="26"/>
      <c r="D15" s="112" t="s">
        <v>4058</v>
      </c>
      <c r="E15" s="113"/>
      <c r="F15" s="114" t="s">
        <v>4059</v>
      </c>
      <c r="G15" s="113"/>
    </row>
    <row r="16" spans="1:7" ht="39.6" x14ac:dyDescent="0.25">
      <c r="B16" s="28" t="s">
        <v>3310</v>
      </c>
      <c r="C16" s="23" t="s">
        <v>23</v>
      </c>
      <c r="D16" s="24" t="s">
        <v>141</v>
      </c>
      <c r="E16" s="25" t="s">
        <v>148</v>
      </c>
      <c r="F16" s="24" t="s">
        <v>142</v>
      </c>
      <c r="G16" s="24" t="s">
        <v>149</v>
      </c>
    </row>
    <row r="17" spans="2:8" x14ac:dyDescent="0.25">
      <c r="B17" s="29"/>
      <c r="C17" s="30" t="s">
        <v>4060</v>
      </c>
      <c r="D17" s="118" t="str" cm="1">
        <f t="array" ref="D17">IF(AND(_xlfn.ANCHORARRAY(C23)=C23),C23,"Mixed")</f>
        <v>m²</v>
      </c>
      <c r="E17" s="118" t="s">
        <v>219</v>
      </c>
      <c r="F17" s="118" t="str" cm="1">
        <f t="array" ref="F17">IF(AND(_xlfn.ANCHORARRAY(C23)=C23),C23,"Mixed")</f>
        <v>m²</v>
      </c>
      <c r="G17" s="119" t="s">
        <v>219</v>
      </c>
    </row>
    <row r="18" spans="2:8" s="14" customFormat="1" x14ac:dyDescent="0.25">
      <c r="B18" s="31"/>
      <c r="C18" s="4" t="s">
        <v>4061</v>
      </c>
      <c r="D18" s="96">
        <f t="shared" ref="D18:G18" si="0">MAX(_xlfn.ANCHORARRAY(D23))</f>
        <v>64.028499999999994</v>
      </c>
      <c r="E18" s="96">
        <f t="shared" si="0"/>
        <v>4.9165714285714284</v>
      </c>
      <c r="F18" s="96">
        <f t="shared" si="0"/>
        <v>0</v>
      </c>
      <c r="G18" s="121">
        <f t="shared" si="0"/>
        <v>0</v>
      </c>
      <c r="H18"/>
    </row>
    <row r="19" spans="2:8" x14ac:dyDescent="0.25">
      <c r="B19" s="122"/>
      <c r="C19" s="4" t="s">
        <v>4062</v>
      </c>
      <c r="D19" s="96">
        <f>MIN(_xlfn.ANCHORARRAY(D23))</f>
        <v>7.1511999999999993</v>
      </c>
      <c r="E19" s="96">
        <f t="shared" ref="E19:G19" si="1">MIN(_xlfn.ANCHORARRAY(E23))</f>
        <v>1.0976089743589739</v>
      </c>
      <c r="F19" s="96">
        <f t="shared" si="1"/>
        <v>0</v>
      </c>
      <c r="G19" s="121">
        <f t="shared" si="1"/>
        <v>0</v>
      </c>
    </row>
    <row r="20" spans="2:8" x14ac:dyDescent="0.25">
      <c r="B20" s="122"/>
      <c r="C20" s="4" t="s">
        <v>4063</v>
      </c>
      <c r="D20" s="96">
        <f>AVERAGE(_xlfn.ANCHORARRAY(D23))</f>
        <v>42.272157831325295</v>
      </c>
      <c r="E20" s="96">
        <f t="shared" ref="E20:G20" si="2">AVERAGE(_xlfn.ANCHORARRAY(E23))</f>
        <v>3.6419846947229431</v>
      </c>
      <c r="F20" s="96">
        <f t="shared" si="2"/>
        <v>0</v>
      </c>
      <c r="G20" s="121">
        <f t="shared" si="2"/>
        <v>0</v>
      </c>
    </row>
    <row r="21" spans="2:8" x14ac:dyDescent="0.25">
      <c r="B21" s="122"/>
      <c r="C21" s="4"/>
      <c r="G21" s="121"/>
    </row>
    <row r="22" spans="2:8" x14ac:dyDescent="0.25">
      <c r="B22" s="32" t="s">
        <v>4064</v>
      </c>
      <c r="D22"/>
      <c r="E22"/>
      <c r="F22"/>
      <c r="G22" s="124"/>
    </row>
    <row r="23" spans="2:8" x14ac:dyDescent="0.25">
      <c r="B23" s="122" t="str" cm="1">
        <f t="array" ref="B23:B105">_xlfn.UNIQUE(_xlfn._xlws.FILTER('EPD List'!D:D,ISNUMBER(SEARCH(B16,'EPD List'!C:C)),0))</f>
        <v>Panel - SIP ≤100mm, , InsulWall® - 90mm  (Bondor)</v>
      </c>
      <c r="C23" t="str" cm="1">
        <f t="array" ref="C23:C105">_xlfn.IFNA(INDEX('EPD List'!$A:$AB,MATCH(_xlfn.ANCHORARRAY(B23),'EPD List'!$D:$D,0),MATCH(C$16,'EPD List'!$7:$7,0)),"")</f>
        <v>m²</v>
      </c>
      <c r="D23" s="96" cm="1">
        <f t="array" ref="D23:D105">_xlfn.IFNA(VALUE((INDEX('EPD List'!$A:$AD,MATCH(_xlfn.ANCHORARRAY($B23),'EPD List'!$D:$D,0),MATCH(D$16,'EPD List'!$7:$7,0)))),"")</f>
        <v>43.9</v>
      </c>
      <c r="E23" s="96" cm="1">
        <f t="array" ref="E23:E105">_xlfn.IFNA(VALUE((INDEX('EPD List'!$A:$AD,MATCH(_xlfn.ANCHORARRAY($B23),'EPD List'!$D:$D,0),MATCH(E$16,'EPD List'!$7:$7,0)))),"")</f>
        <v>3.7203389830508473</v>
      </c>
      <c r="F23" s="96" cm="1">
        <f t="array" ref="F23:F105">_xlfn.IFNA(VALUE((INDEX('EPD List'!$A:$AD,MATCH(_xlfn.ANCHORARRAY($B23),'EPD List'!$D:$D,0),MATCH(F$16,'EPD List'!$7:$7,0)))),"")</f>
        <v>0</v>
      </c>
      <c r="G23" s="121" cm="1">
        <f t="array" ref="G23:G105">_xlfn.IFNA(VALUE((INDEX('EPD List'!$A:$AD,MATCH(_xlfn.ANCHORARRAY($B23),'EPD List'!$D:$D,0),MATCH(G$16,'EPD List'!$7:$7,0)))),"")</f>
        <v>0</v>
      </c>
    </row>
    <row r="24" spans="2:8" x14ac:dyDescent="0.25">
      <c r="B24" s="122" t="str">
        <v>Panel - SIP ≤100mm, , LuxeWall FlameGuard® 0.7mm steel - 50mm  (Bondor)</v>
      </c>
      <c r="C24" t="str">
        <v>m²</v>
      </c>
      <c r="D24" s="96">
        <v>53.161000000000001</v>
      </c>
      <c r="E24" s="96">
        <v>3.4077564102564102</v>
      </c>
      <c r="F24" s="96">
        <v>0</v>
      </c>
      <c r="G24" s="121">
        <v>0</v>
      </c>
    </row>
    <row r="25" spans="2:8" x14ac:dyDescent="0.25">
      <c r="B25" s="122" t="str">
        <v>Panel - SIP ≤100mm, , KS1100/1200RL Roofliner Panel, 50mm thick  (Kingspan)</v>
      </c>
      <c r="C25" t="str">
        <v>m²</v>
      </c>
      <c r="D25" s="96">
        <v>43.134999999999998</v>
      </c>
      <c r="E25" s="96">
        <v>3.594583333333333</v>
      </c>
      <c r="F25" s="96">
        <v>0</v>
      </c>
      <c r="G25" s="121">
        <v>0</v>
      </c>
    </row>
    <row r="26" spans="2:8" x14ac:dyDescent="0.25">
      <c r="B26" s="122" t="str">
        <v>Panel - SIP ≤100mm, , K-Dek Roof Panel with TPO membrane, 70mm thick  (Kingspan)</v>
      </c>
      <c r="C26" t="str">
        <v>m²</v>
      </c>
      <c r="D26" s="96">
        <v>40.1</v>
      </c>
      <c r="E26" s="96">
        <v>4.01</v>
      </c>
      <c r="F26" s="96">
        <v>0</v>
      </c>
      <c r="G26" s="121">
        <v>0</v>
      </c>
    </row>
    <row r="27" spans="2:8" x14ac:dyDescent="0.25">
      <c r="B27" s="122" t="str">
        <v>Panel - SIP ≤100mm, , Equitilt FlameGuard® 0.6mm steel - 75mm  (Bondor)</v>
      </c>
      <c r="C27" t="str">
        <v>m²</v>
      </c>
      <c r="D27" s="96">
        <v>52.21</v>
      </c>
      <c r="E27" s="96">
        <v>3.3652854511970527</v>
      </c>
      <c r="F27" s="96">
        <v>0</v>
      </c>
      <c r="G27" s="121">
        <v>0</v>
      </c>
    </row>
    <row r="28" spans="2:8" x14ac:dyDescent="0.25">
      <c r="B28" s="122" t="str">
        <v>Panel - SIP ≤100mm, , CoolRoof® - 75mm  (Bondor)</v>
      </c>
      <c r="C28" t="str">
        <v>m²</v>
      </c>
      <c r="D28" s="96">
        <v>41.8</v>
      </c>
      <c r="E28" s="96">
        <v>2.3093922651933698</v>
      </c>
      <c r="F28" s="96">
        <v>0</v>
      </c>
      <c r="G28" s="121">
        <v>0</v>
      </c>
    </row>
    <row r="29" spans="2:8" x14ac:dyDescent="0.25">
      <c r="B29" s="122" t="str">
        <v>Panel - SIP ≤100mm, , KS1000RW Trapezoidal Wall Panel, 40mm thick  (Kingspan)</v>
      </c>
      <c r="C29" t="str">
        <v>m²</v>
      </c>
      <c r="D29" s="96">
        <v>34.9</v>
      </c>
      <c r="E29" s="96">
        <v>3.3883495145631066</v>
      </c>
      <c r="F29" s="96">
        <v>0</v>
      </c>
      <c r="G29" s="121">
        <v>0</v>
      </c>
    </row>
    <row r="30" spans="2:8" x14ac:dyDescent="0.25">
      <c r="B30" s="122" t="str">
        <v>Panel - SIP ≤100mm, , KS1000RW Trapezoidal Roof Panel, 40mm thick  (Kingspan)</v>
      </c>
      <c r="C30" t="str">
        <v>m²</v>
      </c>
      <c r="D30" s="96">
        <v>34.9</v>
      </c>
      <c r="E30" s="96">
        <v>3.3883495145631066</v>
      </c>
      <c r="F30" s="96">
        <v>0</v>
      </c>
      <c r="G30" s="121">
        <v>0</v>
      </c>
    </row>
    <row r="31" spans="2:8" x14ac:dyDescent="0.25">
      <c r="B31" s="122" t="str">
        <v>Panel - SIP ≤100mm, , Architectural Wall Panel, 50mm thick  (Kingspan)</v>
      </c>
      <c r="C31" t="str">
        <v>m²</v>
      </c>
      <c r="D31" s="96">
        <v>40.200000000000003</v>
      </c>
      <c r="E31" s="96">
        <v>2.9777777777777779</v>
      </c>
      <c r="F31" s="96">
        <v>0</v>
      </c>
      <c r="G31" s="121">
        <v>0</v>
      </c>
    </row>
    <row r="32" spans="2:8" x14ac:dyDescent="0.25">
      <c r="B32" s="122" t="str">
        <v>Panel - SIP ≤100mm, , Equideck® - 50mm  (Bondor)</v>
      </c>
      <c r="C32" t="str">
        <v>m²</v>
      </c>
      <c r="D32" s="96">
        <v>40.4</v>
      </c>
      <c r="E32" s="96">
        <v>3.5752212389380529</v>
      </c>
      <c r="F32" s="96">
        <v>0</v>
      </c>
      <c r="G32" s="121">
        <v>0</v>
      </c>
    </row>
    <row r="33" spans="2:7" x14ac:dyDescent="0.25">
      <c r="B33" s="122" t="str">
        <v>Panel - SIP ≤100mm, , KS1100KP Karrier Wall Panel, 50mm thick  (Kingspan)</v>
      </c>
      <c r="C33" t="str">
        <v>m²</v>
      </c>
      <c r="D33" s="96">
        <v>42.8</v>
      </c>
      <c r="E33" s="96">
        <v>3.5666666666666664</v>
      </c>
      <c r="F33" s="96">
        <v>0</v>
      </c>
      <c r="G33" s="121">
        <v>0</v>
      </c>
    </row>
    <row r="34" spans="2:7" x14ac:dyDescent="0.25">
      <c r="B34" s="122" t="str">
        <v>Panel - SIP ≤100mm, , Evolution Panelised Facade, 50mm thick  (Kingspan)</v>
      </c>
      <c r="C34" t="str">
        <v>m²</v>
      </c>
      <c r="D34" s="96">
        <v>42.8</v>
      </c>
      <c r="E34" s="96">
        <v>3.9999999999999996</v>
      </c>
      <c r="F34" s="96">
        <v>0</v>
      </c>
      <c r="G34" s="121">
        <v>0</v>
      </c>
    </row>
    <row r="35" spans="2:7" x14ac:dyDescent="0.25">
      <c r="B35" s="122" t="str">
        <v>Panel - SIP ≤100mm, , K-Dek Roof Panel with PVC membrane, 70mm thick  (Kingspan)</v>
      </c>
      <c r="C35" t="str">
        <v>m²</v>
      </c>
      <c r="D35" s="96">
        <v>43.3</v>
      </c>
      <c r="E35" s="96">
        <v>4.33</v>
      </c>
      <c r="F35" s="96">
        <v>0</v>
      </c>
      <c r="G35" s="121">
        <v>0</v>
      </c>
    </row>
    <row r="36" spans="2:7" x14ac:dyDescent="0.25">
      <c r="B36" s="122" t="str">
        <v>Panel - SIP ≤100mm, , BondorPanel® 0.4mm steel - 100mm  (Bondor)</v>
      </c>
      <c r="C36" t="str">
        <v>m²</v>
      </c>
      <c r="D36" s="96">
        <v>44.4</v>
      </c>
      <c r="E36" s="96">
        <v>3.7718446601941737</v>
      </c>
      <c r="F36" s="96">
        <v>0</v>
      </c>
      <c r="G36" s="121">
        <v>0</v>
      </c>
    </row>
    <row r="37" spans="2:7" x14ac:dyDescent="0.25">
      <c r="B37" s="122" t="str">
        <v>Panel - SIP ≤100mm, , Equitilt FlameGuard® 0.7mm steel - 100mm  (Bondor)</v>
      </c>
      <c r="C37" t="str">
        <v>m²</v>
      </c>
      <c r="D37" s="96">
        <v>60.5</v>
      </c>
      <c r="E37" s="96">
        <v>2.936893203883495</v>
      </c>
      <c r="F37" s="96">
        <v>0</v>
      </c>
      <c r="G37" s="121">
        <v>0</v>
      </c>
    </row>
    <row r="38" spans="2:7" x14ac:dyDescent="0.25">
      <c r="B38" s="122" t="str">
        <v>Panel - SIP ≤100mm, , K-Dek Roof Panel with TPO membrane, 100mm thick  (Kingspan)</v>
      </c>
      <c r="C38" t="str">
        <v>m²</v>
      </c>
      <c r="D38" s="96">
        <v>48</v>
      </c>
      <c r="E38" s="96">
        <v>4.2857142857142856</v>
      </c>
      <c r="F38" s="96">
        <v>0</v>
      </c>
      <c r="G38" s="121">
        <v>0</v>
      </c>
    </row>
    <row r="39" spans="2:7" x14ac:dyDescent="0.25">
      <c r="B39" s="122" t="str">
        <v>Panel - SIP ≤100mm, , LuxeWall FlameGuard® 0.6mm steel - 50mm  (Bondor)</v>
      </c>
      <c r="C39" t="str">
        <v>m²</v>
      </c>
      <c r="D39" s="96">
        <v>48.3</v>
      </c>
      <c r="E39" s="96">
        <v>3.6121794871794868</v>
      </c>
      <c r="F39" s="96">
        <v>0</v>
      </c>
      <c r="G39" s="121">
        <v>0</v>
      </c>
    </row>
    <row r="40" spans="2:7" x14ac:dyDescent="0.25">
      <c r="B40" s="122" t="str">
        <v>Panel - SIP ≤100mm, , LuxeWall FlameGuard® 0.6mm steel - 75mm  (Bondor)</v>
      </c>
      <c r="C40" t="str">
        <v>m²</v>
      </c>
      <c r="D40" s="96">
        <v>52.1</v>
      </c>
      <c r="E40" s="96">
        <v>3.3581952117863718</v>
      </c>
      <c r="F40" s="96">
        <v>0</v>
      </c>
      <c r="G40" s="121">
        <v>0</v>
      </c>
    </row>
    <row r="41" spans="2:7" x14ac:dyDescent="0.25">
      <c r="B41" s="122" t="str">
        <v>Panel - SIP ≤100mm, , Equitilt FlameGuard® 0.7mm steel - 75mm  (Bondor)</v>
      </c>
      <c r="C41" t="str">
        <v>m²</v>
      </c>
      <c r="D41" s="96">
        <v>55.8</v>
      </c>
      <c r="E41" s="96">
        <v>3.082872928176795</v>
      </c>
      <c r="F41" s="96">
        <v>0</v>
      </c>
      <c r="G41" s="121">
        <v>0</v>
      </c>
    </row>
    <row r="42" spans="2:7" x14ac:dyDescent="0.25">
      <c r="B42" s="122" t="str">
        <v>Panel - SIP ≤100mm, , Solaris Ridge® 0.5mm steel - 50mm  (Bondor)</v>
      </c>
      <c r="C42" t="str">
        <v>m²</v>
      </c>
      <c r="D42" s="96">
        <v>37.5</v>
      </c>
      <c r="E42" s="96">
        <v>4.375</v>
      </c>
      <c r="F42" s="96">
        <v>0</v>
      </c>
      <c r="G42" s="121">
        <v>0</v>
      </c>
    </row>
    <row r="43" spans="2:7" x14ac:dyDescent="0.25">
      <c r="B43" s="122" t="str">
        <v>Panel - SIP ≤100mm, , Equitilt FlameGuard® 0.6mm steel - 100mm  (Bondor)</v>
      </c>
      <c r="C43" t="str">
        <v>m²</v>
      </c>
      <c r="D43" s="96">
        <v>56.6</v>
      </c>
      <c r="E43" s="96">
        <v>3.2055016181229772</v>
      </c>
      <c r="F43" s="96">
        <v>0</v>
      </c>
      <c r="G43" s="121">
        <v>0</v>
      </c>
    </row>
    <row r="44" spans="2:7" x14ac:dyDescent="0.25">
      <c r="B44" s="122" t="str">
        <v>Panel - SIP ≤100mm, , LuxeWall FlameGuard® 0.7mm steel - 75mm  (Bondor)</v>
      </c>
      <c r="C44" t="str">
        <v>m²</v>
      </c>
      <c r="D44" s="96">
        <v>56.7</v>
      </c>
      <c r="E44" s="96">
        <v>3.132596685082873</v>
      </c>
      <c r="F44" s="96">
        <v>0</v>
      </c>
      <c r="G44" s="121">
        <v>0</v>
      </c>
    </row>
    <row r="45" spans="2:7" x14ac:dyDescent="0.25">
      <c r="B45" s="122" t="str">
        <v>Panel - SIP ≤100mm, , Solaris Corro® 0.6mm steel - 50mm  (Bondor)</v>
      </c>
      <c r="C45" t="str">
        <v>m²</v>
      </c>
      <c r="D45" s="96">
        <v>38.700000000000003</v>
      </c>
      <c r="E45" s="96">
        <v>3.3362068965517246</v>
      </c>
      <c r="F45" s="96">
        <v>0</v>
      </c>
      <c r="G45" s="121">
        <v>0</v>
      </c>
    </row>
    <row r="46" spans="2:7" x14ac:dyDescent="0.25">
      <c r="B46" s="122" t="str">
        <v>Panel - SIP ≤100mm, , DesignerWall® - 50mm  (Bondor)</v>
      </c>
      <c r="C46" t="str">
        <v>m²</v>
      </c>
      <c r="D46" s="96">
        <v>40</v>
      </c>
      <c r="E46" s="96">
        <v>2.5641025641025643</v>
      </c>
      <c r="F46" s="96">
        <v>0</v>
      </c>
      <c r="G46" s="121">
        <v>0</v>
      </c>
    </row>
    <row r="47" spans="2:7" x14ac:dyDescent="0.25">
      <c r="B47" s="122" t="str">
        <v>Panel - SIP ≤100mm, , KS1000RW Trapezoidal Wall Panel, 60mm thick  (Kingspan)</v>
      </c>
      <c r="C47" t="str">
        <v>m²</v>
      </c>
      <c r="D47" s="96">
        <v>40.1</v>
      </c>
      <c r="E47" s="96">
        <v>3.7476635514018697</v>
      </c>
      <c r="F47" s="96">
        <v>0</v>
      </c>
      <c r="G47" s="121">
        <v>0</v>
      </c>
    </row>
    <row r="48" spans="2:7" x14ac:dyDescent="0.25">
      <c r="B48" s="122" t="str">
        <v>Panel - SIP ≤100mm, , KS1000RW Trapezoidal Roof Panel, 60mm thick  (Kingspan)</v>
      </c>
      <c r="C48" t="str">
        <v>m²</v>
      </c>
      <c r="D48" s="96">
        <v>40.1</v>
      </c>
      <c r="E48" s="96">
        <v>3.7476635514018697</v>
      </c>
      <c r="F48" s="96">
        <v>0</v>
      </c>
      <c r="G48" s="121">
        <v>0</v>
      </c>
    </row>
    <row r="49" spans="2:7" x14ac:dyDescent="0.25">
      <c r="B49" s="122" t="str">
        <v>Panel - SIP ≤100mm, , DesignerWall® - 75mm  (Bondor)</v>
      </c>
      <c r="C49" t="str">
        <v>m²</v>
      </c>
      <c r="D49" s="96">
        <v>40.4</v>
      </c>
      <c r="E49" s="96">
        <v>2.2320441988950273</v>
      </c>
      <c r="F49" s="96">
        <v>0</v>
      </c>
      <c r="G49" s="121">
        <v>0</v>
      </c>
    </row>
    <row r="50" spans="2:7" x14ac:dyDescent="0.25">
      <c r="B50" s="122" t="str">
        <v>Panel - SIP ≤100mm, , Equitilt® 0.6mm steel – 50mm  (Bondor)</v>
      </c>
      <c r="C50" t="str">
        <v>m²</v>
      </c>
      <c r="D50" s="96">
        <v>40.700000000000003</v>
      </c>
      <c r="E50" s="96">
        <v>3.3916666666666671</v>
      </c>
      <c r="F50" s="96">
        <v>0</v>
      </c>
      <c r="G50" s="121">
        <v>0</v>
      </c>
    </row>
    <row r="51" spans="2:7" x14ac:dyDescent="0.25">
      <c r="B51" s="122" t="str">
        <v>Panel - SIP ≤100mm, , LuxeWall® - 75mm  (Bondor)</v>
      </c>
      <c r="C51" t="str">
        <v>m²</v>
      </c>
      <c r="D51" s="96">
        <v>41.2</v>
      </c>
      <c r="E51" s="96">
        <v>2.2762430939226519</v>
      </c>
      <c r="F51" s="96">
        <v>0</v>
      </c>
      <c r="G51" s="121">
        <v>0</v>
      </c>
    </row>
    <row r="52" spans="2:7" x14ac:dyDescent="0.25">
      <c r="B52" s="122" t="str">
        <v>Panel - SIP ≤100mm, , KS1100/1200CS Coldstore Panel, 50mm thick  (Kingspan)</v>
      </c>
      <c r="C52" t="str">
        <v>m²</v>
      </c>
      <c r="D52" s="96">
        <v>42</v>
      </c>
      <c r="E52" s="96">
        <v>3.5</v>
      </c>
      <c r="F52" s="96">
        <v>0</v>
      </c>
      <c r="G52" s="121">
        <v>0</v>
      </c>
    </row>
    <row r="53" spans="2:7" x14ac:dyDescent="0.25">
      <c r="B53" s="122" t="str">
        <v>Panel - SIP ≤100mm, , Equitilt FlameGuard® 0.7mm steel - 50mm  (Bondor)</v>
      </c>
      <c r="C53" t="str">
        <v>m²</v>
      </c>
      <c r="D53" s="96">
        <v>51.943999999999996</v>
      </c>
      <c r="E53" s="96">
        <v>3.3297435897435896</v>
      </c>
      <c r="F53" s="96">
        <v>0</v>
      </c>
      <c r="G53" s="121">
        <v>0</v>
      </c>
    </row>
    <row r="54" spans="2:7" x14ac:dyDescent="0.25">
      <c r="B54" s="122" t="str">
        <v>Panel - SIP ≤100mm, , KS1000RW Trapezoidal Wall Panel, 70mm thick  (Kingspan)</v>
      </c>
      <c r="C54" t="str">
        <v>m²</v>
      </c>
      <c r="D54" s="96">
        <v>42.9</v>
      </c>
      <c r="E54" s="96">
        <v>3.8648648648648649</v>
      </c>
      <c r="F54" s="96">
        <v>0</v>
      </c>
      <c r="G54" s="121">
        <v>0</v>
      </c>
    </row>
    <row r="55" spans="2:7" x14ac:dyDescent="0.25">
      <c r="B55" s="122" t="str">
        <v>Panel - SIP ≤100mm, , KS1000RW Trapezoidal Roof Panel, 70mm thick  (Kingspan)</v>
      </c>
      <c r="C55" t="str">
        <v>m²</v>
      </c>
      <c r="D55" s="96">
        <v>42.9</v>
      </c>
      <c r="E55" s="96">
        <v>3.8648648648648649</v>
      </c>
      <c r="F55" s="96">
        <v>0</v>
      </c>
      <c r="G55" s="121">
        <v>0</v>
      </c>
    </row>
    <row r="56" spans="2:7" x14ac:dyDescent="0.25">
      <c r="B56" s="122" t="str">
        <v>Panel - SIP ≤100mm, , Architectural Wall Panel, 80mm thick  (Kingspan)</v>
      </c>
      <c r="C56" t="str">
        <v>m²</v>
      </c>
      <c r="D56" s="96">
        <v>46.6</v>
      </c>
      <c r="E56" s="96">
        <v>3.9159663865546217</v>
      </c>
      <c r="F56" s="96">
        <v>0</v>
      </c>
      <c r="G56" s="121">
        <v>0</v>
      </c>
    </row>
    <row r="57" spans="2:7" x14ac:dyDescent="0.25">
      <c r="B57" s="122" t="str">
        <v>Panel - SIP ≤100mm, , Equitilt FlameGuard® 0.6mm steel - 50mm  (Bondor)</v>
      </c>
      <c r="C57" t="str">
        <v>m²</v>
      </c>
      <c r="D57" s="96">
        <v>48</v>
      </c>
      <c r="E57" s="96">
        <v>3.5897435897435894</v>
      </c>
      <c r="F57" s="96">
        <v>0</v>
      </c>
      <c r="G57" s="121">
        <v>0</v>
      </c>
    </row>
    <row r="58" spans="2:7" x14ac:dyDescent="0.25">
      <c r="B58" s="122" t="str">
        <v>Panel - SIP ≤100mm, , KS1100KP Karrier Wall Panel, 75mm thick  (Kingspan)</v>
      </c>
      <c r="C58" t="str">
        <v>m²</v>
      </c>
      <c r="D58" s="96">
        <v>49.5</v>
      </c>
      <c r="E58" s="96">
        <v>3.8076923076923075</v>
      </c>
      <c r="F58" s="96">
        <v>0</v>
      </c>
      <c r="G58" s="121">
        <v>0</v>
      </c>
    </row>
    <row r="59" spans="2:7" x14ac:dyDescent="0.25">
      <c r="B59" s="122" t="str">
        <v>Panel - SIP ≤100mm, , KS1100/1200RL Roofliner Panel, 75mm thick  (Kingspan)</v>
      </c>
      <c r="C59" t="str">
        <v>m²</v>
      </c>
      <c r="D59" s="96">
        <v>49.7</v>
      </c>
      <c r="E59" s="96">
        <v>3.8230769230769233</v>
      </c>
      <c r="F59" s="96">
        <v>0</v>
      </c>
      <c r="G59" s="121">
        <v>0</v>
      </c>
    </row>
    <row r="60" spans="2:7" x14ac:dyDescent="0.25">
      <c r="B60" s="122" t="str">
        <v>Panel - SIP ≤100mm, , KS1000RW Trapezoidal Wall Panel, 100mm thick  (Kingspan)</v>
      </c>
      <c r="C60" t="str">
        <v>m²</v>
      </c>
      <c r="D60" s="96">
        <v>50.6</v>
      </c>
      <c r="E60" s="96">
        <v>4.1138211382113816</v>
      </c>
      <c r="F60" s="96">
        <v>0</v>
      </c>
      <c r="G60" s="121">
        <v>0</v>
      </c>
    </row>
    <row r="61" spans="2:7" x14ac:dyDescent="0.25">
      <c r="B61" s="122" t="str">
        <v>Panel - SIP ≤100mm, , KS1000RW Trapezoidal Roof Panel, 100mm thick  (Kingspan)</v>
      </c>
      <c r="C61" t="str">
        <v>m²</v>
      </c>
      <c r="D61" s="96">
        <v>50.6</v>
      </c>
      <c r="E61" s="96">
        <v>4.1138211382113816</v>
      </c>
      <c r="F61" s="96">
        <v>0</v>
      </c>
      <c r="G61" s="121">
        <v>0</v>
      </c>
    </row>
    <row r="62" spans="2:7" x14ac:dyDescent="0.25">
      <c r="B62" s="122" t="str">
        <v>Panel - SIP ≤100mm, , Evolution Panelised Facade, 80mm thick  (Kingspan)</v>
      </c>
      <c r="C62" t="str">
        <v>m²</v>
      </c>
      <c r="D62" s="96">
        <v>50.8</v>
      </c>
      <c r="E62" s="96">
        <v>4.4173913043478255</v>
      </c>
      <c r="F62" s="96">
        <v>0</v>
      </c>
      <c r="G62" s="121">
        <v>0</v>
      </c>
    </row>
    <row r="63" spans="2:7" x14ac:dyDescent="0.25">
      <c r="B63" s="122" t="str">
        <v>Panel - SIP ≤100mm, , K-Dek Roof Panel with PVC membrane, 100mm thick  (Kingspan)</v>
      </c>
      <c r="C63" t="str">
        <v>m²</v>
      </c>
      <c r="D63" s="96">
        <v>51.2</v>
      </c>
      <c r="E63" s="96">
        <v>4.5714285714285721</v>
      </c>
      <c r="F63" s="96">
        <v>0</v>
      </c>
      <c r="G63" s="121">
        <v>0</v>
      </c>
    </row>
    <row r="64" spans="2:7" x14ac:dyDescent="0.25">
      <c r="B64" s="122" t="str">
        <v>Panel - SIP ≤100mm, , KS1100/1200RL Roofliner Panel, 100mm thick  (Kingspan)</v>
      </c>
      <c r="C64" t="str">
        <v>m²</v>
      </c>
      <c r="D64" s="96">
        <v>56</v>
      </c>
      <c r="E64" s="96">
        <v>4</v>
      </c>
      <c r="F64" s="96">
        <v>0</v>
      </c>
      <c r="G64" s="121">
        <v>0</v>
      </c>
    </row>
    <row r="65" spans="2:7" x14ac:dyDescent="0.25">
      <c r="B65" s="122" t="str">
        <v>Panel - SIP ≤100mm, , BondorPanel® 0.6mm steel – 50mm  (Bondor)</v>
      </c>
      <c r="C65" t="str">
        <v>m²</v>
      </c>
      <c r="D65" s="96">
        <v>32.200000000000003</v>
      </c>
      <c r="E65" s="96">
        <v>2.6833333333333336</v>
      </c>
      <c r="F65" s="96">
        <v>0</v>
      </c>
      <c r="G65" s="121">
        <v>0</v>
      </c>
    </row>
    <row r="66" spans="2:7" x14ac:dyDescent="0.25">
      <c r="B66" s="122" t="str">
        <v>Panel - SIP ≤100mm, , Solaris Ridge® 0.6mm steel - 50mm  (Bondor)</v>
      </c>
      <c r="C66" t="str">
        <v>m²</v>
      </c>
      <c r="D66" s="96">
        <v>33.6</v>
      </c>
      <c r="E66" s="96">
        <v>3.2666666666666666</v>
      </c>
      <c r="F66" s="96">
        <v>0</v>
      </c>
      <c r="G66" s="121">
        <v>0</v>
      </c>
    </row>
    <row r="67" spans="2:7" x14ac:dyDescent="0.25">
      <c r="B67" s="122" t="str">
        <v>Panel - SIP ≤100mm, , SolarSpan® - 50mm  (Bondor)</v>
      </c>
      <c r="C67" t="str">
        <v>m²</v>
      </c>
      <c r="D67" s="96">
        <v>38.200000000000003</v>
      </c>
      <c r="E67" s="96">
        <v>3.6037735849056607</v>
      </c>
      <c r="F67" s="96">
        <v>0</v>
      </c>
      <c r="G67" s="121">
        <v>0</v>
      </c>
    </row>
    <row r="68" spans="2:7" x14ac:dyDescent="0.25">
      <c r="B68" s="122" t="str">
        <v>Panel - SIP ≤100mm, , LuxeWall® - 50mm  (Bondor)</v>
      </c>
      <c r="C68" t="str">
        <v>m²</v>
      </c>
      <c r="D68" s="96">
        <v>39.799999999999997</v>
      </c>
      <c r="E68" s="96">
        <v>2.5512820512820511</v>
      </c>
      <c r="F68" s="96">
        <v>0</v>
      </c>
      <c r="G68" s="121">
        <v>0</v>
      </c>
    </row>
    <row r="69" spans="2:7" x14ac:dyDescent="0.25">
      <c r="B69" s="122" t="str">
        <v>Panel - SIP ≤100mm, , CoolRoof® - 50mm  (Bondor)</v>
      </c>
      <c r="C69" t="str">
        <v>m²</v>
      </c>
      <c r="D69" s="96">
        <v>40.1</v>
      </c>
      <c r="E69" s="96">
        <v>2.5705128205128207</v>
      </c>
      <c r="F69" s="96">
        <v>0</v>
      </c>
      <c r="G69" s="121">
        <v>0</v>
      </c>
    </row>
    <row r="70" spans="2:7" x14ac:dyDescent="0.25">
      <c r="B70" s="122" t="str">
        <v>Panel - SIP ≤100mm, , BondorPanel® 0.4mm steel - 50mm  (Bondor)</v>
      </c>
      <c r="C70" t="str">
        <v>m²</v>
      </c>
      <c r="D70" s="96">
        <v>41.4</v>
      </c>
      <c r="E70" s="96">
        <v>4.6442307692307683</v>
      </c>
      <c r="F70" s="96">
        <v>0</v>
      </c>
      <c r="G70" s="121">
        <v>0</v>
      </c>
    </row>
    <row r="71" spans="2:7" x14ac:dyDescent="0.25">
      <c r="B71" s="122" t="str">
        <v>Panel - SIP ≤100mm, , InsulRoof® - 50mm  (Bondor)</v>
      </c>
      <c r="C71" t="str">
        <v>m²</v>
      </c>
      <c r="D71" s="96">
        <v>41.9</v>
      </c>
      <c r="E71" s="96">
        <v>3.6120689655172415</v>
      </c>
      <c r="F71" s="96">
        <v>0</v>
      </c>
      <c r="G71" s="121">
        <v>0</v>
      </c>
    </row>
    <row r="72" spans="2:7" x14ac:dyDescent="0.25">
      <c r="B72" s="122" t="str">
        <v>Panel - SIP ≤100mm, , Solaris Corro® 0.5mm steel - 50mm  (Bondor)</v>
      </c>
      <c r="C72" t="str">
        <v>m²</v>
      </c>
      <c r="D72" s="96">
        <v>42.5</v>
      </c>
      <c r="E72" s="96">
        <v>3.7610619469026547</v>
      </c>
      <c r="F72" s="96">
        <v>0</v>
      </c>
      <c r="G72" s="121">
        <v>0</v>
      </c>
    </row>
    <row r="73" spans="2:7" x14ac:dyDescent="0.25">
      <c r="B73" s="122" t="str">
        <v>Panel - SIP ≤100mm, , BondorPanel® 0.4mm steel - 75mm  (Bondor)</v>
      </c>
      <c r="C73" t="str">
        <v>m²</v>
      </c>
      <c r="D73" s="96">
        <v>42.8</v>
      </c>
      <c r="E73" s="96">
        <v>4.1381215469613251</v>
      </c>
      <c r="F73" s="96">
        <v>0</v>
      </c>
      <c r="G73" s="121">
        <v>0</v>
      </c>
    </row>
    <row r="74" spans="2:7" x14ac:dyDescent="0.25">
      <c r="B74" s="122" t="str">
        <v>Panel - SIP ≤100mm, , Equitilt® 0.7mm steel – 50mm  (Bondor)</v>
      </c>
      <c r="C74" t="str">
        <v>m²</v>
      </c>
      <c r="D74" s="96">
        <v>44.4</v>
      </c>
      <c r="E74" s="96">
        <v>3.6999999999999997</v>
      </c>
      <c r="F74" s="96">
        <v>0</v>
      </c>
      <c r="G74" s="121">
        <v>0</v>
      </c>
    </row>
    <row r="75" spans="2:7" x14ac:dyDescent="0.25">
      <c r="B75" s="122" t="str">
        <v>Panel - SIP ≤100mm, , r KS1100/1200CS Coldstore Panel, 75mm thick  (Kingspan)</v>
      </c>
      <c r="C75" t="str">
        <v>m²</v>
      </c>
      <c r="D75" s="96">
        <v>48.6</v>
      </c>
      <c r="E75" s="96">
        <v>3.7384615384615385</v>
      </c>
      <c r="F75" s="96">
        <v>0</v>
      </c>
      <c r="G75" s="121">
        <v>0</v>
      </c>
    </row>
    <row r="76" spans="2:7" x14ac:dyDescent="0.25">
      <c r="B76" s="122" t="str">
        <v>Panel - SIP ≤100mm, , Architectural Wall Panel, 100mm thick  (Kingspan)</v>
      </c>
      <c r="C76" t="str">
        <v>m²</v>
      </c>
      <c r="D76" s="96">
        <v>53.2</v>
      </c>
      <c r="E76" s="96">
        <v>4.3252032520325203</v>
      </c>
      <c r="F76" s="96">
        <v>0</v>
      </c>
      <c r="G76" s="121">
        <v>0</v>
      </c>
    </row>
    <row r="77" spans="2:7" x14ac:dyDescent="0.25">
      <c r="B77" s="122" t="str">
        <v>Panel - SIP ≤100mm, , KS1100/1200CS Coldstore Panel, 100mm thick  (Kingspan)</v>
      </c>
      <c r="C77" t="str">
        <v>m²</v>
      </c>
      <c r="D77" s="96">
        <v>55.2</v>
      </c>
      <c r="E77" s="96">
        <v>3.9428571428571431</v>
      </c>
      <c r="F77" s="96">
        <v>0</v>
      </c>
      <c r="G77" s="121">
        <v>0</v>
      </c>
    </row>
    <row r="78" spans="2:7" x14ac:dyDescent="0.25">
      <c r="B78" s="122" t="str">
        <v>Panel - SIP ≤100mm, , KS1100KP Karrier Wall Panel, 100mm thick  (Kingspan)</v>
      </c>
      <c r="C78" t="str">
        <v>m²</v>
      </c>
      <c r="D78" s="96">
        <v>55.8</v>
      </c>
      <c r="E78" s="96">
        <v>3.9857142857142853</v>
      </c>
      <c r="F78" s="96">
        <v>0</v>
      </c>
      <c r="G78" s="121">
        <v>0</v>
      </c>
    </row>
    <row r="79" spans="2:7" x14ac:dyDescent="0.25">
      <c r="B79" s="122" t="str">
        <v>Panel - SIP ≤100mm, , Evolution Panelised Facade, 100mm thick  (Kingspan)</v>
      </c>
      <c r="C79" t="str">
        <v>m²</v>
      </c>
      <c r="D79" s="96">
        <v>55.8</v>
      </c>
      <c r="E79" s="96">
        <v>4.5365853658536581</v>
      </c>
      <c r="F79" s="96">
        <v>0</v>
      </c>
      <c r="G79" s="121">
        <v>0</v>
      </c>
    </row>
    <row r="80" spans="2:7" x14ac:dyDescent="0.25">
      <c r="B80" s="122" t="str">
        <v>Panel - SIP ≤100mm, , EconoClad® 25mm  (Metecno Pty Ltd t/a MetecnoPIR)</v>
      </c>
      <c r="C80" t="str">
        <v>m²</v>
      </c>
      <c r="D80" s="96">
        <v>27.532800000000002</v>
      </c>
      <c r="E80" s="96">
        <v>4.9165714285714284</v>
      </c>
      <c r="F80" s="96">
        <v>0</v>
      </c>
      <c r="G80" s="121">
        <v>0</v>
      </c>
    </row>
    <row r="81" spans="2:9" x14ac:dyDescent="0.25">
      <c r="B81" s="122" t="str">
        <v>Panel - SIP ≤100mm, , EconoClad® 40mm  (Metecno Pty Ltd t/a MetecnoPIR)</v>
      </c>
      <c r="C81" t="str">
        <v>m²</v>
      </c>
      <c r="D81" s="96">
        <v>30.735199999999999</v>
      </c>
      <c r="E81" s="96">
        <v>4.8786031746031755</v>
      </c>
      <c r="F81" s="96">
        <v>0</v>
      </c>
      <c r="G81" s="121">
        <v>0</v>
      </c>
    </row>
    <row r="82" spans="2:9" x14ac:dyDescent="0.25">
      <c r="B82" s="122" t="str">
        <v>Panel - SIP ≤100mm, , EconoClad® 60mm  (Metecno Pty Ltd t/a MetecnoPIR)</v>
      </c>
      <c r="C82" t="str">
        <v>m²</v>
      </c>
      <c r="D82" s="96">
        <v>34.738</v>
      </c>
      <c r="E82" s="96">
        <v>4.8926760563380292</v>
      </c>
      <c r="F82" s="96">
        <v>0</v>
      </c>
      <c r="G82" s="121">
        <v>0</v>
      </c>
    </row>
    <row r="83" spans="2:9" x14ac:dyDescent="0.25">
      <c r="B83" s="122" t="str">
        <v>Panel - SIP ≤100mm, , EconoClad® 80mm  (Metecno Pty Ltd t/a MetecnoPIR)</v>
      </c>
      <c r="C83" t="str">
        <v>m²</v>
      </c>
      <c r="D83" s="96">
        <v>38.7408</v>
      </c>
      <c r="E83" s="96">
        <v>4.9038987341772158</v>
      </c>
      <c r="F83" s="96">
        <v>0</v>
      </c>
      <c r="G83" s="121">
        <v>0</v>
      </c>
    </row>
    <row r="84" spans="2:9" x14ac:dyDescent="0.25">
      <c r="B84" s="122" t="str">
        <v>Panel - SIP ≤100mm, , EconoClad® 100mm  (Metecno Pty Ltd t/a MetecnoPIR)</v>
      </c>
      <c r="C84" t="str">
        <v>m²</v>
      </c>
      <c r="D84" s="96">
        <v>42.743600000000001</v>
      </c>
      <c r="E84" s="96">
        <v>4.9130574712643691</v>
      </c>
      <c r="F84" s="96">
        <v>0</v>
      </c>
      <c r="G84" s="121">
        <v>0</v>
      </c>
    </row>
    <row r="85" spans="2:9" x14ac:dyDescent="0.25">
      <c r="B85" s="122" t="str">
        <v>Steel, Insulation panel, COLORBOND® steel for insulated panels in 0.40mm base metal thickness (BMT) (Bluescope)</v>
      </c>
      <c r="C85" t="str">
        <v>m²</v>
      </c>
      <c r="D85" s="96">
        <v>12.2</v>
      </c>
      <c r="E85" s="96">
        <v>3.5057471264367814</v>
      </c>
      <c r="F85" s="96">
        <v>0</v>
      </c>
      <c r="G85" s="121">
        <v>0</v>
      </c>
    </row>
    <row r="86" spans="2:9" x14ac:dyDescent="0.25">
      <c r="B86" s="122" t="str">
        <v>Panel - SIP ≤100mm, , MetecnoPanel® 75mm  (Metecno Pty Ltd t/a MetecnoPIR)</v>
      </c>
      <c r="C86" t="str">
        <v>m²</v>
      </c>
      <c r="D86" s="96">
        <v>55.125500000000002</v>
      </c>
      <c r="E86" s="96">
        <v>4.2404230769230766</v>
      </c>
      <c r="F86" s="96">
        <v>0</v>
      </c>
      <c r="G86" s="121">
        <v>0</v>
      </c>
    </row>
    <row r="87" spans="2:9" x14ac:dyDescent="0.25">
      <c r="B87" s="122" t="str">
        <v>Panel - SIP ≤100mm, , MetecnoPanel® 50mm  (Metecno Pty Ltd t/a MetecnoPIR)</v>
      </c>
      <c r="C87" t="str">
        <v>m²</v>
      </c>
      <c r="D87" s="96">
        <v>49.921099999999996</v>
      </c>
      <c r="E87" s="96">
        <v>4.1600916666666663</v>
      </c>
      <c r="F87" s="96">
        <v>0</v>
      </c>
      <c r="G87" s="121">
        <v>0</v>
      </c>
    </row>
    <row r="88" spans="2:9" x14ac:dyDescent="0.25">
      <c r="B88" s="122" t="str">
        <v>Steel, Cold room panels, COLORBOND® Intramax® steel in 0.40mm base metal thickness (BMT) (Bluescope)</v>
      </c>
      <c r="C88" t="str">
        <v>m²</v>
      </c>
      <c r="D88" s="96">
        <v>12.2</v>
      </c>
      <c r="E88" s="96">
        <v>3.5057471264367814</v>
      </c>
      <c r="F88" s="96">
        <v>0</v>
      </c>
      <c r="G88" s="121">
        <v>0</v>
      </c>
    </row>
    <row r="89" spans="2:9" x14ac:dyDescent="0.25">
      <c r="B89" s="122" t="str">
        <v>Panel - SIP ≤100mm, , MetecnoInspire® 60mm  (Metecno Pty Ltd t/a MetecnoPIR)</v>
      </c>
      <c r="C89" t="str">
        <v>m²</v>
      </c>
      <c r="D89" s="96">
        <v>55.522599999999997</v>
      </c>
      <c r="E89" s="96">
        <v>3.8826993006993002</v>
      </c>
      <c r="F89" s="96">
        <v>0</v>
      </c>
      <c r="G89" s="121">
        <v>0</v>
      </c>
    </row>
    <row r="90" spans="2:9" x14ac:dyDescent="0.25">
      <c r="B90" s="122" t="str">
        <v>Steel, Insulation panel, COLORBOND® steel for insulated panels in 0.50mm base metal thickness (BMT) (Bluescope)</v>
      </c>
      <c r="C90" t="str">
        <v>m²</v>
      </c>
      <c r="D90" s="96">
        <v>14.2</v>
      </c>
      <c r="E90" s="96">
        <v>3.3333333333333335</v>
      </c>
      <c r="F90" s="96">
        <v>0</v>
      </c>
      <c r="G90" s="121">
        <v>0</v>
      </c>
      <c r="I90" s="96"/>
    </row>
    <row r="91" spans="2:9" x14ac:dyDescent="0.25">
      <c r="B91" s="122" t="str">
        <v>Panel - SIP ≤100mm, , MetecnoInspire® 50mm  (Metecno Pty Ltd t/a MetecnoPIR)</v>
      </c>
      <c r="C91" t="str">
        <v>m²</v>
      </c>
      <c r="D91" s="96">
        <v>53.8202</v>
      </c>
      <c r="E91" s="96">
        <v>3.8719568345323738</v>
      </c>
      <c r="F91" s="96">
        <v>0</v>
      </c>
      <c r="G91" s="121">
        <v>0</v>
      </c>
    </row>
    <row r="92" spans="2:9" x14ac:dyDescent="0.25">
      <c r="B92" s="122" t="str">
        <v>Steel, Cold room panels, COLORBOND® Intramax® steel in 0.45mm base metal thickness (BMT) (Bluescope)</v>
      </c>
      <c r="C92" t="str">
        <v>m²</v>
      </c>
      <c r="D92" s="96">
        <v>13.2</v>
      </c>
      <c r="E92" s="96">
        <v>3.4108527131782944</v>
      </c>
      <c r="F92" s="96">
        <v>0</v>
      </c>
      <c r="G92" s="121">
        <v>0</v>
      </c>
    </row>
    <row r="93" spans="2:9" x14ac:dyDescent="0.25">
      <c r="B93" s="122" t="str">
        <v>Steel, Cold room panels, COLORBOND® Intramax® steel in 0.50mm base metal thickness (BMT) (Bluescope)</v>
      </c>
      <c r="C93" t="str">
        <v>m²</v>
      </c>
      <c r="D93" s="96">
        <v>14.2</v>
      </c>
      <c r="E93" s="96">
        <v>3.3333333333333335</v>
      </c>
      <c r="F93" s="96">
        <v>0</v>
      </c>
      <c r="G93" s="121">
        <v>0</v>
      </c>
    </row>
    <row r="94" spans="2:9" x14ac:dyDescent="0.25">
      <c r="B94" s="122" t="str">
        <v>Steel, Insulation panel, COLORBOND® steel for insulated panels in 0.60mm base metal thickness (BMT) (Bluescope)</v>
      </c>
      <c r="C94" t="str">
        <v>m²</v>
      </c>
      <c r="D94" s="96">
        <v>16.3</v>
      </c>
      <c r="E94" s="96">
        <v>3.2277227722772279</v>
      </c>
      <c r="F94" s="96">
        <v>0</v>
      </c>
      <c r="G94" s="121">
        <v>0</v>
      </c>
    </row>
    <row r="95" spans="2:9" x14ac:dyDescent="0.25">
      <c r="B95" s="122" t="str">
        <v>Steel, Cold room panels, COLORBOND® Intramax® steel in 0.60mm base metal thickness (BMT) (Bluescope)</v>
      </c>
      <c r="C95" t="str">
        <v>m²</v>
      </c>
      <c r="D95" s="96">
        <v>16.3</v>
      </c>
      <c r="E95" s="96">
        <v>3.2277227722772279</v>
      </c>
      <c r="F95" s="96">
        <v>0</v>
      </c>
      <c r="G95" s="121">
        <v>0</v>
      </c>
    </row>
    <row r="96" spans="2:9" x14ac:dyDescent="0.25">
      <c r="B96" s="122" t="str">
        <v>Panel - SIP ≤100mm, K17 100 mm,  (Kingspan)</v>
      </c>
      <c r="C96" t="str">
        <v>m²</v>
      </c>
      <c r="D96" s="96">
        <v>16.202000000000002</v>
      </c>
      <c r="E96" s="96">
        <v>1.3763834951456309</v>
      </c>
      <c r="F96" s="96">
        <v>0</v>
      </c>
      <c r="G96" s="121">
        <v>0</v>
      </c>
    </row>
    <row r="97" spans="2:7" x14ac:dyDescent="0.25">
      <c r="B97" s="122" t="str">
        <v>Panel - SIP ≤100mm, K17 50 mm,  (Kingspan)</v>
      </c>
      <c r="C97" t="str">
        <v>m²</v>
      </c>
      <c r="D97" s="96">
        <v>9.7843999999999998</v>
      </c>
      <c r="E97" s="96">
        <v>1.0976089743589739</v>
      </c>
      <c r="F97" s="96">
        <v>0</v>
      </c>
      <c r="G97" s="121">
        <v>0</v>
      </c>
    </row>
    <row r="98" spans="2:7" x14ac:dyDescent="0.25">
      <c r="B98" s="122" t="str">
        <v>Panel - SIP ≤100mm, , MetecnoSpan® 100mm  (Metecno Pty Ltd t/a MetecnoPIR)</v>
      </c>
      <c r="C98" t="str">
        <v>m²</v>
      </c>
      <c r="D98" s="96">
        <v>58.739000000000004</v>
      </c>
      <c r="E98" s="96">
        <v>4.4499242424242427</v>
      </c>
      <c r="F98" s="96">
        <v>0</v>
      </c>
      <c r="G98" s="121">
        <v>0</v>
      </c>
    </row>
    <row r="99" spans="2:7" x14ac:dyDescent="0.25">
      <c r="B99" s="122" t="str">
        <v>Panel - SIP ≤100mm, , MetecnoInspire® 100mm  (Metecno Pty Ltd t/a MetecnoPIR)</v>
      </c>
      <c r="C99" t="str">
        <v>m²</v>
      </c>
      <c r="D99" s="96">
        <v>64.028499999999994</v>
      </c>
      <c r="E99" s="96">
        <v>4.0017812499999996</v>
      </c>
      <c r="F99" s="96">
        <v>0</v>
      </c>
      <c r="G99" s="121">
        <v>0</v>
      </c>
    </row>
    <row r="100" spans="2:7" x14ac:dyDescent="0.25">
      <c r="B100" s="122" t="str">
        <v>Panel - SIP ≤100mm, , MetecnoSpan® 80mm  (Metecno Pty Ltd t/a MetecnoPIR)</v>
      </c>
      <c r="C100" t="str">
        <v>m²</v>
      </c>
      <c r="D100" s="96">
        <v>54.7361</v>
      </c>
      <c r="E100" s="96">
        <v>4.3099291338582679</v>
      </c>
      <c r="F100" s="96">
        <v>0</v>
      </c>
      <c r="G100" s="121">
        <v>0</v>
      </c>
    </row>
    <row r="101" spans="2:7" x14ac:dyDescent="0.25">
      <c r="B101" s="122" t="str">
        <v>Panel - SIP ≤100mm, , MetecnoPanel® 100mm  (Metecno Pty Ltd t/a MetecnoPIR)</v>
      </c>
      <c r="C101" t="str">
        <v>m²</v>
      </c>
      <c r="D101" s="96">
        <v>60.129400000000004</v>
      </c>
      <c r="E101" s="96">
        <v>4.2949571428571431</v>
      </c>
      <c r="F101" s="96">
        <v>0</v>
      </c>
      <c r="G101" s="121">
        <v>0</v>
      </c>
    </row>
    <row r="102" spans="2:7" x14ac:dyDescent="0.25">
      <c r="B102" s="122" t="str">
        <v>Panel - SIP ≤100mm, K17 25 mm,  (Kingspan)</v>
      </c>
      <c r="C102" t="str">
        <v>m²</v>
      </c>
      <c r="D102" s="96">
        <v>7.1511999999999993</v>
      </c>
      <c r="E102" s="96">
        <v>1.1806226415094336</v>
      </c>
      <c r="F102" s="96">
        <v>0</v>
      </c>
      <c r="G102" s="121">
        <v>0</v>
      </c>
    </row>
    <row r="103" spans="2:7" x14ac:dyDescent="0.25">
      <c r="B103" s="122" t="str">
        <v>Panel - SIP ≤100mm, , MetecnoInspire® 80mm  (Metecno Pty Ltd t/a MetecnoPIR)</v>
      </c>
      <c r="C103" t="str">
        <v>m²</v>
      </c>
      <c r="D103" s="96">
        <v>60.025700000000001</v>
      </c>
      <c r="E103" s="96">
        <v>3.9752119205298015</v>
      </c>
      <c r="F103" s="96">
        <v>0</v>
      </c>
      <c r="G103" s="121">
        <v>0</v>
      </c>
    </row>
    <row r="104" spans="2:7" x14ac:dyDescent="0.25">
      <c r="B104" s="122" t="str">
        <v>Panel - SIP ≤100mm, , MetecnoSpan® 60mm  (Metecno Pty Ltd t/a MetecnoPIR)</v>
      </c>
      <c r="C104" t="str">
        <v>m²</v>
      </c>
      <c r="D104" s="96">
        <v>50.7333</v>
      </c>
      <c r="E104" s="96">
        <v>4.3735603448275873</v>
      </c>
      <c r="F104" s="96">
        <v>0</v>
      </c>
      <c r="G104" s="121">
        <v>0</v>
      </c>
    </row>
    <row r="105" spans="2:7" x14ac:dyDescent="0.25">
      <c r="B105" s="122" t="str">
        <v>Panel - SIP ≤100mm, , MetecnoSpan® 40mm  (Metecno Pty Ltd t/a MetecnoPIR)</v>
      </c>
      <c r="C105" t="str">
        <v>m²</v>
      </c>
      <c r="D105" s="96">
        <v>46.6297</v>
      </c>
      <c r="E105" s="96">
        <v>4.357915887850468</v>
      </c>
      <c r="F105" s="96">
        <v>0</v>
      </c>
      <c r="G105" s="121">
        <v>0</v>
      </c>
    </row>
    <row r="106" spans="2:7" x14ac:dyDescent="0.25">
      <c r="B106" s="122"/>
      <c r="G106" s="121"/>
    </row>
    <row r="107" spans="2:7" x14ac:dyDescent="0.25">
      <c r="B107" s="122"/>
      <c r="G107" s="121"/>
    </row>
    <row r="108" spans="2:7" x14ac:dyDescent="0.25">
      <c r="B108" s="122"/>
      <c r="G108" s="121"/>
    </row>
    <row r="109" spans="2:7" x14ac:dyDescent="0.25">
      <c r="B109" s="122"/>
      <c r="G109" s="121"/>
    </row>
    <row r="110" spans="2:7" x14ac:dyDescent="0.25">
      <c r="B110" s="122"/>
      <c r="G110" s="121"/>
    </row>
    <row r="111" spans="2:7" x14ac:dyDescent="0.25">
      <c r="B111" s="122"/>
      <c r="G111" s="121"/>
    </row>
    <row r="112" spans="2:7" x14ac:dyDescent="0.25">
      <c r="B112" s="122"/>
      <c r="G112" s="121"/>
    </row>
    <row r="113" spans="2:7" x14ac:dyDescent="0.25">
      <c r="B113" s="122"/>
      <c r="G113" s="121"/>
    </row>
    <row r="114" spans="2:7" x14ac:dyDescent="0.25">
      <c r="B114" s="122"/>
      <c r="G114" s="121"/>
    </row>
    <row r="115" spans="2:7" x14ac:dyDescent="0.25">
      <c r="B115" s="122"/>
      <c r="G115" s="121"/>
    </row>
    <row r="116" spans="2:7" x14ac:dyDescent="0.25">
      <c r="B116" s="122"/>
      <c r="G116" s="121"/>
    </row>
    <row r="117" spans="2:7" x14ac:dyDescent="0.25">
      <c r="B117" s="122"/>
      <c r="G117" s="121"/>
    </row>
    <row r="118" spans="2:7" x14ac:dyDescent="0.25">
      <c r="B118" s="122"/>
      <c r="G118" s="121"/>
    </row>
    <row r="119" spans="2:7" x14ac:dyDescent="0.25">
      <c r="B119" s="122"/>
      <c r="G119" s="121"/>
    </row>
    <row r="120" spans="2:7" x14ac:dyDescent="0.25">
      <c r="B120" s="122"/>
      <c r="G120" s="121"/>
    </row>
    <row r="121" spans="2:7" x14ac:dyDescent="0.25">
      <c r="B121" s="122"/>
      <c r="G121" s="121"/>
    </row>
    <row r="122" spans="2:7" x14ac:dyDescent="0.25">
      <c r="B122" s="122"/>
      <c r="G122" s="121"/>
    </row>
    <row r="123" spans="2:7" x14ac:dyDescent="0.25">
      <c r="B123" s="122"/>
      <c r="G123" s="121"/>
    </row>
    <row r="124" spans="2:7" x14ac:dyDescent="0.25">
      <c r="B124" s="122"/>
      <c r="G124" s="121"/>
    </row>
    <row r="125" spans="2:7" x14ac:dyDescent="0.25">
      <c r="B125" s="122"/>
      <c r="G125" s="121"/>
    </row>
    <row r="126" spans="2:7" x14ac:dyDescent="0.25">
      <c r="B126" s="122"/>
      <c r="G126" s="121"/>
    </row>
    <row r="127" spans="2:7" x14ac:dyDescent="0.25">
      <c r="B127" s="122"/>
      <c r="G127" s="121"/>
    </row>
    <row r="128" spans="2:7" x14ac:dyDescent="0.25">
      <c r="B128" s="122"/>
      <c r="G128" s="121"/>
    </row>
    <row r="129" spans="2:7" x14ac:dyDescent="0.25">
      <c r="B129" s="122"/>
      <c r="G129" s="121"/>
    </row>
    <row r="130" spans="2:7" x14ac:dyDescent="0.25">
      <c r="B130" s="122"/>
      <c r="G130" s="121"/>
    </row>
    <row r="131" spans="2:7" x14ac:dyDescent="0.25">
      <c r="B131" s="122"/>
      <c r="G131" s="121"/>
    </row>
    <row r="132" spans="2:7" x14ac:dyDescent="0.25">
      <c r="B132" s="122"/>
      <c r="G132" s="121"/>
    </row>
    <row r="133" spans="2:7" x14ac:dyDescent="0.25">
      <c r="B133" s="122"/>
      <c r="G133" s="121"/>
    </row>
    <row r="134" spans="2:7" x14ac:dyDescent="0.25">
      <c r="B134" s="122"/>
      <c r="G134" s="121"/>
    </row>
    <row r="135" spans="2:7" x14ac:dyDescent="0.25">
      <c r="B135" s="122"/>
      <c r="G135" s="121"/>
    </row>
    <row r="136" spans="2:7" x14ac:dyDescent="0.25">
      <c r="B136" s="122"/>
      <c r="G136" s="121"/>
    </row>
    <row r="137" spans="2:7" x14ac:dyDescent="0.25">
      <c r="B137" s="122"/>
      <c r="G137" s="121"/>
    </row>
    <row r="138" spans="2:7" x14ac:dyDescent="0.25">
      <c r="B138" s="122"/>
      <c r="G138" s="121"/>
    </row>
    <row r="139" spans="2:7" x14ac:dyDescent="0.25">
      <c r="B139" s="122"/>
      <c r="G139" s="121"/>
    </row>
    <row r="140" spans="2:7" x14ac:dyDescent="0.25">
      <c r="B140" s="122"/>
      <c r="G140" s="121"/>
    </row>
    <row r="141" spans="2:7" x14ac:dyDescent="0.25">
      <c r="B141" s="122"/>
      <c r="G141" s="121"/>
    </row>
    <row r="142" spans="2:7" x14ac:dyDescent="0.25">
      <c r="B142" s="122"/>
      <c r="G142" s="121"/>
    </row>
    <row r="143" spans="2:7" x14ac:dyDescent="0.25">
      <c r="B143" s="122"/>
      <c r="G143" s="121"/>
    </row>
    <row r="144" spans="2:7" x14ac:dyDescent="0.25">
      <c r="B144" s="122"/>
      <c r="G144" s="121"/>
    </row>
    <row r="145" spans="2:7" x14ac:dyDescent="0.25">
      <c r="B145" s="122"/>
      <c r="G145" s="121"/>
    </row>
    <row r="146" spans="2:7" x14ac:dyDescent="0.25">
      <c r="B146" s="122"/>
      <c r="G146" s="121"/>
    </row>
    <row r="147" spans="2:7" x14ac:dyDescent="0.25">
      <c r="B147" s="122"/>
      <c r="G147" s="121"/>
    </row>
    <row r="148" spans="2:7" x14ac:dyDescent="0.25">
      <c r="B148" s="122"/>
      <c r="G148" s="121"/>
    </row>
    <row r="149" spans="2:7" x14ac:dyDescent="0.25">
      <c r="B149" s="122"/>
      <c r="G149" s="121"/>
    </row>
    <row r="150" spans="2:7" x14ac:dyDescent="0.25">
      <c r="B150" s="122"/>
      <c r="G150" s="121"/>
    </row>
    <row r="151" spans="2:7" x14ac:dyDescent="0.25">
      <c r="B151" s="122"/>
      <c r="G151" s="121"/>
    </row>
    <row r="152" spans="2:7" x14ac:dyDescent="0.25">
      <c r="B152" s="122"/>
      <c r="G152" s="121"/>
    </row>
    <row r="153" spans="2:7" x14ac:dyDescent="0.25">
      <c r="B153" s="122"/>
      <c r="G153" s="121"/>
    </row>
    <row r="154" spans="2:7" x14ac:dyDescent="0.25">
      <c r="B154" s="122"/>
      <c r="G154" s="121"/>
    </row>
    <row r="155" spans="2:7" x14ac:dyDescent="0.25">
      <c r="B155" s="122"/>
      <c r="G155" s="121"/>
    </row>
    <row r="156" spans="2:7" x14ac:dyDescent="0.25">
      <c r="B156" s="122"/>
      <c r="G156" s="121"/>
    </row>
    <row r="157" spans="2:7" x14ac:dyDescent="0.25">
      <c r="B157" s="122"/>
      <c r="G157" s="121"/>
    </row>
    <row r="158" spans="2:7" x14ac:dyDescent="0.25">
      <c r="B158" s="122"/>
      <c r="G158" s="121"/>
    </row>
    <row r="159" spans="2:7" x14ac:dyDescent="0.25">
      <c r="B159" s="122"/>
      <c r="G159" s="121"/>
    </row>
    <row r="160" spans="2:7" x14ac:dyDescent="0.25">
      <c r="B160" s="122"/>
      <c r="G160" s="121"/>
    </row>
    <row r="161" spans="2:7" x14ac:dyDescent="0.25">
      <c r="B161" s="122"/>
      <c r="G161" s="121"/>
    </row>
    <row r="162" spans="2:7" x14ac:dyDescent="0.25">
      <c r="B162" s="122"/>
      <c r="G162" s="121"/>
    </row>
    <row r="163" spans="2:7" x14ac:dyDescent="0.25">
      <c r="B163" s="122"/>
      <c r="G163" s="121"/>
    </row>
    <row r="164" spans="2:7" x14ac:dyDescent="0.25">
      <c r="B164" s="122"/>
      <c r="G164" s="121"/>
    </row>
    <row r="165" spans="2:7" x14ac:dyDescent="0.25">
      <c r="B165" s="122"/>
      <c r="G165" s="121"/>
    </row>
    <row r="166" spans="2:7" x14ac:dyDescent="0.25">
      <c r="B166" s="125"/>
      <c r="C166" s="126"/>
      <c r="D166" s="127"/>
      <c r="E166" s="127"/>
      <c r="F166" s="127"/>
      <c r="G166" s="128"/>
    </row>
  </sheetData>
  <dataValidations count="1">
    <dataValidation type="list" allowBlank="1" showInputMessage="1" showErrorMessage="1" sqref="B6:B9" xr:uid="{7B39828F-7C4B-497C-9F09-EF87092F5E19}">
      <formula1>"Tier 1,Tier 2,Tier 3,Tier 4"</formula1>
    </dataValidation>
  </dataValidation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38E5BE-DB19-4357-B92B-17F0FED1E8CD}">
  <sheetPr codeName="Sheet34">
    <tabColor rgb="FF00CCFF"/>
  </sheetPr>
  <dimension ref="A1:I166"/>
  <sheetViews>
    <sheetView showGridLines="0" zoomScale="80" zoomScaleNormal="80" workbookViewId="0"/>
  </sheetViews>
  <sheetFormatPr defaultRowHeight="13.2" x14ac:dyDescent="0.25"/>
  <cols>
    <col min="1" max="1" width="26.109375" customWidth="1"/>
    <col min="2" max="2" width="128.88671875" customWidth="1"/>
    <col min="3" max="3" width="21" customWidth="1"/>
    <col min="4" max="6" width="19.88671875" style="96" customWidth="1"/>
    <col min="7" max="7" width="23.5546875" style="96" customWidth="1"/>
    <col min="8" max="8" width="14.44140625" customWidth="1"/>
  </cols>
  <sheetData>
    <row r="1" spans="1:7" x14ac:dyDescent="0.25">
      <c r="A1" s="4" t="str" cm="1">
        <f t="array" aca="1" ref="A1" ca="1">MID(CELL("filename",A1),FIND("]",CELL("filename",A1))+1,255)</f>
        <v>Panel_SIP_more100</v>
      </c>
    </row>
    <row r="2" spans="1:7" x14ac:dyDescent="0.25">
      <c r="A2" s="4"/>
    </row>
    <row r="3" spans="1:7" x14ac:dyDescent="0.25">
      <c r="A3" s="4" t="s">
        <v>4048</v>
      </c>
      <c r="B3" t="s">
        <v>4183</v>
      </c>
    </row>
    <row r="4" spans="1:7" x14ac:dyDescent="0.25">
      <c r="A4" s="4"/>
    </row>
    <row r="5" spans="1:7" ht="73.5" customHeight="1" x14ac:dyDescent="0.25">
      <c r="A5" s="26" t="s">
        <v>4050</v>
      </c>
      <c r="B5" s="14" t="s">
        <v>4180</v>
      </c>
    </row>
    <row r="6" spans="1:7" x14ac:dyDescent="0.25">
      <c r="A6" s="26" t="s">
        <v>4052</v>
      </c>
      <c r="B6" t="s">
        <v>68</v>
      </c>
    </row>
    <row r="7" spans="1:7" x14ac:dyDescent="0.25">
      <c r="A7" s="26" t="s">
        <v>4053</v>
      </c>
      <c r="B7" s="27" t="s">
        <v>68</v>
      </c>
    </row>
    <row r="8" spans="1:7" x14ac:dyDescent="0.25">
      <c r="A8" s="26" t="s">
        <v>4054</v>
      </c>
      <c r="B8" s="27" t="s">
        <v>69</v>
      </c>
    </row>
    <row r="9" spans="1:7" x14ac:dyDescent="0.25">
      <c r="A9" s="26" t="s">
        <v>4055</v>
      </c>
      <c r="B9" s="4" t="s">
        <v>69</v>
      </c>
    </row>
    <row r="10" spans="1:7" x14ac:dyDescent="0.25">
      <c r="A10" s="26"/>
      <c r="B10" s="4"/>
    </row>
    <row r="11" spans="1:7" x14ac:dyDescent="0.25">
      <c r="A11" s="26" t="s">
        <v>4056</v>
      </c>
      <c r="B11" s="14" t="s">
        <v>4182</v>
      </c>
    </row>
    <row r="12" spans="1:7" x14ac:dyDescent="0.25">
      <c r="A12" s="101"/>
    </row>
    <row r="13" spans="1:7" x14ac:dyDescent="0.25">
      <c r="A13" s="101"/>
    </row>
    <row r="14" spans="1:7" x14ac:dyDescent="0.25">
      <c r="A14" s="26" t="s">
        <v>4057</v>
      </c>
    </row>
    <row r="15" spans="1:7" x14ac:dyDescent="0.25">
      <c r="A15" s="26"/>
      <c r="D15" s="112" t="s">
        <v>4058</v>
      </c>
      <c r="E15" s="113"/>
      <c r="F15" s="114" t="s">
        <v>4059</v>
      </c>
      <c r="G15" s="113"/>
    </row>
    <row r="16" spans="1:7" ht="39.6" x14ac:dyDescent="0.25">
      <c r="B16" s="28" t="s">
        <v>3314</v>
      </c>
      <c r="C16" s="23" t="s">
        <v>23</v>
      </c>
      <c r="D16" s="24" t="s">
        <v>141</v>
      </c>
      <c r="E16" s="25" t="s">
        <v>148</v>
      </c>
      <c r="F16" s="24" t="s">
        <v>142</v>
      </c>
      <c r="G16" s="24" t="s">
        <v>149</v>
      </c>
    </row>
    <row r="17" spans="2:8" x14ac:dyDescent="0.25">
      <c r="B17" s="29"/>
      <c r="C17" s="30" t="s">
        <v>4060</v>
      </c>
      <c r="D17" s="118" t="str" cm="1">
        <f t="array" ref="D17">IF(AND(_xlfn.ANCHORARRAY(C23)=C23),C23,"Mixed")</f>
        <v>m²</v>
      </c>
      <c r="E17" s="118" t="s">
        <v>219</v>
      </c>
      <c r="F17" s="118" t="str" cm="1">
        <f t="array" ref="F17">IF(AND(_xlfn.ANCHORARRAY(C23)=C23),C23,"Mixed")</f>
        <v>m²</v>
      </c>
      <c r="G17" s="119" t="s">
        <v>219</v>
      </c>
    </row>
    <row r="18" spans="2:8" s="14" customFormat="1" x14ac:dyDescent="0.25">
      <c r="B18" s="31"/>
      <c r="C18" s="4" t="s">
        <v>4061</v>
      </c>
      <c r="D18" s="96">
        <f t="shared" ref="D18:G18" si="0">MAX(_xlfn.ANCHORARRAY(D23))</f>
        <v>84.753399999999999</v>
      </c>
      <c r="E18" s="96">
        <f t="shared" si="0"/>
        <v>4.8708850574712645</v>
      </c>
      <c r="F18" s="96">
        <f t="shared" si="0"/>
        <v>0</v>
      </c>
      <c r="G18" s="121">
        <f t="shared" si="0"/>
        <v>0</v>
      </c>
      <c r="H18"/>
    </row>
    <row r="19" spans="2:8" x14ac:dyDescent="0.25">
      <c r="B19" s="122"/>
      <c r="C19" s="4" t="s">
        <v>4062</v>
      </c>
      <c r="D19" s="96">
        <f>MIN(_xlfn.ANCHORARRAY(D23))</f>
        <v>36.5</v>
      </c>
      <c r="E19" s="96">
        <f t="shared" ref="E19:G19" si="1">MIN(_xlfn.ANCHORARRAY(E23))</f>
        <v>1.5479302832244004</v>
      </c>
      <c r="F19" s="96">
        <f t="shared" si="1"/>
        <v>0</v>
      </c>
      <c r="G19" s="121">
        <f t="shared" si="1"/>
        <v>0</v>
      </c>
    </row>
    <row r="20" spans="2:8" x14ac:dyDescent="0.25">
      <c r="B20" s="122"/>
      <c r="C20" s="4" t="s">
        <v>4063</v>
      </c>
      <c r="D20" s="96">
        <f>AVERAGE(_xlfn.ANCHORARRAY(D23))</f>
        <v>55.647158139534874</v>
      </c>
      <c r="E20" s="96">
        <f t="shared" ref="E20:G20" si="2">AVERAGE(_xlfn.ANCHORARRAY(E23))</f>
        <v>3.7632230463349234</v>
      </c>
      <c r="F20" s="96">
        <f t="shared" si="2"/>
        <v>0</v>
      </c>
      <c r="G20" s="121">
        <f t="shared" si="2"/>
        <v>0</v>
      </c>
    </row>
    <row r="21" spans="2:8" x14ac:dyDescent="0.25">
      <c r="B21" s="122"/>
      <c r="C21" s="4"/>
      <c r="G21" s="121"/>
    </row>
    <row r="22" spans="2:8" x14ac:dyDescent="0.25">
      <c r="B22" s="32" t="s">
        <v>4064</v>
      </c>
      <c r="D22"/>
      <c r="E22"/>
      <c r="F22"/>
      <c r="G22" s="124"/>
    </row>
    <row r="23" spans="2:8" x14ac:dyDescent="0.25">
      <c r="B23" s="122" t="str" cm="1">
        <f t="array" ref="B23:B65">_xlfn.UNIQUE(_xlfn._xlws.FILTER('EPD List'!D:D,ISNUMBER(SEARCH(B16,'EPD List'!C:C)),0))</f>
        <v>Panel - SIP &gt;100mm, , InsulWall® - 140mm  (Bondor)</v>
      </c>
      <c r="C23" t="str" cm="1">
        <f t="array" ref="C23:C65">_xlfn.IFNA(INDEX('EPD List'!$A:$AB,MATCH(_xlfn.ANCHORARRAY(B23),'EPD List'!$D:$D,0),MATCH(C$16,'EPD List'!$7:$7,0)),"")</f>
        <v>m²</v>
      </c>
      <c r="D23" s="96" cm="1">
        <f t="array" ref="D23:D65">_xlfn.IFNA(VALUE((INDEX('EPD List'!$A:$AD,MATCH(_xlfn.ANCHORARRAY($B23),'EPD List'!$D:$D,0),MATCH(D$16,'EPD List'!$7:$7,0)))),"")</f>
        <v>46.9</v>
      </c>
      <c r="E23" s="96" cm="1">
        <f t="array" ref="E23:E65">_xlfn.IFNA(VALUE((INDEX('EPD List'!$A:$AD,MATCH(_xlfn.ANCHORARRAY($B23),'EPD List'!$D:$D,0),MATCH(E$16,'EPD List'!$7:$7,0)))),"")</f>
        <v>3.7519999999999998</v>
      </c>
      <c r="F23" s="96" cm="1">
        <f t="array" ref="F23:F65">_xlfn.IFNA(VALUE((INDEX('EPD List'!$A:$AD,MATCH(_xlfn.ANCHORARRAY($B23),'EPD List'!$D:$D,0),MATCH(F$16,'EPD List'!$7:$7,0)))),"")</f>
        <v>0</v>
      </c>
      <c r="G23" s="121" cm="1">
        <f t="array" ref="G23:G65">_xlfn.IFNA(VALUE((INDEX('EPD List'!$A:$AD,MATCH(_xlfn.ANCHORARRAY($B23),'EPD List'!$D:$D,0),MATCH(G$16,'EPD List'!$7:$7,0)))),"")</f>
        <v>0</v>
      </c>
    </row>
    <row r="24" spans="2:8" x14ac:dyDescent="0.25">
      <c r="B24" s="122" t="str">
        <v>Panel - SIP &gt;100mm, , Equideck® - 250mm  (Bondor)</v>
      </c>
      <c r="C24" t="str">
        <v>m²</v>
      </c>
      <c r="D24" s="96">
        <v>52.5</v>
      </c>
      <c r="E24" s="96">
        <v>3.75</v>
      </c>
      <c r="F24" s="96">
        <v>0</v>
      </c>
      <c r="G24" s="121">
        <v>0</v>
      </c>
    </row>
    <row r="25" spans="2:8" x14ac:dyDescent="0.25">
      <c r="B25" s="122" t="str">
        <v>Panel - SIP &gt;100mm, , BondorPanel® 0.6mm steel – 250mm  (Bondor)</v>
      </c>
      <c r="C25" t="str">
        <v>m²</v>
      </c>
      <c r="D25" s="96">
        <v>44</v>
      </c>
      <c r="E25" s="96">
        <v>2.9530201342281877</v>
      </c>
      <c r="F25" s="96">
        <v>0</v>
      </c>
      <c r="G25" s="121">
        <v>0</v>
      </c>
    </row>
    <row r="26" spans="2:8" x14ac:dyDescent="0.25">
      <c r="B26" s="122" t="str">
        <v>Panel - SIP &gt;100mm, , Equitilt® 0.7mm steel – 250mm  (Bondor)</v>
      </c>
      <c r="C26" t="str">
        <v>m²</v>
      </c>
      <c r="D26" s="96">
        <v>56.3</v>
      </c>
      <c r="E26" s="96">
        <v>3.7785234899328857</v>
      </c>
      <c r="F26" s="96">
        <v>0</v>
      </c>
      <c r="G26" s="121">
        <v>0</v>
      </c>
    </row>
    <row r="27" spans="2:8" x14ac:dyDescent="0.25">
      <c r="B27" s="122" t="str">
        <v>Panel - SIP &gt;100mm, , Equitilt® 0.6mm steel – 250mm  (Bondor)</v>
      </c>
      <c r="C27" t="str">
        <v>m²</v>
      </c>
      <c r="D27" s="96">
        <v>52.5</v>
      </c>
      <c r="E27" s="96">
        <v>3.523489932885906</v>
      </c>
      <c r="F27" s="96">
        <v>0</v>
      </c>
      <c r="G27" s="121">
        <v>0</v>
      </c>
    </row>
    <row r="28" spans="2:8" x14ac:dyDescent="0.25">
      <c r="B28" s="122" t="str">
        <v>Panel - SIP &gt;100mm, , BondorPanel® 0.4mm steel – 250mm  (Bondor)</v>
      </c>
      <c r="C28" t="str">
        <v>m²</v>
      </c>
      <c r="D28" s="96">
        <v>53.3</v>
      </c>
      <c r="E28" s="96">
        <v>3.0482026143790835</v>
      </c>
      <c r="F28" s="96">
        <v>0</v>
      </c>
      <c r="G28" s="121">
        <v>0</v>
      </c>
    </row>
    <row r="29" spans="2:8" x14ac:dyDescent="0.25">
      <c r="B29" s="122" t="str">
        <v>Panel - SIP &gt;100mm, , Solaris Ridge® 0.5mm steel - 200mm  (Bondor)</v>
      </c>
      <c r="C29" t="str">
        <v>m²</v>
      </c>
      <c r="D29" s="96">
        <v>44.3</v>
      </c>
      <c r="E29" s="96">
        <v>2.207117437722419</v>
      </c>
      <c r="F29" s="96">
        <v>0</v>
      </c>
      <c r="G29" s="121">
        <v>0</v>
      </c>
    </row>
    <row r="30" spans="2:8" x14ac:dyDescent="0.25">
      <c r="B30" s="122" t="str">
        <v>Panel - SIP &gt;100mm, , Equideck® - 125mm  (Bondor)</v>
      </c>
      <c r="C30" t="str">
        <v>m²</v>
      </c>
      <c r="D30" s="96">
        <v>44.8</v>
      </c>
      <c r="E30" s="96">
        <v>3.642276422764227</v>
      </c>
      <c r="F30" s="96">
        <v>0</v>
      </c>
      <c r="G30" s="121">
        <v>0</v>
      </c>
    </row>
    <row r="31" spans="2:8" x14ac:dyDescent="0.25">
      <c r="B31" s="122" t="str">
        <v>Panel - SIP &gt;100mm, , Solaris Ridge® 0.6mm steel - 200mm  (Bondor)</v>
      </c>
      <c r="C31" t="str">
        <v>m²</v>
      </c>
      <c r="D31" s="96">
        <v>40.6</v>
      </c>
      <c r="E31" s="96">
        <v>1.5479302832244004</v>
      </c>
      <c r="F31" s="96">
        <v>0</v>
      </c>
      <c r="G31" s="121">
        <v>0</v>
      </c>
    </row>
    <row r="32" spans="2:8" x14ac:dyDescent="0.25">
      <c r="B32" s="122" t="str">
        <v>Panel - SIP &gt;100mm, , BondorPanel® 0.4mm steel – 200mm  (Bondor)</v>
      </c>
      <c r="C32" t="str">
        <v>m²</v>
      </c>
      <c r="D32" s="96">
        <v>50.3</v>
      </c>
      <c r="E32" s="96">
        <v>3.1325622775800697</v>
      </c>
      <c r="F32" s="96">
        <v>0</v>
      </c>
      <c r="G32" s="121">
        <v>0</v>
      </c>
    </row>
    <row r="33" spans="2:7" x14ac:dyDescent="0.25">
      <c r="B33" s="122" t="str">
        <v>Panel - SIP &gt;100mm, , SolarSpan® - 200mm  (Bondor)</v>
      </c>
      <c r="C33" t="str">
        <v>m²</v>
      </c>
      <c r="D33" s="96">
        <v>46.8</v>
      </c>
      <c r="E33" s="96">
        <v>3.6850393700787403</v>
      </c>
      <c r="F33" s="96">
        <v>0</v>
      </c>
      <c r="G33" s="121">
        <v>0</v>
      </c>
    </row>
    <row r="34" spans="2:7" x14ac:dyDescent="0.25">
      <c r="B34" s="122" t="str">
        <v>Panel - SIP &gt;100mm, , Solaris Corro® 0.5mm steel - 200mm  (Bondor)</v>
      </c>
      <c r="C34" t="str">
        <v>m²</v>
      </c>
      <c r="D34" s="96">
        <v>49.1</v>
      </c>
      <c r="E34" s="96">
        <v>3.5071428571428571</v>
      </c>
      <c r="F34" s="96">
        <v>0</v>
      </c>
      <c r="G34" s="121">
        <v>0</v>
      </c>
    </row>
    <row r="35" spans="2:7" x14ac:dyDescent="0.25">
      <c r="B35" s="122" t="str">
        <v>Panel - SIP &gt;100mm, , Solaris Corro® 0.6mm steel - 125mm  (Bondor)</v>
      </c>
      <c r="C35" t="str">
        <v>m²</v>
      </c>
      <c r="D35" s="96">
        <v>43.1</v>
      </c>
      <c r="E35" s="96">
        <v>3.4206349206349209</v>
      </c>
      <c r="F35" s="96">
        <v>0</v>
      </c>
      <c r="G35" s="121">
        <v>0</v>
      </c>
    </row>
    <row r="36" spans="2:7" x14ac:dyDescent="0.25">
      <c r="B36" s="122" t="str">
        <v>Panel - SIP &gt;100mm, , Solaris Corro® 0.6mm steel - 200mm  (Bondor)</v>
      </c>
      <c r="C36" t="str">
        <v>m²</v>
      </c>
      <c r="D36" s="96">
        <v>45.4</v>
      </c>
      <c r="E36" s="96">
        <v>3.3138686131386863</v>
      </c>
      <c r="F36" s="96">
        <v>0</v>
      </c>
      <c r="G36" s="121">
        <v>0</v>
      </c>
    </row>
    <row r="37" spans="2:7" x14ac:dyDescent="0.25">
      <c r="B37" s="122" t="str">
        <v>Panel - SIP &gt;100mm, , InsulRoof® - 125mm  (Bondor)</v>
      </c>
      <c r="C37" t="str">
        <v>m²</v>
      </c>
      <c r="D37" s="96">
        <v>46.4</v>
      </c>
      <c r="E37" s="96">
        <v>3.6825396825396823</v>
      </c>
      <c r="F37" s="96">
        <v>0</v>
      </c>
      <c r="G37" s="121">
        <v>0</v>
      </c>
    </row>
    <row r="38" spans="2:7" x14ac:dyDescent="0.25">
      <c r="B38" s="122" t="str">
        <v>Panel - SIP &gt;100mm, , Solaris Corro® 0.5mm steel - 125mm  (Bondor)</v>
      </c>
      <c r="C38" t="str">
        <v>m²</v>
      </c>
      <c r="D38" s="96">
        <v>46.9</v>
      </c>
      <c r="E38" s="96">
        <v>3.8130081300813004</v>
      </c>
      <c r="F38" s="96">
        <v>0</v>
      </c>
      <c r="G38" s="121">
        <v>0</v>
      </c>
    </row>
    <row r="39" spans="2:7" x14ac:dyDescent="0.25">
      <c r="B39" s="122" t="str">
        <v>Panel - SIP &gt;100mm, , BondorPanel® 0.4mm steel – 150mm  (Bondor)</v>
      </c>
      <c r="C39" t="str">
        <v>m²</v>
      </c>
      <c r="D39" s="96">
        <v>47.3</v>
      </c>
      <c r="E39" s="96">
        <v>3.2333984374999987</v>
      </c>
      <c r="F39" s="96">
        <v>0</v>
      </c>
      <c r="G39" s="121">
        <v>0</v>
      </c>
    </row>
    <row r="40" spans="2:7" x14ac:dyDescent="0.25">
      <c r="B40" s="122" t="str">
        <v>Panel - SIP &gt;100mm, , InsulRoof® - 200mm  (Bondor)</v>
      </c>
      <c r="C40" t="str">
        <v>m²</v>
      </c>
      <c r="D40" s="96">
        <v>48.5</v>
      </c>
      <c r="E40" s="96">
        <v>3.5401459854014599</v>
      </c>
      <c r="F40" s="96">
        <v>0</v>
      </c>
      <c r="G40" s="121">
        <v>0</v>
      </c>
    </row>
    <row r="41" spans="2:7" x14ac:dyDescent="0.25">
      <c r="B41" s="122" t="str">
        <v>Panel - SIP &gt;100mm, , BondorPanel® 0.6mm steel – 125mm  (Bondor)</v>
      </c>
      <c r="C41" t="str">
        <v>m²</v>
      </c>
      <c r="D41" s="96">
        <v>36.5</v>
      </c>
      <c r="E41" s="96">
        <v>2.7651515151515151</v>
      </c>
      <c r="F41" s="96">
        <v>0</v>
      </c>
      <c r="G41" s="121">
        <v>0</v>
      </c>
    </row>
    <row r="42" spans="2:7" x14ac:dyDescent="0.25">
      <c r="B42" s="122" t="str">
        <v>Panel - SIP &gt;100mm, , Equitilt® 0.7mm steel – 125mm  (Bondor)</v>
      </c>
      <c r="C42" t="str">
        <v>m²</v>
      </c>
      <c r="D42" s="96">
        <v>48.8</v>
      </c>
      <c r="E42" s="96">
        <v>3.6969696969696968</v>
      </c>
      <c r="F42" s="96">
        <v>0</v>
      </c>
      <c r="G42" s="121">
        <v>0</v>
      </c>
    </row>
    <row r="43" spans="2:7" x14ac:dyDescent="0.25">
      <c r="B43" s="122" t="str">
        <v>Panel - SIP &gt;100mm, , Solaris Ridge® 0.6mm steel - 125mm  (Bondor)</v>
      </c>
      <c r="C43" t="str">
        <v>m²</v>
      </c>
      <c r="D43" s="96">
        <v>37.799999999999997</v>
      </c>
      <c r="E43" s="96">
        <v>3.3409090909090904</v>
      </c>
      <c r="F43" s="96">
        <v>0</v>
      </c>
      <c r="G43" s="121">
        <v>0</v>
      </c>
    </row>
    <row r="44" spans="2:7" x14ac:dyDescent="0.25">
      <c r="B44" s="122" t="str">
        <v>Panel - SIP &gt;100mm, , Equitilt FlameGuard® 0.6mm steel - 150mm  (Bondor)</v>
      </c>
      <c r="C44" t="str">
        <v>m²</v>
      </c>
      <c r="D44" s="96">
        <v>65.900000000000006</v>
      </c>
      <c r="E44" s="96">
        <v>3.003255208333333</v>
      </c>
      <c r="F44" s="96">
        <v>0</v>
      </c>
      <c r="G44" s="121">
        <v>0</v>
      </c>
    </row>
    <row r="45" spans="2:7" x14ac:dyDescent="0.25">
      <c r="B45" s="122" t="str">
        <v>Panel - SIP &gt;100mm, , Solaris Ridge® 0.5mm steel - 125mm  (Bondor)</v>
      </c>
      <c r="C45" t="str">
        <v>m²</v>
      </c>
      <c r="D45" s="96">
        <v>41.6</v>
      </c>
      <c r="E45" s="96">
        <v>4.4121212121212121</v>
      </c>
      <c r="F45" s="96">
        <v>0</v>
      </c>
      <c r="G45" s="121">
        <v>0</v>
      </c>
    </row>
    <row r="46" spans="2:7" x14ac:dyDescent="0.25">
      <c r="B46" s="122" t="str">
        <v>Panel - SIP &gt;100mm, , Equitilt FlameGuard® 0.7mm steel - 150mm  (Bondor)</v>
      </c>
      <c r="C46" t="str">
        <v>m²</v>
      </c>
      <c r="D46" s="96">
        <v>69.7</v>
      </c>
      <c r="E46" s="96">
        <v>2.72265625</v>
      </c>
      <c r="F46" s="96">
        <v>0</v>
      </c>
      <c r="G46" s="121">
        <v>0</v>
      </c>
    </row>
    <row r="47" spans="2:7" x14ac:dyDescent="0.25">
      <c r="B47" s="122" t="str">
        <v>Panel - SIP &gt;100mm, , Equitilt® 0.6mm steel – 125mm  (Bondor)</v>
      </c>
      <c r="C47" t="str">
        <v>m²</v>
      </c>
      <c r="D47" s="96">
        <v>45</v>
      </c>
      <c r="E47" s="96">
        <v>3.4090909090909092</v>
      </c>
      <c r="F47" s="96">
        <v>0</v>
      </c>
      <c r="G47" s="121">
        <v>0</v>
      </c>
    </row>
    <row r="48" spans="2:7" x14ac:dyDescent="0.25">
      <c r="B48" s="122" t="str">
        <v>Panel - SIP &gt;100mm, , BondorPanel® 0.4mm steel – 125mm  (Bondor)</v>
      </c>
      <c r="C48" t="str">
        <v>m²</v>
      </c>
      <c r="D48" s="96">
        <v>45.8</v>
      </c>
      <c r="E48" s="96">
        <v>3.4696969696969688</v>
      </c>
      <c r="F48" s="96">
        <v>0</v>
      </c>
      <c r="G48" s="121">
        <v>0</v>
      </c>
    </row>
    <row r="49" spans="2:7" x14ac:dyDescent="0.25">
      <c r="B49" s="122" t="str">
        <v>Panel - SIP &gt;100mm, , SolarSpan® - 125mm  (Bondor)</v>
      </c>
      <c r="C49" t="str">
        <v>m²</v>
      </c>
      <c r="D49" s="96">
        <v>42.3</v>
      </c>
      <c r="E49" s="96">
        <v>3.646551724137931</v>
      </c>
      <c r="F49" s="96">
        <v>0</v>
      </c>
      <c r="G49" s="121">
        <v>0</v>
      </c>
    </row>
    <row r="50" spans="2:7" x14ac:dyDescent="0.25">
      <c r="B50" s="122" t="str">
        <v>Panel - SIP &gt;100mm, , KS1000RW Trapezoidal Wall Panel, 120mm thick  (Kingspan)</v>
      </c>
      <c r="C50" t="str">
        <v>m²</v>
      </c>
      <c r="D50" s="96">
        <v>55.8</v>
      </c>
      <c r="E50" s="96">
        <v>4.2595419847328246</v>
      </c>
      <c r="F50" s="96">
        <v>0</v>
      </c>
      <c r="G50" s="121">
        <v>0</v>
      </c>
    </row>
    <row r="51" spans="2:7" x14ac:dyDescent="0.25">
      <c r="B51" s="122" t="str">
        <v>Panel - SIP &gt;100mm, , KS1000RW Trapezoidal Roof Panel, 120mm thick  (Kingspan)</v>
      </c>
      <c r="C51" t="str">
        <v>m²</v>
      </c>
      <c r="D51" s="96">
        <v>55.8</v>
      </c>
      <c r="E51" s="96">
        <v>4.2595419847328246</v>
      </c>
      <c r="F51" s="96">
        <v>0</v>
      </c>
      <c r="G51" s="121">
        <v>0</v>
      </c>
    </row>
    <row r="52" spans="2:7" x14ac:dyDescent="0.25">
      <c r="B52" s="122" t="str">
        <v>Panel - SIP &gt;100mm, , KS1100/1200CS Coldstore Panel, 125mm thick  (Kingspan)</v>
      </c>
      <c r="C52" t="str">
        <v>m²</v>
      </c>
      <c r="D52" s="96">
        <v>61.8</v>
      </c>
      <c r="E52" s="96">
        <v>4.204081632653061</v>
      </c>
      <c r="F52" s="96">
        <v>0</v>
      </c>
      <c r="G52" s="121">
        <v>0</v>
      </c>
    </row>
    <row r="53" spans="2:7" x14ac:dyDescent="0.25">
      <c r="B53" s="122" t="str">
        <v>Panel - SIP &gt;100mm, , KS1100KP Karrier Wall Panel, 125mm thick  (Kingspan)</v>
      </c>
      <c r="C53" t="str">
        <v>m²</v>
      </c>
      <c r="D53" s="96">
        <v>62.4</v>
      </c>
      <c r="E53" s="96">
        <v>4.2448979591836737</v>
      </c>
      <c r="F53" s="96">
        <v>0</v>
      </c>
      <c r="G53" s="121">
        <v>0</v>
      </c>
    </row>
    <row r="54" spans="2:7" x14ac:dyDescent="0.25">
      <c r="B54" s="122" t="str">
        <v>Panel - SIP &gt;100mm, , KS1100/1200RL Roofliner Panel, 125mm thick  (Kingspan)</v>
      </c>
      <c r="C54" t="str">
        <v>m²</v>
      </c>
      <c r="D54" s="96">
        <v>62.5</v>
      </c>
      <c r="E54" s="96">
        <v>4.2517006802721093</v>
      </c>
      <c r="F54" s="96">
        <v>0</v>
      </c>
      <c r="G54" s="121">
        <v>0</v>
      </c>
    </row>
    <row r="55" spans="2:7" x14ac:dyDescent="0.25">
      <c r="B55" s="122" t="str">
        <v>Panel - SIP &gt;100mm, , Architectural Wall Panell, 140mm thick  (Kingspan)</v>
      </c>
      <c r="C55" t="str">
        <v>m²</v>
      </c>
      <c r="D55" s="96">
        <v>63.7</v>
      </c>
      <c r="E55" s="96">
        <v>4.5827338129496402</v>
      </c>
      <c r="F55" s="96">
        <v>0</v>
      </c>
      <c r="G55" s="121">
        <v>0</v>
      </c>
    </row>
    <row r="56" spans="2:7" x14ac:dyDescent="0.25">
      <c r="B56" s="122" t="str">
        <v>Panel - SIP &gt;100mm, , Evolution Panelised Facade, 140mm thick  (Kingspan)</v>
      </c>
      <c r="C56" t="str">
        <v>m²</v>
      </c>
      <c r="D56" s="96">
        <v>66.3</v>
      </c>
      <c r="E56" s="96">
        <v>4.7697841726618702</v>
      </c>
      <c r="F56" s="96">
        <v>0</v>
      </c>
      <c r="G56" s="121">
        <v>0</v>
      </c>
    </row>
    <row r="57" spans="2:7" x14ac:dyDescent="0.25">
      <c r="B57" s="122" t="str">
        <v>Panel - SIP &gt;100mm, , KS1100KP Karrier Wall Panel, 150mm thick  (Kingspan)</v>
      </c>
      <c r="C57" t="str">
        <v>m²</v>
      </c>
      <c r="D57" s="96">
        <v>69.3</v>
      </c>
      <c r="E57" s="96">
        <v>4.4709677419354836</v>
      </c>
      <c r="F57" s="96">
        <v>0</v>
      </c>
      <c r="G57" s="121">
        <v>0</v>
      </c>
    </row>
    <row r="58" spans="2:7" x14ac:dyDescent="0.25">
      <c r="B58" s="122" t="str">
        <v>Panel - SIP &gt;100mm, , KS1100/1200RL Roofliner Panel, 150mm thick  (Kingspan)</v>
      </c>
      <c r="C58" t="str">
        <v>m²</v>
      </c>
      <c r="D58" s="96">
        <v>69.400000000000006</v>
      </c>
      <c r="E58" s="96">
        <v>4.4774193548387098</v>
      </c>
      <c r="F58" s="96">
        <v>0</v>
      </c>
      <c r="G58" s="121">
        <v>0</v>
      </c>
    </row>
    <row r="59" spans="2:7" x14ac:dyDescent="0.25">
      <c r="B59" s="122" t="str">
        <v>Panel - SIP &gt;100mm, , KS1100/1200RL Roofliner Panel, 200mm thick  (Kingspan)</v>
      </c>
      <c r="C59" t="str">
        <v>m²</v>
      </c>
      <c r="D59" s="96">
        <v>82.6</v>
      </c>
      <c r="E59" s="96">
        <v>4.7471264367816088</v>
      </c>
      <c r="F59" s="96">
        <v>0</v>
      </c>
      <c r="G59" s="121">
        <v>0</v>
      </c>
    </row>
    <row r="60" spans="2:7" x14ac:dyDescent="0.25">
      <c r="B60" s="122" t="str">
        <v>Panel - SIP &gt;100mm, , KS1100KP Karrier Wall Panel, 200mm thick  (Kingspan)</v>
      </c>
      <c r="C60" t="str">
        <v>m²</v>
      </c>
      <c r="D60" s="96">
        <v>82.5</v>
      </c>
      <c r="E60" s="96">
        <v>4.7413793103448283</v>
      </c>
      <c r="F60" s="96">
        <v>0</v>
      </c>
      <c r="G60" s="121">
        <v>0</v>
      </c>
    </row>
    <row r="61" spans="2:7" x14ac:dyDescent="0.25">
      <c r="B61" s="122" t="str">
        <v>Panel - SIP &gt;100mm, , KS1100/1200CS Coldstore Panel, 150mm thick  (Kingspan)</v>
      </c>
      <c r="C61" t="str">
        <v>m²</v>
      </c>
      <c r="D61" s="96">
        <v>68.400000000000006</v>
      </c>
      <c r="E61" s="96">
        <v>4.4129032258064518</v>
      </c>
      <c r="F61" s="96">
        <v>0</v>
      </c>
      <c r="G61" s="121">
        <v>0</v>
      </c>
    </row>
    <row r="62" spans="2:7" x14ac:dyDescent="0.25">
      <c r="B62" s="122" t="str">
        <v>Panel - SIP &gt;100mm, , MetecnoPanel® 200mm  (Metecno Pty Ltd t/a MetecnoPIR)</v>
      </c>
      <c r="C62" t="str">
        <v>m²</v>
      </c>
      <c r="D62" s="96">
        <v>84.753399999999999</v>
      </c>
      <c r="E62" s="96">
        <v>4.8708850574712645</v>
      </c>
      <c r="F62" s="96">
        <v>0</v>
      </c>
      <c r="G62" s="121">
        <v>0</v>
      </c>
    </row>
    <row r="63" spans="2:7" x14ac:dyDescent="0.25">
      <c r="B63" s="122" t="str">
        <v>Panel - SIP &gt;100mm, , MetecnoPanel® 150mm  (Metecno Pty Ltd t/a MetecnoPIR)</v>
      </c>
      <c r="C63" t="str">
        <v>m²</v>
      </c>
      <c r="D63" s="96">
        <v>70.640499999999989</v>
      </c>
      <c r="E63" s="96">
        <v>4.5574516129032254</v>
      </c>
      <c r="F63" s="96">
        <v>0</v>
      </c>
      <c r="G63" s="121">
        <v>0</v>
      </c>
    </row>
    <row r="64" spans="2:7" x14ac:dyDescent="0.25">
      <c r="B64" s="122" t="str">
        <v>Panel - SIP &gt;100mm, , MetecnoPanel® 125mm  (Metecno Pty Ltd t/a MetecnoPIR)</v>
      </c>
      <c r="C64" t="str">
        <v>m²</v>
      </c>
      <c r="D64" s="96">
        <v>62.933900000000001</v>
      </c>
      <c r="E64" s="96">
        <v>4.2812176870748306</v>
      </c>
      <c r="F64" s="96">
        <v>0</v>
      </c>
      <c r="G64" s="121">
        <v>0</v>
      </c>
    </row>
    <row r="65" spans="2:7" x14ac:dyDescent="0.25">
      <c r="B65" s="122" t="str">
        <v>Panel - SIP &gt;100mm, , KS1100/1200CS Coldstore Panel, 200mm thick  (Kingspan)</v>
      </c>
      <c r="C65" t="str">
        <v>m²</v>
      </c>
      <c r="D65" s="96">
        <v>81.599999999999994</v>
      </c>
      <c r="E65" s="96">
        <v>4.6896551724137936</v>
      </c>
      <c r="F65" s="96">
        <v>0</v>
      </c>
      <c r="G65" s="121">
        <v>0</v>
      </c>
    </row>
    <row r="66" spans="2:7" x14ac:dyDescent="0.25">
      <c r="B66" s="122"/>
      <c r="G66" s="121"/>
    </row>
    <row r="67" spans="2:7" x14ac:dyDescent="0.25">
      <c r="B67" s="122"/>
      <c r="G67" s="121"/>
    </row>
    <row r="68" spans="2:7" x14ac:dyDescent="0.25">
      <c r="B68" s="122"/>
      <c r="G68" s="121"/>
    </row>
    <row r="69" spans="2:7" x14ac:dyDescent="0.25">
      <c r="B69" s="122"/>
      <c r="G69" s="121"/>
    </row>
    <row r="70" spans="2:7" x14ac:dyDescent="0.25">
      <c r="B70" s="122"/>
      <c r="G70" s="121"/>
    </row>
    <row r="71" spans="2:7" x14ac:dyDescent="0.25">
      <c r="B71" s="122"/>
      <c r="G71" s="121"/>
    </row>
    <row r="72" spans="2:7" x14ac:dyDescent="0.25">
      <c r="B72" s="122"/>
      <c r="G72" s="121"/>
    </row>
    <row r="73" spans="2:7" x14ac:dyDescent="0.25">
      <c r="B73" s="122"/>
      <c r="G73" s="121"/>
    </row>
    <row r="74" spans="2:7" x14ac:dyDescent="0.25">
      <c r="B74" s="122"/>
      <c r="G74" s="121"/>
    </row>
    <row r="75" spans="2:7" x14ac:dyDescent="0.25">
      <c r="B75" s="122"/>
      <c r="G75" s="121"/>
    </row>
    <row r="76" spans="2:7" x14ac:dyDescent="0.25">
      <c r="B76" s="122"/>
      <c r="G76" s="121"/>
    </row>
    <row r="77" spans="2:7" x14ac:dyDescent="0.25">
      <c r="B77" s="122"/>
      <c r="G77" s="121"/>
    </row>
    <row r="78" spans="2:7" x14ac:dyDescent="0.25">
      <c r="B78" s="122"/>
      <c r="G78" s="121"/>
    </row>
    <row r="79" spans="2:7" x14ac:dyDescent="0.25">
      <c r="B79" s="122"/>
      <c r="G79" s="121"/>
    </row>
    <row r="80" spans="2:7" x14ac:dyDescent="0.25">
      <c r="B80" s="122"/>
      <c r="G80" s="121"/>
    </row>
    <row r="81" spans="2:9" x14ac:dyDescent="0.25">
      <c r="B81" s="122"/>
      <c r="G81" s="121"/>
    </row>
    <row r="82" spans="2:9" x14ac:dyDescent="0.25">
      <c r="B82" s="122"/>
      <c r="G82" s="121"/>
    </row>
    <row r="83" spans="2:9" x14ac:dyDescent="0.25">
      <c r="B83" s="122"/>
      <c r="G83" s="121"/>
    </row>
    <row r="84" spans="2:9" x14ac:dyDescent="0.25">
      <c r="B84" s="122"/>
      <c r="G84" s="121"/>
    </row>
    <row r="85" spans="2:9" x14ac:dyDescent="0.25">
      <c r="B85" s="122"/>
      <c r="G85" s="121"/>
    </row>
    <row r="86" spans="2:9" x14ac:dyDescent="0.25">
      <c r="B86" s="122"/>
      <c r="G86" s="121"/>
    </row>
    <row r="87" spans="2:9" x14ac:dyDescent="0.25">
      <c r="B87" s="122"/>
      <c r="G87" s="121"/>
    </row>
    <row r="88" spans="2:9" x14ac:dyDescent="0.25">
      <c r="B88" s="122"/>
      <c r="G88" s="121"/>
    </row>
    <row r="89" spans="2:9" x14ac:dyDescent="0.25">
      <c r="B89" s="122"/>
      <c r="G89" s="121"/>
    </row>
    <row r="90" spans="2:9" x14ac:dyDescent="0.25">
      <c r="B90" s="122"/>
      <c r="G90" s="121"/>
      <c r="I90" s="96"/>
    </row>
    <row r="91" spans="2:9" x14ac:dyDescent="0.25">
      <c r="B91" s="122"/>
      <c r="G91" s="121"/>
    </row>
    <row r="92" spans="2:9" x14ac:dyDescent="0.25">
      <c r="B92" s="122"/>
      <c r="G92" s="121"/>
    </row>
    <row r="93" spans="2:9" x14ac:dyDescent="0.25">
      <c r="B93" s="122"/>
      <c r="G93" s="121"/>
    </row>
    <row r="94" spans="2:9" x14ac:dyDescent="0.25">
      <c r="B94" s="122"/>
      <c r="G94" s="121"/>
    </row>
    <row r="95" spans="2:9" x14ac:dyDescent="0.25">
      <c r="B95" s="122"/>
      <c r="G95" s="121"/>
    </row>
    <row r="96" spans="2:9" x14ac:dyDescent="0.25">
      <c r="B96" s="122"/>
      <c r="G96" s="121"/>
    </row>
    <row r="97" spans="2:7" x14ac:dyDescent="0.25">
      <c r="B97" s="122"/>
      <c r="G97" s="121"/>
    </row>
    <row r="98" spans="2:7" x14ac:dyDescent="0.25">
      <c r="B98" s="122"/>
      <c r="G98" s="121"/>
    </row>
    <row r="99" spans="2:7" x14ac:dyDescent="0.25">
      <c r="B99" s="122"/>
      <c r="G99" s="121"/>
    </row>
    <row r="100" spans="2:7" x14ac:dyDescent="0.25">
      <c r="B100" s="122"/>
      <c r="G100" s="121"/>
    </row>
    <row r="101" spans="2:7" x14ac:dyDescent="0.25">
      <c r="B101" s="122"/>
      <c r="G101" s="121"/>
    </row>
    <row r="102" spans="2:7" x14ac:dyDescent="0.25">
      <c r="B102" s="122"/>
      <c r="G102" s="121"/>
    </row>
    <row r="103" spans="2:7" x14ac:dyDescent="0.25">
      <c r="B103" s="122"/>
      <c r="G103" s="121"/>
    </row>
    <row r="104" spans="2:7" x14ac:dyDescent="0.25">
      <c r="B104" s="122"/>
      <c r="G104" s="121"/>
    </row>
    <row r="105" spans="2:7" x14ac:dyDescent="0.25">
      <c r="B105" s="122"/>
      <c r="G105" s="121"/>
    </row>
    <row r="106" spans="2:7" x14ac:dyDescent="0.25">
      <c r="B106" s="122"/>
      <c r="G106" s="121"/>
    </row>
    <row r="107" spans="2:7" x14ac:dyDescent="0.25">
      <c r="B107" s="122"/>
      <c r="G107" s="121"/>
    </row>
    <row r="108" spans="2:7" x14ac:dyDescent="0.25">
      <c r="B108" s="122"/>
      <c r="G108" s="121"/>
    </row>
    <row r="109" spans="2:7" x14ac:dyDescent="0.25">
      <c r="B109" s="122"/>
      <c r="G109" s="121"/>
    </row>
    <row r="110" spans="2:7" x14ac:dyDescent="0.25">
      <c r="B110" s="122"/>
      <c r="G110" s="121"/>
    </row>
    <row r="111" spans="2:7" x14ac:dyDescent="0.25">
      <c r="B111" s="122"/>
      <c r="G111" s="121"/>
    </row>
    <row r="112" spans="2:7" x14ac:dyDescent="0.25">
      <c r="B112" s="122"/>
      <c r="G112" s="121"/>
    </row>
    <row r="113" spans="2:7" x14ac:dyDescent="0.25">
      <c r="B113" s="122"/>
      <c r="G113" s="121"/>
    </row>
    <row r="114" spans="2:7" x14ac:dyDescent="0.25">
      <c r="B114" s="122"/>
      <c r="G114" s="121"/>
    </row>
    <row r="115" spans="2:7" x14ac:dyDescent="0.25">
      <c r="B115" s="122"/>
      <c r="G115" s="121"/>
    </row>
    <row r="116" spans="2:7" x14ac:dyDescent="0.25">
      <c r="B116" s="122"/>
      <c r="G116" s="121"/>
    </row>
    <row r="117" spans="2:7" x14ac:dyDescent="0.25">
      <c r="B117" s="122"/>
      <c r="G117" s="121"/>
    </row>
    <row r="118" spans="2:7" x14ac:dyDescent="0.25">
      <c r="B118" s="122"/>
      <c r="G118" s="121"/>
    </row>
    <row r="119" spans="2:7" x14ac:dyDescent="0.25">
      <c r="B119" s="122"/>
      <c r="G119" s="121"/>
    </row>
    <row r="120" spans="2:7" x14ac:dyDescent="0.25">
      <c r="B120" s="122"/>
      <c r="G120" s="121"/>
    </row>
    <row r="121" spans="2:7" x14ac:dyDescent="0.25">
      <c r="B121" s="122"/>
      <c r="G121" s="121"/>
    </row>
    <row r="122" spans="2:7" x14ac:dyDescent="0.25">
      <c r="B122" s="122"/>
      <c r="G122" s="121"/>
    </row>
    <row r="123" spans="2:7" x14ac:dyDescent="0.25">
      <c r="B123" s="122"/>
      <c r="G123" s="121"/>
    </row>
    <row r="124" spans="2:7" x14ac:dyDescent="0.25">
      <c r="B124" s="122"/>
      <c r="G124" s="121"/>
    </row>
    <row r="125" spans="2:7" x14ac:dyDescent="0.25">
      <c r="B125" s="122"/>
      <c r="G125" s="121"/>
    </row>
    <row r="126" spans="2:7" x14ac:dyDescent="0.25">
      <c r="B126" s="122"/>
      <c r="G126" s="121"/>
    </row>
    <row r="127" spans="2:7" x14ac:dyDescent="0.25">
      <c r="B127" s="122"/>
      <c r="G127" s="121"/>
    </row>
    <row r="128" spans="2:7" x14ac:dyDescent="0.25">
      <c r="B128" s="122"/>
      <c r="G128" s="121"/>
    </row>
    <row r="129" spans="2:7" x14ac:dyDescent="0.25">
      <c r="B129" s="122"/>
      <c r="G129" s="121"/>
    </row>
    <row r="130" spans="2:7" x14ac:dyDescent="0.25">
      <c r="B130" s="122"/>
      <c r="G130" s="121"/>
    </row>
    <row r="131" spans="2:7" x14ac:dyDescent="0.25">
      <c r="B131" s="122"/>
      <c r="G131" s="121"/>
    </row>
    <row r="132" spans="2:7" x14ac:dyDescent="0.25">
      <c r="B132" s="122"/>
      <c r="G132" s="121"/>
    </row>
    <row r="133" spans="2:7" x14ac:dyDescent="0.25">
      <c r="B133" s="122"/>
      <c r="G133" s="121"/>
    </row>
    <row r="134" spans="2:7" x14ac:dyDescent="0.25">
      <c r="B134" s="122"/>
      <c r="G134" s="121"/>
    </row>
    <row r="135" spans="2:7" x14ac:dyDescent="0.25">
      <c r="B135" s="122"/>
      <c r="G135" s="121"/>
    </row>
    <row r="136" spans="2:7" x14ac:dyDescent="0.25">
      <c r="B136" s="122"/>
      <c r="G136" s="121"/>
    </row>
    <row r="137" spans="2:7" x14ac:dyDescent="0.25">
      <c r="B137" s="122"/>
      <c r="G137" s="121"/>
    </row>
    <row r="138" spans="2:7" x14ac:dyDescent="0.25">
      <c r="B138" s="122"/>
      <c r="G138" s="121"/>
    </row>
    <row r="139" spans="2:7" x14ac:dyDescent="0.25">
      <c r="B139" s="122"/>
      <c r="G139" s="121"/>
    </row>
    <row r="140" spans="2:7" x14ac:dyDescent="0.25">
      <c r="B140" s="122"/>
      <c r="G140" s="121"/>
    </row>
    <row r="141" spans="2:7" x14ac:dyDescent="0.25">
      <c r="B141" s="122"/>
      <c r="G141" s="121"/>
    </row>
    <row r="142" spans="2:7" x14ac:dyDescent="0.25">
      <c r="B142" s="122"/>
      <c r="G142" s="121"/>
    </row>
    <row r="143" spans="2:7" x14ac:dyDescent="0.25">
      <c r="B143" s="122"/>
      <c r="G143" s="121"/>
    </row>
    <row r="144" spans="2:7" x14ac:dyDescent="0.25">
      <c r="B144" s="122"/>
      <c r="G144" s="121"/>
    </row>
    <row r="145" spans="2:7" x14ac:dyDescent="0.25">
      <c r="B145" s="122"/>
      <c r="G145" s="121"/>
    </row>
    <row r="146" spans="2:7" x14ac:dyDescent="0.25">
      <c r="B146" s="122"/>
      <c r="G146" s="121"/>
    </row>
    <row r="147" spans="2:7" x14ac:dyDescent="0.25">
      <c r="B147" s="122"/>
      <c r="G147" s="121"/>
    </row>
    <row r="148" spans="2:7" x14ac:dyDescent="0.25">
      <c r="B148" s="122"/>
      <c r="G148" s="121"/>
    </row>
    <row r="149" spans="2:7" x14ac:dyDescent="0.25">
      <c r="B149" s="122"/>
      <c r="G149" s="121"/>
    </row>
    <row r="150" spans="2:7" x14ac:dyDescent="0.25">
      <c r="B150" s="122"/>
      <c r="G150" s="121"/>
    </row>
    <row r="151" spans="2:7" x14ac:dyDescent="0.25">
      <c r="B151" s="122"/>
      <c r="G151" s="121"/>
    </row>
    <row r="152" spans="2:7" x14ac:dyDescent="0.25">
      <c r="B152" s="122"/>
      <c r="G152" s="121"/>
    </row>
    <row r="153" spans="2:7" x14ac:dyDescent="0.25">
      <c r="B153" s="122"/>
      <c r="G153" s="121"/>
    </row>
    <row r="154" spans="2:7" x14ac:dyDescent="0.25">
      <c r="B154" s="122"/>
      <c r="G154" s="121"/>
    </row>
    <row r="155" spans="2:7" x14ac:dyDescent="0.25">
      <c r="B155" s="122"/>
      <c r="G155" s="121"/>
    </row>
    <row r="156" spans="2:7" x14ac:dyDescent="0.25">
      <c r="B156" s="122"/>
      <c r="G156" s="121"/>
    </row>
    <row r="157" spans="2:7" x14ac:dyDescent="0.25">
      <c r="B157" s="122"/>
      <c r="G157" s="121"/>
    </row>
    <row r="158" spans="2:7" x14ac:dyDescent="0.25">
      <c r="B158" s="122"/>
      <c r="G158" s="121"/>
    </row>
    <row r="159" spans="2:7" x14ac:dyDescent="0.25">
      <c r="B159" s="122"/>
      <c r="G159" s="121"/>
    </row>
    <row r="160" spans="2:7" x14ac:dyDescent="0.25">
      <c r="B160" s="122"/>
      <c r="G160" s="121"/>
    </row>
    <row r="161" spans="2:7" x14ac:dyDescent="0.25">
      <c r="B161" s="122"/>
      <c r="G161" s="121"/>
    </row>
    <row r="162" spans="2:7" x14ac:dyDescent="0.25">
      <c r="B162" s="122"/>
      <c r="G162" s="121"/>
    </row>
    <row r="163" spans="2:7" x14ac:dyDescent="0.25">
      <c r="B163" s="122"/>
      <c r="G163" s="121"/>
    </row>
    <row r="164" spans="2:7" x14ac:dyDescent="0.25">
      <c r="B164" s="122"/>
      <c r="G164" s="121"/>
    </row>
    <row r="165" spans="2:7" x14ac:dyDescent="0.25">
      <c r="B165" s="122"/>
      <c r="G165" s="121"/>
    </row>
    <row r="166" spans="2:7" x14ac:dyDescent="0.25">
      <c r="B166" s="125"/>
      <c r="C166" s="126"/>
      <c r="D166" s="127"/>
      <c r="E166" s="127"/>
      <c r="F166" s="127"/>
      <c r="G166" s="128"/>
    </row>
  </sheetData>
  <dataValidations count="1">
    <dataValidation type="list" allowBlank="1" showInputMessage="1" showErrorMessage="1" sqref="B6:B9" xr:uid="{2E7C6539-6BCA-42AA-9E9D-DD23C08626FE}">
      <formula1>"Tier 1,Tier 2,Tier 3,Tier 4"</formula1>
    </dataValidation>
  </dataValidation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514A67-64C8-45E3-8FDA-FE409DE777AA}">
  <sheetPr codeName="Sheet35">
    <tabColor rgb="FF00CCFF"/>
  </sheetPr>
  <dimension ref="A1:I166"/>
  <sheetViews>
    <sheetView showGridLines="0" zoomScale="80" zoomScaleNormal="80" workbookViewId="0"/>
  </sheetViews>
  <sheetFormatPr defaultRowHeight="13.2" x14ac:dyDescent="0.25"/>
  <cols>
    <col min="1" max="1" width="26.109375" customWidth="1"/>
    <col min="2" max="2" width="128.88671875" customWidth="1"/>
    <col min="3" max="3" width="21" customWidth="1"/>
    <col min="4" max="6" width="19.88671875" style="96" customWidth="1"/>
    <col min="7" max="7" width="23.5546875" style="96" customWidth="1"/>
    <col min="8" max="8" width="14.44140625" customWidth="1"/>
  </cols>
  <sheetData>
    <row r="1" spans="1:7" x14ac:dyDescent="0.25">
      <c r="A1" s="4" t="str" cm="1">
        <f t="array" aca="1" ref="A1" ca="1">MID(CELL("filename",A1),FIND("]",CELL("filename",A1))+1,255)</f>
        <v>Clay_bricks</v>
      </c>
    </row>
    <row r="2" spans="1:7" x14ac:dyDescent="0.25">
      <c r="A2" s="4"/>
    </row>
    <row r="3" spans="1:7" x14ac:dyDescent="0.25">
      <c r="A3" s="4" t="s">
        <v>4048</v>
      </c>
      <c r="B3" t="s">
        <v>4184</v>
      </c>
    </row>
    <row r="4" spans="1:7" x14ac:dyDescent="0.25">
      <c r="A4" s="4"/>
    </row>
    <row r="5" spans="1:7" ht="83.25" customHeight="1" x14ac:dyDescent="0.25">
      <c r="A5" s="26" t="s">
        <v>4050</v>
      </c>
      <c r="B5" s="14" t="s">
        <v>4185</v>
      </c>
    </row>
    <row r="6" spans="1:7" x14ac:dyDescent="0.25">
      <c r="A6" s="26" t="s">
        <v>4052</v>
      </c>
      <c r="B6" t="s">
        <v>70</v>
      </c>
      <c r="D6" s="43"/>
    </row>
    <row r="7" spans="1:7" x14ac:dyDescent="0.25">
      <c r="A7" s="26" t="s">
        <v>4053</v>
      </c>
      <c r="B7" s="27" t="s">
        <v>68</v>
      </c>
    </row>
    <row r="8" spans="1:7" x14ac:dyDescent="0.25">
      <c r="A8" s="26" t="s">
        <v>4054</v>
      </c>
      <c r="B8" s="27" t="s">
        <v>69</v>
      </c>
    </row>
    <row r="9" spans="1:7" x14ac:dyDescent="0.25">
      <c r="A9" s="26" t="s">
        <v>4055</v>
      </c>
      <c r="B9" s="4" t="s">
        <v>70</v>
      </c>
    </row>
    <row r="10" spans="1:7" x14ac:dyDescent="0.25">
      <c r="A10" s="26"/>
      <c r="B10" s="4"/>
    </row>
    <row r="11" spans="1:7" x14ac:dyDescent="0.25">
      <c r="A11" s="26" t="s">
        <v>4056</v>
      </c>
      <c r="B11" s="14"/>
    </row>
    <row r="12" spans="1:7" x14ac:dyDescent="0.25">
      <c r="A12" s="101"/>
    </row>
    <row r="13" spans="1:7" x14ac:dyDescent="0.25">
      <c r="A13" s="101"/>
    </row>
    <row r="14" spans="1:7" x14ac:dyDescent="0.25">
      <c r="A14" s="26" t="s">
        <v>4057</v>
      </c>
    </row>
    <row r="15" spans="1:7" x14ac:dyDescent="0.25">
      <c r="A15" s="26"/>
      <c r="D15" s="112" t="s">
        <v>4058</v>
      </c>
      <c r="E15" s="113"/>
      <c r="F15" s="114" t="s">
        <v>4059</v>
      </c>
      <c r="G15" s="113"/>
    </row>
    <row r="16" spans="1:7" ht="39.6" x14ac:dyDescent="0.25">
      <c r="B16" s="28" t="s">
        <v>4186</v>
      </c>
      <c r="C16" s="23" t="s">
        <v>23</v>
      </c>
      <c r="D16" s="24" t="s">
        <v>141</v>
      </c>
      <c r="E16" s="25" t="s">
        <v>148</v>
      </c>
      <c r="F16" s="24" t="s">
        <v>142</v>
      </c>
      <c r="G16" s="24" t="s">
        <v>149</v>
      </c>
    </row>
    <row r="17" spans="2:8" x14ac:dyDescent="0.25">
      <c r="B17" s="29"/>
      <c r="C17" s="30" t="s">
        <v>4060</v>
      </c>
      <c r="D17" s="118" t="str" cm="1">
        <f t="array" ref="D17">IF(AND(_xlfn.ANCHORARRAY(C23)=C23),C23,"Mixed")</f>
        <v>tonne</v>
      </c>
      <c r="E17" s="118" t="s">
        <v>219</v>
      </c>
      <c r="F17" s="118" t="str" cm="1">
        <f t="array" ref="F17">IF(AND(_xlfn.ANCHORARRAY(C23)=C23),C23,"Mixed")</f>
        <v>tonne</v>
      </c>
      <c r="G17" s="119" t="s">
        <v>219</v>
      </c>
    </row>
    <row r="18" spans="2:8" s="14" customFormat="1" x14ac:dyDescent="0.25">
      <c r="B18" s="31"/>
      <c r="C18" s="4" t="s">
        <v>4061</v>
      </c>
      <c r="D18" s="96">
        <f t="shared" ref="D18:G18" si="0">MAX(_xlfn.ANCHORARRAY(D23))</f>
        <v>408.4</v>
      </c>
      <c r="E18" s="96">
        <f t="shared" si="0"/>
        <v>0.40839999999999999</v>
      </c>
      <c r="F18" s="96">
        <f t="shared" si="0"/>
        <v>0</v>
      </c>
      <c r="G18" s="121">
        <f t="shared" si="0"/>
        <v>0</v>
      </c>
      <c r="H18"/>
    </row>
    <row r="19" spans="2:8" x14ac:dyDescent="0.25">
      <c r="B19" s="122"/>
      <c r="C19" s="4" t="s">
        <v>4062</v>
      </c>
      <c r="D19" s="96">
        <f>MIN(_xlfn.ANCHORARRAY(D23))</f>
        <v>47.832090000000001</v>
      </c>
      <c r="E19" s="96">
        <f t="shared" ref="E19:G19" si="1">MIN(_xlfn.ANCHORARRAY(E23))</f>
        <v>4.7832090000000001E-2</v>
      </c>
      <c r="F19" s="96">
        <f t="shared" si="1"/>
        <v>0</v>
      </c>
      <c r="G19" s="121">
        <f t="shared" si="1"/>
        <v>0</v>
      </c>
    </row>
    <row r="20" spans="2:8" x14ac:dyDescent="0.25">
      <c r="B20" s="122"/>
      <c r="C20" s="4" t="s">
        <v>4063</v>
      </c>
      <c r="D20" s="96">
        <f>AVERAGE(_xlfn.ANCHORARRAY(D23))</f>
        <v>186.15808708333327</v>
      </c>
      <c r="E20" s="96">
        <f t="shared" ref="E20:G20" si="2">AVERAGE(_xlfn.ANCHORARRAY(E23))</f>
        <v>0.18615808708333337</v>
      </c>
      <c r="F20" s="96">
        <f t="shared" si="2"/>
        <v>0</v>
      </c>
      <c r="G20" s="121">
        <f t="shared" si="2"/>
        <v>0</v>
      </c>
    </row>
    <row r="21" spans="2:8" x14ac:dyDescent="0.25">
      <c r="B21" s="122"/>
      <c r="C21" s="4"/>
      <c r="G21" s="121"/>
    </row>
    <row r="22" spans="2:8" x14ac:dyDescent="0.25">
      <c r="B22" s="32" t="s">
        <v>4064</v>
      </c>
      <c r="D22"/>
      <c r="E22"/>
      <c r="F22"/>
      <c r="G22" s="124"/>
    </row>
    <row r="23" spans="2:8" x14ac:dyDescent="0.25">
      <c r="B23" s="122" t="str" cm="1">
        <f t="array" ref="B23:B94">_xlfn.UNIQUE(_xlfn._xlws.FILTER('EPD List'!D:D,ISNUMBER(SEARCH(B16,'EPD List'!C:C)),0))</f>
        <v>Clay brick, , FACING, Horizontally Perforated Bricks (KEBE SA) (Global)</v>
      </c>
      <c r="C23" t="str" cm="1">
        <f t="array" ref="C23:C94">_xlfn.IFNA(INDEX('EPD List'!$A:$AB,MATCH(_xlfn.ANCHORARRAY(B23),'EPD List'!$D:$D,0),MATCH(C$16,'EPD List'!$7:$7,0)),"")</f>
        <v>tonne</v>
      </c>
      <c r="D23" s="96" cm="1">
        <f t="array" ref="D23:D94">_xlfn.IFNA(VALUE((INDEX('EPD List'!$A:$AD,MATCH(_xlfn.ANCHORARRAY($B23),'EPD List'!$D:$D,0),MATCH(D$16,'EPD List'!$7:$7,0)))),"")</f>
        <v>147.0232</v>
      </c>
      <c r="E23" s="96" cm="1">
        <f t="array" ref="E23:E94">_xlfn.IFNA(VALUE((INDEX('EPD List'!$A:$AD,MATCH(_xlfn.ANCHORARRAY($B23),'EPD List'!$D:$D,0),MATCH(E$16,'EPD List'!$7:$7,0)))),"")</f>
        <v>0.14702319999999999</v>
      </c>
      <c r="F23" s="96" cm="1">
        <f t="array" ref="F23:F94">_xlfn.IFNA(VALUE((INDEX('EPD List'!$A:$AD,MATCH(_xlfn.ANCHORARRAY($B23),'EPD List'!$D:$D,0),MATCH(F$16,'EPD List'!$7:$7,0)))),"")</f>
        <v>0</v>
      </c>
      <c r="G23" s="121" cm="1">
        <f t="array" ref="G23:G94">_xlfn.IFNA(VALUE((INDEX('EPD List'!$A:$AD,MATCH(_xlfn.ANCHORARRAY($B23),'EPD List'!$D:$D,0),MATCH(G$16,'EPD List'!$7:$7,0)))),"")</f>
        <v>0</v>
      </c>
    </row>
    <row r="24" spans="2:8" x14ac:dyDescent="0.25">
      <c r="B24" s="122" t="str">
        <v>Clay brick, , N 60, Horizontally Perforated Bricks (KEBE SA) (Global)</v>
      </c>
      <c r="C24" t="str">
        <v>tonne</v>
      </c>
      <c r="D24" s="96">
        <v>147.0232</v>
      </c>
      <c r="E24" s="96">
        <v>0.14702319999999999</v>
      </c>
      <c r="F24" s="96">
        <v>0</v>
      </c>
      <c r="G24" s="121">
        <v>0</v>
      </c>
    </row>
    <row r="25" spans="2:8" x14ac:dyDescent="0.25">
      <c r="B25" s="122" t="str">
        <v>Clay brick, , N 70, Horizontally Perforated Bricks (KEBE SA) (Global)</v>
      </c>
      <c r="C25" t="str">
        <v>tonne</v>
      </c>
      <c r="D25" s="96">
        <v>147.0232</v>
      </c>
      <c r="E25" s="96">
        <v>0.14702319999999999</v>
      </c>
      <c r="F25" s="96">
        <v>0</v>
      </c>
      <c r="G25" s="121">
        <v>0</v>
      </c>
    </row>
    <row r="26" spans="2:8" x14ac:dyDescent="0.25">
      <c r="B26" s="122" t="str">
        <v>Clay brick, , Ν 90, Horizontally Perforated Bricks (KEBE SA) (Global)</v>
      </c>
      <c r="C26" t="str">
        <v>tonne</v>
      </c>
      <c r="D26" s="96">
        <v>147.0232</v>
      </c>
      <c r="E26" s="96">
        <v>0.14702319999999999</v>
      </c>
      <c r="F26" s="96">
        <v>0</v>
      </c>
      <c r="G26" s="121">
        <v>0</v>
      </c>
    </row>
    <row r="27" spans="2:8" x14ac:dyDescent="0.25">
      <c r="B27" s="122" t="str">
        <v>Clay brick, , Ν 180, Horizontally Perforated Bricks (KEBE SA) (Global)</v>
      </c>
      <c r="C27" t="str">
        <v>tonne</v>
      </c>
      <c r="D27" s="96">
        <v>147.0232</v>
      </c>
      <c r="E27" s="96">
        <v>0.14702319999999999</v>
      </c>
      <c r="F27" s="96">
        <v>0</v>
      </c>
      <c r="G27" s="121">
        <v>0</v>
      </c>
    </row>
    <row r="28" spans="2:8" x14ac:dyDescent="0.25">
      <c r="B28" s="122" t="str">
        <v>Clay brick, , FACING N 180, Horizontally Perforated Bricks (KEBE SA) (Global)</v>
      </c>
      <c r="C28" t="str">
        <v>tonne</v>
      </c>
      <c r="D28" s="96">
        <v>147.0232</v>
      </c>
      <c r="E28" s="96">
        <v>0.14702319999999999</v>
      </c>
      <c r="F28" s="96">
        <v>0</v>
      </c>
      <c r="G28" s="121">
        <v>0</v>
      </c>
    </row>
    <row r="29" spans="2:8" x14ac:dyDescent="0.25">
      <c r="B29" s="122" t="str">
        <v>Clay brick, , N 225, Horizontally Perforated Bricks (KEBE SA) (Global)</v>
      </c>
      <c r="C29" t="str">
        <v>tonne</v>
      </c>
      <c r="D29" s="96">
        <v>147.0232</v>
      </c>
      <c r="E29" s="96">
        <v>0.14702319999999999</v>
      </c>
      <c r="F29" s="96">
        <v>0</v>
      </c>
      <c r="G29" s="121">
        <v>0</v>
      </c>
    </row>
    <row r="30" spans="2:8" x14ac:dyDescent="0.25">
      <c r="B30" s="122" t="str">
        <v>Clay brick, , N 200, Horizontally Perforated Bricks (KEBE SA) (Global)</v>
      </c>
      <c r="C30" t="str">
        <v>tonne</v>
      </c>
      <c r="D30" s="96">
        <v>147.0232</v>
      </c>
      <c r="E30" s="96">
        <v>0.14702319999999999</v>
      </c>
      <c r="F30" s="96">
        <v>0</v>
      </c>
      <c r="G30" s="121">
        <v>0</v>
      </c>
    </row>
    <row r="31" spans="2:8" x14ac:dyDescent="0.25">
      <c r="B31" s="122" t="str">
        <v>Clay brick, , N 250, Horizontally Perforated Bricks (KEBE SA) (Global)</v>
      </c>
      <c r="C31" t="str">
        <v>tonne</v>
      </c>
      <c r="D31" s="96">
        <v>147.0232</v>
      </c>
      <c r="E31" s="96">
        <v>0.14702319999999999</v>
      </c>
      <c r="F31" s="96">
        <v>0</v>
      </c>
      <c r="G31" s="121">
        <v>0</v>
      </c>
    </row>
    <row r="32" spans="2:8" x14ac:dyDescent="0.25">
      <c r="B32" s="122" t="str">
        <v>Clay brick, , Ν 280, Horizontally Perforated Bricks (KEBE SA) (Global)</v>
      </c>
      <c r="C32" t="str">
        <v>tonne</v>
      </c>
      <c r="D32" s="96">
        <v>147.0232</v>
      </c>
      <c r="E32" s="96">
        <v>0.14702319999999999</v>
      </c>
      <c r="F32" s="96">
        <v>0</v>
      </c>
      <c r="G32" s="121">
        <v>0</v>
      </c>
    </row>
    <row r="33" spans="2:7" x14ac:dyDescent="0.25">
      <c r="B33" s="122" t="str">
        <v>Clay brick, , B250-12/25, Horizontally Perforated Bricks (KEBE SA) (Global)</v>
      </c>
      <c r="C33" t="str">
        <v>tonne</v>
      </c>
      <c r="D33" s="96">
        <v>147.0232</v>
      </c>
      <c r="E33" s="96">
        <v>0.14702319999999999</v>
      </c>
      <c r="F33" s="96">
        <v>0</v>
      </c>
      <c r="G33" s="121">
        <v>0</v>
      </c>
    </row>
    <row r="34" spans="2:7" x14ac:dyDescent="0.25">
      <c r="B34" s="122" t="str">
        <v>Clay brick, , B250-12/33, Horizontally Perforated Bricks (KEBE SA) (Global)</v>
      </c>
      <c r="C34" t="str">
        <v>tonne</v>
      </c>
      <c r="D34" s="96">
        <v>147.0232</v>
      </c>
      <c r="E34" s="96">
        <v>0.14702319999999999</v>
      </c>
      <c r="F34" s="96">
        <v>0</v>
      </c>
      <c r="G34" s="121">
        <v>0</v>
      </c>
    </row>
    <row r="35" spans="2:7" x14ac:dyDescent="0.25">
      <c r="B35" s="122" t="str">
        <v>Clay brick, , B250-20/33, Horizontally Perforated Bricks (KEBE SA) (Global)</v>
      </c>
      <c r="C35" t="str">
        <v>tonne</v>
      </c>
      <c r="D35" s="96">
        <v>147.0232</v>
      </c>
      <c r="E35" s="96">
        <v>0.14702319999999999</v>
      </c>
      <c r="F35" s="96">
        <v>0</v>
      </c>
      <c r="G35" s="121">
        <v>0</v>
      </c>
    </row>
    <row r="36" spans="2:7" x14ac:dyDescent="0.25">
      <c r="B36" s="122" t="str">
        <v>Clay brick, , N 0, Horizontally Perforated Bricks (KEBE SA) (Global)</v>
      </c>
      <c r="C36" t="str">
        <v>tonne</v>
      </c>
      <c r="D36" s="96">
        <v>147.0232</v>
      </c>
      <c r="E36" s="96">
        <v>0.14702319999999999</v>
      </c>
      <c r="F36" s="96">
        <v>0</v>
      </c>
      <c r="G36" s="121">
        <v>0</v>
      </c>
    </row>
    <row r="37" spans="2:7" x14ac:dyDescent="0.25">
      <c r="B37" s="122" t="str">
        <v>Clay brick, , N 1, Horizontally Perforated Bricks (KEBE SA) (Global)</v>
      </c>
      <c r="C37" t="str">
        <v>tonne</v>
      </c>
      <c r="D37" s="96">
        <v>147.0232</v>
      </c>
      <c r="E37" s="96">
        <v>0.14702319999999999</v>
      </c>
      <c r="F37" s="96">
        <v>0</v>
      </c>
      <c r="G37" s="121">
        <v>0</v>
      </c>
    </row>
    <row r="38" spans="2:7" x14ac:dyDescent="0.25">
      <c r="B38" s="122" t="str">
        <v>Clay brick, , N 2, Horizontally Perforated Bricks (KEBE SA) (Global)</v>
      </c>
      <c r="C38" t="str">
        <v>tonne</v>
      </c>
      <c r="D38" s="96">
        <v>147.0232</v>
      </c>
      <c r="E38" s="96">
        <v>0.14702319999999999</v>
      </c>
      <c r="F38" s="96">
        <v>0</v>
      </c>
      <c r="G38" s="121">
        <v>0</v>
      </c>
    </row>
    <row r="39" spans="2:7" x14ac:dyDescent="0.25">
      <c r="B39" s="122" t="str">
        <v>Clay brick, , N 3, Horizontally Perforated Bricks (KEBE SA) (Global)</v>
      </c>
      <c r="C39" t="str">
        <v>tonne</v>
      </c>
      <c r="D39" s="96">
        <v>147.0232</v>
      </c>
      <c r="E39" s="96">
        <v>0.14702319999999999</v>
      </c>
      <c r="F39" s="96">
        <v>0</v>
      </c>
      <c r="G39" s="121">
        <v>0</v>
      </c>
    </row>
    <row r="40" spans="2:7" x14ac:dyDescent="0.25">
      <c r="B40" s="122" t="str">
        <v>Clay brick, , ΜΚ200, Vertically Perforated Bricks (KEBE SA) (Global)</v>
      </c>
      <c r="C40" t="str">
        <v>tonne</v>
      </c>
      <c r="D40" s="96">
        <v>147.0232</v>
      </c>
      <c r="E40" s="96">
        <v>0.14702319999999999</v>
      </c>
      <c r="F40" s="96">
        <v>0</v>
      </c>
      <c r="G40" s="121">
        <v>0</v>
      </c>
    </row>
    <row r="41" spans="2:7" x14ac:dyDescent="0.25">
      <c r="B41" s="122" t="str">
        <v>Clay brick, , ΜΚ250, Vertically Perforated Bricks (KEBE SA) (Global)</v>
      </c>
      <c r="C41" t="str">
        <v>tonne</v>
      </c>
      <c r="D41" s="96">
        <v>147.0232</v>
      </c>
      <c r="E41" s="96">
        <v>0.14702319999999999</v>
      </c>
      <c r="F41" s="96">
        <v>0</v>
      </c>
      <c r="G41" s="121">
        <v>0</v>
      </c>
    </row>
    <row r="42" spans="2:7" x14ac:dyDescent="0.25">
      <c r="B42" s="122" t="str">
        <v>Clay brick, , ORTHOBLOCK K100, Vertically Perforated Bricks (KEBE SA) (Global)</v>
      </c>
      <c r="C42" t="str">
        <v>tonne</v>
      </c>
      <c r="D42" s="96">
        <v>147.0232</v>
      </c>
      <c r="E42" s="96">
        <v>0.14702319999999999</v>
      </c>
      <c r="F42" s="96">
        <v>0</v>
      </c>
      <c r="G42" s="121">
        <v>0</v>
      </c>
    </row>
    <row r="43" spans="2:7" x14ac:dyDescent="0.25">
      <c r="B43" s="122" t="str">
        <v>Clay brick, , ORTHOBLOCK K120, Vertically Perforated Bricks (KEBE SA) (Global)</v>
      </c>
      <c r="C43" t="str">
        <v>tonne</v>
      </c>
      <c r="D43" s="96">
        <v>147.0232</v>
      </c>
      <c r="E43" s="96">
        <v>0.14702319999999999</v>
      </c>
      <c r="F43" s="96">
        <v>0</v>
      </c>
      <c r="G43" s="121">
        <v>0</v>
      </c>
    </row>
    <row r="44" spans="2:7" x14ac:dyDescent="0.25">
      <c r="B44" s="122" t="str">
        <v>Clay brick, , HALF Κ250, Vertically Perforated Bricks (KEBE SA) (Global)</v>
      </c>
      <c r="C44" t="str">
        <v>tonne</v>
      </c>
      <c r="D44" s="96">
        <v>147.0232</v>
      </c>
      <c r="E44" s="96">
        <v>0.14702319999999999</v>
      </c>
      <c r="F44" s="96">
        <v>0</v>
      </c>
      <c r="G44" s="121">
        <v>0</v>
      </c>
    </row>
    <row r="45" spans="2:7" x14ac:dyDescent="0.25">
      <c r="B45" s="122" t="str">
        <v>Clay brick, , ORTHOBLOCK K250, Vertically Perforated Bricks (KEBE SA) (Global)</v>
      </c>
      <c r="C45" t="str">
        <v>tonne</v>
      </c>
      <c r="D45" s="96">
        <v>147.0232</v>
      </c>
      <c r="E45" s="96">
        <v>0.14702319999999999</v>
      </c>
      <c r="F45" s="96">
        <v>0</v>
      </c>
      <c r="G45" s="121">
        <v>0</v>
      </c>
    </row>
    <row r="46" spans="2:7" x14ac:dyDescent="0.25">
      <c r="B46" s="122" t="str">
        <v>Clay brick, , ORTHOBLOCK K250 NEW, Vertically Perforated Bricks (KEBE SA) (Global)</v>
      </c>
      <c r="C46" t="str">
        <v>tonne</v>
      </c>
      <c r="D46" s="96">
        <v>147.0232</v>
      </c>
      <c r="E46" s="96">
        <v>0.14702319999999999</v>
      </c>
      <c r="F46" s="96">
        <v>0</v>
      </c>
      <c r="G46" s="121">
        <v>0</v>
      </c>
    </row>
    <row r="47" spans="2:7" x14ac:dyDescent="0.25">
      <c r="B47" s="122" t="str">
        <v>Clay brick, , ORTHOBLOCK K300, Vertically Perforated Bricks (KEBE SA) (Global)</v>
      </c>
      <c r="C47" t="str">
        <v>tonne</v>
      </c>
      <c r="D47" s="96">
        <v>147.0232</v>
      </c>
      <c r="E47" s="96">
        <v>0.14702319999999999</v>
      </c>
      <c r="F47" s="96">
        <v>0</v>
      </c>
      <c r="G47" s="121">
        <v>0</v>
      </c>
    </row>
    <row r="48" spans="2:7" x14ac:dyDescent="0.25">
      <c r="B48" s="122" t="str">
        <v>Clay brick, , Φ 180, Chimneys (KEBE SA) (Global)</v>
      </c>
      <c r="C48" t="str">
        <v>tonne</v>
      </c>
      <c r="D48" s="96">
        <v>199.02330000000001</v>
      </c>
      <c r="E48" s="96">
        <v>0.19902330000000001</v>
      </c>
      <c r="F48" s="96">
        <v>0</v>
      </c>
      <c r="G48" s="121">
        <v>0</v>
      </c>
    </row>
    <row r="49" spans="2:7" x14ac:dyDescent="0.25">
      <c r="B49" s="122" t="str">
        <v>Clay brick, , Φ 180 – Τ 130, Chimneys (KEBE SA) (Global)</v>
      </c>
      <c r="C49" t="str">
        <v>tonne</v>
      </c>
      <c r="D49" s="96">
        <v>199.02330000000001</v>
      </c>
      <c r="E49" s="96">
        <v>0.19902330000000001</v>
      </c>
      <c r="F49" s="96">
        <v>0</v>
      </c>
      <c r="G49" s="121">
        <v>0</v>
      </c>
    </row>
    <row r="50" spans="2:7" x14ac:dyDescent="0.25">
      <c r="B50" s="122" t="str">
        <v>Clay brick, , Φ 180 – Τ 150, Chimneys (KEBE SA) (Global)</v>
      </c>
      <c r="C50" t="str">
        <v>tonne</v>
      </c>
      <c r="D50" s="96">
        <v>199.02330000000001</v>
      </c>
      <c r="E50" s="96">
        <v>0.19902330000000001</v>
      </c>
      <c r="F50" s="96">
        <v>0</v>
      </c>
      <c r="G50" s="121">
        <v>0</v>
      </c>
    </row>
    <row r="51" spans="2:7" x14ac:dyDescent="0.25">
      <c r="B51" s="122" t="str">
        <v>Clay brick, , Φ 250, Chimneys (KEBE SA) (Global)</v>
      </c>
      <c r="C51" t="str">
        <v>tonne</v>
      </c>
      <c r="D51" s="96">
        <v>199.02330000000001</v>
      </c>
      <c r="E51" s="96">
        <v>0.19902330000000001</v>
      </c>
      <c r="F51" s="96">
        <v>0</v>
      </c>
      <c r="G51" s="121">
        <v>0</v>
      </c>
    </row>
    <row r="52" spans="2:7" x14ac:dyDescent="0.25">
      <c r="B52" s="122" t="str">
        <v>Clay brick, , Φ 250 – Τ 180, Chimneys (KEBE SA) (Global)</v>
      </c>
      <c r="C52" t="str">
        <v>tonne</v>
      </c>
      <c r="D52" s="96">
        <v>199.02330000000001</v>
      </c>
      <c r="E52" s="96">
        <v>0.19902330000000001</v>
      </c>
      <c r="F52" s="96">
        <v>0</v>
      </c>
      <c r="G52" s="121">
        <v>0</v>
      </c>
    </row>
    <row r="53" spans="2:7" x14ac:dyDescent="0.25">
      <c r="B53" s="122" t="str">
        <v>Clay brick, , Φ 250 – Τ 150, Chimneys (KEBE SA) (Global)</v>
      </c>
      <c r="C53" t="str">
        <v>tonne</v>
      </c>
      <c r="D53" s="96">
        <v>199.02330000000001</v>
      </c>
      <c r="E53" s="96">
        <v>0.19902330000000001</v>
      </c>
      <c r="F53" s="96">
        <v>0</v>
      </c>
      <c r="G53" s="121">
        <v>0</v>
      </c>
    </row>
    <row r="54" spans="2:7" x14ac:dyDescent="0.25">
      <c r="B54" s="122" t="str">
        <v>Clay brick, , ORTHOBLOCK K300 PLUS NEW, Vertically Perforated Bricks (KEBE SA) (Global)</v>
      </c>
      <c r="C54" t="str">
        <v>tonne</v>
      </c>
      <c r="D54" s="96">
        <v>199.02330000000001</v>
      </c>
      <c r="E54" s="96">
        <v>0.19902330000000001</v>
      </c>
      <c r="F54" s="96">
        <v>0</v>
      </c>
      <c r="G54" s="121">
        <v>0</v>
      </c>
    </row>
    <row r="55" spans="2:7" x14ac:dyDescent="0.25">
      <c r="B55" s="122" t="str">
        <v>Clay brick, , ORTHOBLOCK K300 PLUS, Vertically Perforated Bricks (KEBE SA) (Global)</v>
      </c>
      <c r="C55" t="str">
        <v>tonne</v>
      </c>
      <c r="D55" s="96">
        <v>199.02330000000001</v>
      </c>
      <c r="E55" s="96">
        <v>0.19902330000000001</v>
      </c>
      <c r="F55" s="96">
        <v>0</v>
      </c>
      <c r="G55" s="121">
        <v>0</v>
      </c>
    </row>
    <row r="56" spans="2:7" x14ac:dyDescent="0.25">
      <c r="B56" s="122" t="str">
        <v>Clay brick, , ORTHOBLOCK K250 PLUS NEW, Vertically Perforated Bricks (KEBE SA) (Global)</v>
      </c>
      <c r="C56" t="str">
        <v>tonne</v>
      </c>
      <c r="D56" s="96">
        <v>199.02330000000001</v>
      </c>
      <c r="E56" s="96">
        <v>0.19902330000000001</v>
      </c>
      <c r="F56" s="96">
        <v>0</v>
      </c>
      <c r="G56" s="121">
        <v>0</v>
      </c>
    </row>
    <row r="57" spans="2:7" x14ac:dyDescent="0.25">
      <c r="B57" s="122" t="str">
        <v>Clay brick, , ORTHOBLOCK K250 PLUS, Vertically Perforated Bricks (KEBE SA) (Global)</v>
      </c>
      <c r="C57" t="str">
        <v>tonne</v>
      </c>
      <c r="D57" s="96">
        <v>199.02330000000001</v>
      </c>
      <c r="E57" s="96">
        <v>0.19902330000000001</v>
      </c>
      <c r="F57" s="96">
        <v>0</v>
      </c>
      <c r="G57" s="121">
        <v>0</v>
      </c>
    </row>
    <row r="58" spans="2:7" x14ac:dyDescent="0.25">
      <c r="B58" s="122" t="str">
        <v>Clay Brick, , Sencis, red clay facing brick (Lode Sia) (Europe)</v>
      </c>
      <c r="C58" t="str">
        <v>tonne</v>
      </c>
      <c r="D58" s="96">
        <v>150.44099999999997</v>
      </c>
      <c r="E58" s="96">
        <v>0.15044099999999999</v>
      </c>
      <c r="F58" s="96">
        <v>0</v>
      </c>
      <c r="G58" s="121">
        <v>0</v>
      </c>
    </row>
    <row r="59" spans="2:7" x14ac:dyDescent="0.25">
      <c r="B59" s="122" t="str">
        <v>Clay Brick, , Janka, red clay facing brick (Lode Sia) (Europe)</v>
      </c>
      <c r="C59" t="str">
        <v>tonne</v>
      </c>
      <c r="D59" s="96">
        <v>150.44099999999997</v>
      </c>
      <c r="E59" s="96">
        <v>0.15044099999999999</v>
      </c>
      <c r="F59" s="96">
        <v>0</v>
      </c>
      <c r="G59" s="121">
        <v>0</v>
      </c>
    </row>
    <row r="60" spans="2:7" x14ac:dyDescent="0.25">
      <c r="B60" s="122" t="str">
        <v>Clay Brick, , Gemini, red clay facing brick (Lode Sia) (Europe)</v>
      </c>
      <c r="C60" t="str">
        <v>tonne</v>
      </c>
      <c r="D60" s="96">
        <v>150.44099999999997</v>
      </c>
      <c r="E60" s="96">
        <v>0.15044099999999999</v>
      </c>
      <c r="F60" s="96">
        <v>0</v>
      </c>
      <c r="G60" s="121">
        <v>0</v>
      </c>
    </row>
    <row r="61" spans="2:7" x14ac:dyDescent="0.25">
      <c r="B61" s="122" t="str">
        <v>Clay Brick, , Cameleo, red clay facing brick (Lode Sia) (Europe)</v>
      </c>
      <c r="C61" t="str">
        <v>tonne</v>
      </c>
      <c r="D61" s="96">
        <v>150.44099999999997</v>
      </c>
      <c r="E61" s="96">
        <v>0.15044099999999999</v>
      </c>
      <c r="F61" s="96">
        <v>0</v>
      </c>
      <c r="G61" s="121">
        <v>0</v>
      </c>
    </row>
    <row r="62" spans="2:7" x14ac:dyDescent="0.25">
      <c r="B62" s="122" t="str">
        <v>Clay Brick, , Argon, red clay facing brick (Lode Sia) (Europe)</v>
      </c>
      <c r="C62" t="str">
        <v>tonne</v>
      </c>
      <c r="D62" s="96">
        <v>150.44099999999997</v>
      </c>
      <c r="E62" s="96">
        <v>0.15044099999999999</v>
      </c>
      <c r="F62" s="96">
        <v>0</v>
      </c>
      <c r="G62" s="121">
        <v>0</v>
      </c>
    </row>
    <row r="63" spans="2:7" x14ac:dyDescent="0.25">
      <c r="B63" s="122" t="str">
        <v>Clay Brick, , Andromeda, red clay facing brick (Lode Sia) (Europe)</v>
      </c>
      <c r="C63" t="str">
        <v>tonne</v>
      </c>
      <c r="D63" s="96">
        <v>150.44099999999997</v>
      </c>
      <c r="E63" s="96">
        <v>0.15044099999999999</v>
      </c>
      <c r="F63" s="96">
        <v>0</v>
      </c>
      <c r="G63" s="121">
        <v>0</v>
      </c>
    </row>
    <row r="64" spans="2:7" x14ac:dyDescent="0.25">
      <c r="B64" s="122" t="str">
        <v>Clay Brick, , Aquarius, red clay facing brick (Lode Sia) (Europe)</v>
      </c>
      <c r="C64" t="str">
        <v>tonne</v>
      </c>
      <c r="D64" s="96">
        <v>150.44099999999997</v>
      </c>
      <c r="E64" s="96">
        <v>0.15044099999999999</v>
      </c>
      <c r="F64" s="96">
        <v>0</v>
      </c>
      <c r="G64" s="121">
        <v>0</v>
      </c>
    </row>
    <row r="65" spans="2:7" x14ac:dyDescent="0.25">
      <c r="B65" s="122" t="str">
        <v>Clay Brick, , Etna, red clay facing brick (Lode Sia) (Europe)</v>
      </c>
      <c r="C65" t="str">
        <v>tonne</v>
      </c>
      <c r="D65" s="96">
        <v>150.44099999999997</v>
      </c>
      <c r="E65" s="96">
        <v>0.15044099999999999</v>
      </c>
      <c r="F65" s="96">
        <v>0</v>
      </c>
      <c r="G65" s="121">
        <v>0</v>
      </c>
    </row>
    <row r="66" spans="2:7" x14ac:dyDescent="0.25">
      <c r="B66" s="122" t="str">
        <v>Clay Brick, , Luna, red clay facing brick (Lode Sia) (Europe)</v>
      </c>
      <c r="C66" t="str">
        <v>tonne</v>
      </c>
      <c r="D66" s="96">
        <v>150.44099999999997</v>
      </c>
      <c r="E66" s="96">
        <v>0.15044099999999999</v>
      </c>
      <c r="F66" s="96">
        <v>0</v>
      </c>
      <c r="G66" s="121">
        <v>0</v>
      </c>
    </row>
    <row r="67" spans="2:7" x14ac:dyDescent="0.25">
      <c r="B67" s="122" t="str">
        <v>Clay Brick, , Brunis , brown clay facing brick (Lode Sia) (Europe)</v>
      </c>
      <c r="C67" t="str">
        <v>tonne</v>
      </c>
      <c r="D67" s="96">
        <v>200.42600000000002</v>
      </c>
      <c r="E67" s="96">
        <v>0.20042600000000002</v>
      </c>
      <c r="F67" s="96">
        <v>0</v>
      </c>
      <c r="G67" s="121">
        <v>0</v>
      </c>
    </row>
    <row r="68" spans="2:7" x14ac:dyDescent="0.25">
      <c r="B68" s="122" t="str">
        <v>Clay Brick, , Carbon, brown clay facing brick (Lode Sia) (Europe)</v>
      </c>
      <c r="C68" t="str">
        <v>tonne</v>
      </c>
      <c r="D68" s="96">
        <v>200.42600000000002</v>
      </c>
      <c r="E68" s="96">
        <v>0.20042600000000002</v>
      </c>
      <c r="F68" s="96">
        <v>0</v>
      </c>
      <c r="G68" s="121">
        <v>0</v>
      </c>
    </row>
    <row r="69" spans="2:7" x14ac:dyDescent="0.25">
      <c r="B69" s="122" t="str">
        <v>Clay Brick, , Centaur, brown clay facing brick (Lode Sia) (Europe)</v>
      </c>
      <c r="C69" t="str">
        <v>tonne</v>
      </c>
      <c r="D69" s="96">
        <v>200.42600000000002</v>
      </c>
      <c r="E69" s="96">
        <v>0.20042600000000002</v>
      </c>
      <c r="F69" s="96">
        <v>0</v>
      </c>
      <c r="G69" s="121">
        <v>0</v>
      </c>
    </row>
    <row r="70" spans="2:7" x14ac:dyDescent="0.25">
      <c r="B70" s="122" t="str">
        <v>Clay Brick, , Galaxy, brown clay facing brick (Lode Sia) (Europe)</v>
      </c>
      <c r="C70" t="str">
        <v>tonne</v>
      </c>
      <c r="D70" s="96">
        <v>200.42600000000002</v>
      </c>
      <c r="E70" s="96">
        <v>0.20042600000000002</v>
      </c>
      <c r="F70" s="96">
        <v>0</v>
      </c>
      <c r="G70" s="121">
        <v>0</v>
      </c>
    </row>
    <row r="71" spans="2:7" x14ac:dyDescent="0.25">
      <c r="B71" s="122" t="str">
        <v>Clay Brick, , Krypton, brown clay facing brick (Lode Sia) (Europe)</v>
      </c>
      <c r="C71" t="str">
        <v>tonne</v>
      </c>
      <c r="D71" s="96">
        <v>200.42600000000002</v>
      </c>
      <c r="E71" s="96">
        <v>0.20042600000000002</v>
      </c>
      <c r="F71" s="96">
        <v>0</v>
      </c>
      <c r="G71" s="121">
        <v>0</v>
      </c>
    </row>
    <row r="72" spans="2:7" x14ac:dyDescent="0.25">
      <c r="B72" s="122" t="str">
        <v>Clay Brick, , Saturn, brown clay facing brick (Lode Sia) (Europe)</v>
      </c>
      <c r="C72" t="str">
        <v>tonne</v>
      </c>
      <c r="D72" s="96">
        <v>200.42600000000002</v>
      </c>
      <c r="E72" s="96">
        <v>0.20042600000000002</v>
      </c>
      <c r="F72" s="96">
        <v>0</v>
      </c>
      <c r="G72" s="121">
        <v>0</v>
      </c>
    </row>
    <row r="73" spans="2:7" x14ac:dyDescent="0.25">
      <c r="B73" s="122" t="str">
        <v>Clay Brick, , Sotis, brown clay facing brick (Lode Sia) (Europe)</v>
      </c>
      <c r="C73" t="str">
        <v>tonne</v>
      </c>
      <c r="D73" s="96">
        <v>200.42600000000002</v>
      </c>
      <c r="E73" s="96">
        <v>0.20042600000000002</v>
      </c>
      <c r="F73" s="96">
        <v>0</v>
      </c>
      <c r="G73" s="121">
        <v>0</v>
      </c>
    </row>
    <row r="74" spans="2:7" x14ac:dyDescent="0.25">
      <c r="B74" s="122" t="str">
        <v>Clay Brick, , Sahara, yellow clay facing brick (Lode Sia) (Europe)</v>
      </c>
      <c r="C74" t="str">
        <v>tonne</v>
      </c>
      <c r="D74" s="96">
        <v>380.46</v>
      </c>
      <c r="E74" s="96">
        <v>0.38046000000000002</v>
      </c>
      <c r="F74" s="96">
        <v>0</v>
      </c>
      <c r="G74" s="121">
        <v>0</v>
      </c>
    </row>
    <row r="75" spans="2:7" x14ac:dyDescent="0.25">
      <c r="B75" s="122" t="str">
        <v>Clay Brick, , Blanka, yellow clay facing brick (Lode Sia) (Europe)</v>
      </c>
      <c r="C75" t="str">
        <v>tonne</v>
      </c>
      <c r="D75" s="96">
        <v>380.46</v>
      </c>
      <c r="E75" s="96">
        <v>0.38046000000000002</v>
      </c>
      <c r="F75" s="96">
        <v>0</v>
      </c>
      <c r="G75" s="121">
        <v>0</v>
      </c>
    </row>
    <row r="76" spans="2:7" x14ac:dyDescent="0.25">
      <c r="B76" s="122" t="str">
        <v>Clay Brick, , Wenus, yellow clay facing brick (Lode Sia) (Europe)</v>
      </c>
      <c r="C76" t="str">
        <v>tonne</v>
      </c>
      <c r="D76" s="96">
        <v>380.46</v>
      </c>
      <c r="E76" s="96">
        <v>0.38046000000000002</v>
      </c>
      <c r="F76" s="96">
        <v>0</v>
      </c>
      <c r="G76" s="121">
        <v>0</v>
      </c>
    </row>
    <row r="77" spans="2:7" x14ac:dyDescent="0.25">
      <c r="B77" s="122" t="str">
        <v>Clay Brick, , Tybet, clay brick (reduction firing) (Lode Sia) (Europe)</v>
      </c>
      <c r="C77" t="str">
        <v>tonne</v>
      </c>
      <c r="D77" s="96">
        <v>310.12100000000004</v>
      </c>
      <c r="E77" s="96">
        <v>0.31012099999999998</v>
      </c>
      <c r="F77" s="96">
        <v>0</v>
      </c>
      <c r="G77" s="121">
        <v>0</v>
      </c>
    </row>
    <row r="78" spans="2:7" x14ac:dyDescent="0.25">
      <c r="B78" s="122" t="str">
        <v>Clay Brick, , Syriusz, clay brick (reduction firing) (Lode Sia) (Europe)</v>
      </c>
      <c r="C78" t="str">
        <v>tonne</v>
      </c>
      <c r="D78" s="96">
        <v>310.12100000000004</v>
      </c>
      <c r="E78" s="96">
        <v>0.31012099999999998</v>
      </c>
      <c r="F78" s="96">
        <v>0</v>
      </c>
      <c r="G78" s="121">
        <v>0</v>
      </c>
    </row>
    <row r="79" spans="2:7" x14ac:dyDescent="0.25">
      <c r="B79" s="122" t="str">
        <v>Clay brick, , Clay brick - Wollert (Brickworks) (Australia)</v>
      </c>
      <c r="C79" t="str">
        <v>tonne</v>
      </c>
      <c r="D79" s="96">
        <v>214.2</v>
      </c>
      <c r="E79" s="96">
        <v>0.2142</v>
      </c>
      <c r="F79" s="96">
        <v>0</v>
      </c>
      <c r="G79" s="121">
        <v>0</v>
      </c>
    </row>
    <row r="80" spans="2:7" x14ac:dyDescent="0.25">
      <c r="B80" s="122" t="str">
        <v>Clay brick, , Clay brick - Longford (Brickworks) (Australia)</v>
      </c>
      <c r="C80" t="str">
        <v>tonne</v>
      </c>
      <c r="D80" s="96">
        <v>101.1</v>
      </c>
      <c r="E80" s="96">
        <v>0.1011</v>
      </c>
      <c r="F80" s="96">
        <v>0</v>
      </c>
      <c r="G80" s="121">
        <v>0</v>
      </c>
    </row>
    <row r="81" spans="2:9" x14ac:dyDescent="0.25">
      <c r="B81" s="122" t="str">
        <v>Clay brick, , Clay brick - Golden Grove (Brickworks) (Australia)</v>
      </c>
      <c r="C81" t="str">
        <v>tonne</v>
      </c>
      <c r="D81" s="96">
        <v>172</v>
      </c>
      <c r="E81" s="96">
        <v>0.17199999999999999</v>
      </c>
      <c r="F81" s="96">
        <v>0</v>
      </c>
      <c r="G81" s="121">
        <v>0</v>
      </c>
    </row>
    <row r="82" spans="2:9" x14ac:dyDescent="0.25">
      <c r="B82" s="122" t="str">
        <v>Clay brick, , Clay brick - Horsley Park Plant 21  (Brickworks) (Australia)</v>
      </c>
      <c r="C82" t="str">
        <v>tonne</v>
      </c>
      <c r="D82" s="96">
        <v>203.7</v>
      </c>
      <c r="E82" s="96">
        <v>0.20369999999999999</v>
      </c>
      <c r="F82" s="96">
        <v>0</v>
      </c>
      <c r="G82" s="121">
        <v>0</v>
      </c>
    </row>
    <row r="83" spans="2:9" x14ac:dyDescent="0.25">
      <c r="B83" s="122" t="str">
        <v>Clay brick, , Clay brick - Horsley Park Plant 22 (Brickworks) (Australia)</v>
      </c>
      <c r="C83" t="str">
        <v>tonne</v>
      </c>
      <c r="D83" s="96">
        <v>408.4</v>
      </c>
      <c r="E83" s="96">
        <v>0.40839999999999999</v>
      </c>
      <c r="F83" s="96">
        <v>0</v>
      </c>
      <c r="G83" s="121">
        <v>0</v>
      </c>
    </row>
    <row r="84" spans="2:9" x14ac:dyDescent="0.25">
      <c r="B84" s="122" t="str">
        <v>Clay brick, , Clay brick - Horsley Park Plant 23 (Brickworks) (Australia)</v>
      </c>
      <c r="C84" t="str">
        <v>tonne</v>
      </c>
      <c r="D84" s="96">
        <v>179.1</v>
      </c>
      <c r="E84" s="96">
        <v>0.17909999999999998</v>
      </c>
      <c r="F84" s="96">
        <v>0</v>
      </c>
      <c r="G84" s="121">
        <v>0</v>
      </c>
    </row>
    <row r="85" spans="2:9" x14ac:dyDescent="0.25">
      <c r="B85" s="122" t="str">
        <v>Clay brick, , Clay brick - Bowral Plant 28 (Brickworks) (Australia)</v>
      </c>
      <c r="C85" t="str">
        <v>tonne</v>
      </c>
      <c r="D85" s="96">
        <v>279.39999999999998</v>
      </c>
      <c r="E85" s="96">
        <v>0.27939999999999998</v>
      </c>
      <c r="F85" s="96">
        <v>0</v>
      </c>
      <c r="G85" s="121">
        <v>0</v>
      </c>
    </row>
    <row r="86" spans="2:9" x14ac:dyDescent="0.25">
      <c r="B86" s="122" t="str">
        <v>Clay brick, , Clay brick - Punchbowl Plant 91 (Brickworks) (Australia)</v>
      </c>
      <c r="C86" t="str">
        <v>tonne</v>
      </c>
      <c r="D86" s="96">
        <v>269.60000000000002</v>
      </c>
      <c r="E86" s="96">
        <v>0.26960000000000001</v>
      </c>
      <c r="F86" s="96">
        <v>0</v>
      </c>
      <c r="G86" s="121">
        <v>0</v>
      </c>
    </row>
    <row r="87" spans="2:9" x14ac:dyDescent="0.25">
      <c r="B87" s="122" t="str">
        <v>Clay brick, , Clay brick - Bellevue Plant 64 (Brickworks) (Australia)</v>
      </c>
      <c r="C87" t="str">
        <v>tonne</v>
      </c>
      <c r="D87" s="96">
        <v>205.4</v>
      </c>
      <c r="E87" s="96">
        <v>0.2054</v>
      </c>
      <c r="F87" s="96">
        <v>0</v>
      </c>
      <c r="G87" s="121">
        <v>0</v>
      </c>
    </row>
    <row r="88" spans="2:9" x14ac:dyDescent="0.25">
      <c r="B88" s="122" t="str">
        <v>Clay brick, , Clay brick - Cardup Plant 67 (Brickworks) (Australia)</v>
      </c>
      <c r="C88" t="str">
        <v>tonne</v>
      </c>
      <c r="D88" s="96">
        <v>320</v>
      </c>
      <c r="E88" s="96">
        <v>0.32</v>
      </c>
      <c r="F88" s="96">
        <v>0</v>
      </c>
      <c r="G88" s="121">
        <v>0</v>
      </c>
    </row>
    <row r="89" spans="2:9" x14ac:dyDescent="0.25">
      <c r="B89" s="122" t="str">
        <v>Clay brick, , Clay brick - Rochedale Plant 41 (Brickworks) (Australia)</v>
      </c>
      <c r="C89" t="str">
        <v>tonne</v>
      </c>
      <c r="D89" s="96">
        <v>210.6</v>
      </c>
      <c r="E89" s="96">
        <v>0.21059999999999998</v>
      </c>
      <c r="F89" s="96">
        <v>0</v>
      </c>
      <c r="G89" s="121">
        <v>0</v>
      </c>
    </row>
    <row r="90" spans="2:9" x14ac:dyDescent="0.25">
      <c r="B90" s="122" t="str">
        <v>Clay brick, , Clay facing bricks U masonry units for unprotected masonry walls (perforated) (HISPALYT) (Global)</v>
      </c>
      <c r="C90" t="str">
        <v>tonne</v>
      </c>
      <c r="D90" s="96">
        <v>256</v>
      </c>
      <c r="E90" s="96">
        <v>0.25600000000000001</v>
      </c>
      <c r="F90" s="96">
        <v>0</v>
      </c>
      <c r="G90" s="121">
        <v>0</v>
      </c>
      <c r="I90" s="96"/>
    </row>
    <row r="91" spans="2:9" x14ac:dyDescent="0.25">
      <c r="B91" s="122" t="str">
        <v>Clay brick, , Clay facing bricks U masonry units for unprotected masonry walls (solid) (HISPALYT) (Global)</v>
      </c>
      <c r="C91" t="str">
        <v>tonne</v>
      </c>
      <c r="D91" s="96">
        <v>256</v>
      </c>
      <c r="E91" s="96">
        <v>0.25600000000000001</v>
      </c>
      <c r="F91" s="96">
        <v>0</v>
      </c>
      <c r="G91" s="121">
        <v>0</v>
      </c>
    </row>
    <row r="92" spans="2:9" x14ac:dyDescent="0.25">
      <c r="B92" s="122" t="str">
        <v>Clay brick, , Brick (Prayag Clay Products Limited (PCPL) (Global)</v>
      </c>
      <c r="C92" t="str">
        <v>tonne</v>
      </c>
      <c r="D92" s="96">
        <v>47.832090000000001</v>
      </c>
      <c r="E92" s="96">
        <v>4.7832090000000001E-2</v>
      </c>
      <c r="F92" s="96">
        <v>0</v>
      </c>
      <c r="G92" s="121">
        <v>0</v>
      </c>
    </row>
    <row r="93" spans="2:9" x14ac:dyDescent="0.25">
      <c r="B93" s="122" t="str">
        <v>Clay brick, , Block (Prayag Clay Products Limited (PCPL) (Global)</v>
      </c>
      <c r="C93" t="str">
        <v>tonne</v>
      </c>
      <c r="D93" s="96">
        <v>47.832090000000001</v>
      </c>
      <c r="E93" s="96">
        <v>4.7832090000000001E-2</v>
      </c>
      <c r="F93" s="96">
        <v>0</v>
      </c>
      <c r="G93" s="121">
        <v>0</v>
      </c>
    </row>
    <row r="94" spans="2:9" x14ac:dyDescent="0.25">
      <c r="B94" s="122" t="str">
        <v>Clay brick, , Paver (Prayag Clay Products Limited (PCPL)) (Global)</v>
      </c>
      <c r="C94" t="str">
        <v>tonne</v>
      </c>
      <c r="D94" s="96">
        <v>47.832090000000001</v>
      </c>
      <c r="E94" s="96">
        <v>4.7832090000000001E-2</v>
      </c>
      <c r="F94" s="96">
        <v>0</v>
      </c>
      <c r="G94" s="121">
        <v>0</v>
      </c>
    </row>
    <row r="95" spans="2:9" x14ac:dyDescent="0.25">
      <c r="B95" s="122"/>
      <c r="G95" s="121"/>
    </row>
    <row r="96" spans="2:9" x14ac:dyDescent="0.25">
      <c r="B96" s="122"/>
      <c r="G96" s="121"/>
    </row>
    <row r="97" spans="2:7" x14ac:dyDescent="0.25">
      <c r="B97" s="122"/>
      <c r="G97" s="121"/>
    </row>
    <row r="98" spans="2:7" x14ac:dyDescent="0.25">
      <c r="B98" s="122"/>
      <c r="G98" s="121"/>
    </row>
    <row r="99" spans="2:7" x14ac:dyDescent="0.25">
      <c r="B99" s="122"/>
      <c r="G99" s="121"/>
    </row>
    <row r="100" spans="2:7" x14ac:dyDescent="0.25">
      <c r="B100" s="122"/>
      <c r="G100" s="121"/>
    </row>
    <row r="101" spans="2:7" x14ac:dyDescent="0.25">
      <c r="B101" s="122"/>
      <c r="G101" s="121"/>
    </row>
    <row r="102" spans="2:7" x14ac:dyDescent="0.25">
      <c r="B102" s="122"/>
      <c r="G102" s="121"/>
    </row>
    <row r="103" spans="2:7" x14ac:dyDescent="0.25">
      <c r="B103" s="122"/>
      <c r="G103" s="121"/>
    </row>
    <row r="104" spans="2:7" x14ac:dyDescent="0.25">
      <c r="B104" s="122"/>
      <c r="G104" s="121"/>
    </row>
    <row r="105" spans="2:7" x14ac:dyDescent="0.25">
      <c r="B105" s="122"/>
      <c r="G105" s="121"/>
    </row>
    <row r="106" spans="2:7" x14ac:dyDescent="0.25">
      <c r="B106" s="122"/>
      <c r="G106" s="121"/>
    </row>
    <row r="107" spans="2:7" x14ac:dyDescent="0.25">
      <c r="B107" s="122"/>
      <c r="G107" s="121"/>
    </row>
    <row r="108" spans="2:7" x14ac:dyDescent="0.25">
      <c r="B108" s="122"/>
      <c r="G108" s="121"/>
    </row>
    <row r="109" spans="2:7" x14ac:dyDescent="0.25">
      <c r="B109" s="122"/>
      <c r="G109" s="121"/>
    </row>
    <row r="110" spans="2:7" x14ac:dyDescent="0.25">
      <c r="B110" s="122"/>
      <c r="G110" s="121"/>
    </row>
    <row r="111" spans="2:7" x14ac:dyDescent="0.25">
      <c r="B111" s="122"/>
      <c r="G111" s="121"/>
    </row>
    <row r="112" spans="2:7" x14ac:dyDescent="0.25">
      <c r="B112" s="122"/>
      <c r="G112" s="121"/>
    </row>
    <row r="113" spans="2:7" x14ac:dyDescent="0.25">
      <c r="B113" s="122"/>
      <c r="G113" s="121"/>
    </row>
    <row r="114" spans="2:7" x14ac:dyDescent="0.25">
      <c r="B114" s="122"/>
      <c r="G114" s="121"/>
    </row>
    <row r="115" spans="2:7" x14ac:dyDescent="0.25">
      <c r="B115" s="122"/>
      <c r="G115" s="121"/>
    </row>
    <row r="116" spans="2:7" x14ac:dyDescent="0.25">
      <c r="B116" s="122"/>
      <c r="G116" s="121"/>
    </row>
    <row r="117" spans="2:7" x14ac:dyDescent="0.25">
      <c r="B117" s="122"/>
      <c r="G117" s="121"/>
    </row>
    <row r="118" spans="2:7" x14ac:dyDescent="0.25">
      <c r="B118" s="122"/>
      <c r="G118" s="121"/>
    </row>
    <row r="119" spans="2:7" x14ac:dyDescent="0.25">
      <c r="B119" s="122"/>
      <c r="G119" s="121"/>
    </row>
    <row r="120" spans="2:7" x14ac:dyDescent="0.25">
      <c r="B120" s="122"/>
      <c r="G120" s="121"/>
    </row>
    <row r="121" spans="2:7" x14ac:dyDescent="0.25">
      <c r="B121" s="122"/>
      <c r="G121" s="121"/>
    </row>
    <row r="122" spans="2:7" x14ac:dyDescent="0.25">
      <c r="B122" s="122"/>
      <c r="G122" s="121"/>
    </row>
    <row r="123" spans="2:7" x14ac:dyDescent="0.25">
      <c r="B123" s="122"/>
      <c r="G123" s="121"/>
    </row>
    <row r="124" spans="2:7" x14ac:dyDescent="0.25">
      <c r="B124" s="122"/>
      <c r="G124" s="121"/>
    </row>
    <row r="125" spans="2:7" x14ac:dyDescent="0.25">
      <c r="B125" s="122"/>
      <c r="G125" s="121"/>
    </row>
    <row r="126" spans="2:7" x14ac:dyDescent="0.25">
      <c r="B126" s="122"/>
      <c r="G126" s="121"/>
    </row>
    <row r="127" spans="2:7" x14ac:dyDescent="0.25">
      <c r="B127" s="122"/>
      <c r="G127" s="121"/>
    </row>
    <row r="128" spans="2:7" x14ac:dyDescent="0.25">
      <c r="B128" s="122"/>
      <c r="G128" s="121"/>
    </row>
    <row r="129" spans="2:7" x14ac:dyDescent="0.25">
      <c r="B129" s="122"/>
      <c r="G129" s="121"/>
    </row>
    <row r="130" spans="2:7" x14ac:dyDescent="0.25">
      <c r="B130" s="122"/>
      <c r="G130" s="121"/>
    </row>
    <row r="131" spans="2:7" x14ac:dyDescent="0.25">
      <c r="B131" s="122"/>
      <c r="G131" s="121"/>
    </row>
    <row r="132" spans="2:7" x14ac:dyDescent="0.25">
      <c r="B132" s="122"/>
      <c r="G132" s="121"/>
    </row>
    <row r="133" spans="2:7" x14ac:dyDescent="0.25">
      <c r="B133" s="122"/>
      <c r="G133" s="121"/>
    </row>
    <row r="134" spans="2:7" x14ac:dyDescent="0.25">
      <c r="B134" s="122"/>
      <c r="G134" s="121"/>
    </row>
    <row r="135" spans="2:7" x14ac:dyDescent="0.25">
      <c r="B135" s="122"/>
      <c r="G135" s="121"/>
    </row>
    <row r="136" spans="2:7" x14ac:dyDescent="0.25">
      <c r="B136" s="122"/>
      <c r="G136" s="121"/>
    </row>
    <row r="137" spans="2:7" x14ac:dyDescent="0.25">
      <c r="B137" s="122"/>
      <c r="G137" s="121"/>
    </row>
    <row r="138" spans="2:7" x14ac:dyDescent="0.25">
      <c r="B138" s="122"/>
      <c r="G138" s="121"/>
    </row>
    <row r="139" spans="2:7" x14ac:dyDescent="0.25">
      <c r="B139" s="122"/>
      <c r="G139" s="121"/>
    </row>
    <row r="140" spans="2:7" x14ac:dyDescent="0.25">
      <c r="B140" s="122"/>
      <c r="G140" s="121"/>
    </row>
    <row r="141" spans="2:7" x14ac:dyDescent="0.25">
      <c r="B141" s="122"/>
      <c r="G141" s="121"/>
    </row>
    <row r="142" spans="2:7" x14ac:dyDescent="0.25">
      <c r="B142" s="122"/>
      <c r="G142" s="121"/>
    </row>
    <row r="143" spans="2:7" x14ac:dyDescent="0.25">
      <c r="B143" s="122"/>
      <c r="G143" s="121"/>
    </row>
    <row r="144" spans="2:7" x14ac:dyDescent="0.25">
      <c r="B144" s="122"/>
      <c r="G144" s="121"/>
    </row>
    <row r="145" spans="2:7" x14ac:dyDescent="0.25">
      <c r="B145" s="122"/>
      <c r="G145" s="121"/>
    </row>
    <row r="146" spans="2:7" x14ac:dyDescent="0.25">
      <c r="B146" s="122"/>
      <c r="G146" s="121"/>
    </row>
    <row r="147" spans="2:7" x14ac:dyDescent="0.25">
      <c r="B147" s="122"/>
      <c r="G147" s="121"/>
    </row>
    <row r="148" spans="2:7" x14ac:dyDescent="0.25">
      <c r="B148" s="122"/>
      <c r="G148" s="121"/>
    </row>
    <row r="149" spans="2:7" x14ac:dyDescent="0.25">
      <c r="B149" s="122"/>
      <c r="G149" s="121"/>
    </row>
    <row r="150" spans="2:7" x14ac:dyDescent="0.25">
      <c r="B150" s="122"/>
      <c r="G150" s="121"/>
    </row>
    <row r="151" spans="2:7" x14ac:dyDescent="0.25">
      <c r="B151" s="122"/>
      <c r="G151" s="121"/>
    </row>
    <row r="152" spans="2:7" x14ac:dyDescent="0.25">
      <c r="B152" s="122"/>
      <c r="G152" s="121"/>
    </row>
    <row r="153" spans="2:7" x14ac:dyDescent="0.25">
      <c r="B153" s="122"/>
      <c r="G153" s="121"/>
    </row>
    <row r="154" spans="2:7" x14ac:dyDescent="0.25">
      <c r="B154" s="122"/>
      <c r="G154" s="121"/>
    </row>
    <row r="155" spans="2:7" x14ac:dyDescent="0.25">
      <c r="B155" s="122"/>
      <c r="G155" s="121"/>
    </row>
    <row r="156" spans="2:7" x14ac:dyDescent="0.25">
      <c r="B156" s="122"/>
      <c r="G156" s="121"/>
    </row>
    <row r="157" spans="2:7" x14ac:dyDescent="0.25">
      <c r="B157" s="122"/>
      <c r="G157" s="121"/>
    </row>
    <row r="158" spans="2:7" x14ac:dyDescent="0.25">
      <c r="B158" s="122"/>
      <c r="G158" s="121"/>
    </row>
    <row r="159" spans="2:7" x14ac:dyDescent="0.25">
      <c r="B159" s="122"/>
      <c r="G159" s="121"/>
    </row>
    <row r="160" spans="2:7" x14ac:dyDescent="0.25">
      <c r="B160" s="122"/>
      <c r="G160" s="121"/>
    </row>
    <row r="161" spans="2:7" x14ac:dyDescent="0.25">
      <c r="B161" s="122"/>
      <c r="G161" s="121"/>
    </row>
    <row r="162" spans="2:7" x14ac:dyDescent="0.25">
      <c r="B162" s="122"/>
      <c r="G162" s="121"/>
    </row>
    <row r="163" spans="2:7" x14ac:dyDescent="0.25">
      <c r="B163" s="122"/>
      <c r="G163" s="121"/>
    </row>
    <row r="164" spans="2:7" x14ac:dyDescent="0.25">
      <c r="B164" s="122"/>
      <c r="G164" s="121"/>
    </row>
    <row r="165" spans="2:7" x14ac:dyDescent="0.25">
      <c r="B165" s="122"/>
      <c r="G165" s="121"/>
    </row>
    <row r="166" spans="2:7" x14ac:dyDescent="0.25">
      <c r="B166" s="125"/>
      <c r="C166" s="126"/>
      <c r="D166" s="127"/>
      <c r="E166" s="127"/>
      <c r="F166" s="127"/>
      <c r="G166" s="128"/>
    </row>
  </sheetData>
  <dataValidations count="1">
    <dataValidation type="list" allowBlank="1" showInputMessage="1" showErrorMessage="1" sqref="B6:B9" xr:uid="{6EC44C56-FD2C-4452-BA3D-1D1A02FD5EFE}">
      <formula1>"Tier 1,Tier 2,Tier 3,Tier 4"</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FDE3D6-3F6C-4B6E-860A-78E904BCDF11}">
  <sheetPr codeName="Sheet36">
    <tabColor rgb="FF00CCFF"/>
  </sheetPr>
  <dimension ref="A1:I500"/>
  <sheetViews>
    <sheetView showGridLines="0" zoomScale="80" zoomScaleNormal="80" workbookViewId="0"/>
  </sheetViews>
  <sheetFormatPr defaultRowHeight="13.2" x14ac:dyDescent="0.25"/>
  <cols>
    <col min="1" max="1" width="26.109375" customWidth="1"/>
    <col min="2" max="2" width="128.88671875" customWidth="1"/>
    <col min="3" max="3" width="21" customWidth="1"/>
    <col min="4" max="6" width="19.88671875" style="96" customWidth="1"/>
    <col min="7" max="7" width="23.5546875" style="96" customWidth="1"/>
    <col min="8" max="8" width="14.44140625" customWidth="1"/>
  </cols>
  <sheetData>
    <row r="1" spans="1:8" x14ac:dyDescent="0.25">
      <c r="A1" s="4" t="str" cm="1">
        <f t="array" aca="1" ref="A1" ca="1">MID(CELL("filename",A1),FIND("]",CELL("filename",A1))+1,255)</f>
        <v>Fibre_Cement</v>
      </c>
    </row>
    <row r="2" spans="1:8" x14ac:dyDescent="0.25">
      <c r="A2" s="4"/>
    </row>
    <row r="3" spans="1:8" x14ac:dyDescent="0.25">
      <c r="A3" s="4" t="s">
        <v>4048</v>
      </c>
      <c r="B3" t="s">
        <v>4187</v>
      </c>
    </row>
    <row r="4" spans="1:8" x14ac:dyDescent="0.25">
      <c r="A4" s="4"/>
    </row>
    <row r="5" spans="1:8" ht="73.5" customHeight="1" x14ac:dyDescent="0.25">
      <c r="A5" s="26" t="s">
        <v>4050</v>
      </c>
      <c r="B5" s="14" t="s">
        <v>4188</v>
      </c>
      <c r="C5" s="43"/>
    </row>
    <row r="6" spans="1:8" x14ac:dyDescent="0.25">
      <c r="A6" s="26" t="s">
        <v>4052</v>
      </c>
      <c r="B6" t="s">
        <v>69</v>
      </c>
      <c r="D6" s="43"/>
    </row>
    <row r="7" spans="1:8" x14ac:dyDescent="0.25">
      <c r="A7" s="26" t="s">
        <v>4053</v>
      </c>
      <c r="B7" s="27" t="s">
        <v>68</v>
      </c>
    </row>
    <row r="8" spans="1:8" x14ac:dyDescent="0.25">
      <c r="A8" s="26" t="s">
        <v>4054</v>
      </c>
      <c r="B8" s="27" t="s">
        <v>69</v>
      </c>
    </row>
    <row r="9" spans="1:8" x14ac:dyDescent="0.25">
      <c r="A9" s="26" t="s">
        <v>4055</v>
      </c>
      <c r="B9" s="4" t="s">
        <v>69</v>
      </c>
    </row>
    <row r="10" spans="1:8" x14ac:dyDescent="0.25">
      <c r="A10" s="26"/>
      <c r="B10" s="4"/>
    </row>
    <row r="11" spans="1:8" ht="26.4" x14ac:dyDescent="0.25">
      <c r="A11" s="26" t="s">
        <v>4056</v>
      </c>
      <c r="B11" s="14" t="s">
        <v>4189</v>
      </c>
    </row>
    <row r="12" spans="1:8" x14ac:dyDescent="0.25">
      <c r="A12" s="101"/>
    </row>
    <row r="13" spans="1:8" x14ac:dyDescent="0.25">
      <c r="A13" s="101"/>
    </row>
    <row r="14" spans="1:8" x14ac:dyDescent="0.25">
      <c r="A14" s="26" t="s">
        <v>4057</v>
      </c>
    </row>
    <row r="15" spans="1:8" x14ac:dyDescent="0.25">
      <c r="A15" s="26"/>
      <c r="D15" s="112" t="s">
        <v>4058</v>
      </c>
      <c r="E15" s="113"/>
      <c r="F15" s="114" t="s">
        <v>4059</v>
      </c>
      <c r="G15" s="113"/>
    </row>
    <row r="16" spans="1:8" ht="39.6" x14ac:dyDescent="0.25">
      <c r="B16" s="28" t="s">
        <v>2329</v>
      </c>
      <c r="C16" s="23" t="s">
        <v>23</v>
      </c>
      <c r="D16" s="24" t="s">
        <v>141</v>
      </c>
      <c r="E16" s="25" t="s">
        <v>148</v>
      </c>
      <c r="F16" s="24" t="s">
        <v>142</v>
      </c>
      <c r="G16" s="24" t="s">
        <v>149</v>
      </c>
      <c r="H16" s="44" t="str">
        <f>"Density "&amp;E17&amp;"/"&amp;D17</f>
        <v>Density kg/m²</v>
      </c>
    </row>
    <row r="17" spans="2:9" x14ac:dyDescent="0.25">
      <c r="B17" s="29"/>
      <c r="C17" s="30" t="s">
        <v>4060</v>
      </c>
      <c r="D17" s="118" t="str" cm="1">
        <f t="array" ref="D17">IF(AND(_xlfn.ANCHORARRAY(C23)=C23),C23,"Mixed")</f>
        <v>m²</v>
      </c>
      <c r="E17" s="118" t="s">
        <v>219</v>
      </c>
      <c r="F17" s="118" t="str" cm="1">
        <f t="array" ref="F17">IF(AND(_xlfn.ANCHORARRAY(C23)=C23),C23,"Mixed")</f>
        <v>m²</v>
      </c>
      <c r="G17" s="119" t="s">
        <v>219</v>
      </c>
      <c r="H17" s="119" t="str">
        <f>IFERROR(D17/E17,"")</f>
        <v/>
      </c>
    </row>
    <row r="18" spans="2:9" s="14" customFormat="1" x14ac:dyDescent="0.25">
      <c r="B18" s="31"/>
      <c r="C18" s="4" t="s">
        <v>4061</v>
      </c>
      <c r="D18" s="96">
        <f t="shared" ref="D18:G18" si="0">MAX(_xlfn.ANCHORARRAY(D23))</f>
        <v>45.9</v>
      </c>
      <c r="E18" s="96">
        <f t="shared" si="0"/>
        <v>1.3237797062469794</v>
      </c>
      <c r="F18" s="96">
        <f t="shared" si="0"/>
        <v>4.4999999999999998E-2</v>
      </c>
      <c r="G18" s="121">
        <f t="shared" si="0"/>
        <v>8.3333333333333332E-3</v>
      </c>
      <c r="H18" s="163">
        <f>IFERROR(D18/E18,"")</f>
        <v>34.673442857142859</v>
      </c>
    </row>
    <row r="19" spans="2:9" x14ac:dyDescent="0.25">
      <c r="B19" s="122"/>
      <c r="C19" s="4" t="s">
        <v>4062</v>
      </c>
      <c r="D19" s="96">
        <f>MIN(_xlfn.ANCHORARRAY(D23))</f>
        <v>3.51</v>
      </c>
      <c r="E19" s="96">
        <f t="shared" ref="E19:G19" si="1">MIN(_xlfn.ANCHORARRAY(E23))</f>
        <v>0.30722992282728107</v>
      </c>
      <c r="F19" s="96">
        <f t="shared" si="1"/>
        <v>0</v>
      </c>
      <c r="G19" s="121">
        <f t="shared" si="1"/>
        <v>0</v>
      </c>
      <c r="H19" s="163">
        <f t="shared" ref="H19:H82" si="2">IFERROR(D19/E19,"")</f>
        <v>11.42466842975206</v>
      </c>
    </row>
    <row r="20" spans="2:9" x14ac:dyDescent="0.25">
      <c r="B20" s="122"/>
      <c r="C20" s="4" t="s">
        <v>4063</v>
      </c>
      <c r="D20" s="96">
        <f>AVERAGE(_xlfn.ANCHORARRAY(D23))</f>
        <v>12.889999999999999</v>
      </c>
      <c r="E20" s="96">
        <f t="shared" ref="E20:G20" si="3">AVERAGE(_xlfn.ANCHORARRAY(E23))</f>
        <v>0.852979655994341</v>
      </c>
      <c r="F20" s="96">
        <f t="shared" si="3"/>
        <v>3.7285714285714283E-2</v>
      </c>
      <c r="G20" s="121">
        <f t="shared" si="3"/>
        <v>3.2122689436936249E-3</v>
      </c>
      <c r="H20" s="163">
        <f t="shared" si="2"/>
        <v>15.111732043566484</v>
      </c>
      <c r="I20" s="108"/>
    </row>
    <row r="21" spans="2:9" x14ac:dyDescent="0.25">
      <c r="B21" s="122"/>
      <c r="C21" s="4"/>
      <c r="G21" s="121"/>
      <c r="H21" s="163" t="str">
        <f t="shared" si="2"/>
        <v/>
      </c>
    </row>
    <row r="22" spans="2:9" x14ac:dyDescent="0.25">
      <c r="B22" s="32" t="s">
        <v>4064</v>
      </c>
      <c r="D22"/>
      <c r="E22"/>
      <c r="F22"/>
      <c r="G22" s="124"/>
      <c r="H22" s="163" t="str">
        <f t="shared" si="2"/>
        <v/>
      </c>
    </row>
    <row r="23" spans="2:9" x14ac:dyDescent="0.25">
      <c r="B23" s="122" t="str" cm="1">
        <f t="array" ref="B23:B57">_xlfn.UNIQUE(_xlfn._xlws.FILTER('EPD List'!D:D,ISNUMBER(SEARCH(B16,'EPD List'!C:C)),0))</f>
        <v>Fibre cement, Flooring, Secura™ Interior Flooring 19mm</v>
      </c>
      <c r="C23" t="str" cm="1">
        <f t="array" ref="C23:C57">_xlfn.IFNA(INDEX('EPD List'!$A:$AB,MATCH(_xlfn.ANCHORARRAY(B23),'EPD List'!$D:$D,0),MATCH(C$16,'EPD List'!$7:$7,0)),"")</f>
        <v>m²</v>
      </c>
      <c r="D23" s="96" cm="1">
        <f t="array" ref="D23:D57">_xlfn.IFNA(VALUE((INDEX('EPD List'!$A:$AD,MATCH(_xlfn.ANCHORARRAY($B23),'EPD List'!$D:$D,0),MATCH(D$16,'EPD List'!$7:$7,0)))),"")</f>
        <v>18.399999999999999</v>
      </c>
      <c r="E23" s="96" cm="1">
        <f t="array" ref="E23:E57">_xlfn.IFNA(VALUE((INDEX('EPD List'!$A:$AD,MATCH(_xlfn.ANCHORARRAY($B23),'EPD List'!$D:$D,0),MATCH(E$16,'EPD List'!$7:$7,0)))),"")</f>
        <v>0.88461538461538447</v>
      </c>
      <c r="F23" s="96" cm="1">
        <f t="array" ref="F23:F57">_xlfn.IFNA(VALUE((INDEX('EPD List'!$A:$AD,MATCH(_xlfn.ANCHORARRAY($B23),'EPD List'!$D:$D,0),MATCH(F$16,'EPD List'!$7:$7,0)))),"")</f>
        <v>4.4999999999999998E-2</v>
      </c>
      <c r="G23" s="121" cm="1">
        <f t="array" ref="G23:G57">_xlfn.IFNA(VALUE((INDEX('EPD List'!$A:$AD,MATCH(_xlfn.ANCHORARRAY($B23),'EPD List'!$D:$D,0),MATCH(G$16,'EPD List'!$7:$7,0)))),"")</f>
        <v>2.1634615384615381E-3</v>
      </c>
      <c r="H23" s="163">
        <f t="shared" si="2"/>
        <v>20.8</v>
      </c>
    </row>
    <row r="24" spans="2:9" x14ac:dyDescent="0.25">
      <c r="B24" s="122" t="str">
        <v>Fibre cement, Flooring, Secura™ Interior Flooring 22mm</v>
      </c>
      <c r="C24" t="str">
        <v>m²</v>
      </c>
      <c r="D24" s="96">
        <v>21.6</v>
      </c>
      <c r="E24" s="96">
        <v>0.89626556016597514</v>
      </c>
      <c r="F24" s="96">
        <v>4.4999999999999998E-2</v>
      </c>
      <c r="G24" s="121">
        <v>1.867219917012448E-3</v>
      </c>
      <c r="H24" s="163">
        <f t="shared" si="2"/>
        <v>24.1</v>
      </c>
    </row>
    <row r="25" spans="2:9" x14ac:dyDescent="0.25">
      <c r="B25" s="122" t="str">
        <v>Fibre cement, Lining, Secura™ Exterior Flooring 22mm</v>
      </c>
      <c r="C25" t="str">
        <v>m²</v>
      </c>
      <c r="D25" s="96">
        <v>21.7</v>
      </c>
      <c r="E25" s="96">
        <v>0.90041493775933601</v>
      </c>
      <c r="F25" s="96">
        <v>4.4999999999999998E-2</v>
      </c>
      <c r="G25" s="121">
        <v>1.867219917012448E-3</v>
      </c>
      <c r="H25" s="163">
        <f t="shared" si="2"/>
        <v>24.1</v>
      </c>
    </row>
    <row r="26" spans="2:9" x14ac:dyDescent="0.25">
      <c r="B26" s="122" t="str">
        <v>Fibre cement, Flooring, Secura™ Exterior Flooring 19mm</v>
      </c>
      <c r="C26" t="str">
        <v>m²</v>
      </c>
      <c r="D26" s="96">
        <v>18.7</v>
      </c>
      <c r="E26" s="96">
        <v>0.89903846153846145</v>
      </c>
      <c r="F26" s="96">
        <v>4.4999999999999998E-2</v>
      </c>
      <c r="G26" s="121">
        <v>2.1634615384615381E-3</v>
      </c>
      <c r="H26" s="163">
        <f t="shared" si="2"/>
        <v>20.8</v>
      </c>
    </row>
    <row r="27" spans="2:9" x14ac:dyDescent="0.25">
      <c r="B27" s="122" t="str">
        <v>Fibre cement, Cladding, Hardie™ Fine Texture Cladding 8.5mm</v>
      </c>
      <c r="C27" t="str">
        <v>m²</v>
      </c>
      <c r="D27" s="96">
        <v>7.51</v>
      </c>
      <c r="E27" s="96">
        <v>0.73627450980392162</v>
      </c>
      <c r="F27" s="96">
        <v>4.4999999999999998E-2</v>
      </c>
      <c r="G27" s="121">
        <v>4.4117647058823529E-3</v>
      </c>
      <c r="H27" s="163">
        <f t="shared" si="2"/>
        <v>10.199999999999999</v>
      </c>
    </row>
    <row r="28" spans="2:9" x14ac:dyDescent="0.25">
      <c r="B28" s="122" t="str">
        <v>Fibre cement, Cladding, Hardie™ Plank Weatherboards 7.5mm</v>
      </c>
      <c r="C28" t="str">
        <v>m²</v>
      </c>
      <c r="D28" s="96">
        <v>6.86</v>
      </c>
      <c r="E28" s="96">
        <v>0.76222222222222213</v>
      </c>
      <c r="F28" s="96">
        <v>4.4999999999999998E-2</v>
      </c>
      <c r="G28" s="121">
        <v>5.0000000000000001E-3</v>
      </c>
      <c r="H28" s="163">
        <f t="shared" si="2"/>
        <v>9.0000000000000018</v>
      </c>
    </row>
    <row r="29" spans="2:9" x14ac:dyDescent="0.25">
      <c r="B29" s="122" t="str">
        <v>Fibre cement, Flooring, Hardie™ Deck 19mm</v>
      </c>
      <c r="C29" t="str">
        <v>m²</v>
      </c>
      <c r="D29" s="96">
        <v>25.2</v>
      </c>
      <c r="E29" s="96">
        <v>1.3237797062469794</v>
      </c>
      <c r="F29" s="96">
        <v>4.4999999999999998E-2</v>
      </c>
      <c r="G29" s="121">
        <v>2.3638923325838917E-3</v>
      </c>
      <c r="H29" s="163">
        <f t="shared" si="2"/>
        <v>19.0364</v>
      </c>
    </row>
    <row r="30" spans="2:9" x14ac:dyDescent="0.25">
      <c r="B30" s="122" t="str">
        <v>Fibre cement, Cladding, EasyLap™ Panel 8.5mm</v>
      </c>
      <c r="C30" t="str">
        <v>m²</v>
      </c>
      <c r="D30" s="96">
        <v>8</v>
      </c>
      <c r="E30" s="96">
        <v>0.78431372549019618</v>
      </c>
      <c r="F30" s="96">
        <v>4.4999999999999998E-2</v>
      </c>
      <c r="G30" s="121">
        <v>4.4117647058823529E-3</v>
      </c>
      <c r="H30" s="163">
        <f t="shared" si="2"/>
        <v>10.199999999999999</v>
      </c>
    </row>
    <row r="31" spans="2:9" x14ac:dyDescent="0.25">
      <c r="B31" s="122" t="str">
        <v>Fibre cement, Cladding, PrimeLine™ Weatherboards 9mm</v>
      </c>
      <c r="C31" t="str">
        <v>m²</v>
      </c>
      <c r="D31" s="96">
        <v>9.8499999999999979</v>
      </c>
      <c r="E31" s="96">
        <v>0.91203703703703698</v>
      </c>
      <c r="F31" s="96">
        <v>4.4999999999999998E-2</v>
      </c>
      <c r="G31" s="121">
        <v>4.1666666666666666E-3</v>
      </c>
      <c r="H31" s="163">
        <f t="shared" si="2"/>
        <v>10.799999999999999</v>
      </c>
    </row>
    <row r="32" spans="2:9" x14ac:dyDescent="0.25">
      <c r="B32" s="122" t="str">
        <v>Fibre cement, Cladding, ExoTec™ Façade Panel 9mm</v>
      </c>
      <c r="C32" t="str">
        <v>m²</v>
      </c>
      <c r="D32" s="96">
        <v>12.3</v>
      </c>
      <c r="E32" s="96">
        <v>0.89781021897810231</v>
      </c>
      <c r="F32" s="96">
        <v>4.4999999999999998E-2</v>
      </c>
      <c r="G32" s="121">
        <v>3.2846715328467154E-3</v>
      </c>
      <c r="H32" s="163">
        <f t="shared" si="2"/>
        <v>13.7</v>
      </c>
    </row>
    <row r="33" spans="2:8" x14ac:dyDescent="0.25">
      <c r="B33" s="122" t="str">
        <v>Fibre cement, Lining, Villaboard™ Lining 9mm</v>
      </c>
      <c r="C33" t="str">
        <v>m²</v>
      </c>
      <c r="D33" s="96">
        <v>8.65</v>
      </c>
      <c r="E33" s="96">
        <v>0.80092592592592593</v>
      </c>
      <c r="F33" s="96">
        <v>4.4999999999999998E-2</v>
      </c>
      <c r="G33" s="121">
        <v>4.1666666666666666E-3</v>
      </c>
      <c r="H33" s="163">
        <f t="shared" si="2"/>
        <v>10.8</v>
      </c>
    </row>
    <row r="34" spans="2:8" x14ac:dyDescent="0.25">
      <c r="B34" s="122" t="str">
        <v>Fibre cement, Cladding, Linea™ Weatherboards 16mm</v>
      </c>
      <c r="C34" t="str">
        <v>m²</v>
      </c>
      <c r="D34" s="96">
        <v>15.599999999999998</v>
      </c>
      <c r="E34" s="96">
        <v>0.88636363636363624</v>
      </c>
      <c r="F34" s="96">
        <v>4.4999999999999998E-2</v>
      </c>
      <c r="G34" s="121">
        <v>2.5568181818181814E-3</v>
      </c>
      <c r="H34" s="163">
        <f t="shared" si="2"/>
        <v>17.600000000000001</v>
      </c>
    </row>
    <row r="35" spans="2:8" x14ac:dyDescent="0.25">
      <c r="B35" s="122" t="str">
        <v>Fibre cement, Lining, Versilux™ Lining 6mm</v>
      </c>
      <c r="C35" t="str">
        <v>m²</v>
      </c>
      <c r="D35" s="96">
        <v>5.62</v>
      </c>
      <c r="E35" s="96">
        <v>0.78055555555555567</v>
      </c>
      <c r="F35" s="96">
        <v>4.4999999999999998E-2</v>
      </c>
      <c r="G35" s="121">
        <v>6.2499999999999995E-3</v>
      </c>
      <c r="H35" s="163">
        <f t="shared" si="2"/>
        <v>7.1999999999999993</v>
      </c>
    </row>
    <row r="36" spans="2:8" x14ac:dyDescent="0.25">
      <c r="B36" s="122" t="str">
        <v>Fibre cement, Compressed sheet, Hardie™ Panel Compressed Sheet 24mm</v>
      </c>
      <c r="C36" t="str">
        <v>m²</v>
      </c>
      <c r="D36" s="96">
        <v>45.9</v>
      </c>
      <c r="E36" s="96">
        <v>1.1140776699029125</v>
      </c>
      <c r="F36" s="96">
        <v>4.4999999999999998E-2</v>
      </c>
      <c r="G36" s="121">
        <v>1.0922330097087377E-3</v>
      </c>
      <c r="H36" s="163">
        <f t="shared" si="2"/>
        <v>41.2</v>
      </c>
    </row>
    <row r="37" spans="2:8" x14ac:dyDescent="0.25">
      <c r="B37" s="122" t="str">
        <v>Fibre cement, Lining, Versilux™ Lining 9 mm</v>
      </c>
      <c r="C37" t="str">
        <v>m²</v>
      </c>
      <c r="D37" s="96">
        <v>8.68</v>
      </c>
      <c r="E37" s="96">
        <v>0.80370370370370359</v>
      </c>
      <c r="F37" s="96">
        <v>4.4999999999999998E-2</v>
      </c>
      <c r="G37" s="121">
        <v>4.1666666666666666E-3</v>
      </c>
      <c r="H37" s="163">
        <f t="shared" si="2"/>
        <v>10.8</v>
      </c>
    </row>
    <row r="38" spans="2:8" x14ac:dyDescent="0.25">
      <c r="B38" s="122" t="str">
        <v>Fibre cement, Compressed sheet, Hardie™ Panel Compressed Sheet 18mm</v>
      </c>
      <c r="C38" t="str">
        <v>m²</v>
      </c>
      <c r="D38" s="96">
        <v>32.5</v>
      </c>
      <c r="E38" s="96">
        <v>1.0483870967741935</v>
      </c>
      <c r="F38" s="96">
        <v>4.4999999999999998E-2</v>
      </c>
      <c r="G38" s="121">
        <v>1.4516129032258063E-3</v>
      </c>
      <c r="H38" s="163">
        <f t="shared" si="2"/>
        <v>31</v>
      </c>
    </row>
    <row r="39" spans="2:8" x14ac:dyDescent="0.25">
      <c r="B39" s="122" t="str">
        <v>Fibre cement, Compressed sheet, Hardie™ Panel Compressed Sheet 15mm</v>
      </c>
      <c r="C39" t="str">
        <v>m²</v>
      </c>
      <c r="D39" s="96">
        <v>27.9</v>
      </c>
      <c r="E39" s="96">
        <v>1.0772200772200773</v>
      </c>
      <c r="F39" s="96">
        <v>4.4999999999999998E-2</v>
      </c>
      <c r="G39" s="121">
        <v>1.7374517374517376E-3</v>
      </c>
      <c r="H39" s="163">
        <f t="shared" si="2"/>
        <v>25.9</v>
      </c>
    </row>
    <row r="40" spans="2:8" x14ac:dyDescent="0.25">
      <c r="B40" s="122" t="str">
        <v>Fibre cement, Lining, Villaboard™ Lining 6mm</v>
      </c>
      <c r="C40" t="str">
        <v>m²</v>
      </c>
      <c r="D40" s="96">
        <v>5.71</v>
      </c>
      <c r="E40" s="96">
        <v>0.79305555555555551</v>
      </c>
      <c r="F40" s="96">
        <v>4.4999999999999998E-2</v>
      </c>
      <c r="G40" s="121">
        <v>6.2499999999999995E-3</v>
      </c>
      <c r="H40" s="163">
        <f t="shared" si="2"/>
        <v>7.2</v>
      </c>
    </row>
    <row r="41" spans="2:8" x14ac:dyDescent="0.25">
      <c r="B41" s="122" t="str">
        <v>Fibre cement, Cladding, Axon™ Cladding 9mm</v>
      </c>
      <c r="C41" t="str">
        <v>m²</v>
      </c>
      <c r="D41" s="96">
        <v>9.7899999999999991</v>
      </c>
      <c r="E41" s="96">
        <v>0.95980392156862748</v>
      </c>
      <c r="F41" s="96">
        <v>4.4999999999999998E-2</v>
      </c>
      <c r="G41" s="121">
        <v>4.4117647058823529E-3</v>
      </c>
      <c r="H41" s="163">
        <f t="shared" si="2"/>
        <v>10.199999999999999</v>
      </c>
    </row>
    <row r="42" spans="2:8" x14ac:dyDescent="0.25">
      <c r="B42" s="122" t="str">
        <v>Fibre cement, Flooring, Hardie™ Groove Lining 7.5mm</v>
      </c>
      <c r="C42" t="str">
        <v>m²</v>
      </c>
      <c r="D42" s="96">
        <v>8.15</v>
      </c>
      <c r="E42" s="96">
        <v>0.4070941584389709</v>
      </c>
      <c r="F42" s="96">
        <v>4.4999999999999998E-2</v>
      </c>
      <c r="G42" s="121">
        <v>2.2477591570249922E-3</v>
      </c>
      <c r="H42" s="163">
        <f t="shared" si="2"/>
        <v>20.019938461538498</v>
      </c>
    </row>
    <row r="43" spans="2:8" x14ac:dyDescent="0.25">
      <c r="B43" s="122" t="str">
        <v>Fibre cement, Cladding, Hardie™ Flex Eaves Lining 4.5mm</v>
      </c>
      <c r="C43" t="str">
        <v>m²</v>
      </c>
      <c r="D43" s="96">
        <v>4.5</v>
      </c>
      <c r="E43" s="96">
        <v>0.83333333333333326</v>
      </c>
      <c r="F43" s="96">
        <v>4.4999999999999998E-2</v>
      </c>
      <c r="G43" s="121">
        <v>8.3333333333333332E-3</v>
      </c>
      <c r="H43" s="163">
        <f t="shared" si="2"/>
        <v>5.4</v>
      </c>
    </row>
    <row r="44" spans="2:8" x14ac:dyDescent="0.25">
      <c r="B44" s="122" t="str">
        <v>Fibre cement, Cladding, Hardie™ Flex Sheet 6mm</v>
      </c>
      <c r="C44" t="str">
        <v>m²</v>
      </c>
      <c r="D44" s="96">
        <v>6.62</v>
      </c>
      <c r="E44" s="96">
        <v>0.9194444444444444</v>
      </c>
      <c r="F44" s="96">
        <v>4.4999999999999998E-2</v>
      </c>
      <c r="G44" s="121">
        <v>6.2499999999999995E-3</v>
      </c>
      <c r="H44" s="163">
        <f t="shared" si="2"/>
        <v>7.2</v>
      </c>
    </row>
    <row r="45" spans="2:8" x14ac:dyDescent="0.25">
      <c r="B45" s="122" t="str">
        <v>Fibre cement, Cladding, Hardie™ Flex Sheet 4.5mm</v>
      </c>
      <c r="C45" t="str">
        <v>m²</v>
      </c>
      <c r="D45" s="96">
        <v>4.62</v>
      </c>
      <c r="E45" s="96">
        <v>0.8555555555555554</v>
      </c>
      <c r="F45" s="96">
        <v>4.4999999999999998E-2</v>
      </c>
      <c r="G45" s="121">
        <v>8.3333333333333332E-3</v>
      </c>
      <c r="H45" s="163">
        <f t="shared" si="2"/>
        <v>5.4000000000000012</v>
      </c>
    </row>
    <row r="46" spans="2:8" x14ac:dyDescent="0.25">
      <c r="B46" s="122" t="str">
        <v>Fibre cement, Cladding, Stria™ Cladding 14mm</v>
      </c>
      <c r="C46" t="str">
        <v>m²</v>
      </c>
      <c r="D46" s="96">
        <v>14.899999999999999</v>
      </c>
      <c r="E46" s="96">
        <v>0.96753246753246747</v>
      </c>
      <c r="F46" s="96">
        <v>4.4999999999999998E-2</v>
      </c>
      <c r="G46" s="121">
        <v>2.9220779220779218E-3</v>
      </c>
      <c r="H46" s="163">
        <f t="shared" si="2"/>
        <v>15.4</v>
      </c>
    </row>
    <row r="47" spans="2:8" x14ac:dyDescent="0.25">
      <c r="B47" s="122" t="str">
        <v>Fibre cement, Cladding, HardieTM ObliqueTM Cladding 14mm</v>
      </c>
      <c r="C47" t="str">
        <v>m²</v>
      </c>
      <c r="D47" s="96">
        <v>15</v>
      </c>
      <c r="E47" s="96">
        <v>0.9765625</v>
      </c>
      <c r="F47" s="96">
        <v>4.4999999999999998E-2</v>
      </c>
      <c r="G47" s="121">
        <v>2.9296875E-3</v>
      </c>
      <c r="H47" s="163">
        <f t="shared" si="2"/>
        <v>15.36</v>
      </c>
    </row>
    <row r="48" spans="2:8" x14ac:dyDescent="0.25">
      <c r="B48" s="122" t="str">
        <v>Fibre cement, Flooring, RAB™ Board 6mm</v>
      </c>
      <c r="C48" t="str">
        <v>m²</v>
      </c>
      <c r="D48" s="96">
        <v>6.9599999999999991</v>
      </c>
      <c r="E48" s="96">
        <v>0.35942530087171065</v>
      </c>
      <c r="F48" s="96">
        <v>4.4999999999999998E-2</v>
      </c>
      <c r="G48" s="121">
        <v>2.323870479773991E-3</v>
      </c>
      <c r="H48" s="163">
        <f t="shared" si="2"/>
        <v>19.364246153846096</v>
      </c>
    </row>
    <row r="49" spans="2:8" x14ac:dyDescent="0.25">
      <c r="B49" s="122" t="str">
        <v>Fibre cement, Flooring, Ceramic Tire Underlay 6mm</v>
      </c>
      <c r="C49" t="str">
        <v>m²</v>
      </c>
      <c r="D49" s="96">
        <v>6.05</v>
      </c>
      <c r="E49" s="96">
        <v>0.30722992282728107</v>
      </c>
      <c r="F49" s="96">
        <v>4.4999999999999998E-2</v>
      </c>
      <c r="G49" s="121">
        <v>2.2851812441698591E-3</v>
      </c>
      <c r="H49" s="163">
        <f t="shared" si="2"/>
        <v>19.692092307692299</v>
      </c>
    </row>
    <row r="50" spans="2:8" x14ac:dyDescent="0.25">
      <c r="B50" s="122" t="str">
        <v>Fibre cement, Cladding, Matrix™ Cladding 8mm</v>
      </c>
      <c r="C50" t="str">
        <v>m²</v>
      </c>
      <c r="D50" s="96">
        <v>8.7100000000000009</v>
      </c>
      <c r="E50" s="96">
        <v>0.90729166666666683</v>
      </c>
      <c r="F50" s="96">
        <v>4.4999999999999998E-2</v>
      </c>
      <c r="G50" s="121">
        <v>4.6874999999999998E-3</v>
      </c>
      <c r="H50" s="163">
        <f t="shared" si="2"/>
        <v>9.6</v>
      </c>
    </row>
    <row r="51" spans="2:8" x14ac:dyDescent="0.25">
      <c r="B51" s="122" t="str">
        <v>Fibre cement, Lining, Versilux™ Lining 4.5mm</v>
      </c>
      <c r="C51" t="str">
        <v>m²</v>
      </c>
      <c r="D51" s="96">
        <v>4.67</v>
      </c>
      <c r="E51" s="96">
        <v>0.8648148148148147</v>
      </c>
      <c r="F51" s="96">
        <v>4.4999999999999998E-2</v>
      </c>
      <c r="G51" s="121">
        <v>8.3333333333333332E-3</v>
      </c>
      <c r="H51" s="163">
        <f t="shared" si="2"/>
        <v>5.4</v>
      </c>
    </row>
    <row r="52" spans="2:8" x14ac:dyDescent="0.25">
      <c r="B52" s="122" t="str">
        <v>Fibre cement, , Greencor Roofing sheet thickness 6 mm (Ramco Industries) (India)</v>
      </c>
      <c r="C52" t="str">
        <v>m²</v>
      </c>
      <c r="D52" s="96">
        <v>9.33</v>
      </c>
      <c r="E52" s="96">
        <v>1.1518518518518519</v>
      </c>
      <c r="F52" s="96">
        <v>0</v>
      </c>
      <c r="G52" s="121">
        <v>0</v>
      </c>
      <c r="H52" s="163">
        <f t="shared" si="2"/>
        <v>8.1</v>
      </c>
    </row>
    <row r="53" spans="2:8" x14ac:dyDescent="0.25">
      <c r="B53" s="122" t="str">
        <v>Fibre cement, , Hicem Fibre cement board thickness 4 mm (Ramco Industries) (India)</v>
      </c>
      <c r="C53" t="str">
        <v>m²</v>
      </c>
      <c r="D53" s="96">
        <v>3.51</v>
      </c>
      <c r="E53" s="96">
        <v>0.73124999999999996</v>
      </c>
      <c r="F53" s="96">
        <v>0</v>
      </c>
      <c r="G53" s="121">
        <v>0</v>
      </c>
      <c r="H53" s="163">
        <f t="shared" si="2"/>
        <v>4.8</v>
      </c>
    </row>
    <row r="54" spans="2:8" x14ac:dyDescent="0.25">
      <c r="B54" s="122" t="str">
        <v>Fibre cement, , HiLux Fibre cement Board thickness 6mm (Ramco Industries) (India)</v>
      </c>
      <c r="C54" t="str">
        <v>m²</v>
      </c>
      <c r="D54" s="96">
        <v>5.26</v>
      </c>
      <c r="E54" s="96">
        <v>0.97407407407407398</v>
      </c>
      <c r="F54" s="96">
        <v>0</v>
      </c>
      <c r="G54" s="121">
        <v>0</v>
      </c>
      <c r="H54" s="163">
        <f t="shared" si="2"/>
        <v>5.4</v>
      </c>
    </row>
    <row r="55" spans="2:8" x14ac:dyDescent="0.25">
      <c r="B55" s="122" t="str">
        <v>Fibre cement, , Natural coloured 8mm (Valcan) (UK)</v>
      </c>
      <c r="C55" t="str">
        <v>m²</v>
      </c>
      <c r="D55" s="96">
        <v>10.8</v>
      </c>
      <c r="E55" s="96">
        <v>0.75</v>
      </c>
      <c r="F55" s="96">
        <v>0</v>
      </c>
      <c r="G55" s="121">
        <v>0</v>
      </c>
      <c r="H55" s="163">
        <f t="shared" si="2"/>
        <v>14.4</v>
      </c>
    </row>
    <row r="56" spans="2:8" x14ac:dyDescent="0.25">
      <c r="B56" s="122" t="str">
        <v>Fibre cement, , Natural coloured 10mm (Valcan) (UK)</v>
      </c>
      <c r="C56" t="str">
        <v>m²</v>
      </c>
      <c r="D56" s="96">
        <v>13.5</v>
      </c>
      <c r="E56" s="96">
        <v>0.75</v>
      </c>
      <c r="F56" s="96">
        <v>0</v>
      </c>
      <c r="G56" s="121">
        <v>0</v>
      </c>
      <c r="H56" s="163">
        <f t="shared" si="2"/>
        <v>18</v>
      </c>
    </row>
    <row r="57" spans="2:8" x14ac:dyDescent="0.25">
      <c r="B57" s="122" t="str">
        <v>Fibre cement, , Natural coloured 12mm, painted (Valcan) (UK)</v>
      </c>
      <c r="C57" t="str">
        <v>m²</v>
      </c>
      <c r="D57" s="96">
        <v>18.100000000000001</v>
      </c>
      <c r="E57" s="96">
        <v>0.83796296296296302</v>
      </c>
      <c r="F57" s="96">
        <v>0</v>
      </c>
      <c r="G57" s="121">
        <v>0</v>
      </c>
      <c r="H57" s="163">
        <f t="shared" si="2"/>
        <v>21.6</v>
      </c>
    </row>
    <row r="58" spans="2:8" x14ac:dyDescent="0.25">
      <c r="B58" s="122"/>
      <c r="G58" s="121"/>
      <c r="H58" s="163" t="str">
        <f t="shared" si="2"/>
        <v/>
      </c>
    </row>
    <row r="59" spans="2:8" x14ac:dyDescent="0.25">
      <c r="B59" s="122"/>
      <c r="G59" s="121"/>
      <c r="H59" s="163" t="str">
        <f t="shared" si="2"/>
        <v/>
      </c>
    </row>
    <row r="60" spans="2:8" x14ac:dyDescent="0.25">
      <c r="B60" s="122"/>
      <c r="G60" s="121"/>
      <c r="H60" s="163" t="str">
        <f t="shared" si="2"/>
        <v/>
      </c>
    </row>
    <row r="61" spans="2:8" x14ac:dyDescent="0.25">
      <c r="B61" s="122"/>
      <c r="G61" s="121"/>
      <c r="H61" s="163" t="str">
        <f t="shared" si="2"/>
        <v/>
      </c>
    </row>
    <row r="62" spans="2:8" x14ac:dyDescent="0.25">
      <c r="B62" s="122"/>
      <c r="G62" s="121"/>
      <c r="H62" s="163" t="str">
        <f t="shared" si="2"/>
        <v/>
      </c>
    </row>
    <row r="63" spans="2:8" x14ac:dyDescent="0.25">
      <c r="B63" s="122"/>
      <c r="G63" s="121"/>
      <c r="H63" s="163" t="str">
        <f t="shared" si="2"/>
        <v/>
      </c>
    </row>
    <row r="64" spans="2:8" x14ac:dyDescent="0.25">
      <c r="B64" s="122"/>
      <c r="G64" s="121"/>
      <c r="H64" s="163" t="str">
        <f t="shared" si="2"/>
        <v/>
      </c>
    </row>
    <row r="65" spans="2:8" x14ac:dyDescent="0.25">
      <c r="B65" s="122"/>
      <c r="G65" s="121"/>
      <c r="H65" s="163" t="str">
        <f t="shared" si="2"/>
        <v/>
      </c>
    </row>
    <row r="66" spans="2:8" x14ac:dyDescent="0.25">
      <c r="B66" s="122"/>
      <c r="G66" s="121"/>
      <c r="H66" s="163" t="str">
        <f t="shared" si="2"/>
        <v/>
      </c>
    </row>
    <row r="67" spans="2:8" x14ac:dyDescent="0.25">
      <c r="B67" s="122"/>
      <c r="G67" s="121"/>
      <c r="H67" s="163" t="str">
        <f t="shared" si="2"/>
        <v/>
      </c>
    </row>
    <row r="68" spans="2:8" x14ac:dyDescent="0.25">
      <c r="B68" s="122"/>
      <c r="G68" s="121"/>
      <c r="H68" s="163" t="str">
        <f t="shared" si="2"/>
        <v/>
      </c>
    </row>
    <row r="69" spans="2:8" x14ac:dyDescent="0.25">
      <c r="B69" s="122"/>
      <c r="G69" s="121"/>
      <c r="H69" s="163" t="str">
        <f t="shared" si="2"/>
        <v/>
      </c>
    </row>
    <row r="70" spans="2:8" x14ac:dyDescent="0.25">
      <c r="B70" s="122"/>
      <c r="G70" s="121"/>
      <c r="H70" s="163" t="str">
        <f t="shared" si="2"/>
        <v/>
      </c>
    </row>
    <row r="71" spans="2:8" x14ac:dyDescent="0.25">
      <c r="B71" s="122"/>
      <c r="G71" s="121"/>
      <c r="H71" s="163" t="str">
        <f t="shared" si="2"/>
        <v/>
      </c>
    </row>
    <row r="72" spans="2:8" x14ac:dyDescent="0.25">
      <c r="B72" s="122"/>
      <c r="G72" s="121"/>
      <c r="H72" s="163" t="str">
        <f t="shared" si="2"/>
        <v/>
      </c>
    </row>
    <row r="73" spans="2:8" x14ac:dyDescent="0.25">
      <c r="B73" s="122"/>
      <c r="G73" s="121"/>
      <c r="H73" s="163" t="str">
        <f t="shared" si="2"/>
        <v/>
      </c>
    </row>
    <row r="74" spans="2:8" x14ac:dyDescent="0.25">
      <c r="B74" s="122"/>
      <c r="G74" s="121"/>
      <c r="H74" s="163" t="str">
        <f t="shared" si="2"/>
        <v/>
      </c>
    </row>
    <row r="75" spans="2:8" x14ac:dyDescent="0.25">
      <c r="B75" s="122"/>
      <c r="G75" s="121"/>
      <c r="H75" s="163" t="str">
        <f t="shared" si="2"/>
        <v/>
      </c>
    </row>
    <row r="76" spans="2:8" x14ac:dyDescent="0.25">
      <c r="B76" s="122"/>
      <c r="G76" s="121"/>
      <c r="H76" s="163" t="str">
        <f t="shared" si="2"/>
        <v/>
      </c>
    </row>
    <row r="77" spans="2:8" x14ac:dyDescent="0.25">
      <c r="B77" s="122"/>
      <c r="G77" s="121"/>
      <c r="H77" s="163" t="str">
        <f t="shared" si="2"/>
        <v/>
      </c>
    </row>
    <row r="78" spans="2:8" x14ac:dyDescent="0.25">
      <c r="B78" s="122"/>
      <c r="G78" s="121"/>
      <c r="H78" s="163" t="str">
        <f t="shared" si="2"/>
        <v/>
      </c>
    </row>
    <row r="79" spans="2:8" x14ac:dyDescent="0.25">
      <c r="B79" s="122"/>
      <c r="G79" s="121"/>
      <c r="H79" s="163" t="str">
        <f t="shared" si="2"/>
        <v/>
      </c>
    </row>
    <row r="80" spans="2:8" x14ac:dyDescent="0.25">
      <c r="B80" s="122"/>
      <c r="G80" s="121"/>
      <c r="H80" s="163" t="str">
        <f t="shared" si="2"/>
        <v/>
      </c>
    </row>
    <row r="81" spans="2:9" x14ac:dyDescent="0.25">
      <c r="B81" s="122"/>
      <c r="G81" s="121"/>
      <c r="H81" s="163" t="str">
        <f t="shared" si="2"/>
        <v/>
      </c>
    </row>
    <row r="82" spans="2:9" x14ac:dyDescent="0.25">
      <c r="B82" s="122"/>
      <c r="G82" s="121"/>
      <c r="H82" s="163" t="str">
        <f t="shared" si="2"/>
        <v/>
      </c>
    </row>
    <row r="83" spans="2:9" x14ac:dyDescent="0.25">
      <c r="B83" s="122"/>
      <c r="G83" s="121"/>
      <c r="H83" s="163" t="str">
        <f t="shared" ref="H83:H146" si="4">IFERROR(D83/E83,"")</f>
        <v/>
      </c>
    </row>
    <row r="84" spans="2:9" x14ac:dyDescent="0.25">
      <c r="B84" s="122"/>
      <c r="G84" s="121"/>
      <c r="H84" s="163" t="str">
        <f t="shared" si="4"/>
        <v/>
      </c>
    </row>
    <row r="85" spans="2:9" x14ac:dyDescent="0.25">
      <c r="B85" s="122"/>
      <c r="G85" s="121"/>
      <c r="H85" s="163" t="str">
        <f t="shared" si="4"/>
        <v/>
      </c>
    </row>
    <row r="86" spans="2:9" x14ac:dyDescent="0.25">
      <c r="B86" s="122"/>
      <c r="G86" s="121"/>
      <c r="H86" s="163" t="str">
        <f t="shared" si="4"/>
        <v/>
      </c>
    </row>
    <row r="87" spans="2:9" x14ac:dyDescent="0.25">
      <c r="B87" s="122"/>
      <c r="G87" s="121"/>
      <c r="H87" s="163" t="str">
        <f t="shared" si="4"/>
        <v/>
      </c>
    </row>
    <row r="88" spans="2:9" x14ac:dyDescent="0.25">
      <c r="B88" s="122"/>
      <c r="G88" s="121"/>
      <c r="H88" s="163" t="str">
        <f t="shared" si="4"/>
        <v/>
      </c>
    </row>
    <row r="89" spans="2:9" x14ac:dyDescent="0.25">
      <c r="B89" s="122"/>
      <c r="G89" s="121"/>
      <c r="H89" s="163" t="str">
        <f t="shared" si="4"/>
        <v/>
      </c>
    </row>
    <row r="90" spans="2:9" x14ac:dyDescent="0.25">
      <c r="B90" s="122"/>
      <c r="G90" s="121"/>
      <c r="H90" s="163" t="str">
        <f t="shared" si="4"/>
        <v/>
      </c>
      <c r="I90" s="96"/>
    </row>
    <row r="91" spans="2:9" x14ac:dyDescent="0.25">
      <c r="B91" s="122"/>
      <c r="G91" s="121"/>
      <c r="H91" s="163" t="str">
        <f t="shared" si="4"/>
        <v/>
      </c>
    </row>
    <row r="92" spans="2:9" x14ac:dyDescent="0.25">
      <c r="B92" s="122"/>
      <c r="G92" s="121"/>
      <c r="H92" s="163" t="str">
        <f t="shared" si="4"/>
        <v/>
      </c>
    </row>
    <row r="93" spans="2:9" x14ac:dyDescent="0.25">
      <c r="B93" s="122"/>
      <c r="G93" s="121"/>
      <c r="H93" s="163" t="str">
        <f t="shared" si="4"/>
        <v/>
      </c>
    </row>
    <row r="94" spans="2:9" x14ac:dyDescent="0.25">
      <c r="B94" s="122"/>
      <c r="G94" s="121"/>
      <c r="H94" s="163" t="str">
        <f t="shared" si="4"/>
        <v/>
      </c>
    </row>
    <row r="95" spans="2:9" x14ac:dyDescent="0.25">
      <c r="B95" s="122"/>
      <c r="G95" s="121"/>
      <c r="H95" s="163" t="str">
        <f t="shared" si="4"/>
        <v/>
      </c>
    </row>
    <row r="96" spans="2:9" x14ac:dyDescent="0.25">
      <c r="B96" s="122"/>
      <c r="G96" s="121"/>
      <c r="H96" s="163" t="str">
        <f t="shared" si="4"/>
        <v/>
      </c>
    </row>
    <row r="97" spans="2:8" x14ac:dyDescent="0.25">
      <c r="B97" s="122"/>
      <c r="G97" s="121"/>
      <c r="H97" s="163" t="str">
        <f t="shared" si="4"/>
        <v/>
      </c>
    </row>
    <row r="98" spans="2:8" x14ac:dyDescent="0.25">
      <c r="B98" s="122"/>
      <c r="G98" s="121"/>
      <c r="H98" s="163" t="str">
        <f t="shared" si="4"/>
        <v/>
      </c>
    </row>
    <row r="99" spans="2:8" x14ac:dyDescent="0.25">
      <c r="B99" s="122"/>
      <c r="G99" s="121"/>
      <c r="H99" s="163" t="str">
        <f t="shared" si="4"/>
        <v/>
      </c>
    </row>
    <row r="100" spans="2:8" x14ac:dyDescent="0.25">
      <c r="B100" s="122"/>
      <c r="G100" s="121"/>
      <c r="H100" s="163" t="str">
        <f t="shared" si="4"/>
        <v/>
      </c>
    </row>
    <row r="101" spans="2:8" x14ac:dyDescent="0.25">
      <c r="B101" s="122"/>
      <c r="G101" s="121"/>
      <c r="H101" s="163" t="str">
        <f t="shared" si="4"/>
        <v/>
      </c>
    </row>
    <row r="102" spans="2:8" x14ac:dyDescent="0.25">
      <c r="B102" s="122"/>
      <c r="G102" s="121"/>
      <c r="H102" s="163" t="str">
        <f t="shared" si="4"/>
        <v/>
      </c>
    </row>
    <row r="103" spans="2:8" x14ac:dyDescent="0.25">
      <c r="B103" s="122"/>
      <c r="G103" s="121"/>
      <c r="H103" s="163" t="str">
        <f t="shared" si="4"/>
        <v/>
      </c>
    </row>
    <row r="104" spans="2:8" x14ac:dyDescent="0.25">
      <c r="B104" s="122"/>
      <c r="G104" s="121"/>
      <c r="H104" s="163" t="str">
        <f t="shared" si="4"/>
        <v/>
      </c>
    </row>
    <row r="105" spans="2:8" x14ac:dyDescent="0.25">
      <c r="B105" s="122"/>
      <c r="G105" s="121"/>
      <c r="H105" s="163" t="str">
        <f t="shared" si="4"/>
        <v/>
      </c>
    </row>
    <row r="106" spans="2:8" x14ac:dyDescent="0.25">
      <c r="B106" s="122"/>
      <c r="G106" s="121"/>
      <c r="H106" s="163" t="str">
        <f t="shared" si="4"/>
        <v/>
      </c>
    </row>
    <row r="107" spans="2:8" x14ac:dyDescent="0.25">
      <c r="B107" s="122"/>
      <c r="G107" s="121"/>
      <c r="H107" s="163" t="str">
        <f t="shared" si="4"/>
        <v/>
      </c>
    </row>
    <row r="108" spans="2:8" x14ac:dyDescent="0.25">
      <c r="B108" s="122"/>
      <c r="G108" s="121"/>
      <c r="H108" s="163" t="str">
        <f t="shared" si="4"/>
        <v/>
      </c>
    </row>
    <row r="109" spans="2:8" x14ac:dyDescent="0.25">
      <c r="B109" s="122"/>
      <c r="G109" s="121"/>
      <c r="H109" s="163" t="str">
        <f t="shared" si="4"/>
        <v/>
      </c>
    </row>
    <row r="110" spans="2:8" x14ac:dyDescent="0.25">
      <c r="B110" s="122"/>
      <c r="G110" s="121"/>
      <c r="H110" s="163" t="str">
        <f t="shared" si="4"/>
        <v/>
      </c>
    </row>
    <row r="111" spans="2:8" x14ac:dyDescent="0.25">
      <c r="B111" s="122"/>
      <c r="G111" s="121"/>
      <c r="H111" s="163" t="str">
        <f t="shared" si="4"/>
        <v/>
      </c>
    </row>
    <row r="112" spans="2:8" x14ac:dyDescent="0.25">
      <c r="B112" s="122"/>
      <c r="G112" s="121"/>
      <c r="H112" s="163" t="str">
        <f t="shared" si="4"/>
        <v/>
      </c>
    </row>
    <row r="113" spans="2:8" x14ac:dyDescent="0.25">
      <c r="B113" s="122"/>
      <c r="G113" s="121"/>
      <c r="H113" s="163" t="str">
        <f t="shared" si="4"/>
        <v/>
      </c>
    </row>
    <row r="114" spans="2:8" x14ac:dyDescent="0.25">
      <c r="B114" s="122"/>
      <c r="G114" s="121"/>
      <c r="H114" s="163" t="str">
        <f t="shared" si="4"/>
        <v/>
      </c>
    </row>
    <row r="115" spans="2:8" x14ac:dyDescent="0.25">
      <c r="B115" s="122"/>
      <c r="G115" s="121"/>
      <c r="H115" s="163" t="str">
        <f t="shared" si="4"/>
        <v/>
      </c>
    </row>
    <row r="116" spans="2:8" x14ac:dyDescent="0.25">
      <c r="B116" s="122"/>
      <c r="G116" s="121"/>
      <c r="H116" s="163" t="str">
        <f t="shared" si="4"/>
        <v/>
      </c>
    </row>
    <row r="117" spans="2:8" x14ac:dyDescent="0.25">
      <c r="B117" s="122"/>
      <c r="G117" s="121"/>
      <c r="H117" s="163" t="str">
        <f t="shared" si="4"/>
        <v/>
      </c>
    </row>
    <row r="118" spans="2:8" x14ac:dyDescent="0.25">
      <c r="B118" s="122"/>
      <c r="G118" s="121"/>
      <c r="H118" s="163" t="str">
        <f t="shared" si="4"/>
        <v/>
      </c>
    </row>
    <row r="119" spans="2:8" x14ac:dyDescent="0.25">
      <c r="B119" s="122"/>
      <c r="G119" s="121"/>
      <c r="H119" s="163" t="str">
        <f t="shared" si="4"/>
        <v/>
      </c>
    </row>
    <row r="120" spans="2:8" x14ac:dyDescent="0.25">
      <c r="B120" s="122"/>
      <c r="G120" s="121"/>
      <c r="H120" s="163" t="str">
        <f t="shared" si="4"/>
        <v/>
      </c>
    </row>
    <row r="121" spans="2:8" x14ac:dyDescent="0.25">
      <c r="B121" s="122"/>
      <c r="G121" s="121"/>
      <c r="H121" s="163" t="str">
        <f t="shared" si="4"/>
        <v/>
      </c>
    </row>
    <row r="122" spans="2:8" x14ac:dyDescent="0.25">
      <c r="B122" s="122"/>
      <c r="G122" s="121"/>
      <c r="H122" s="163" t="str">
        <f t="shared" si="4"/>
        <v/>
      </c>
    </row>
    <row r="123" spans="2:8" x14ac:dyDescent="0.25">
      <c r="B123" s="122"/>
      <c r="G123" s="121"/>
      <c r="H123" s="163" t="str">
        <f t="shared" si="4"/>
        <v/>
      </c>
    </row>
    <row r="124" spans="2:8" x14ac:dyDescent="0.25">
      <c r="B124" s="122"/>
      <c r="G124" s="121"/>
      <c r="H124" s="163" t="str">
        <f t="shared" si="4"/>
        <v/>
      </c>
    </row>
    <row r="125" spans="2:8" x14ac:dyDescent="0.25">
      <c r="B125" s="122"/>
      <c r="G125" s="121"/>
      <c r="H125" s="163" t="str">
        <f t="shared" si="4"/>
        <v/>
      </c>
    </row>
    <row r="126" spans="2:8" x14ac:dyDescent="0.25">
      <c r="B126" s="122"/>
      <c r="G126" s="121"/>
      <c r="H126" s="163" t="str">
        <f t="shared" si="4"/>
        <v/>
      </c>
    </row>
    <row r="127" spans="2:8" x14ac:dyDescent="0.25">
      <c r="B127" s="122"/>
      <c r="G127" s="121"/>
      <c r="H127" s="163" t="str">
        <f t="shared" si="4"/>
        <v/>
      </c>
    </row>
    <row r="128" spans="2:8" x14ac:dyDescent="0.25">
      <c r="B128" s="122"/>
      <c r="G128" s="121"/>
      <c r="H128" s="163" t="str">
        <f t="shared" si="4"/>
        <v/>
      </c>
    </row>
    <row r="129" spans="2:8" x14ac:dyDescent="0.25">
      <c r="B129" s="122"/>
      <c r="G129" s="121"/>
      <c r="H129" s="163" t="str">
        <f t="shared" si="4"/>
        <v/>
      </c>
    </row>
    <row r="130" spans="2:8" x14ac:dyDescent="0.25">
      <c r="B130" s="122"/>
      <c r="G130" s="121"/>
      <c r="H130" s="163" t="str">
        <f t="shared" si="4"/>
        <v/>
      </c>
    </row>
    <row r="131" spans="2:8" x14ac:dyDescent="0.25">
      <c r="B131" s="122"/>
      <c r="G131" s="121"/>
      <c r="H131" s="163" t="str">
        <f t="shared" si="4"/>
        <v/>
      </c>
    </row>
    <row r="132" spans="2:8" x14ac:dyDescent="0.25">
      <c r="B132" s="122"/>
      <c r="G132" s="121"/>
      <c r="H132" s="163" t="str">
        <f t="shared" si="4"/>
        <v/>
      </c>
    </row>
    <row r="133" spans="2:8" x14ac:dyDescent="0.25">
      <c r="B133" s="122"/>
      <c r="G133" s="121"/>
      <c r="H133" s="163" t="str">
        <f t="shared" si="4"/>
        <v/>
      </c>
    </row>
    <row r="134" spans="2:8" x14ac:dyDescent="0.25">
      <c r="B134" s="122"/>
      <c r="G134" s="121"/>
      <c r="H134" s="163" t="str">
        <f t="shared" si="4"/>
        <v/>
      </c>
    </row>
    <row r="135" spans="2:8" x14ac:dyDescent="0.25">
      <c r="B135" s="122"/>
      <c r="G135" s="121"/>
      <c r="H135" s="163" t="str">
        <f t="shared" si="4"/>
        <v/>
      </c>
    </row>
    <row r="136" spans="2:8" x14ac:dyDescent="0.25">
      <c r="B136" s="122"/>
      <c r="G136" s="121"/>
      <c r="H136" s="163" t="str">
        <f t="shared" si="4"/>
        <v/>
      </c>
    </row>
    <row r="137" spans="2:8" x14ac:dyDescent="0.25">
      <c r="B137" s="122"/>
      <c r="G137" s="121"/>
      <c r="H137" s="163" t="str">
        <f t="shared" si="4"/>
        <v/>
      </c>
    </row>
    <row r="138" spans="2:8" x14ac:dyDescent="0.25">
      <c r="B138" s="122"/>
      <c r="G138" s="121"/>
      <c r="H138" s="163" t="str">
        <f t="shared" si="4"/>
        <v/>
      </c>
    </row>
    <row r="139" spans="2:8" x14ac:dyDescent="0.25">
      <c r="B139" s="122"/>
      <c r="G139" s="121"/>
      <c r="H139" s="163" t="str">
        <f t="shared" si="4"/>
        <v/>
      </c>
    </row>
    <row r="140" spans="2:8" x14ac:dyDescent="0.25">
      <c r="B140" s="122"/>
      <c r="G140" s="121"/>
      <c r="H140" s="163" t="str">
        <f t="shared" si="4"/>
        <v/>
      </c>
    </row>
    <row r="141" spans="2:8" x14ac:dyDescent="0.25">
      <c r="B141" s="122"/>
      <c r="G141" s="121"/>
      <c r="H141" s="163" t="str">
        <f t="shared" si="4"/>
        <v/>
      </c>
    </row>
    <row r="142" spans="2:8" x14ac:dyDescent="0.25">
      <c r="B142" s="122"/>
      <c r="G142" s="121"/>
      <c r="H142" s="163" t="str">
        <f t="shared" si="4"/>
        <v/>
      </c>
    </row>
    <row r="143" spans="2:8" x14ac:dyDescent="0.25">
      <c r="B143" s="122"/>
      <c r="G143" s="121"/>
      <c r="H143" s="163" t="str">
        <f t="shared" si="4"/>
        <v/>
      </c>
    </row>
    <row r="144" spans="2:8" x14ac:dyDescent="0.25">
      <c r="B144" s="122"/>
      <c r="G144" s="121"/>
      <c r="H144" s="163" t="str">
        <f t="shared" si="4"/>
        <v/>
      </c>
    </row>
    <row r="145" spans="2:8" x14ac:dyDescent="0.25">
      <c r="B145" s="122"/>
      <c r="G145" s="121"/>
      <c r="H145" s="163" t="str">
        <f t="shared" si="4"/>
        <v/>
      </c>
    </row>
    <row r="146" spans="2:8" x14ac:dyDescent="0.25">
      <c r="B146" s="122"/>
      <c r="G146" s="121"/>
      <c r="H146" s="163" t="str">
        <f t="shared" si="4"/>
        <v/>
      </c>
    </row>
    <row r="147" spans="2:8" x14ac:dyDescent="0.25">
      <c r="B147" s="122"/>
      <c r="G147" s="121"/>
      <c r="H147" s="163" t="str">
        <f t="shared" ref="H147:H210" si="5">IFERROR(D147/E147,"")</f>
        <v/>
      </c>
    </row>
    <row r="148" spans="2:8" x14ac:dyDescent="0.25">
      <c r="B148" s="122"/>
      <c r="G148" s="121"/>
      <c r="H148" s="163" t="str">
        <f t="shared" si="5"/>
        <v/>
      </c>
    </row>
    <row r="149" spans="2:8" x14ac:dyDescent="0.25">
      <c r="B149" s="122"/>
      <c r="G149" s="121"/>
      <c r="H149" s="163" t="str">
        <f t="shared" si="5"/>
        <v/>
      </c>
    </row>
    <row r="150" spans="2:8" x14ac:dyDescent="0.25">
      <c r="B150" s="122"/>
      <c r="G150" s="121"/>
      <c r="H150" s="163" t="str">
        <f t="shared" si="5"/>
        <v/>
      </c>
    </row>
    <row r="151" spans="2:8" x14ac:dyDescent="0.25">
      <c r="B151" s="122"/>
      <c r="G151" s="121"/>
      <c r="H151" s="163" t="str">
        <f t="shared" si="5"/>
        <v/>
      </c>
    </row>
    <row r="152" spans="2:8" x14ac:dyDescent="0.25">
      <c r="B152" s="122"/>
      <c r="G152" s="121"/>
      <c r="H152" s="163" t="str">
        <f t="shared" si="5"/>
        <v/>
      </c>
    </row>
    <row r="153" spans="2:8" x14ac:dyDescent="0.25">
      <c r="B153" s="122"/>
      <c r="G153" s="121"/>
      <c r="H153" s="163" t="str">
        <f t="shared" si="5"/>
        <v/>
      </c>
    </row>
    <row r="154" spans="2:8" x14ac:dyDescent="0.25">
      <c r="B154" s="122"/>
      <c r="G154" s="121"/>
      <c r="H154" s="163" t="str">
        <f t="shared" si="5"/>
        <v/>
      </c>
    </row>
    <row r="155" spans="2:8" x14ac:dyDescent="0.25">
      <c r="B155" s="122"/>
      <c r="G155" s="121"/>
      <c r="H155" s="163" t="str">
        <f t="shared" si="5"/>
        <v/>
      </c>
    </row>
    <row r="156" spans="2:8" x14ac:dyDescent="0.25">
      <c r="B156" s="122"/>
      <c r="G156" s="121"/>
      <c r="H156" s="163" t="str">
        <f t="shared" si="5"/>
        <v/>
      </c>
    </row>
    <row r="157" spans="2:8" x14ac:dyDescent="0.25">
      <c r="B157" s="122"/>
      <c r="G157" s="121"/>
      <c r="H157" s="163" t="str">
        <f t="shared" si="5"/>
        <v/>
      </c>
    </row>
    <row r="158" spans="2:8" x14ac:dyDescent="0.25">
      <c r="B158" s="122"/>
      <c r="G158" s="121"/>
      <c r="H158" s="163" t="str">
        <f t="shared" si="5"/>
        <v/>
      </c>
    </row>
    <row r="159" spans="2:8" x14ac:dyDescent="0.25">
      <c r="B159" s="122"/>
      <c r="G159" s="121"/>
      <c r="H159" s="163" t="str">
        <f t="shared" si="5"/>
        <v/>
      </c>
    </row>
    <row r="160" spans="2:8" x14ac:dyDescent="0.25">
      <c r="B160" s="122"/>
      <c r="G160" s="121"/>
      <c r="H160" s="163" t="str">
        <f t="shared" si="5"/>
        <v/>
      </c>
    </row>
    <row r="161" spans="2:8" x14ac:dyDescent="0.25">
      <c r="B161" s="122"/>
      <c r="G161" s="121"/>
      <c r="H161" s="163" t="str">
        <f t="shared" si="5"/>
        <v/>
      </c>
    </row>
    <row r="162" spans="2:8" x14ac:dyDescent="0.25">
      <c r="B162" s="122"/>
      <c r="G162" s="121"/>
      <c r="H162" s="163" t="str">
        <f t="shared" si="5"/>
        <v/>
      </c>
    </row>
    <row r="163" spans="2:8" x14ac:dyDescent="0.25">
      <c r="B163" s="122"/>
      <c r="G163" s="121"/>
      <c r="H163" s="163" t="str">
        <f t="shared" si="5"/>
        <v/>
      </c>
    </row>
    <row r="164" spans="2:8" x14ac:dyDescent="0.25">
      <c r="B164" s="122"/>
      <c r="G164" s="121"/>
      <c r="H164" s="163" t="str">
        <f t="shared" si="5"/>
        <v/>
      </c>
    </row>
    <row r="165" spans="2:8" x14ac:dyDescent="0.25">
      <c r="B165" s="122"/>
      <c r="G165" s="121"/>
      <c r="H165" s="163" t="str">
        <f t="shared" si="5"/>
        <v/>
      </c>
    </row>
    <row r="166" spans="2:8" x14ac:dyDescent="0.25">
      <c r="B166" s="125"/>
      <c r="C166" s="126"/>
      <c r="D166" s="127"/>
      <c r="E166" s="127"/>
      <c r="F166" s="127"/>
      <c r="G166" s="128"/>
      <c r="H166" s="163" t="str">
        <f t="shared" si="5"/>
        <v/>
      </c>
    </row>
    <row r="167" spans="2:8" x14ac:dyDescent="0.25">
      <c r="B167" s="122"/>
      <c r="H167" s="163" t="str">
        <f t="shared" si="5"/>
        <v/>
      </c>
    </row>
    <row r="168" spans="2:8" x14ac:dyDescent="0.25">
      <c r="B168" s="122"/>
      <c r="H168" s="163" t="str">
        <f t="shared" si="5"/>
        <v/>
      </c>
    </row>
    <row r="169" spans="2:8" x14ac:dyDescent="0.25">
      <c r="B169" s="122"/>
      <c r="H169" s="163" t="str">
        <f t="shared" si="5"/>
        <v/>
      </c>
    </row>
    <row r="170" spans="2:8" x14ac:dyDescent="0.25">
      <c r="B170" s="122"/>
      <c r="H170" s="163" t="str">
        <f t="shared" si="5"/>
        <v/>
      </c>
    </row>
    <row r="171" spans="2:8" x14ac:dyDescent="0.25">
      <c r="B171" s="122"/>
      <c r="H171" s="163" t="str">
        <f t="shared" si="5"/>
        <v/>
      </c>
    </row>
    <row r="172" spans="2:8" x14ac:dyDescent="0.25">
      <c r="B172" s="122"/>
      <c r="H172" s="163" t="str">
        <f t="shared" si="5"/>
        <v/>
      </c>
    </row>
    <row r="173" spans="2:8" x14ac:dyDescent="0.25">
      <c r="B173" s="122"/>
      <c r="H173" s="163" t="str">
        <f t="shared" si="5"/>
        <v/>
      </c>
    </row>
    <row r="174" spans="2:8" x14ac:dyDescent="0.25">
      <c r="B174" s="122"/>
      <c r="H174" s="163" t="str">
        <f t="shared" si="5"/>
        <v/>
      </c>
    </row>
    <row r="175" spans="2:8" x14ac:dyDescent="0.25">
      <c r="B175" s="122"/>
      <c r="H175" s="163" t="str">
        <f t="shared" si="5"/>
        <v/>
      </c>
    </row>
    <row r="176" spans="2:8" x14ac:dyDescent="0.25">
      <c r="B176" s="122"/>
      <c r="H176" s="163" t="str">
        <f t="shared" si="5"/>
        <v/>
      </c>
    </row>
    <row r="177" spans="2:8" x14ac:dyDescent="0.25">
      <c r="B177" s="122"/>
      <c r="H177" s="163" t="str">
        <f t="shared" si="5"/>
        <v/>
      </c>
    </row>
    <row r="178" spans="2:8" x14ac:dyDescent="0.25">
      <c r="B178" s="122"/>
      <c r="H178" s="163" t="str">
        <f t="shared" si="5"/>
        <v/>
      </c>
    </row>
    <row r="179" spans="2:8" x14ac:dyDescent="0.25">
      <c r="B179" s="122"/>
      <c r="H179" s="163" t="str">
        <f t="shared" si="5"/>
        <v/>
      </c>
    </row>
    <row r="180" spans="2:8" x14ac:dyDescent="0.25">
      <c r="B180" s="122"/>
      <c r="H180" s="163" t="str">
        <f t="shared" si="5"/>
        <v/>
      </c>
    </row>
    <row r="181" spans="2:8" x14ac:dyDescent="0.25">
      <c r="B181" s="122"/>
      <c r="H181" s="163" t="str">
        <f t="shared" si="5"/>
        <v/>
      </c>
    </row>
    <row r="182" spans="2:8" x14ac:dyDescent="0.25">
      <c r="B182" s="122"/>
      <c r="H182" s="163" t="str">
        <f t="shared" si="5"/>
        <v/>
      </c>
    </row>
    <row r="183" spans="2:8" x14ac:dyDescent="0.25">
      <c r="B183" s="122"/>
      <c r="H183" s="163" t="str">
        <f t="shared" si="5"/>
        <v/>
      </c>
    </row>
    <row r="184" spans="2:8" x14ac:dyDescent="0.25">
      <c r="B184" s="122"/>
      <c r="H184" s="163" t="str">
        <f t="shared" si="5"/>
        <v/>
      </c>
    </row>
    <row r="185" spans="2:8" x14ac:dyDescent="0.25">
      <c r="B185" s="122"/>
      <c r="H185" s="163" t="str">
        <f t="shared" si="5"/>
        <v/>
      </c>
    </row>
    <row r="186" spans="2:8" x14ac:dyDescent="0.25">
      <c r="B186" s="122"/>
      <c r="H186" s="163" t="str">
        <f t="shared" si="5"/>
        <v/>
      </c>
    </row>
    <row r="187" spans="2:8" x14ac:dyDescent="0.25">
      <c r="B187" s="122"/>
      <c r="H187" s="163" t="str">
        <f t="shared" si="5"/>
        <v/>
      </c>
    </row>
    <row r="188" spans="2:8" x14ac:dyDescent="0.25">
      <c r="B188" s="122"/>
      <c r="H188" s="163" t="str">
        <f t="shared" si="5"/>
        <v/>
      </c>
    </row>
    <row r="189" spans="2:8" x14ac:dyDescent="0.25">
      <c r="B189" s="122"/>
      <c r="H189" s="163" t="str">
        <f t="shared" si="5"/>
        <v/>
      </c>
    </row>
    <row r="190" spans="2:8" x14ac:dyDescent="0.25">
      <c r="B190" s="122"/>
      <c r="H190" s="163" t="str">
        <f t="shared" si="5"/>
        <v/>
      </c>
    </row>
    <row r="191" spans="2:8" x14ac:dyDescent="0.25">
      <c r="B191" s="122"/>
      <c r="H191" s="163" t="str">
        <f t="shared" si="5"/>
        <v/>
      </c>
    </row>
    <row r="192" spans="2:8" x14ac:dyDescent="0.25">
      <c r="B192" s="122"/>
      <c r="H192" s="163" t="str">
        <f t="shared" si="5"/>
        <v/>
      </c>
    </row>
    <row r="193" spans="2:8" x14ac:dyDescent="0.25">
      <c r="B193" s="122"/>
      <c r="H193" s="163" t="str">
        <f t="shared" si="5"/>
        <v/>
      </c>
    </row>
    <row r="194" spans="2:8" x14ac:dyDescent="0.25">
      <c r="B194" s="122"/>
      <c r="H194" s="163" t="str">
        <f t="shared" si="5"/>
        <v/>
      </c>
    </row>
    <row r="195" spans="2:8" x14ac:dyDescent="0.25">
      <c r="B195" s="122"/>
      <c r="H195" s="163" t="str">
        <f t="shared" si="5"/>
        <v/>
      </c>
    </row>
    <row r="196" spans="2:8" x14ac:dyDescent="0.25">
      <c r="B196" s="122"/>
      <c r="H196" s="163" t="str">
        <f t="shared" si="5"/>
        <v/>
      </c>
    </row>
    <row r="197" spans="2:8" x14ac:dyDescent="0.25">
      <c r="B197" s="122"/>
      <c r="H197" s="163" t="str">
        <f t="shared" si="5"/>
        <v/>
      </c>
    </row>
    <row r="198" spans="2:8" x14ac:dyDescent="0.25">
      <c r="B198" s="122"/>
      <c r="H198" s="163" t="str">
        <f t="shared" si="5"/>
        <v/>
      </c>
    </row>
    <row r="199" spans="2:8" x14ac:dyDescent="0.25">
      <c r="B199" s="122"/>
      <c r="H199" s="163" t="str">
        <f t="shared" si="5"/>
        <v/>
      </c>
    </row>
    <row r="200" spans="2:8" x14ac:dyDescent="0.25">
      <c r="B200" s="122"/>
      <c r="H200" s="163" t="str">
        <f t="shared" si="5"/>
        <v/>
      </c>
    </row>
    <row r="201" spans="2:8" x14ac:dyDescent="0.25">
      <c r="B201" s="122"/>
      <c r="H201" s="163" t="str">
        <f t="shared" si="5"/>
        <v/>
      </c>
    </row>
    <row r="202" spans="2:8" x14ac:dyDescent="0.25">
      <c r="B202" s="122"/>
      <c r="H202" s="163" t="str">
        <f t="shared" si="5"/>
        <v/>
      </c>
    </row>
    <row r="203" spans="2:8" x14ac:dyDescent="0.25">
      <c r="B203" s="122"/>
      <c r="H203" s="163" t="str">
        <f t="shared" si="5"/>
        <v/>
      </c>
    </row>
    <row r="204" spans="2:8" x14ac:dyDescent="0.25">
      <c r="B204" s="122"/>
      <c r="H204" s="163" t="str">
        <f t="shared" si="5"/>
        <v/>
      </c>
    </row>
    <row r="205" spans="2:8" x14ac:dyDescent="0.25">
      <c r="B205" s="122"/>
      <c r="H205" s="163" t="str">
        <f t="shared" si="5"/>
        <v/>
      </c>
    </row>
    <row r="206" spans="2:8" x14ac:dyDescent="0.25">
      <c r="B206" s="122"/>
      <c r="H206" s="163" t="str">
        <f t="shared" si="5"/>
        <v/>
      </c>
    </row>
    <row r="207" spans="2:8" x14ac:dyDescent="0.25">
      <c r="B207" s="122"/>
      <c r="H207" s="163" t="str">
        <f t="shared" si="5"/>
        <v/>
      </c>
    </row>
    <row r="208" spans="2:8" x14ac:dyDescent="0.25">
      <c r="B208" s="122"/>
      <c r="H208" s="163" t="str">
        <f t="shared" si="5"/>
        <v/>
      </c>
    </row>
    <row r="209" spans="2:8" x14ac:dyDescent="0.25">
      <c r="B209" s="122"/>
      <c r="H209" s="163" t="str">
        <f t="shared" si="5"/>
        <v/>
      </c>
    </row>
    <row r="210" spans="2:8" x14ac:dyDescent="0.25">
      <c r="B210" s="122"/>
      <c r="H210" s="163" t="str">
        <f t="shared" si="5"/>
        <v/>
      </c>
    </row>
    <row r="211" spans="2:8" x14ac:dyDescent="0.25">
      <c r="B211" s="122"/>
      <c r="H211" s="163" t="str">
        <f t="shared" ref="H211:H274" si="6">IFERROR(D211/E211,"")</f>
        <v/>
      </c>
    </row>
    <row r="212" spans="2:8" x14ac:dyDescent="0.25">
      <c r="B212" s="122"/>
      <c r="H212" s="163" t="str">
        <f t="shared" si="6"/>
        <v/>
      </c>
    </row>
    <row r="213" spans="2:8" x14ac:dyDescent="0.25">
      <c r="B213" s="122"/>
      <c r="H213" s="163" t="str">
        <f t="shared" si="6"/>
        <v/>
      </c>
    </row>
    <row r="214" spans="2:8" x14ac:dyDescent="0.25">
      <c r="B214" s="122"/>
      <c r="H214" s="163" t="str">
        <f t="shared" si="6"/>
        <v/>
      </c>
    </row>
    <row r="215" spans="2:8" x14ac:dyDescent="0.25">
      <c r="B215" s="122"/>
      <c r="H215" s="163" t="str">
        <f t="shared" si="6"/>
        <v/>
      </c>
    </row>
    <row r="216" spans="2:8" x14ac:dyDescent="0.25">
      <c r="B216" s="122"/>
      <c r="H216" s="163" t="str">
        <f t="shared" si="6"/>
        <v/>
      </c>
    </row>
    <row r="217" spans="2:8" x14ac:dyDescent="0.25">
      <c r="B217" s="122"/>
      <c r="H217" s="163" t="str">
        <f t="shared" si="6"/>
        <v/>
      </c>
    </row>
    <row r="218" spans="2:8" x14ac:dyDescent="0.25">
      <c r="B218" s="122"/>
      <c r="H218" s="163" t="str">
        <f t="shared" si="6"/>
        <v/>
      </c>
    </row>
    <row r="219" spans="2:8" x14ac:dyDescent="0.25">
      <c r="B219" s="122"/>
      <c r="H219" s="163" t="str">
        <f t="shared" si="6"/>
        <v/>
      </c>
    </row>
    <row r="220" spans="2:8" x14ac:dyDescent="0.25">
      <c r="B220" s="122"/>
      <c r="H220" s="163" t="str">
        <f t="shared" si="6"/>
        <v/>
      </c>
    </row>
    <row r="221" spans="2:8" x14ac:dyDescent="0.25">
      <c r="B221" s="122"/>
      <c r="H221" s="163" t="str">
        <f t="shared" si="6"/>
        <v/>
      </c>
    </row>
    <row r="222" spans="2:8" x14ac:dyDescent="0.25">
      <c r="B222" s="122"/>
      <c r="H222" s="163" t="str">
        <f t="shared" si="6"/>
        <v/>
      </c>
    </row>
    <row r="223" spans="2:8" x14ac:dyDescent="0.25">
      <c r="B223" s="122"/>
      <c r="H223" s="163" t="str">
        <f t="shared" si="6"/>
        <v/>
      </c>
    </row>
    <row r="224" spans="2:8" x14ac:dyDescent="0.25">
      <c r="B224" s="122"/>
      <c r="H224" s="163" t="str">
        <f t="shared" si="6"/>
        <v/>
      </c>
    </row>
    <row r="225" spans="2:8" x14ac:dyDescent="0.25">
      <c r="B225" s="122"/>
      <c r="H225" s="163" t="str">
        <f t="shared" si="6"/>
        <v/>
      </c>
    </row>
    <row r="226" spans="2:8" x14ac:dyDescent="0.25">
      <c r="B226" s="122"/>
      <c r="H226" s="163" t="str">
        <f t="shared" si="6"/>
        <v/>
      </c>
    </row>
    <row r="227" spans="2:8" x14ac:dyDescent="0.25">
      <c r="B227" s="122"/>
      <c r="H227" s="163" t="str">
        <f t="shared" si="6"/>
        <v/>
      </c>
    </row>
    <row r="228" spans="2:8" x14ac:dyDescent="0.25">
      <c r="B228" s="122"/>
      <c r="H228" s="163" t="str">
        <f t="shared" si="6"/>
        <v/>
      </c>
    </row>
    <row r="229" spans="2:8" x14ac:dyDescent="0.25">
      <c r="B229" s="122"/>
      <c r="H229" s="163" t="str">
        <f t="shared" si="6"/>
        <v/>
      </c>
    </row>
    <row r="230" spans="2:8" x14ac:dyDescent="0.25">
      <c r="B230" s="122"/>
      <c r="H230" s="163" t="str">
        <f t="shared" si="6"/>
        <v/>
      </c>
    </row>
    <row r="231" spans="2:8" x14ac:dyDescent="0.25">
      <c r="B231" s="122"/>
      <c r="H231" s="163" t="str">
        <f t="shared" si="6"/>
        <v/>
      </c>
    </row>
    <row r="232" spans="2:8" x14ac:dyDescent="0.25">
      <c r="B232" s="122"/>
      <c r="H232" s="163" t="str">
        <f t="shared" si="6"/>
        <v/>
      </c>
    </row>
    <row r="233" spans="2:8" x14ac:dyDescent="0.25">
      <c r="B233" s="122"/>
      <c r="H233" s="163" t="str">
        <f t="shared" si="6"/>
        <v/>
      </c>
    </row>
    <row r="234" spans="2:8" x14ac:dyDescent="0.25">
      <c r="B234" s="122"/>
      <c r="H234" s="163" t="str">
        <f t="shared" si="6"/>
        <v/>
      </c>
    </row>
    <row r="235" spans="2:8" x14ac:dyDescent="0.25">
      <c r="B235" s="122"/>
      <c r="H235" s="163" t="str">
        <f t="shared" si="6"/>
        <v/>
      </c>
    </row>
    <row r="236" spans="2:8" x14ac:dyDescent="0.25">
      <c r="B236" s="122"/>
      <c r="H236" s="163" t="str">
        <f t="shared" si="6"/>
        <v/>
      </c>
    </row>
    <row r="237" spans="2:8" x14ac:dyDescent="0.25">
      <c r="B237" s="122"/>
      <c r="H237" s="163" t="str">
        <f t="shared" si="6"/>
        <v/>
      </c>
    </row>
    <row r="238" spans="2:8" x14ac:dyDescent="0.25">
      <c r="B238" s="122"/>
      <c r="H238" s="163" t="str">
        <f t="shared" si="6"/>
        <v/>
      </c>
    </row>
    <row r="239" spans="2:8" x14ac:dyDescent="0.25">
      <c r="B239" s="122"/>
      <c r="H239" s="163" t="str">
        <f t="shared" si="6"/>
        <v/>
      </c>
    </row>
    <row r="240" spans="2:8" x14ac:dyDescent="0.25">
      <c r="B240" s="122"/>
      <c r="H240" s="163" t="str">
        <f t="shared" si="6"/>
        <v/>
      </c>
    </row>
    <row r="241" spans="2:8" x14ac:dyDescent="0.25">
      <c r="B241" s="122"/>
      <c r="H241" s="163" t="str">
        <f t="shared" si="6"/>
        <v/>
      </c>
    </row>
    <row r="242" spans="2:8" x14ac:dyDescent="0.25">
      <c r="B242" s="122"/>
      <c r="H242" s="163" t="str">
        <f t="shared" si="6"/>
        <v/>
      </c>
    </row>
    <row r="243" spans="2:8" x14ac:dyDescent="0.25">
      <c r="B243" s="122"/>
      <c r="H243" s="163" t="str">
        <f t="shared" si="6"/>
        <v/>
      </c>
    </row>
    <row r="244" spans="2:8" x14ac:dyDescent="0.25">
      <c r="B244" s="122"/>
      <c r="H244" s="163" t="str">
        <f t="shared" si="6"/>
        <v/>
      </c>
    </row>
    <row r="245" spans="2:8" x14ac:dyDescent="0.25">
      <c r="B245" s="122"/>
      <c r="H245" s="163" t="str">
        <f t="shared" si="6"/>
        <v/>
      </c>
    </row>
    <row r="246" spans="2:8" x14ac:dyDescent="0.25">
      <c r="B246" s="122"/>
      <c r="H246" s="163" t="str">
        <f t="shared" si="6"/>
        <v/>
      </c>
    </row>
    <row r="247" spans="2:8" x14ac:dyDescent="0.25">
      <c r="B247" s="122"/>
      <c r="H247" s="163" t="str">
        <f t="shared" si="6"/>
        <v/>
      </c>
    </row>
    <row r="248" spans="2:8" x14ac:dyDescent="0.25">
      <c r="B248" s="122"/>
      <c r="H248" s="163" t="str">
        <f t="shared" si="6"/>
        <v/>
      </c>
    </row>
    <row r="249" spans="2:8" x14ac:dyDescent="0.25">
      <c r="B249" s="122"/>
      <c r="H249" s="163" t="str">
        <f t="shared" si="6"/>
        <v/>
      </c>
    </row>
    <row r="250" spans="2:8" x14ac:dyDescent="0.25">
      <c r="B250" s="122"/>
      <c r="H250" s="163" t="str">
        <f t="shared" si="6"/>
        <v/>
      </c>
    </row>
    <row r="251" spans="2:8" x14ac:dyDescent="0.25">
      <c r="B251" s="122"/>
      <c r="H251" s="163" t="str">
        <f t="shared" si="6"/>
        <v/>
      </c>
    </row>
    <row r="252" spans="2:8" x14ac:dyDescent="0.25">
      <c r="B252" s="122"/>
      <c r="H252" s="163" t="str">
        <f t="shared" si="6"/>
        <v/>
      </c>
    </row>
    <row r="253" spans="2:8" x14ac:dyDescent="0.25">
      <c r="B253" s="122"/>
      <c r="H253" s="163" t="str">
        <f t="shared" si="6"/>
        <v/>
      </c>
    </row>
    <row r="254" spans="2:8" x14ac:dyDescent="0.25">
      <c r="B254" s="122"/>
      <c r="H254" s="163" t="str">
        <f t="shared" si="6"/>
        <v/>
      </c>
    </row>
    <row r="255" spans="2:8" x14ac:dyDescent="0.25">
      <c r="B255" s="122"/>
      <c r="H255" s="163" t="str">
        <f t="shared" si="6"/>
        <v/>
      </c>
    </row>
    <row r="256" spans="2:8" x14ac:dyDescent="0.25">
      <c r="B256" s="122"/>
      <c r="H256" s="163" t="str">
        <f t="shared" si="6"/>
        <v/>
      </c>
    </row>
    <row r="257" spans="2:8" x14ac:dyDescent="0.25">
      <c r="B257" s="122"/>
      <c r="H257" s="163" t="str">
        <f t="shared" si="6"/>
        <v/>
      </c>
    </row>
    <row r="258" spans="2:8" x14ac:dyDescent="0.25">
      <c r="B258" s="122"/>
      <c r="H258" s="163" t="str">
        <f t="shared" si="6"/>
        <v/>
      </c>
    </row>
    <row r="259" spans="2:8" x14ac:dyDescent="0.25">
      <c r="B259" s="122"/>
      <c r="H259" s="163" t="str">
        <f t="shared" si="6"/>
        <v/>
      </c>
    </row>
    <row r="260" spans="2:8" x14ac:dyDescent="0.25">
      <c r="B260" s="122"/>
      <c r="H260" s="163" t="str">
        <f t="shared" si="6"/>
        <v/>
      </c>
    </row>
    <row r="261" spans="2:8" x14ac:dyDescent="0.25">
      <c r="B261" s="122"/>
      <c r="H261" s="163" t="str">
        <f t="shared" si="6"/>
        <v/>
      </c>
    </row>
    <row r="262" spans="2:8" x14ac:dyDescent="0.25">
      <c r="B262" s="122"/>
      <c r="H262" s="163" t="str">
        <f t="shared" si="6"/>
        <v/>
      </c>
    </row>
    <row r="263" spans="2:8" x14ac:dyDescent="0.25">
      <c r="B263" s="122"/>
      <c r="H263" s="163" t="str">
        <f t="shared" si="6"/>
        <v/>
      </c>
    </row>
    <row r="264" spans="2:8" x14ac:dyDescent="0.25">
      <c r="B264" s="122"/>
      <c r="H264" s="163" t="str">
        <f t="shared" si="6"/>
        <v/>
      </c>
    </row>
    <row r="265" spans="2:8" x14ac:dyDescent="0.25">
      <c r="B265" s="122"/>
      <c r="H265" s="163" t="str">
        <f t="shared" si="6"/>
        <v/>
      </c>
    </row>
    <row r="266" spans="2:8" x14ac:dyDescent="0.25">
      <c r="B266" s="122"/>
      <c r="H266" s="163" t="str">
        <f t="shared" si="6"/>
        <v/>
      </c>
    </row>
    <row r="267" spans="2:8" x14ac:dyDescent="0.25">
      <c r="B267" s="122"/>
      <c r="H267" s="163" t="str">
        <f t="shared" si="6"/>
        <v/>
      </c>
    </row>
    <row r="268" spans="2:8" x14ac:dyDescent="0.25">
      <c r="B268" s="122"/>
      <c r="H268" s="163" t="str">
        <f t="shared" si="6"/>
        <v/>
      </c>
    </row>
    <row r="269" spans="2:8" x14ac:dyDescent="0.25">
      <c r="B269" s="122"/>
      <c r="H269" s="163" t="str">
        <f t="shared" si="6"/>
        <v/>
      </c>
    </row>
    <row r="270" spans="2:8" x14ac:dyDescent="0.25">
      <c r="B270" s="122"/>
      <c r="H270" s="163" t="str">
        <f t="shared" si="6"/>
        <v/>
      </c>
    </row>
    <row r="271" spans="2:8" x14ac:dyDescent="0.25">
      <c r="B271" s="122"/>
      <c r="H271" s="163" t="str">
        <f t="shared" si="6"/>
        <v/>
      </c>
    </row>
    <row r="272" spans="2:8" x14ac:dyDescent="0.25">
      <c r="B272" s="122"/>
      <c r="H272" s="163" t="str">
        <f t="shared" si="6"/>
        <v/>
      </c>
    </row>
    <row r="273" spans="2:8" x14ac:dyDescent="0.25">
      <c r="B273" s="122"/>
      <c r="H273" s="163" t="str">
        <f t="shared" si="6"/>
        <v/>
      </c>
    </row>
    <row r="274" spans="2:8" x14ac:dyDescent="0.25">
      <c r="B274" s="122"/>
      <c r="H274" s="163" t="str">
        <f t="shared" si="6"/>
        <v/>
      </c>
    </row>
    <row r="275" spans="2:8" x14ac:dyDescent="0.25">
      <c r="B275" s="122"/>
      <c r="H275" s="163" t="str">
        <f t="shared" ref="H275:H338" si="7">IFERROR(D275/E275,"")</f>
        <v/>
      </c>
    </row>
    <row r="276" spans="2:8" x14ac:dyDescent="0.25">
      <c r="B276" s="122"/>
      <c r="H276" s="163" t="str">
        <f t="shared" si="7"/>
        <v/>
      </c>
    </row>
    <row r="277" spans="2:8" x14ac:dyDescent="0.25">
      <c r="B277" s="122"/>
      <c r="H277" s="163" t="str">
        <f t="shared" si="7"/>
        <v/>
      </c>
    </row>
    <row r="278" spans="2:8" x14ac:dyDescent="0.25">
      <c r="B278" s="122"/>
      <c r="H278" s="163" t="str">
        <f t="shared" si="7"/>
        <v/>
      </c>
    </row>
    <row r="279" spans="2:8" x14ac:dyDescent="0.25">
      <c r="B279" s="122"/>
      <c r="H279" s="163" t="str">
        <f t="shared" si="7"/>
        <v/>
      </c>
    </row>
    <row r="280" spans="2:8" x14ac:dyDescent="0.25">
      <c r="B280" s="122"/>
      <c r="H280" s="163" t="str">
        <f t="shared" si="7"/>
        <v/>
      </c>
    </row>
    <row r="281" spans="2:8" x14ac:dyDescent="0.25">
      <c r="B281" s="122"/>
      <c r="H281" s="163" t="str">
        <f t="shared" si="7"/>
        <v/>
      </c>
    </row>
    <row r="282" spans="2:8" x14ac:dyDescent="0.25">
      <c r="B282" s="122"/>
      <c r="H282" s="163" t="str">
        <f t="shared" si="7"/>
        <v/>
      </c>
    </row>
    <row r="283" spans="2:8" x14ac:dyDescent="0.25">
      <c r="B283" s="122"/>
      <c r="H283" s="163" t="str">
        <f t="shared" si="7"/>
        <v/>
      </c>
    </row>
    <row r="284" spans="2:8" x14ac:dyDescent="0.25">
      <c r="B284" s="122"/>
      <c r="H284" s="163" t="str">
        <f t="shared" si="7"/>
        <v/>
      </c>
    </row>
    <row r="285" spans="2:8" x14ac:dyDescent="0.25">
      <c r="B285" s="122"/>
      <c r="H285" s="163" t="str">
        <f t="shared" si="7"/>
        <v/>
      </c>
    </row>
    <row r="286" spans="2:8" x14ac:dyDescent="0.25">
      <c r="B286" s="122"/>
      <c r="H286" s="163" t="str">
        <f t="shared" si="7"/>
        <v/>
      </c>
    </row>
    <row r="287" spans="2:8" x14ac:dyDescent="0.25">
      <c r="B287" s="122"/>
      <c r="H287" s="163" t="str">
        <f t="shared" si="7"/>
        <v/>
      </c>
    </row>
    <row r="288" spans="2:8" x14ac:dyDescent="0.25">
      <c r="B288" s="122"/>
      <c r="H288" s="163" t="str">
        <f t="shared" si="7"/>
        <v/>
      </c>
    </row>
    <row r="289" spans="2:8" x14ac:dyDescent="0.25">
      <c r="B289" s="122"/>
      <c r="H289" s="163" t="str">
        <f t="shared" si="7"/>
        <v/>
      </c>
    </row>
    <row r="290" spans="2:8" x14ac:dyDescent="0.25">
      <c r="B290" s="122"/>
      <c r="H290" s="163" t="str">
        <f t="shared" si="7"/>
        <v/>
      </c>
    </row>
    <row r="291" spans="2:8" x14ac:dyDescent="0.25">
      <c r="B291" s="122"/>
      <c r="H291" s="163" t="str">
        <f t="shared" si="7"/>
        <v/>
      </c>
    </row>
    <row r="292" spans="2:8" x14ac:dyDescent="0.25">
      <c r="B292" s="122"/>
      <c r="H292" s="163" t="str">
        <f t="shared" si="7"/>
        <v/>
      </c>
    </row>
    <row r="293" spans="2:8" x14ac:dyDescent="0.25">
      <c r="B293" s="122"/>
      <c r="H293" s="163" t="str">
        <f t="shared" si="7"/>
        <v/>
      </c>
    </row>
    <row r="294" spans="2:8" x14ac:dyDescent="0.25">
      <c r="B294" s="122"/>
      <c r="H294" s="163" t="str">
        <f t="shared" si="7"/>
        <v/>
      </c>
    </row>
    <row r="295" spans="2:8" x14ac:dyDescent="0.25">
      <c r="B295" s="122"/>
      <c r="H295" s="163" t="str">
        <f t="shared" si="7"/>
        <v/>
      </c>
    </row>
    <row r="296" spans="2:8" x14ac:dyDescent="0.25">
      <c r="B296" s="122"/>
      <c r="H296" s="163" t="str">
        <f t="shared" si="7"/>
        <v/>
      </c>
    </row>
    <row r="297" spans="2:8" x14ac:dyDescent="0.25">
      <c r="B297" s="122"/>
      <c r="H297" s="163" t="str">
        <f t="shared" si="7"/>
        <v/>
      </c>
    </row>
    <row r="298" spans="2:8" x14ac:dyDescent="0.25">
      <c r="B298" s="122"/>
      <c r="H298" s="163" t="str">
        <f t="shared" si="7"/>
        <v/>
      </c>
    </row>
    <row r="299" spans="2:8" x14ac:dyDescent="0.25">
      <c r="B299" s="122"/>
      <c r="H299" s="163" t="str">
        <f t="shared" si="7"/>
        <v/>
      </c>
    </row>
    <row r="300" spans="2:8" x14ac:dyDescent="0.25">
      <c r="B300" s="122"/>
      <c r="H300" s="163" t="str">
        <f t="shared" si="7"/>
        <v/>
      </c>
    </row>
    <row r="301" spans="2:8" x14ac:dyDescent="0.25">
      <c r="B301" s="122"/>
      <c r="H301" s="163" t="str">
        <f t="shared" si="7"/>
        <v/>
      </c>
    </row>
    <row r="302" spans="2:8" x14ac:dyDescent="0.25">
      <c r="B302" s="122"/>
      <c r="H302" s="163" t="str">
        <f t="shared" si="7"/>
        <v/>
      </c>
    </row>
    <row r="303" spans="2:8" x14ac:dyDescent="0.25">
      <c r="B303" s="122"/>
      <c r="H303" s="163" t="str">
        <f t="shared" si="7"/>
        <v/>
      </c>
    </row>
    <row r="304" spans="2:8" x14ac:dyDescent="0.25">
      <c r="B304" s="122"/>
      <c r="H304" s="163" t="str">
        <f t="shared" si="7"/>
        <v/>
      </c>
    </row>
    <row r="305" spans="2:8" x14ac:dyDescent="0.25">
      <c r="B305" s="122"/>
      <c r="H305" s="163" t="str">
        <f t="shared" si="7"/>
        <v/>
      </c>
    </row>
    <row r="306" spans="2:8" x14ac:dyDescent="0.25">
      <c r="B306" s="122"/>
      <c r="H306" s="163" t="str">
        <f t="shared" si="7"/>
        <v/>
      </c>
    </row>
    <row r="307" spans="2:8" x14ac:dyDescent="0.25">
      <c r="B307" s="122"/>
      <c r="H307" s="163" t="str">
        <f t="shared" si="7"/>
        <v/>
      </c>
    </row>
    <row r="308" spans="2:8" x14ac:dyDescent="0.25">
      <c r="B308" s="122"/>
      <c r="H308" s="163" t="str">
        <f t="shared" si="7"/>
        <v/>
      </c>
    </row>
    <row r="309" spans="2:8" x14ac:dyDescent="0.25">
      <c r="B309" s="122"/>
      <c r="H309" s="163" t="str">
        <f t="shared" si="7"/>
        <v/>
      </c>
    </row>
    <row r="310" spans="2:8" x14ac:dyDescent="0.25">
      <c r="B310" s="122"/>
      <c r="H310" s="163" t="str">
        <f t="shared" si="7"/>
        <v/>
      </c>
    </row>
    <row r="311" spans="2:8" x14ac:dyDescent="0.25">
      <c r="B311" s="122"/>
      <c r="H311" s="163" t="str">
        <f t="shared" si="7"/>
        <v/>
      </c>
    </row>
    <row r="312" spans="2:8" x14ac:dyDescent="0.25">
      <c r="B312" s="122"/>
      <c r="H312" s="163" t="str">
        <f t="shared" si="7"/>
        <v/>
      </c>
    </row>
    <row r="313" spans="2:8" x14ac:dyDescent="0.25">
      <c r="B313" s="122"/>
      <c r="H313" s="163" t="str">
        <f t="shared" si="7"/>
        <v/>
      </c>
    </row>
    <row r="314" spans="2:8" x14ac:dyDescent="0.25">
      <c r="B314" s="122"/>
      <c r="H314" s="163" t="str">
        <f t="shared" si="7"/>
        <v/>
      </c>
    </row>
    <row r="315" spans="2:8" x14ac:dyDescent="0.25">
      <c r="B315" s="122"/>
      <c r="H315" s="163" t="str">
        <f t="shared" si="7"/>
        <v/>
      </c>
    </row>
    <row r="316" spans="2:8" x14ac:dyDescent="0.25">
      <c r="B316" s="122"/>
      <c r="H316" s="163" t="str">
        <f t="shared" si="7"/>
        <v/>
      </c>
    </row>
    <row r="317" spans="2:8" x14ac:dyDescent="0.25">
      <c r="B317" s="122"/>
      <c r="H317" s="163" t="str">
        <f t="shared" si="7"/>
        <v/>
      </c>
    </row>
    <row r="318" spans="2:8" x14ac:dyDescent="0.25">
      <c r="B318" s="122"/>
      <c r="H318" s="163" t="str">
        <f t="shared" si="7"/>
        <v/>
      </c>
    </row>
    <row r="319" spans="2:8" x14ac:dyDescent="0.25">
      <c r="B319" s="122"/>
      <c r="H319" s="163" t="str">
        <f t="shared" si="7"/>
        <v/>
      </c>
    </row>
    <row r="320" spans="2:8" x14ac:dyDescent="0.25">
      <c r="B320" s="122"/>
      <c r="H320" s="163" t="str">
        <f t="shared" si="7"/>
        <v/>
      </c>
    </row>
    <row r="321" spans="2:8" x14ac:dyDescent="0.25">
      <c r="B321" s="122"/>
      <c r="H321" s="163" t="str">
        <f t="shared" si="7"/>
        <v/>
      </c>
    </row>
    <row r="322" spans="2:8" x14ac:dyDescent="0.25">
      <c r="B322" s="122"/>
      <c r="H322" s="163" t="str">
        <f t="shared" si="7"/>
        <v/>
      </c>
    </row>
    <row r="323" spans="2:8" x14ac:dyDescent="0.25">
      <c r="B323" s="122"/>
      <c r="H323" s="163" t="str">
        <f t="shared" si="7"/>
        <v/>
      </c>
    </row>
    <row r="324" spans="2:8" x14ac:dyDescent="0.25">
      <c r="B324" s="122"/>
      <c r="H324" s="163" t="str">
        <f t="shared" si="7"/>
        <v/>
      </c>
    </row>
    <row r="325" spans="2:8" x14ac:dyDescent="0.25">
      <c r="B325" s="122"/>
      <c r="H325" s="163" t="str">
        <f t="shared" si="7"/>
        <v/>
      </c>
    </row>
    <row r="326" spans="2:8" x14ac:dyDescent="0.25">
      <c r="B326" s="122"/>
      <c r="H326" s="163" t="str">
        <f t="shared" si="7"/>
        <v/>
      </c>
    </row>
    <row r="327" spans="2:8" x14ac:dyDescent="0.25">
      <c r="B327" s="122"/>
      <c r="H327" s="163" t="str">
        <f t="shared" si="7"/>
        <v/>
      </c>
    </row>
    <row r="328" spans="2:8" x14ac:dyDescent="0.25">
      <c r="B328" s="122"/>
      <c r="H328" s="163" t="str">
        <f t="shared" si="7"/>
        <v/>
      </c>
    </row>
    <row r="329" spans="2:8" x14ac:dyDescent="0.25">
      <c r="B329" s="122"/>
      <c r="H329" s="163" t="str">
        <f t="shared" si="7"/>
        <v/>
      </c>
    </row>
    <row r="330" spans="2:8" x14ac:dyDescent="0.25">
      <c r="B330" s="122"/>
      <c r="H330" s="163" t="str">
        <f t="shared" si="7"/>
        <v/>
      </c>
    </row>
    <row r="331" spans="2:8" x14ac:dyDescent="0.25">
      <c r="B331" s="122"/>
      <c r="H331" s="163" t="str">
        <f t="shared" si="7"/>
        <v/>
      </c>
    </row>
    <row r="332" spans="2:8" x14ac:dyDescent="0.25">
      <c r="B332" s="122"/>
      <c r="H332" s="163" t="str">
        <f t="shared" si="7"/>
        <v/>
      </c>
    </row>
    <row r="333" spans="2:8" x14ac:dyDescent="0.25">
      <c r="B333" s="122"/>
      <c r="H333" s="163" t="str">
        <f t="shared" si="7"/>
        <v/>
      </c>
    </row>
    <row r="334" spans="2:8" x14ac:dyDescent="0.25">
      <c r="B334" s="122"/>
      <c r="H334" s="163" t="str">
        <f t="shared" si="7"/>
        <v/>
      </c>
    </row>
    <row r="335" spans="2:8" x14ac:dyDescent="0.25">
      <c r="B335" s="122"/>
      <c r="H335" s="163" t="str">
        <f t="shared" si="7"/>
        <v/>
      </c>
    </row>
    <row r="336" spans="2:8" x14ac:dyDescent="0.25">
      <c r="B336" s="122"/>
      <c r="H336" s="163" t="str">
        <f t="shared" si="7"/>
        <v/>
      </c>
    </row>
    <row r="337" spans="2:8" x14ac:dyDescent="0.25">
      <c r="B337" s="122"/>
      <c r="H337" s="163" t="str">
        <f t="shared" si="7"/>
        <v/>
      </c>
    </row>
    <row r="338" spans="2:8" x14ac:dyDescent="0.25">
      <c r="B338" s="122"/>
      <c r="H338" s="163" t="str">
        <f t="shared" si="7"/>
        <v/>
      </c>
    </row>
    <row r="339" spans="2:8" x14ac:dyDescent="0.25">
      <c r="B339" s="122"/>
      <c r="H339" s="163" t="str">
        <f t="shared" ref="H339:H402" si="8">IFERROR(D339/E339,"")</f>
        <v/>
      </c>
    </row>
    <row r="340" spans="2:8" x14ac:dyDescent="0.25">
      <c r="B340" s="122"/>
      <c r="H340" s="163" t="str">
        <f t="shared" si="8"/>
        <v/>
      </c>
    </row>
    <row r="341" spans="2:8" x14ac:dyDescent="0.25">
      <c r="B341" s="122"/>
      <c r="H341" s="163" t="str">
        <f t="shared" si="8"/>
        <v/>
      </c>
    </row>
    <row r="342" spans="2:8" x14ac:dyDescent="0.25">
      <c r="B342" s="122"/>
      <c r="H342" s="163" t="str">
        <f t="shared" si="8"/>
        <v/>
      </c>
    </row>
    <row r="343" spans="2:8" x14ac:dyDescent="0.25">
      <c r="B343" s="122"/>
      <c r="H343" s="163" t="str">
        <f t="shared" si="8"/>
        <v/>
      </c>
    </row>
    <row r="344" spans="2:8" x14ac:dyDescent="0.25">
      <c r="B344" s="122"/>
      <c r="H344" s="163" t="str">
        <f t="shared" si="8"/>
        <v/>
      </c>
    </row>
    <row r="345" spans="2:8" x14ac:dyDescent="0.25">
      <c r="B345" s="122"/>
      <c r="H345" s="163" t="str">
        <f t="shared" si="8"/>
        <v/>
      </c>
    </row>
    <row r="346" spans="2:8" x14ac:dyDescent="0.25">
      <c r="B346" s="122"/>
      <c r="H346" s="163" t="str">
        <f t="shared" si="8"/>
        <v/>
      </c>
    </row>
    <row r="347" spans="2:8" x14ac:dyDescent="0.25">
      <c r="B347" s="122"/>
      <c r="H347" s="163" t="str">
        <f t="shared" si="8"/>
        <v/>
      </c>
    </row>
    <row r="348" spans="2:8" x14ac:dyDescent="0.25">
      <c r="B348" s="122"/>
      <c r="H348" s="163" t="str">
        <f t="shared" si="8"/>
        <v/>
      </c>
    </row>
    <row r="349" spans="2:8" x14ac:dyDescent="0.25">
      <c r="B349" s="122"/>
      <c r="H349" s="163" t="str">
        <f t="shared" si="8"/>
        <v/>
      </c>
    </row>
    <row r="350" spans="2:8" x14ac:dyDescent="0.25">
      <c r="B350" s="122"/>
      <c r="H350" s="163" t="str">
        <f t="shared" si="8"/>
        <v/>
      </c>
    </row>
    <row r="351" spans="2:8" x14ac:dyDescent="0.25">
      <c r="B351" s="122"/>
      <c r="H351" s="163" t="str">
        <f t="shared" si="8"/>
        <v/>
      </c>
    </row>
    <row r="352" spans="2:8" x14ac:dyDescent="0.25">
      <c r="B352" s="122"/>
      <c r="H352" s="163" t="str">
        <f t="shared" si="8"/>
        <v/>
      </c>
    </row>
    <row r="353" spans="2:8" x14ac:dyDescent="0.25">
      <c r="B353" s="122"/>
      <c r="H353" s="163" t="str">
        <f t="shared" si="8"/>
        <v/>
      </c>
    </row>
    <row r="354" spans="2:8" x14ac:dyDescent="0.25">
      <c r="B354" s="122"/>
      <c r="H354" s="163" t="str">
        <f t="shared" si="8"/>
        <v/>
      </c>
    </row>
    <row r="355" spans="2:8" x14ac:dyDescent="0.25">
      <c r="B355" s="122"/>
      <c r="H355" s="163" t="str">
        <f t="shared" si="8"/>
        <v/>
      </c>
    </row>
    <row r="356" spans="2:8" x14ac:dyDescent="0.25">
      <c r="B356" s="122"/>
      <c r="H356" s="163" t="str">
        <f t="shared" si="8"/>
        <v/>
      </c>
    </row>
    <row r="357" spans="2:8" x14ac:dyDescent="0.25">
      <c r="B357" s="122"/>
      <c r="H357" s="163" t="str">
        <f t="shared" si="8"/>
        <v/>
      </c>
    </row>
    <row r="358" spans="2:8" x14ac:dyDescent="0.25">
      <c r="B358" s="122"/>
      <c r="H358" s="163" t="str">
        <f t="shared" si="8"/>
        <v/>
      </c>
    </row>
    <row r="359" spans="2:8" x14ac:dyDescent="0.25">
      <c r="B359" s="122"/>
      <c r="H359" s="163" t="str">
        <f t="shared" si="8"/>
        <v/>
      </c>
    </row>
    <row r="360" spans="2:8" x14ac:dyDescent="0.25">
      <c r="B360" s="122"/>
      <c r="H360" s="163" t="str">
        <f t="shared" si="8"/>
        <v/>
      </c>
    </row>
    <row r="361" spans="2:8" x14ac:dyDescent="0.25">
      <c r="B361" s="122"/>
      <c r="H361" s="163" t="str">
        <f t="shared" si="8"/>
        <v/>
      </c>
    </row>
    <row r="362" spans="2:8" x14ac:dyDescent="0.25">
      <c r="B362" s="122"/>
      <c r="H362" s="163" t="str">
        <f t="shared" si="8"/>
        <v/>
      </c>
    </row>
    <row r="363" spans="2:8" x14ac:dyDescent="0.25">
      <c r="B363" s="122"/>
      <c r="H363" s="163" t="str">
        <f t="shared" si="8"/>
        <v/>
      </c>
    </row>
    <row r="364" spans="2:8" x14ac:dyDescent="0.25">
      <c r="B364" s="122"/>
      <c r="H364" s="163" t="str">
        <f t="shared" si="8"/>
        <v/>
      </c>
    </row>
    <row r="365" spans="2:8" x14ac:dyDescent="0.25">
      <c r="B365" s="122"/>
      <c r="H365" s="163" t="str">
        <f t="shared" si="8"/>
        <v/>
      </c>
    </row>
    <row r="366" spans="2:8" x14ac:dyDescent="0.25">
      <c r="B366" s="122"/>
      <c r="H366" s="163" t="str">
        <f t="shared" si="8"/>
        <v/>
      </c>
    </row>
    <row r="367" spans="2:8" x14ac:dyDescent="0.25">
      <c r="B367" s="122"/>
      <c r="H367" s="163" t="str">
        <f t="shared" si="8"/>
        <v/>
      </c>
    </row>
    <row r="368" spans="2:8" x14ac:dyDescent="0.25">
      <c r="B368" s="122"/>
      <c r="H368" s="163" t="str">
        <f t="shared" si="8"/>
        <v/>
      </c>
    </row>
    <row r="369" spans="2:8" x14ac:dyDescent="0.25">
      <c r="B369" s="122"/>
      <c r="H369" s="163" t="str">
        <f t="shared" si="8"/>
        <v/>
      </c>
    </row>
    <row r="370" spans="2:8" x14ac:dyDescent="0.25">
      <c r="B370" s="122"/>
      <c r="H370" s="163" t="str">
        <f t="shared" si="8"/>
        <v/>
      </c>
    </row>
    <row r="371" spans="2:8" x14ac:dyDescent="0.25">
      <c r="B371" s="122"/>
      <c r="H371" s="163" t="str">
        <f t="shared" si="8"/>
        <v/>
      </c>
    </row>
    <row r="372" spans="2:8" x14ac:dyDescent="0.25">
      <c r="B372" s="122"/>
      <c r="H372" s="163" t="str">
        <f t="shared" si="8"/>
        <v/>
      </c>
    </row>
    <row r="373" spans="2:8" x14ac:dyDescent="0.25">
      <c r="B373" s="122"/>
      <c r="H373" s="163" t="str">
        <f t="shared" si="8"/>
        <v/>
      </c>
    </row>
    <row r="374" spans="2:8" x14ac:dyDescent="0.25">
      <c r="B374" s="122"/>
      <c r="H374" s="163" t="str">
        <f t="shared" si="8"/>
        <v/>
      </c>
    </row>
    <row r="375" spans="2:8" x14ac:dyDescent="0.25">
      <c r="B375" s="122"/>
      <c r="H375" s="163" t="str">
        <f t="shared" si="8"/>
        <v/>
      </c>
    </row>
    <row r="376" spans="2:8" x14ac:dyDescent="0.25">
      <c r="B376" s="122"/>
      <c r="H376" s="163" t="str">
        <f t="shared" si="8"/>
        <v/>
      </c>
    </row>
    <row r="377" spans="2:8" x14ac:dyDescent="0.25">
      <c r="B377" s="122"/>
      <c r="H377" s="163" t="str">
        <f t="shared" si="8"/>
        <v/>
      </c>
    </row>
    <row r="378" spans="2:8" x14ac:dyDescent="0.25">
      <c r="B378" s="122"/>
      <c r="H378" s="163" t="str">
        <f t="shared" si="8"/>
        <v/>
      </c>
    </row>
    <row r="379" spans="2:8" x14ac:dyDescent="0.25">
      <c r="B379" s="122"/>
      <c r="H379" s="163" t="str">
        <f t="shared" si="8"/>
        <v/>
      </c>
    </row>
    <row r="380" spans="2:8" x14ac:dyDescent="0.25">
      <c r="B380" s="122"/>
      <c r="H380" s="163" t="str">
        <f t="shared" si="8"/>
        <v/>
      </c>
    </row>
    <row r="381" spans="2:8" x14ac:dyDescent="0.25">
      <c r="B381" s="122"/>
      <c r="H381" s="163" t="str">
        <f t="shared" si="8"/>
        <v/>
      </c>
    </row>
    <row r="382" spans="2:8" x14ac:dyDescent="0.25">
      <c r="B382" s="122"/>
      <c r="H382" s="163" t="str">
        <f t="shared" si="8"/>
        <v/>
      </c>
    </row>
    <row r="383" spans="2:8" x14ac:dyDescent="0.25">
      <c r="B383" s="122"/>
      <c r="H383" s="163" t="str">
        <f t="shared" si="8"/>
        <v/>
      </c>
    </row>
    <row r="384" spans="2:8" x14ac:dyDescent="0.25">
      <c r="B384" s="122"/>
      <c r="H384" s="163" t="str">
        <f t="shared" si="8"/>
        <v/>
      </c>
    </row>
    <row r="385" spans="2:8" x14ac:dyDescent="0.25">
      <c r="B385" s="122"/>
      <c r="H385" s="163" t="str">
        <f t="shared" si="8"/>
        <v/>
      </c>
    </row>
    <row r="386" spans="2:8" x14ac:dyDescent="0.25">
      <c r="B386" s="122"/>
      <c r="H386" s="163" t="str">
        <f t="shared" si="8"/>
        <v/>
      </c>
    </row>
    <row r="387" spans="2:8" x14ac:dyDescent="0.25">
      <c r="B387" s="122"/>
      <c r="H387" s="163" t="str">
        <f t="shared" si="8"/>
        <v/>
      </c>
    </row>
    <row r="388" spans="2:8" x14ac:dyDescent="0.25">
      <c r="B388" s="122"/>
      <c r="H388" s="163" t="str">
        <f t="shared" si="8"/>
        <v/>
      </c>
    </row>
    <row r="389" spans="2:8" x14ac:dyDescent="0.25">
      <c r="B389" s="122"/>
      <c r="H389" s="163" t="str">
        <f t="shared" si="8"/>
        <v/>
      </c>
    </row>
    <row r="390" spans="2:8" x14ac:dyDescent="0.25">
      <c r="B390" s="122"/>
      <c r="H390" s="163" t="str">
        <f t="shared" si="8"/>
        <v/>
      </c>
    </row>
    <row r="391" spans="2:8" x14ac:dyDescent="0.25">
      <c r="B391" s="122"/>
      <c r="H391" s="163" t="str">
        <f t="shared" si="8"/>
        <v/>
      </c>
    </row>
    <row r="392" spans="2:8" x14ac:dyDescent="0.25">
      <c r="B392" s="122"/>
      <c r="H392" s="163" t="str">
        <f t="shared" si="8"/>
        <v/>
      </c>
    </row>
    <row r="393" spans="2:8" x14ac:dyDescent="0.25">
      <c r="B393" s="122"/>
      <c r="H393" s="163" t="str">
        <f t="shared" si="8"/>
        <v/>
      </c>
    </row>
    <row r="394" spans="2:8" x14ac:dyDescent="0.25">
      <c r="B394" s="122"/>
      <c r="H394" s="163" t="str">
        <f t="shared" si="8"/>
        <v/>
      </c>
    </row>
    <row r="395" spans="2:8" x14ac:dyDescent="0.25">
      <c r="B395" s="122"/>
      <c r="H395" s="163" t="str">
        <f t="shared" si="8"/>
        <v/>
      </c>
    </row>
    <row r="396" spans="2:8" x14ac:dyDescent="0.25">
      <c r="B396" s="122"/>
      <c r="H396" s="163" t="str">
        <f t="shared" si="8"/>
        <v/>
      </c>
    </row>
    <row r="397" spans="2:8" x14ac:dyDescent="0.25">
      <c r="B397" s="122"/>
      <c r="H397" s="163" t="str">
        <f t="shared" si="8"/>
        <v/>
      </c>
    </row>
    <row r="398" spans="2:8" x14ac:dyDescent="0.25">
      <c r="B398" s="122"/>
      <c r="H398" s="163" t="str">
        <f t="shared" si="8"/>
        <v/>
      </c>
    </row>
    <row r="399" spans="2:8" x14ac:dyDescent="0.25">
      <c r="B399" s="122"/>
      <c r="H399" s="163" t="str">
        <f t="shared" si="8"/>
        <v/>
      </c>
    </row>
    <row r="400" spans="2:8" x14ac:dyDescent="0.25">
      <c r="B400" s="122"/>
      <c r="H400" s="163" t="str">
        <f t="shared" si="8"/>
        <v/>
      </c>
    </row>
    <row r="401" spans="2:8" x14ac:dyDescent="0.25">
      <c r="B401" s="122"/>
      <c r="H401" s="163" t="str">
        <f t="shared" si="8"/>
        <v/>
      </c>
    </row>
    <row r="402" spans="2:8" x14ac:dyDescent="0.25">
      <c r="B402" s="122"/>
      <c r="H402" s="163" t="str">
        <f t="shared" si="8"/>
        <v/>
      </c>
    </row>
    <row r="403" spans="2:8" x14ac:dyDescent="0.25">
      <c r="B403" s="122"/>
      <c r="H403" s="163" t="str">
        <f t="shared" ref="H403:H466" si="9">IFERROR(D403/E403,"")</f>
        <v/>
      </c>
    </row>
    <row r="404" spans="2:8" x14ac:dyDescent="0.25">
      <c r="B404" s="122"/>
      <c r="H404" s="163" t="str">
        <f t="shared" si="9"/>
        <v/>
      </c>
    </row>
    <row r="405" spans="2:8" x14ac:dyDescent="0.25">
      <c r="B405" s="122"/>
      <c r="H405" s="163" t="str">
        <f t="shared" si="9"/>
        <v/>
      </c>
    </row>
    <row r="406" spans="2:8" x14ac:dyDescent="0.25">
      <c r="B406" s="122"/>
      <c r="H406" s="163" t="str">
        <f t="shared" si="9"/>
        <v/>
      </c>
    </row>
    <row r="407" spans="2:8" x14ac:dyDescent="0.25">
      <c r="B407" s="122"/>
      <c r="H407" s="163" t="str">
        <f t="shared" si="9"/>
        <v/>
      </c>
    </row>
    <row r="408" spans="2:8" x14ac:dyDescent="0.25">
      <c r="B408" s="122"/>
      <c r="H408" s="163" t="str">
        <f t="shared" si="9"/>
        <v/>
      </c>
    </row>
    <row r="409" spans="2:8" x14ac:dyDescent="0.25">
      <c r="B409" s="122"/>
      <c r="H409" s="163" t="str">
        <f t="shared" si="9"/>
        <v/>
      </c>
    </row>
    <row r="410" spans="2:8" x14ac:dyDescent="0.25">
      <c r="B410" s="122"/>
      <c r="H410" s="163" t="str">
        <f t="shared" si="9"/>
        <v/>
      </c>
    </row>
    <row r="411" spans="2:8" x14ac:dyDescent="0.25">
      <c r="B411" s="122"/>
      <c r="H411" s="163" t="str">
        <f t="shared" si="9"/>
        <v/>
      </c>
    </row>
    <row r="412" spans="2:8" x14ac:dyDescent="0.25">
      <c r="B412" s="122"/>
      <c r="H412" s="163" t="str">
        <f t="shared" si="9"/>
        <v/>
      </c>
    </row>
    <row r="413" spans="2:8" x14ac:dyDescent="0.25">
      <c r="B413" s="122"/>
      <c r="H413" s="163" t="str">
        <f t="shared" si="9"/>
        <v/>
      </c>
    </row>
    <row r="414" spans="2:8" x14ac:dyDescent="0.25">
      <c r="B414" s="122"/>
      <c r="H414" s="163" t="str">
        <f t="shared" si="9"/>
        <v/>
      </c>
    </row>
    <row r="415" spans="2:8" x14ac:dyDescent="0.25">
      <c r="B415" s="122"/>
      <c r="H415" s="163" t="str">
        <f t="shared" si="9"/>
        <v/>
      </c>
    </row>
    <row r="416" spans="2:8" x14ac:dyDescent="0.25">
      <c r="B416" s="122"/>
      <c r="H416" s="163" t="str">
        <f t="shared" si="9"/>
        <v/>
      </c>
    </row>
    <row r="417" spans="2:8" x14ac:dyDescent="0.25">
      <c r="B417" s="122"/>
      <c r="H417" s="163" t="str">
        <f t="shared" si="9"/>
        <v/>
      </c>
    </row>
    <row r="418" spans="2:8" x14ac:dyDescent="0.25">
      <c r="B418" s="122"/>
      <c r="H418" s="163" t="str">
        <f t="shared" si="9"/>
        <v/>
      </c>
    </row>
    <row r="419" spans="2:8" x14ac:dyDescent="0.25">
      <c r="B419" s="122"/>
      <c r="H419" s="163" t="str">
        <f t="shared" si="9"/>
        <v/>
      </c>
    </row>
    <row r="420" spans="2:8" x14ac:dyDescent="0.25">
      <c r="B420" s="122"/>
      <c r="H420" s="163" t="str">
        <f t="shared" si="9"/>
        <v/>
      </c>
    </row>
    <row r="421" spans="2:8" x14ac:dyDescent="0.25">
      <c r="B421" s="122"/>
      <c r="H421" s="163" t="str">
        <f t="shared" si="9"/>
        <v/>
      </c>
    </row>
    <row r="422" spans="2:8" x14ac:dyDescent="0.25">
      <c r="B422" s="122"/>
      <c r="H422" s="163" t="str">
        <f t="shared" si="9"/>
        <v/>
      </c>
    </row>
    <row r="423" spans="2:8" x14ac:dyDescent="0.25">
      <c r="B423" s="122"/>
      <c r="H423" s="163" t="str">
        <f t="shared" si="9"/>
        <v/>
      </c>
    </row>
    <row r="424" spans="2:8" x14ac:dyDescent="0.25">
      <c r="B424" s="122"/>
      <c r="H424" s="163" t="str">
        <f t="shared" si="9"/>
        <v/>
      </c>
    </row>
    <row r="425" spans="2:8" x14ac:dyDescent="0.25">
      <c r="B425" s="122"/>
      <c r="H425" s="163" t="str">
        <f t="shared" si="9"/>
        <v/>
      </c>
    </row>
    <row r="426" spans="2:8" x14ac:dyDescent="0.25">
      <c r="B426" s="122"/>
      <c r="H426" s="163" t="str">
        <f t="shared" si="9"/>
        <v/>
      </c>
    </row>
    <row r="427" spans="2:8" x14ac:dyDescent="0.25">
      <c r="B427" s="122"/>
      <c r="H427" s="163" t="str">
        <f t="shared" si="9"/>
        <v/>
      </c>
    </row>
    <row r="428" spans="2:8" x14ac:dyDescent="0.25">
      <c r="B428" s="122"/>
      <c r="H428" s="163" t="str">
        <f t="shared" si="9"/>
        <v/>
      </c>
    </row>
    <row r="429" spans="2:8" x14ac:dyDescent="0.25">
      <c r="B429" s="122"/>
      <c r="H429" s="163" t="str">
        <f t="shared" si="9"/>
        <v/>
      </c>
    </row>
    <row r="430" spans="2:8" x14ac:dyDescent="0.25">
      <c r="B430" s="122"/>
      <c r="H430" s="163" t="str">
        <f t="shared" si="9"/>
        <v/>
      </c>
    </row>
    <row r="431" spans="2:8" x14ac:dyDescent="0.25">
      <c r="B431" s="122"/>
      <c r="H431" s="163" t="str">
        <f t="shared" si="9"/>
        <v/>
      </c>
    </row>
    <row r="432" spans="2:8" x14ac:dyDescent="0.25">
      <c r="B432" s="122"/>
      <c r="H432" s="163" t="str">
        <f t="shared" si="9"/>
        <v/>
      </c>
    </row>
    <row r="433" spans="2:8" x14ac:dyDescent="0.25">
      <c r="B433" s="122"/>
      <c r="H433" s="163" t="str">
        <f t="shared" si="9"/>
        <v/>
      </c>
    </row>
    <row r="434" spans="2:8" x14ac:dyDescent="0.25">
      <c r="B434" s="122"/>
      <c r="H434" s="163" t="str">
        <f t="shared" si="9"/>
        <v/>
      </c>
    </row>
    <row r="435" spans="2:8" x14ac:dyDescent="0.25">
      <c r="B435" s="122"/>
      <c r="H435" s="163" t="str">
        <f t="shared" si="9"/>
        <v/>
      </c>
    </row>
    <row r="436" spans="2:8" x14ac:dyDescent="0.25">
      <c r="B436" s="122"/>
      <c r="H436" s="163" t="str">
        <f t="shared" si="9"/>
        <v/>
      </c>
    </row>
    <row r="437" spans="2:8" x14ac:dyDescent="0.25">
      <c r="B437" s="122"/>
      <c r="H437" s="163" t="str">
        <f t="shared" si="9"/>
        <v/>
      </c>
    </row>
    <row r="438" spans="2:8" x14ac:dyDescent="0.25">
      <c r="B438" s="122"/>
      <c r="H438" s="163" t="str">
        <f t="shared" si="9"/>
        <v/>
      </c>
    </row>
    <row r="439" spans="2:8" x14ac:dyDescent="0.25">
      <c r="B439" s="122"/>
      <c r="H439" s="163" t="str">
        <f t="shared" si="9"/>
        <v/>
      </c>
    </row>
    <row r="440" spans="2:8" x14ac:dyDescent="0.25">
      <c r="B440" s="122"/>
      <c r="H440" s="163" t="str">
        <f t="shared" si="9"/>
        <v/>
      </c>
    </row>
    <row r="441" spans="2:8" x14ac:dyDescent="0.25">
      <c r="B441" s="122"/>
      <c r="H441" s="163" t="str">
        <f t="shared" si="9"/>
        <v/>
      </c>
    </row>
    <row r="442" spans="2:8" x14ac:dyDescent="0.25">
      <c r="B442" s="122"/>
      <c r="H442" s="163" t="str">
        <f t="shared" si="9"/>
        <v/>
      </c>
    </row>
    <row r="443" spans="2:8" x14ac:dyDescent="0.25">
      <c r="B443" s="122"/>
      <c r="H443" s="163" t="str">
        <f t="shared" si="9"/>
        <v/>
      </c>
    </row>
    <row r="444" spans="2:8" x14ac:dyDescent="0.25">
      <c r="B444" s="122"/>
      <c r="H444" s="163" t="str">
        <f t="shared" si="9"/>
        <v/>
      </c>
    </row>
    <row r="445" spans="2:8" x14ac:dyDescent="0.25">
      <c r="B445" s="122"/>
      <c r="H445" s="163" t="str">
        <f t="shared" si="9"/>
        <v/>
      </c>
    </row>
    <row r="446" spans="2:8" x14ac:dyDescent="0.25">
      <c r="B446" s="122"/>
      <c r="H446" s="163" t="str">
        <f t="shared" si="9"/>
        <v/>
      </c>
    </row>
    <row r="447" spans="2:8" x14ac:dyDescent="0.25">
      <c r="B447" s="122"/>
      <c r="H447" s="163" t="str">
        <f t="shared" si="9"/>
        <v/>
      </c>
    </row>
    <row r="448" spans="2:8" x14ac:dyDescent="0.25">
      <c r="B448" s="122"/>
      <c r="H448" s="163" t="str">
        <f t="shared" si="9"/>
        <v/>
      </c>
    </row>
    <row r="449" spans="2:8" x14ac:dyDescent="0.25">
      <c r="B449" s="122"/>
      <c r="H449" s="163" t="str">
        <f t="shared" si="9"/>
        <v/>
      </c>
    </row>
    <row r="450" spans="2:8" x14ac:dyDescent="0.25">
      <c r="B450" s="122"/>
      <c r="H450" s="163" t="str">
        <f t="shared" si="9"/>
        <v/>
      </c>
    </row>
    <row r="451" spans="2:8" x14ac:dyDescent="0.25">
      <c r="B451" s="122"/>
      <c r="H451" s="163" t="str">
        <f t="shared" si="9"/>
        <v/>
      </c>
    </row>
    <row r="452" spans="2:8" x14ac:dyDescent="0.25">
      <c r="B452" s="122"/>
      <c r="H452" s="163" t="str">
        <f t="shared" si="9"/>
        <v/>
      </c>
    </row>
    <row r="453" spans="2:8" x14ac:dyDescent="0.25">
      <c r="B453" s="122"/>
      <c r="H453" s="163" t="str">
        <f t="shared" si="9"/>
        <v/>
      </c>
    </row>
    <row r="454" spans="2:8" x14ac:dyDescent="0.25">
      <c r="B454" s="122"/>
      <c r="H454" s="163" t="str">
        <f t="shared" si="9"/>
        <v/>
      </c>
    </row>
    <row r="455" spans="2:8" x14ac:dyDescent="0.25">
      <c r="B455" s="122"/>
      <c r="H455" s="163" t="str">
        <f t="shared" si="9"/>
        <v/>
      </c>
    </row>
    <row r="456" spans="2:8" x14ac:dyDescent="0.25">
      <c r="B456" s="122"/>
      <c r="H456" s="163" t="str">
        <f t="shared" si="9"/>
        <v/>
      </c>
    </row>
    <row r="457" spans="2:8" x14ac:dyDescent="0.25">
      <c r="B457" s="122"/>
      <c r="H457" s="163" t="str">
        <f t="shared" si="9"/>
        <v/>
      </c>
    </row>
    <row r="458" spans="2:8" x14ac:dyDescent="0.25">
      <c r="B458" s="122"/>
      <c r="H458" s="163" t="str">
        <f t="shared" si="9"/>
        <v/>
      </c>
    </row>
    <row r="459" spans="2:8" x14ac:dyDescent="0.25">
      <c r="B459" s="122"/>
      <c r="H459" s="163" t="str">
        <f t="shared" si="9"/>
        <v/>
      </c>
    </row>
    <row r="460" spans="2:8" x14ac:dyDescent="0.25">
      <c r="B460" s="122"/>
      <c r="H460" s="163" t="str">
        <f t="shared" si="9"/>
        <v/>
      </c>
    </row>
    <row r="461" spans="2:8" x14ac:dyDescent="0.25">
      <c r="B461" s="122"/>
      <c r="H461" s="163" t="str">
        <f t="shared" si="9"/>
        <v/>
      </c>
    </row>
    <row r="462" spans="2:8" x14ac:dyDescent="0.25">
      <c r="B462" s="122"/>
      <c r="H462" s="163" t="str">
        <f t="shared" si="9"/>
        <v/>
      </c>
    </row>
    <row r="463" spans="2:8" x14ac:dyDescent="0.25">
      <c r="B463" s="122"/>
      <c r="H463" s="163" t="str">
        <f t="shared" si="9"/>
        <v/>
      </c>
    </row>
    <row r="464" spans="2:8" x14ac:dyDescent="0.25">
      <c r="B464" s="122"/>
      <c r="H464" s="163" t="str">
        <f t="shared" si="9"/>
        <v/>
      </c>
    </row>
    <row r="465" spans="2:8" x14ac:dyDescent="0.25">
      <c r="B465" s="122"/>
      <c r="H465" s="163" t="str">
        <f t="shared" si="9"/>
        <v/>
      </c>
    </row>
    <row r="466" spans="2:8" x14ac:dyDescent="0.25">
      <c r="B466" s="122"/>
      <c r="H466" s="163" t="str">
        <f t="shared" si="9"/>
        <v/>
      </c>
    </row>
    <row r="467" spans="2:8" x14ac:dyDescent="0.25">
      <c r="B467" s="122"/>
      <c r="H467" s="163" t="str">
        <f t="shared" ref="H467:H500" si="10">IFERROR(D467/E467,"")</f>
        <v/>
      </c>
    </row>
    <row r="468" spans="2:8" x14ac:dyDescent="0.25">
      <c r="B468" s="122"/>
      <c r="H468" s="163" t="str">
        <f t="shared" si="10"/>
        <v/>
      </c>
    </row>
    <row r="469" spans="2:8" x14ac:dyDescent="0.25">
      <c r="B469" s="122"/>
      <c r="H469" s="163" t="str">
        <f t="shared" si="10"/>
        <v/>
      </c>
    </row>
    <row r="470" spans="2:8" x14ac:dyDescent="0.25">
      <c r="B470" s="122"/>
      <c r="H470" s="163" t="str">
        <f t="shared" si="10"/>
        <v/>
      </c>
    </row>
    <row r="471" spans="2:8" x14ac:dyDescent="0.25">
      <c r="B471" s="122"/>
      <c r="H471" s="163" t="str">
        <f t="shared" si="10"/>
        <v/>
      </c>
    </row>
    <row r="472" spans="2:8" x14ac:dyDescent="0.25">
      <c r="B472" s="122"/>
      <c r="H472" s="163" t="str">
        <f t="shared" si="10"/>
        <v/>
      </c>
    </row>
    <row r="473" spans="2:8" x14ac:dyDescent="0.25">
      <c r="B473" s="122"/>
      <c r="H473" s="163" t="str">
        <f t="shared" si="10"/>
        <v/>
      </c>
    </row>
    <row r="474" spans="2:8" x14ac:dyDescent="0.25">
      <c r="B474" s="122"/>
      <c r="H474" s="163" t="str">
        <f t="shared" si="10"/>
        <v/>
      </c>
    </row>
    <row r="475" spans="2:8" x14ac:dyDescent="0.25">
      <c r="B475" s="122"/>
      <c r="H475" s="163" t="str">
        <f t="shared" si="10"/>
        <v/>
      </c>
    </row>
    <row r="476" spans="2:8" x14ac:dyDescent="0.25">
      <c r="B476" s="122"/>
      <c r="H476" s="163" t="str">
        <f t="shared" si="10"/>
        <v/>
      </c>
    </row>
    <row r="477" spans="2:8" x14ac:dyDescent="0.25">
      <c r="B477" s="122"/>
      <c r="H477" s="163" t="str">
        <f t="shared" si="10"/>
        <v/>
      </c>
    </row>
    <row r="478" spans="2:8" x14ac:dyDescent="0.25">
      <c r="B478" s="122"/>
      <c r="H478" s="163" t="str">
        <f t="shared" si="10"/>
        <v/>
      </c>
    </row>
    <row r="479" spans="2:8" x14ac:dyDescent="0.25">
      <c r="B479" s="122"/>
      <c r="H479" s="163" t="str">
        <f t="shared" si="10"/>
        <v/>
      </c>
    </row>
    <row r="480" spans="2:8" x14ac:dyDescent="0.25">
      <c r="B480" s="122"/>
      <c r="H480" s="163" t="str">
        <f t="shared" si="10"/>
        <v/>
      </c>
    </row>
    <row r="481" spans="2:8" x14ac:dyDescent="0.25">
      <c r="B481" s="122"/>
      <c r="H481" s="163" t="str">
        <f t="shared" si="10"/>
        <v/>
      </c>
    </row>
    <row r="482" spans="2:8" x14ac:dyDescent="0.25">
      <c r="B482" s="122"/>
      <c r="H482" s="163" t="str">
        <f t="shared" si="10"/>
        <v/>
      </c>
    </row>
    <row r="483" spans="2:8" x14ac:dyDescent="0.25">
      <c r="B483" s="122"/>
      <c r="H483" s="163" t="str">
        <f t="shared" si="10"/>
        <v/>
      </c>
    </row>
    <row r="484" spans="2:8" x14ac:dyDescent="0.25">
      <c r="B484" s="122"/>
      <c r="H484" s="163" t="str">
        <f t="shared" si="10"/>
        <v/>
      </c>
    </row>
    <row r="485" spans="2:8" x14ac:dyDescent="0.25">
      <c r="B485" s="122"/>
      <c r="H485" s="163" t="str">
        <f t="shared" si="10"/>
        <v/>
      </c>
    </row>
    <row r="486" spans="2:8" x14ac:dyDescent="0.25">
      <c r="B486" s="122"/>
      <c r="H486" s="163" t="str">
        <f t="shared" si="10"/>
        <v/>
      </c>
    </row>
    <row r="487" spans="2:8" x14ac:dyDescent="0.25">
      <c r="B487" s="122"/>
      <c r="H487" s="163" t="str">
        <f t="shared" si="10"/>
        <v/>
      </c>
    </row>
    <row r="488" spans="2:8" x14ac:dyDescent="0.25">
      <c r="B488" s="122"/>
      <c r="H488" s="163" t="str">
        <f t="shared" si="10"/>
        <v/>
      </c>
    </row>
    <row r="489" spans="2:8" x14ac:dyDescent="0.25">
      <c r="B489" s="122"/>
      <c r="H489" s="163" t="str">
        <f t="shared" si="10"/>
        <v/>
      </c>
    </row>
    <row r="490" spans="2:8" x14ac:dyDescent="0.25">
      <c r="B490" s="122"/>
      <c r="H490" s="163" t="str">
        <f t="shared" si="10"/>
        <v/>
      </c>
    </row>
    <row r="491" spans="2:8" x14ac:dyDescent="0.25">
      <c r="B491" s="122"/>
      <c r="H491" s="163" t="str">
        <f t="shared" si="10"/>
        <v/>
      </c>
    </row>
    <row r="492" spans="2:8" x14ac:dyDescent="0.25">
      <c r="B492" s="122"/>
      <c r="H492" s="163" t="str">
        <f t="shared" si="10"/>
        <v/>
      </c>
    </row>
    <row r="493" spans="2:8" x14ac:dyDescent="0.25">
      <c r="B493" s="122"/>
      <c r="H493" s="163" t="str">
        <f t="shared" si="10"/>
        <v/>
      </c>
    </row>
    <row r="494" spans="2:8" x14ac:dyDescent="0.25">
      <c r="B494" s="122"/>
      <c r="H494" s="163" t="str">
        <f t="shared" si="10"/>
        <v/>
      </c>
    </row>
    <row r="495" spans="2:8" x14ac:dyDescent="0.25">
      <c r="B495" s="122"/>
      <c r="H495" s="163" t="str">
        <f t="shared" si="10"/>
        <v/>
      </c>
    </row>
    <row r="496" spans="2:8" x14ac:dyDescent="0.25">
      <c r="B496" s="122"/>
      <c r="H496" s="163" t="str">
        <f t="shared" si="10"/>
        <v/>
      </c>
    </row>
    <row r="497" spans="2:8" x14ac:dyDescent="0.25">
      <c r="B497" s="122"/>
      <c r="H497" s="163" t="str">
        <f t="shared" si="10"/>
        <v/>
      </c>
    </row>
    <row r="498" spans="2:8" x14ac:dyDescent="0.25">
      <c r="B498" s="122"/>
      <c r="H498" s="163" t="str">
        <f t="shared" si="10"/>
        <v/>
      </c>
    </row>
    <row r="499" spans="2:8" x14ac:dyDescent="0.25">
      <c r="B499" s="122"/>
      <c r="H499" s="163" t="str">
        <f t="shared" si="10"/>
        <v/>
      </c>
    </row>
    <row r="500" spans="2:8" x14ac:dyDescent="0.25">
      <c r="B500" s="125"/>
      <c r="C500" s="126"/>
      <c r="D500" s="127"/>
      <c r="E500" s="127"/>
      <c r="F500" s="127"/>
      <c r="G500" s="127"/>
      <c r="H500" s="167" t="str">
        <f t="shared" si="10"/>
        <v/>
      </c>
    </row>
  </sheetData>
  <dataValidations count="1">
    <dataValidation type="list" allowBlank="1" showInputMessage="1" showErrorMessage="1" sqref="B6:B9" xr:uid="{0E9914FD-BB06-40EF-B8A0-175A2DA6F318}">
      <formula1>"Tier 1,Tier 2,Tier 3,Tier 4"</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377DE8-B2F1-4FCF-B851-3E7CCE1C99AC}">
  <sheetPr codeName="Sheet37">
    <tabColor rgb="FF00CCFF"/>
  </sheetPr>
  <dimension ref="A1:I500"/>
  <sheetViews>
    <sheetView showGridLines="0" zoomScale="80" zoomScaleNormal="80" workbookViewId="0"/>
  </sheetViews>
  <sheetFormatPr defaultRowHeight="13.2" x14ac:dyDescent="0.25"/>
  <cols>
    <col min="1" max="1" width="26.109375" customWidth="1"/>
    <col min="2" max="2" width="128.88671875" customWidth="1"/>
    <col min="3" max="3" width="21" customWidth="1"/>
    <col min="4" max="6" width="19.88671875" style="96" customWidth="1"/>
    <col min="7" max="7" width="23.5546875" style="96" customWidth="1"/>
    <col min="8" max="8" width="14.44140625" customWidth="1"/>
  </cols>
  <sheetData>
    <row r="1" spans="1:8" x14ac:dyDescent="0.25">
      <c r="A1" s="4" t="str" cm="1">
        <f t="array" aca="1" ref="A1" ca="1">MID(CELL("filename",A1),FIND("]",CELL("filename",A1))+1,255)</f>
        <v>Plasterboard</v>
      </c>
    </row>
    <row r="2" spans="1:8" x14ac:dyDescent="0.25">
      <c r="A2" s="4"/>
      <c r="C2" s="4"/>
    </row>
    <row r="3" spans="1:8" x14ac:dyDescent="0.25">
      <c r="A3" s="4" t="s">
        <v>4048</v>
      </c>
      <c r="B3" t="s">
        <v>4190</v>
      </c>
    </row>
    <row r="4" spans="1:8" x14ac:dyDescent="0.25">
      <c r="A4" s="4"/>
    </row>
    <row r="5" spans="1:8" ht="73.5" customHeight="1" x14ac:dyDescent="0.25">
      <c r="A5" s="26" t="s">
        <v>4050</v>
      </c>
      <c r="B5" s="14" t="s">
        <v>4191</v>
      </c>
    </row>
    <row r="6" spans="1:8" x14ac:dyDescent="0.25">
      <c r="A6" s="26" t="s">
        <v>4052</v>
      </c>
      <c r="B6" t="s">
        <v>69</v>
      </c>
      <c r="D6" s="43"/>
    </row>
    <row r="7" spans="1:8" x14ac:dyDescent="0.25">
      <c r="A7" s="26" t="s">
        <v>4053</v>
      </c>
      <c r="B7" s="27" t="s">
        <v>68</v>
      </c>
    </row>
    <row r="8" spans="1:8" x14ac:dyDescent="0.25">
      <c r="A8" s="26" t="s">
        <v>4054</v>
      </c>
      <c r="B8" s="27" t="s">
        <v>71</v>
      </c>
    </row>
    <row r="9" spans="1:8" x14ac:dyDescent="0.25">
      <c r="A9" s="26" t="s">
        <v>4055</v>
      </c>
      <c r="B9" s="4" t="s">
        <v>71</v>
      </c>
    </row>
    <row r="10" spans="1:8" x14ac:dyDescent="0.25">
      <c r="A10" s="26"/>
      <c r="B10" s="4"/>
    </row>
    <row r="11" spans="1:8" x14ac:dyDescent="0.25">
      <c r="A11" s="26" t="s">
        <v>4056</v>
      </c>
      <c r="B11" s="14" t="s">
        <v>4182</v>
      </c>
    </row>
    <row r="12" spans="1:8" x14ac:dyDescent="0.25">
      <c r="A12" s="101"/>
    </row>
    <row r="13" spans="1:8" x14ac:dyDescent="0.25">
      <c r="A13" s="101"/>
    </row>
    <row r="14" spans="1:8" x14ac:dyDescent="0.25">
      <c r="A14" s="26" t="s">
        <v>4057</v>
      </c>
    </row>
    <row r="15" spans="1:8" x14ac:dyDescent="0.25">
      <c r="A15" s="26"/>
      <c r="D15" s="112" t="s">
        <v>4058</v>
      </c>
      <c r="E15" s="113"/>
      <c r="F15" s="114" t="s">
        <v>4059</v>
      </c>
      <c r="G15" s="113"/>
    </row>
    <row r="16" spans="1:8" ht="39.6" x14ac:dyDescent="0.25">
      <c r="B16" s="28" t="s">
        <v>2897</v>
      </c>
      <c r="C16" s="23" t="s">
        <v>23</v>
      </c>
      <c r="D16" s="24" t="s">
        <v>141</v>
      </c>
      <c r="E16" s="25" t="s">
        <v>148</v>
      </c>
      <c r="F16" s="24" t="s">
        <v>142</v>
      </c>
      <c r="G16" s="24" t="s">
        <v>149</v>
      </c>
      <c r="H16" s="44" t="str">
        <f>"Density "&amp;E17&amp;"/"&amp;D17</f>
        <v>Density kg/m²</v>
      </c>
    </row>
    <row r="17" spans="2:8" x14ac:dyDescent="0.25">
      <c r="B17" s="29"/>
      <c r="C17" s="30" t="s">
        <v>4060</v>
      </c>
      <c r="D17" s="118" t="str" cm="1">
        <f t="array" ref="D17">IF(AND(_xlfn.ANCHORARRAY(C23)=C23),C23,"Mixed")</f>
        <v>m²</v>
      </c>
      <c r="E17" s="118" t="s">
        <v>219</v>
      </c>
      <c r="F17" s="118" t="str" cm="1">
        <f t="array" ref="F17">IF(AND(_xlfn.ANCHORARRAY(C23)=C23),C23,"Mixed")</f>
        <v>m²</v>
      </c>
      <c r="G17" s="119" t="s">
        <v>219</v>
      </c>
      <c r="H17" s="119" t="str">
        <f>IFERROR(D17/E17,"")</f>
        <v/>
      </c>
    </row>
    <row r="18" spans="2:8" s="14" customFormat="1" x14ac:dyDescent="0.25">
      <c r="B18" s="31"/>
      <c r="C18" s="4" t="s">
        <v>4061</v>
      </c>
      <c r="D18" s="96">
        <f t="shared" ref="D18:G18" si="0">MAX(_xlfn.ANCHORARRAY(D23))</f>
        <v>6.79</v>
      </c>
      <c r="E18" s="96">
        <f t="shared" si="0"/>
        <v>0.39374999999999999</v>
      </c>
      <c r="F18" s="96">
        <f t="shared" si="0"/>
        <v>1.0669999999999999</v>
      </c>
      <c r="G18" s="121">
        <f t="shared" si="0"/>
        <v>0.20395833333333335</v>
      </c>
      <c r="H18" s="163">
        <f>IFERROR(D18/E18,"")</f>
        <v>17.244444444444444</v>
      </c>
    </row>
    <row r="19" spans="2:8" x14ac:dyDescent="0.25">
      <c r="B19" s="122"/>
      <c r="C19" s="4" t="s">
        <v>4062</v>
      </c>
      <c r="D19" s="96">
        <f>MIN(_xlfn.ANCHORARRAY(D23))</f>
        <v>1.49</v>
      </c>
      <c r="E19" s="96">
        <f t="shared" ref="E19:G19" si="1">MIN(_xlfn.ANCHORARRAY(E23))</f>
        <v>0.17519999999999999</v>
      </c>
      <c r="F19" s="96">
        <f t="shared" si="1"/>
        <v>0</v>
      </c>
      <c r="G19" s="121">
        <f t="shared" si="1"/>
        <v>0</v>
      </c>
      <c r="H19" s="163">
        <f t="shared" ref="H19:H82" si="2">IFERROR(D19/E19,"")</f>
        <v>8.5045662100456632</v>
      </c>
    </row>
    <row r="20" spans="2:8" x14ac:dyDescent="0.25">
      <c r="B20" s="122"/>
      <c r="C20" s="4" t="s">
        <v>4063</v>
      </c>
      <c r="D20" s="96">
        <f>AVERAGE(_xlfn.ANCHORARRAY(D23))</f>
        <v>3.2460299999999993</v>
      </c>
      <c r="E20" s="96">
        <f t="shared" ref="E20:G20" si="3">AVERAGE(_xlfn.ANCHORARRAY(E23))</f>
        <v>0.29826078812332296</v>
      </c>
      <c r="F20" s="96">
        <f t="shared" si="3"/>
        <v>0.59678666666666669</v>
      </c>
      <c r="G20" s="121">
        <f t="shared" si="3"/>
        <v>6.0758025026185471E-2</v>
      </c>
      <c r="H20" s="163">
        <f t="shared" si="2"/>
        <v>10.883193933819593</v>
      </c>
    </row>
    <row r="21" spans="2:8" x14ac:dyDescent="0.25">
      <c r="B21" s="122"/>
      <c r="C21" s="4"/>
      <c r="G21" s="121"/>
      <c r="H21" s="163" t="str">
        <f t="shared" si="2"/>
        <v/>
      </c>
    </row>
    <row r="22" spans="2:8" x14ac:dyDescent="0.25">
      <c r="B22" s="32" t="s">
        <v>4064</v>
      </c>
      <c r="D22"/>
      <c r="E22"/>
      <c r="F22"/>
      <c r="G22" s="124"/>
      <c r="H22" s="163" t="str">
        <f t="shared" si="2"/>
        <v/>
      </c>
    </row>
    <row r="23" spans="2:8" x14ac:dyDescent="0.25">
      <c r="B23" s="122" t="str" cm="1">
        <f t="array" ref="B23:B47">_xlfn.UNIQUE(_xlfn._xlws.FILTER('EPD List'!D:D,ISNUMBER(SEARCH(B16,'EPD List'!C:C)),0))</f>
        <v>Plasterboard, Opal 10 mm,  (Siniat)</v>
      </c>
      <c r="C23" t="str" cm="1">
        <f t="array" ref="C23:C47">_xlfn.IFNA(INDEX('EPD List'!$A:$AB,MATCH(_xlfn.ANCHORARRAY(B23),'EPD List'!$D:$D,0),MATCH(C$16,'EPD List'!$7:$7,0)),"")</f>
        <v>m²</v>
      </c>
      <c r="D23" s="96" cm="1">
        <f t="array" ref="D23:D47">_xlfn.IFNA(VALUE((INDEX('EPD List'!$A:$AD,MATCH(_xlfn.ANCHORARRAY($B23),'EPD List'!$D:$D,0),MATCH(D$16,'EPD List'!$7:$7,0)))),"")</f>
        <v>2.73305</v>
      </c>
      <c r="E23" s="96" cm="1">
        <f t="array" ref="E23:E47">_xlfn.IFNA(VALUE((INDEX('EPD List'!$A:$AD,MATCH(_xlfn.ANCHORARRAY($B23),'EPD List'!$D:$D,0),MATCH(E$16,'EPD List'!$7:$7,0)))),"")</f>
        <v>0.32536309523809526</v>
      </c>
      <c r="F23" s="96" cm="1">
        <f t="array" ref="F23:F47">_xlfn.IFNA(VALUE((INDEX('EPD List'!$A:$AD,MATCH(_xlfn.ANCHORARRAY($B23),'EPD List'!$D:$D,0),MATCH(F$16,'EPD List'!$7:$7,0)))),"")</f>
        <v>0.86899999999999988</v>
      </c>
      <c r="G23" s="121" cm="1">
        <f t="array" ref="G23:G47">_xlfn.IFNA(VALUE((INDEX('EPD List'!$A:$AD,MATCH(_xlfn.ANCHORARRAY($B23),'EPD List'!$D:$D,0),MATCH(G$16,'EPD List'!$7:$7,0)))),"")</f>
        <v>0.10345238095238093</v>
      </c>
      <c r="H23" s="163">
        <f t="shared" si="2"/>
        <v>8.3999999999999986</v>
      </c>
    </row>
    <row r="24" spans="2:8" x14ac:dyDescent="0.25">
      <c r="B24" s="122" t="str">
        <v>Plasterboard, trurock 13 mm,  (Siniat)</v>
      </c>
      <c r="C24" t="str">
        <v>m²</v>
      </c>
      <c r="D24" s="96">
        <v>4.1430199999999999</v>
      </c>
      <c r="E24" s="96">
        <v>0.3341145161290322</v>
      </c>
      <c r="F24" s="96">
        <v>0.89100000000000001</v>
      </c>
      <c r="G24" s="121">
        <v>7.1854838709677418E-2</v>
      </c>
      <c r="H24" s="163">
        <f t="shared" si="2"/>
        <v>12.400000000000002</v>
      </c>
    </row>
    <row r="25" spans="2:8" x14ac:dyDescent="0.25">
      <c r="B25" s="122" t="str">
        <v>Plasterboard, fireshield 13 mm,  (Siniat)</v>
      </c>
      <c r="C25" t="str">
        <v>m²</v>
      </c>
      <c r="D25" s="96">
        <v>3.3536799999999998</v>
      </c>
      <c r="E25" s="96">
        <v>0.31342803738317759</v>
      </c>
      <c r="F25" s="96">
        <v>0.69666666666666666</v>
      </c>
      <c r="G25" s="121">
        <v>6.5109034267912771E-2</v>
      </c>
      <c r="H25" s="163">
        <f t="shared" si="2"/>
        <v>10.7</v>
      </c>
    </row>
    <row r="26" spans="2:8" x14ac:dyDescent="0.25">
      <c r="B26" s="122" t="str">
        <v>Plasterboard, soundshield 13 mm,  (Siniat)</v>
      </c>
      <c r="C26" t="str">
        <v>m²</v>
      </c>
      <c r="D26" s="96">
        <v>3.7533599999999998</v>
      </c>
      <c r="E26" s="96">
        <v>0.30515121951219515</v>
      </c>
      <c r="F26" s="96">
        <v>0.7406666666666667</v>
      </c>
      <c r="G26" s="121">
        <v>6.021680216802168E-2</v>
      </c>
      <c r="H26" s="163">
        <f t="shared" si="2"/>
        <v>12.299999999999999</v>
      </c>
    </row>
    <row r="27" spans="2:8" x14ac:dyDescent="0.25">
      <c r="B27" s="122" t="str">
        <v>Plasterboard, fireshield H 13 mm,  (Siniat)</v>
      </c>
      <c r="C27" t="str">
        <v>m²</v>
      </c>
      <c r="D27" s="96">
        <v>3.6233900000000006</v>
      </c>
      <c r="E27" s="96">
        <v>0.30194916666666671</v>
      </c>
      <c r="F27" s="96">
        <v>0.68199999999999994</v>
      </c>
      <c r="G27" s="121">
        <v>5.6833333333333326E-2</v>
      </c>
      <c r="H27" s="163">
        <f t="shared" si="2"/>
        <v>12</v>
      </c>
    </row>
    <row r="28" spans="2:8" x14ac:dyDescent="0.25">
      <c r="B28" s="122" t="str">
        <v>Plasterboard, fireshield 16 mm,  (Siniat)</v>
      </c>
      <c r="C28" t="str">
        <v>m²</v>
      </c>
      <c r="D28" s="96">
        <v>4.0542499999999997</v>
      </c>
      <c r="E28" s="96">
        <v>0.30948473282442751</v>
      </c>
      <c r="F28" s="96">
        <v>0.70033333333333336</v>
      </c>
      <c r="G28" s="121">
        <v>5.3460559796437664E-2</v>
      </c>
      <c r="H28" s="163">
        <f t="shared" si="2"/>
        <v>13.099999999999998</v>
      </c>
    </row>
    <row r="29" spans="2:8" x14ac:dyDescent="0.25">
      <c r="B29" s="122" t="str">
        <v>Plasterboard, , Regular Plasterboard (Knauf Orbond) (Israel)</v>
      </c>
      <c r="C29" t="str">
        <v>m²</v>
      </c>
      <c r="D29" s="96">
        <v>1.49</v>
      </c>
      <c r="E29" s="96">
        <v>0.18625</v>
      </c>
      <c r="F29" s="96">
        <v>0</v>
      </c>
      <c r="G29" s="121">
        <v>0</v>
      </c>
      <c r="H29" s="163">
        <f t="shared" si="2"/>
        <v>8</v>
      </c>
    </row>
    <row r="30" spans="2:8" x14ac:dyDescent="0.25">
      <c r="B30" s="122" t="str">
        <v>Plasterboard, , Fire Plus+2.0 (Knauf Orbond) (Israel)</v>
      </c>
      <c r="C30" t="str">
        <v>m²</v>
      </c>
      <c r="D30" s="96">
        <v>3.02</v>
      </c>
      <c r="E30" s="96">
        <v>0.17764705882352941</v>
      </c>
      <c r="F30" s="96">
        <v>0</v>
      </c>
      <c r="G30" s="121">
        <v>0</v>
      </c>
      <c r="H30" s="163">
        <f t="shared" si="2"/>
        <v>17</v>
      </c>
    </row>
    <row r="31" spans="2:8" x14ac:dyDescent="0.25">
      <c r="B31" s="122" t="str">
        <v>Plasterboard, , Piano HD Board (Knauf Orbond) (Israel)</v>
      </c>
      <c r="C31" t="str">
        <v>m²</v>
      </c>
      <c r="D31" s="96">
        <v>2.19</v>
      </c>
      <c r="E31" s="96">
        <v>0.17519999999999999</v>
      </c>
      <c r="F31" s="96">
        <v>0</v>
      </c>
      <c r="G31" s="121">
        <v>0</v>
      </c>
      <c r="H31" s="163">
        <f t="shared" si="2"/>
        <v>12.5</v>
      </c>
    </row>
    <row r="32" spans="2:8" x14ac:dyDescent="0.25">
      <c r="B32" s="122" t="str">
        <v>Plasterboard, , Blue EX Board (Knauf Orbond) (Israel)</v>
      </c>
      <c r="C32" t="str">
        <v>m²</v>
      </c>
      <c r="D32" s="96">
        <v>2.2400000000000002</v>
      </c>
      <c r="E32" s="96">
        <v>0.18666666666666668</v>
      </c>
      <c r="F32" s="96">
        <v>0</v>
      </c>
      <c r="G32" s="121">
        <v>0</v>
      </c>
      <c r="H32" s="163">
        <f t="shared" si="2"/>
        <v>12</v>
      </c>
    </row>
    <row r="33" spans="2:8" x14ac:dyDescent="0.25">
      <c r="B33" s="122" t="str">
        <v>Plasterboard, , Fire-Resistant Board - Knauf Orbond (Knauf Orbond) (Israel)</v>
      </c>
      <c r="C33" t="str">
        <v>m²</v>
      </c>
      <c r="D33" s="96">
        <v>1.68</v>
      </c>
      <c r="E33" s="96">
        <v>0.17684210526315791</v>
      </c>
      <c r="F33" s="96">
        <v>0</v>
      </c>
      <c r="G33" s="121">
        <v>0</v>
      </c>
      <c r="H33" s="163">
        <f t="shared" si="2"/>
        <v>9.4999999999999982</v>
      </c>
    </row>
    <row r="34" spans="2:8" x14ac:dyDescent="0.25">
      <c r="B34" s="122" t="str">
        <v>Plasterboard, , Water-Resistant Board - Knauf Orbond (Knauf Orbond) (Israel)</v>
      </c>
      <c r="C34" t="str">
        <v>m²</v>
      </c>
      <c r="D34" s="96">
        <v>1.68</v>
      </c>
      <c r="E34" s="96">
        <v>0.18260869565217391</v>
      </c>
      <c r="F34" s="96">
        <v>0</v>
      </c>
      <c r="G34" s="121">
        <v>0</v>
      </c>
      <c r="H34" s="163">
        <f t="shared" si="2"/>
        <v>9.1999999999999993</v>
      </c>
    </row>
    <row r="35" spans="2:8" x14ac:dyDescent="0.25">
      <c r="B35" s="122" t="str">
        <v>Plasterboard, curveshield
6.5 mm,  (Siniat)</v>
      </c>
      <c r="C35" t="str">
        <v>m²</v>
      </c>
      <c r="D35" s="96">
        <v>1.89</v>
      </c>
      <c r="E35" s="96">
        <v>0.39374999999999999</v>
      </c>
      <c r="F35" s="96">
        <v>0.97900000000000009</v>
      </c>
      <c r="G35" s="121">
        <v>0.20395833333333335</v>
      </c>
      <c r="H35" s="163">
        <f t="shared" si="2"/>
        <v>4.8</v>
      </c>
    </row>
    <row r="36" spans="2:8" x14ac:dyDescent="0.25">
      <c r="B36" s="122" t="str">
        <v>Plasterboard, shaftliner/
intershield
25 mm,  (Siniat)</v>
      </c>
      <c r="C36" t="str">
        <v>m²</v>
      </c>
      <c r="D36" s="96">
        <v>6.79</v>
      </c>
      <c r="E36" s="96">
        <v>0.3264423076923077</v>
      </c>
      <c r="F36" s="96">
        <v>1.0669999999999999</v>
      </c>
      <c r="G36" s="121">
        <v>5.1298076923076918E-2</v>
      </c>
      <c r="H36" s="163">
        <f t="shared" si="2"/>
        <v>20.8</v>
      </c>
    </row>
    <row r="37" spans="2:8" x14ac:dyDescent="0.25">
      <c r="B37" s="122" t="str">
        <v>Plasterboard, watershield 10 mm,  (Siniat)</v>
      </c>
      <c r="C37" t="str">
        <v>m²</v>
      </c>
      <c r="D37" s="96">
        <v>2.82</v>
      </c>
      <c r="E37" s="96">
        <v>0.37105263157894736</v>
      </c>
      <c r="F37" s="96">
        <v>0.66733333333333322</v>
      </c>
      <c r="G37" s="121">
        <v>8.7807017543859639E-2</v>
      </c>
      <c r="H37" s="163">
        <f t="shared" si="2"/>
        <v>7.6</v>
      </c>
    </row>
    <row r="38" spans="2:8" x14ac:dyDescent="0.25">
      <c r="B38" s="122" t="str">
        <v>Plasterboard, watershield 13 mm,  (Siniat)</v>
      </c>
      <c r="C38" t="str">
        <v>m²</v>
      </c>
      <c r="D38" s="96">
        <v>3.4</v>
      </c>
      <c r="E38" s="96">
        <v>0.35789473684210527</v>
      </c>
      <c r="F38" s="96">
        <v>0.68933333333333335</v>
      </c>
      <c r="G38" s="121">
        <v>7.2561403508771938E-2</v>
      </c>
      <c r="H38" s="163">
        <f t="shared" si="2"/>
        <v>9.5</v>
      </c>
    </row>
    <row r="39" spans="2:8" x14ac:dyDescent="0.25">
      <c r="B39" s="122" t="str">
        <v>Plasterboard, multishield
13 mm,  (Siniat)</v>
      </c>
      <c r="C39" t="str">
        <v>m²</v>
      </c>
      <c r="D39" s="96">
        <v>3.96</v>
      </c>
      <c r="E39" s="96">
        <v>0.36666666666666664</v>
      </c>
      <c r="F39" s="96">
        <v>0.72966666666666669</v>
      </c>
      <c r="G39" s="121">
        <v>6.7561728395061721E-2</v>
      </c>
      <c r="H39" s="163">
        <f t="shared" si="2"/>
        <v>10.8</v>
      </c>
    </row>
    <row r="40" spans="2:8" x14ac:dyDescent="0.25">
      <c r="B40" s="122" t="str">
        <v>Plasterboard, multishield
16 mm,  (Siniat)</v>
      </c>
      <c r="C40" t="str">
        <v>m²</v>
      </c>
      <c r="D40" s="96">
        <v>4.4000000000000004</v>
      </c>
      <c r="E40" s="96">
        <v>0.33587786259541985</v>
      </c>
      <c r="F40" s="96">
        <v>0.69666666666666666</v>
      </c>
      <c r="G40" s="121">
        <v>5.3180661577608146E-2</v>
      </c>
      <c r="H40" s="163">
        <f t="shared" si="2"/>
        <v>13.100000000000001</v>
      </c>
    </row>
    <row r="41" spans="2:8" x14ac:dyDescent="0.25">
      <c r="B41" s="122" t="str">
        <v>Plasterboard, spanshield 10 mm,  (Siniat)</v>
      </c>
      <c r="C41" t="str">
        <v>m²</v>
      </c>
      <c r="D41" s="96">
        <v>2.1</v>
      </c>
      <c r="E41" s="96">
        <v>0.31818181818181823</v>
      </c>
      <c r="F41" s="96">
        <v>0.66</v>
      </c>
      <c r="G41" s="121">
        <v>0.1</v>
      </c>
      <c r="H41" s="163">
        <f t="shared" si="2"/>
        <v>6.6</v>
      </c>
    </row>
    <row r="42" spans="2:8" x14ac:dyDescent="0.25">
      <c r="B42" s="122" t="str">
        <v>Plasterboard, trurock HD
13 mm,  (Siniat)</v>
      </c>
      <c r="C42" t="str">
        <v>m²</v>
      </c>
      <c r="D42" s="96">
        <v>4.3499999999999996</v>
      </c>
      <c r="E42" s="96">
        <v>0.35080645161290319</v>
      </c>
      <c r="F42" s="96">
        <v>0.88733333333333331</v>
      </c>
      <c r="G42" s="121">
        <v>7.1559139784946227E-2</v>
      </c>
      <c r="H42" s="163">
        <f t="shared" si="2"/>
        <v>12.4</v>
      </c>
    </row>
    <row r="43" spans="2:8" x14ac:dyDescent="0.25">
      <c r="B43" s="122" t="str">
        <v>Plasterboard, mastashield 13 mm,  (Siniat)</v>
      </c>
      <c r="C43" t="str">
        <v>m²</v>
      </c>
      <c r="D43" s="96">
        <v>2.64</v>
      </c>
      <c r="E43" s="96">
        <v>0.3180722891566265</v>
      </c>
      <c r="F43" s="96">
        <v>0.69666666666666666</v>
      </c>
      <c r="G43" s="121">
        <v>8.3935742971887536E-2</v>
      </c>
      <c r="H43" s="163">
        <f t="shared" si="2"/>
        <v>8.3000000000000007</v>
      </c>
    </row>
    <row r="44" spans="2:8" x14ac:dyDescent="0.25">
      <c r="B44" s="122" t="str">
        <v>Plasterboard, trurock
16 mm*,  (Siniat)</v>
      </c>
      <c r="C44" t="str">
        <v>m²</v>
      </c>
      <c r="D44" s="96">
        <v>5.08</v>
      </c>
      <c r="E44" s="96">
        <v>0.34324324324324323</v>
      </c>
      <c r="F44" s="96">
        <v>0.91666666666666663</v>
      </c>
      <c r="G44" s="121">
        <v>6.1936936936936929E-2</v>
      </c>
      <c r="H44" s="163">
        <f t="shared" si="2"/>
        <v>14.8</v>
      </c>
    </row>
    <row r="45" spans="2:8" x14ac:dyDescent="0.25">
      <c r="B45" s="122" t="str">
        <v>Plasterboard, trurock HD
16 mm,  (Siniat)</v>
      </c>
      <c r="C45" t="str">
        <v>m²</v>
      </c>
      <c r="D45" s="96">
        <v>4.75</v>
      </c>
      <c r="E45" s="96">
        <v>0.32094594594594594</v>
      </c>
      <c r="F45" s="96">
        <v>1.0010000000000001</v>
      </c>
      <c r="G45" s="121">
        <v>6.7635135135135138E-2</v>
      </c>
      <c r="H45" s="163">
        <f t="shared" si="2"/>
        <v>14.8</v>
      </c>
    </row>
    <row r="46" spans="2:8" x14ac:dyDescent="0.25">
      <c r="B46" s="122" t="str">
        <v>Plasterboard, mastashield 10 mm,  (Siniat)</v>
      </c>
      <c r="C46" t="str">
        <v>m²</v>
      </c>
      <c r="D46" s="96">
        <v>2.0499999999999998</v>
      </c>
      <c r="E46" s="96">
        <v>0.33064516129032256</v>
      </c>
      <c r="F46" s="96">
        <v>0.63800000000000001</v>
      </c>
      <c r="G46" s="121">
        <v>0.10290322580645161</v>
      </c>
      <c r="H46" s="163">
        <f t="shared" si="2"/>
        <v>6.2</v>
      </c>
    </row>
    <row r="47" spans="2:8" x14ac:dyDescent="0.25">
      <c r="B47" s="122" t="str">
        <v>Plasterboard, soundshield 10 mm*,  (Siniat)</v>
      </c>
      <c r="C47" t="str">
        <v>m²</v>
      </c>
      <c r="D47" s="96">
        <v>2.96</v>
      </c>
      <c r="E47" s="96">
        <v>0.34823529411764698</v>
      </c>
      <c r="F47" s="96">
        <v>0.71133333333333326</v>
      </c>
      <c r="G47" s="121">
        <v>8.3686274509803912E-2</v>
      </c>
      <c r="H47" s="163">
        <f t="shared" si="2"/>
        <v>8.5000000000000018</v>
      </c>
    </row>
    <row r="48" spans="2:8" x14ac:dyDescent="0.25">
      <c r="B48" s="122"/>
      <c r="G48" s="121"/>
      <c r="H48" s="163" t="str">
        <f t="shared" si="2"/>
        <v/>
      </c>
    </row>
    <row r="49" spans="2:8" x14ac:dyDescent="0.25">
      <c r="B49" s="122"/>
      <c r="G49" s="121"/>
      <c r="H49" s="163" t="str">
        <f t="shared" si="2"/>
        <v/>
      </c>
    </row>
    <row r="50" spans="2:8" x14ac:dyDescent="0.25">
      <c r="B50" s="122"/>
      <c r="G50" s="121"/>
      <c r="H50" s="163" t="str">
        <f t="shared" si="2"/>
        <v/>
      </c>
    </row>
    <row r="51" spans="2:8" x14ac:dyDescent="0.25">
      <c r="B51" s="122"/>
      <c r="G51" s="121"/>
      <c r="H51" s="163" t="str">
        <f t="shared" si="2"/>
        <v/>
      </c>
    </row>
    <row r="52" spans="2:8" x14ac:dyDescent="0.25">
      <c r="B52" s="122"/>
      <c r="G52" s="121"/>
      <c r="H52" s="163" t="str">
        <f t="shared" si="2"/>
        <v/>
      </c>
    </row>
    <row r="53" spans="2:8" x14ac:dyDescent="0.25">
      <c r="B53" s="122"/>
      <c r="G53" s="121"/>
      <c r="H53" s="163" t="str">
        <f t="shared" si="2"/>
        <v/>
      </c>
    </row>
    <row r="54" spans="2:8" x14ac:dyDescent="0.25">
      <c r="B54" s="122"/>
      <c r="G54" s="121"/>
      <c r="H54" s="163" t="str">
        <f t="shared" si="2"/>
        <v/>
      </c>
    </row>
    <row r="55" spans="2:8" x14ac:dyDescent="0.25">
      <c r="B55" s="122"/>
      <c r="G55" s="121"/>
      <c r="H55" s="163" t="str">
        <f t="shared" si="2"/>
        <v/>
      </c>
    </row>
    <row r="56" spans="2:8" x14ac:dyDescent="0.25">
      <c r="B56" s="122"/>
      <c r="G56" s="121"/>
      <c r="H56" s="163" t="str">
        <f t="shared" si="2"/>
        <v/>
      </c>
    </row>
    <row r="57" spans="2:8" x14ac:dyDescent="0.25">
      <c r="B57" s="122"/>
      <c r="G57" s="121"/>
      <c r="H57" s="163" t="str">
        <f t="shared" si="2"/>
        <v/>
      </c>
    </row>
    <row r="58" spans="2:8" x14ac:dyDescent="0.25">
      <c r="B58" s="122"/>
      <c r="G58" s="121"/>
      <c r="H58" s="163" t="str">
        <f t="shared" si="2"/>
        <v/>
      </c>
    </row>
    <row r="59" spans="2:8" x14ac:dyDescent="0.25">
      <c r="B59" s="122"/>
      <c r="G59" s="121"/>
      <c r="H59" s="163" t="str">
        <f t="shared" si="2"/>
        <v/>
      </c>
    </row>
    <row r="60" spans="2:8" x14ac:dyDescent="0.25">
      <c r="B60" s="122"/>
      <c r="G60" s="121"/>
      <c r="H60" s="163" t="str">
        <f t="shared" si="2"/>
        <v/>
      </c>
    </row>
    <row r="61" spans="2:8" x14ac:dyDescent="0.25">
      <c r="B61" s="122"/>
      <c r="G61" s="121"/>
      <c r="H61" s="163" t="str">
        <f t="shared" si="2"/>
        <v/>
      </c>
    </row>
    <row r="62" spans="2:8" x14ac:dyDescent="0.25">
      <c r="B62" s="122"/>
      <c r="G62" s="121"/>
      <c r="H62" s="163" t="str">
        <f t="shared" si="2"/>
        <v/>
      </c>
    </row>
    <row r="63" spans="2:8" x14ac:dyDescent="0.25">
      <c r="B63" s="122"/>
      <c r="G63" s="121"/>
      <c r="H63" s="163" t="str">
        <f t="shared" si="2"/>
        <v/>
      </c>
    </row>
    <row r="64" spans="2:8" x14ac:dyDescent="0.25">
      <c r="B64" s="122"/>
      <c r="G64" s="121"/>
      <c r="H64" s="163" t="str">
        <f t="shared" si="2"/>
        <v/>
      </c>
    </row>
    <row r="65" spans="2:8" x14ac:dyDescent="0.25">
      <c r="B65" s="122"/>
      <c r="G65" s="121"/>
      <c r="H65" s="163" t="str">
        <f t="shared" si="2"/>
        <v/>
      </c>
    </row>
    <row r="66" spans="2:8" x14ac:dyDescent="0.25">
      <c r="B66" s="122"/>
      <c r="G66" s="121"/>
      <c r="H66" s="163" t="str">
        <f t="shared" si="2"/>
        <v/>
      </c>
    </row>
    <row r="67" spans="2:8" x14ac:dyDescent="0.25">
      <c r="B67" s="122"/>
      <c r="G67" s="121"/>
      <c r="H67" s="163" t="str">
        <f t="shared" si="2"/>
        <v/>
      </c>
    </row>
    <row r="68" spans="2:8" x14ac:dyDescent="0.25">
      <c r="B68" s="122"/>
      <c r="G68" s="121"/>
      <c r="H68" s="163" t="str">
        <f t="shared" si="2"/>
        <v/>
      </c>
    </row>
    <row r="69" spans="2:8" x14ac:dyDescent="0.25">
      <c r="B69" s="122"/>
      <c r="G69" s="121"/>
      <c r="H69" s="163" t="str">
        <f t="shared" si="2"/>
        <v/>
      </c>
    </row>
    <row r="70" spans="2:8" x14ac:dyDescent="0.25">
      <c r="B70" s="122"/>
      <c r="G70" s="121"/>
      <c r="H70" s="163" t="str">
        <f t="shared" si="2"/>
        <v/>
      </c>
    </row>
    <row r="71" spans="2:8" x14ac:dyDescent="0.25">
      <c r="B71" s="122"/>
      <c r="G71" s="121"/>
      <c r="H71" s="163" t="str">
        <f t="shared" si="2"/>
        <v/>
      </c>
    </row>
    <row r="72" spans="2:8" x14ac:dyDescent="0.25">
      <c r="B72" s="122"/>
      <c r="G72" s="121"/>
      <c r="H72" s="163" t="str">
        <f t="shared" si="2"/>
        <v/>
      </c>
    </row>
    <row r="73" spans="2:8" x14ac:dyDescent="0.25">
      <c r="B73" s="122"/>
      <c r="G73" s="121"/>
      <c r="H73" s="163" t="str">
        <f t="shared" si="2"/>
        <v/>
      </c>
    </row>
    <row r="74" spans="2:8" x14ac:dyDescent="0.25">
      <c r="B74" s="122"/>
      <c r="G74" s="121"/>
      <c r="H74" s="163" t="str">
        <f t="shared" si="2"/>
        <v/>
      </c>
    </row>
    <row r="75" spans="2:8" x14ac:dyDescent="0.25">
      <c r="B75" s="122"/>
      <c r="G75" s="121"/>
      <c r="H75" s="163" t="str">
        <f t="shared" si="2"/>
        <v/>
      </c>
    </row>
    <row r="76" spans="2:8" x14ac:dyDescent="0.25">
      <c r="B76" s="122"/>
      <c r="G76" s="121"/>
      <c r="H76" s="163" t="str">
        <f t="shared" si="2"/>
        <v/>
      </c>
    </row>
    <row r="77" spans="2:8" x14ac:dyDescent="0.25">
      <c r="B77" s="122"/>
      <c r="G77" s="121"/>
      <c r="H77" s="163" t="str">
        <f t="shared" si="2"/>
        <v/>
      </c>
    </row>
    <row r="78" spans="2:8" x14ac:dyDescent="0.25">
      <c r="B78" s="122"/>
      <c r="G78" s="121"/>
      <c r="H78" s="163" t="str">
        <f t="shared" si="2"/>
        <v/>
      </c>
    </row>
    <row r="79" spans="2:8" x14ac:dyDescent="0.25">
      <c r="B79" s="122"/>
      <c r="G79" s="121"/>
      <c r="H79" s="163" t="str">
        <f t="shared" si="2"/>
        <v/>
      </c>
    </row>
    <row r="80" spans="2:8" x14ac:dyDescent="0.25">
      <c r="B80" s="122"/>
      <c r="G80" s="121"/>
      <c r="H80" s="163" t="str">
        <f t="shared" si="2"/>
        <v/>
      </c>
    </row>
    <row r="81" spans="2:9" x14ac:dyDescent="0.25">
      <c r="B81" s="122"/>
      <c r="G81" s="121"/>
      <c r="H81" s="163" t="str">
        <f t="shared" si="2"/>
        <v/>
      </c>
    </row>
    <row r="82" spans="2:9" x14ac:dyDescent="0.25">
      <c r="B82" s="122"/>
      <c r="G82" s="121"/>
      <c r="H82" s="163" t="str">
        <f t="shared" si="2"/>
        <v/>
      </c>
    </row>
    <row r="83" spans="2:9" x14ac:dyDescent="0.25">
      <c r="B83" s="122"/>
      <c r="G83" s="121"/>
      <c r="H83" s="163" t="str">
        <f t="shared" ref="H83:H146" si="4">IFERROR(D83/E83,"")</f>
        <v/>
      </c>
    </row>
    <row r="84" spans="2:9" x14ac:dyDescent="0.25">
      <c r="B84" s="122"/>
      <c r="G84" s="121"/>
      <c r="H84" s="163" t="str">
        <f t="shared" si="4"/>
        <v/>
      </c>
    </row>
    <row r="85" spans="2:9" x14ac:dyDescent="0.25">
      <c r="B85" s="122"/>
      <c r="G85" s="121"/>
      <c r="H85" s="163" t="str">
        <f t="shared" si="4"/>
        <v/>
      </c>
    </row>
    <row r="86" spans="2:9" x14ac:dyDescent="0.25">
      <c r="B86" s="122"/>
      <c r="G86" s="121"/>
      <c r="H86" s="163" t="str">
        <f t="shared" si="4"/>
        <v/>
      </c>
    </row>
    <row r="87" spans="2:9" x14ac:dyDescent="0.25">
      <c r="B87" s="122"/>
      <c r="G87" s="121"/>
      <c r="H87" s="163" t="str">
        <f t="shared" si="4"/>
        <v/>
      </c>
    </row>
    <row r="88" spans="2:9" x14ac:dyDescent="0.25">
      <c r="B88" s="122"/>
      <c r="G88" s="121"/>
      <c r="H88" s="163" t="str">
        <f t="shared" si="4"/>
        <v/>
      </c>
    </row>
    <row r="89" spans="2:9" x14ac:dyDescent="0.25">
      <c r="B89" s="122"/>
      <c r="G89" s="121"/>
      <c r="H89" s="163" t="str">
        <f t="shared" si="4"/>
        <v/>
      </c>
    </row>
    <row r="90" spans="2:9" x14ac:dyDescent="0.25">
      <c r="B90" s="122"/>
      <c r="G90" s="121"/>
      <c r="H90" s="163" t="str">
        <f t="shared" si="4"/>
        <v/>
      </c>
      <c r="I90" s="96"/>
    </row>
    <row r="91" spans="2:9" x14ac:dyDescent="0.25">
      <c r="B91" s="122"/>
      <c r="G91" s="121"/>
      <c r="H91" s="163" t="str">
        <f t="shared" si="4"/>
        <v/>
      </c>
    </row>
    <row r="92" spans="2:9" x14ac:dyDescent="0.25">
      <c r="B92" s="122"/>
      <c r="G92" s="121"/>
      <c r="H92" s="163" t="str">
        <f t="shared" si="4"/>
        <v/>
      </c>
    </row>
    <row r="93" spans="2:9" x14ac:dyDescent="0.25">
      <c r="B93" s="122"/>
      <c r="G93" s="121"/>
      <c r="H93" s="163" t="str">
        <f t="shared" si="4"/>
        <v/>
      </c>
    </row>
    <row r="94" spans="2:9" x14ac:dyDescent="0.25">
      <c r="B94" s="122"/>
      <c r="G94" s="121"/>
      <c r="H94" s="163" t="str">
        <f t="shared" si="4"/>
        <v/>
      </c>
    </row>
    <row r="95" spans="2:9" x14ac:dyDescent="0.25">
      <c r="B95" s="122"/>
      <c r="G95" s="121"/>
      <c r="H95" s="163" t="str">
        <f t="shared" si="4"/>
        <v/>
      </c>
    </row>
    <row r="96" spans="2:9" x14ac:dyDescent="0.25">
      <c r="B96" s="122"/>
      <c r="G96" s="121"/>
      <c r="H96" s="163" t="str">
        <f t="shared" si="4"/>
        <v/>
      </c>
    </row>
    <row r="97" spans="2:8" x14ac:dyDescent="0.25">
      <c r="B97" s="122"/>
      <c r="G97" s="121"/>
      <c r="H97" s="163" t="str">
        <f t="shared" si="4"/>
        <v/>
      </c>
    </row>
    <row r="98" spans="2:8" x14ac:dyDescent="0.25">
      <c r="B98" s="122"/>
      <c r="G98" s="121"/>
      <c r="H98" s="163" t="str">
        <f t="shared" si="4"/>
        <v/>
      </c>
    </row>
    <row r="99" spans="2:8" x14ac:dyDescent="0.25">
      <c r="B99" s="122"/>
      <c r="G99" s="121"/>
      <c r="H99" s="163" t="str">
        <f t="shared" si="4"/>
        <v/>
      </c>
    </row>
    <row r="100" spans="2:8" x14ac:dyDescent="0.25">
      <c r="B100" s="122"/>
      <c r="G100" s="121"/>
      <c r="H100" s="163" t="str">
        <f t="shared" si="4"/>
        <v/>
      </c>
    </row>
    <row r="101" spans="2:8" x14ac:dyDescent="0.25">
      <c r="B101" s="122"/>
      <c r="G101" s="121"/>
      <c r="H101" s="163" t="str">
        <f t="shared" si="4"/>
        <v/>
      </c>
    </row>
    <row r="102" spans="2:8" x14ac:dyDescent="0.25">
      <c r="B102" s="122"/>
      <c r="G102" s="121"/>
      <c r="H102" s="163" t="str">
        <f t="shared" si="4"/>
        <v/>
      </c>
    </row>
    <row r="103" spans="2:8" x14ac:dyDescent="0.25">
      <c r="B103" s="122"/>
      <c r="G103" s="121"/>
      <c r="H103" s="163" t="str">
        <f t="shared" si="4"/>
        <v/>
      </c>
    </row>
    <row r="104" spans="2:8" x14ac:dyDescent="0.25">
      <c r="B104" s="122"/>
      <c r="G104" s="121"/>
      <c r="H104" s="163" t="str">
        <f t="shared" si="4"/>
        <v/>
      </c>
    </row>
    <row r="105" spans="2:8" x14ac:dyDescent="0.25">
      <c r="B105" s="122"/>
      <c r="G105" s="121"/>
      <c r="H105" s="163" t="str">
        <f t="shared" si="4"/>
        <v/>
      </c>
    </row>
    <row r="106" spans="2:8" x14ac:dyDescent="0.25">
      <c r="B106" s="122"/>
      <c r="G106" s="121"/>
      <c r="H106" s="163" t="str">
        <f t="shared" si="4"/>
        <v/>
      </c>
    </row>
    <row r="107" spans="2:8" x14ac:dyDescent="0.25">
      <c r="B107" s="122"/>
      <c r="G107" s="121"/>
      <c r="H107" s="163" t="str">
        <f t="shared" si="4"/>
        <v/>
      </c>
    </row>
    <row r="108" spans="2:8" x14ac:dyDescent="0.25">
      <c r="B108" s="122"/>
      <c r="G108" s="121"/>
      <c r="H108" s="163" t="str">
        <f t="shared" si="4"/>
        <v/>
      </c>
    </row>
    <row r="109" spans="2:8" x14ac:dyDescent="0.25">
      <c r="B109" s="122"/>
      <c r="G109" s="121"/>
      <c r="H109" s="163" t="str">
        <f t="shared" si="4"/>
        <v/>
      </c>
    </row>
    <row r="110" spans="2:8" x14ac:dyDescent="0.25">
      <c r="B110" s="122"/>
      <c r="G110" s="121"/>
      <c r="H110" s="163" t="str">
        <f t="shared" si="4"/>
        <v/>
      </c>
    </row>
    <row r="111" spans="2:8" x14ac:dyDescent="0.25">
      <c r="B111" s="122"/>
      <c r="G111" s="121"/>
      <c r="H111" s="163" t="str">
        <f t="shared" si="4"/>
        <v/>
      </c>
    </row>
    <row r="112" spans="2:8" x14ac:dyDescent="0.25">
      <c r="B112" s="122"/>
      <c r="G112" s="121"/>
      <c r="H112" s="163" t="str">
        <f t="shared" si="4"/>
        <v/>
      </c>
    </row>
    <row r="113" spans="2:8" x14ac:dyDescent="0.25">
      <c r="B113" s="122"/>
      <c r="G113" s="121"/>
      <c r="H113" s="163" t="str">
        <f t="shared" si="4"/>
        <v/>
      </c>
    </row>
    <row r="114" spans="2:8" x14ac:dyDescent="0.25">
      <c r="B114" s="122"/>
      <c r="G114" s="121"/>
      <c r="H114" s="163" t="str">
        <f t="shared" si="4"/>
        <v/>
      </c>
    </row>
    <row r="115" spans="2:8" x14ac:dyDescent="0.25">
      <c r="B115" s="122"/>
      <c r="G115" s="121"/>
      <c r="H115" s="163" t="str">
        <f t="shared" si="4"/>
        <v/>
      </c>
    </row>
    <row r="116" spans="2:8" x14ac:dyDescent="0.25">
      <c r="B116" s="122"/>
      <c r="G116" s="121"/>
      <c r="H116" s="163" t="str">
        <f t="shared" si="4"/>
        <v/>
      </c>
    </row>
    <row r="117" spans="2:8" x14ac:dyDescent="0.25">
      <c r="B117" s="122"/>
      <c r="G117" s="121"/>
      <c r="H117" s="163" t="str">
        <f t="shared" si="4"/>
        <v/>
      </c>
    </row>
    <row r="118" spans="2:8" x14ac:dyDescent="0.25">
      <c r="B118" s="122"/>
      <c r="G118" s="121"/>
      <c r="H118" s="163" t="str">
        <f t="shared" si="4"/>
        <v/>
      </c>
    </row>
    <row r="119" spans="2:8" x14ac:dyDescent="0.25">
      <c r="B119" s="122"/>
      <c r="G119" s="121"/>
      <c r="H119" s="163" t="str">
        <f t="shared" si="4"/>
        <v/>
      </c>
    </row>
    <row r="120" spans="2:8" x14ac:dyDescent="0.25">
      <c r="B120" s="122"/>
      <c r="G120" s="121"/>
      <c r="H120" s="163" t="str">
        <f t="shared" si="4"/>
        <v/>
      </c>
    </row>
    <row r="121" spans="2:8" x14ac:dyDescent="0.25">
      <c r="B121" s="122"/>
      <c r="G121" s="121"/>
      <c r="H121" s="163" t="str">
        <f t="shared" si="4"/>
        <v/>
      </c>
    </row>
    <row r="122" spans="2:8" x14ac:dyDescent="0.25">
      <c r="B122" s="122"/>
      <c r="G122" s="121"/>
      <c r="H122" s="163" t="str">
        <f t="shared" si="4"/>
        <v/>
      </c>
    </row>
    <row r="123" spans="2:8" x14ac:dyDescent="0.25">
      <c r="B123" s="122"/>
      <c r="G123" s="121"/>
      <c r="H123" s="163" t="str">
        <f t="shared" si="4"/>
        <v/>
      </c>
    </row>
    <row r="124" spans="2:8" x14ac:dyDescent="0.25">
      <c r="B124" s="122"/>
      <c r="G124" s="121"/>
      <c r="H124" s="163" t="str">
        <f t="shared" si="4"/>
        <v/>
      </c>
    </row>
    <row r="125" spans="2:8" x14ac:dyDescent="0.25">
      <c r="B125" s="122"/>
      <c r="G125" s="121"/>
      <c r="H125" s="163" t="str">
        <f t="shared" si="4"/>
        <v/>
      </c>
    </row>
    <row r="126" spans="2:8" x14ac:dyDescent="0.25">
      <c r="B126" s="122"/>
      <c r="G126" s="121"/>
      <c r="H126" s="163" t="str">
        <f t="shared" si="4"/>
        <v/>
      </c>
    </row>
    <row r="127" spans="2:8" x14ac:dyDescent="0.25">
      <c r="B127" s="122"/>
      <c r="G127" s="121"/>
      <c r="H127" s="163" t="str">
        <f t="shared" si="4"/>
        <v/>
      </c>
    </row>
    <row r="128" spans="2:8" x14ac:dyDescent="0.25">
      <c r="B128" s="122"/>
      <c r="G128" s="121"/>
      <c r="H128" s="163" t="str">
        <f t="shared" si="4"/>
        <v/>
      </c>
    </row>
    <row r="129" spans="2:8" x14ac:dyDescent="0.25">
      <c r="B129" s="122"/>
      <c r="G129" s="121"/>
      <c r="H129" s="163" t="str">
        <f t="shared" si="4"/>
        <v/>
      </c>
    </row>
    <row r="130" spans="2:8" x14ac:dyDescent="0.25">
      <c r="B130" s="122"/>
      <c r="G130" s="121"/>
      <c r="H130" s="163" t="str">
        <f t="shared" si="4"/>
        <v/>
      </c>
    </row>
    <row r="131" spans="2:8" x14ac:dyDescent="0.25">
      <c r="B131" s="122"/>
      <c r="G131" s="121"/>
      <c r="H131" s="163" t="str">
        <f t="shared" si="4"/>
        <v/>
      </c>
    </row>
    <row r="132" spans="2:8" x14ac:dyDescent="0.25">
      <c r="B132" s="122"/>
      <c r="G132" s="121"/>
      <c r="H132" s="163" t="str">
        <f t="shared" si="4"/>
        <v/>
      </c>
    </row>
    <row r="133" spans="2:8" x14ac:dyDescent="0.25">
      <c r="B133" s="122"/>
      <c r="G133" s="121"/>
      <c r="H133" s="163" t="str">
        <f t="shared" si="4"/>
        <v/>
      </c>
    </row>
    <row r="134" spans="2:8" x14ac:dyDescent="0.25">
      <c r="B134" s="122"/>
      <c r="G134" s="121"/>
      <c r="H134" s="163" t="str">
        <f t="shared" si="4"/>
        <v/>
      </c>
    </row>
    <row r="135" spans="2:8" x14ac:dyDescent="0.25">
      <c r="B135" s="122"/>
      <c r="G135" s="121"/>
      <c r="H135" s="163" t="str">
        <f t="shared" si="4"/>
        <v/>
      </c>
    </row>
    <row r="136" spans="2:8" x14ac:dyDescent="0.25">
      <c r="B136" s="122"/>
      <c r="G136" s="121"/>
      <c r="H136" s="163" t="str">
        <f t="shared" si="4"/>
        <v/>
      </c>
    </row>
    <row r="137" spans="2:8" x14ac:dyDescent="0.25">
      <c r="B137" s="122"/>
      <c r="G137" s="121"/>
      <c r="H137" s="163" t="str">
        <f t="shared" si="4"/>
        <v/>
      </c>
    </row>
    <row r="138" spans="2:8" x14ac:dyDescent="0.25">
      <c r="B138" s="122"/>
      <c r="G138" s="121"/>
      <c r="H138" s="163" t="str">
        <f t="shared" si="4"/>
        <v/>
      </c>
    </row>
    <row r="139" spans="2:8" x14ac:dyDescent="0.25">
      <c r="B139" s="122"/>
      <c r="G139" s="121"/>
      <c r="H139" s="163" t="str">
        <f t="shared" si="4"/>
        <v/>
      </c>
    </row>
    <row r="140" spans="2:8" x14ac:dyDescent="0.25">
      <c r="B140" s="122"/>
      <c r="G140" s="121"/>
      <c r="H140" s="163" t="str">
        <f t="shared" si="4"/>
        <v/>
      </c>
    </row>
    <row r="141" spans="2:8" x14ac:dyDescent="0.25">
      <c r="B141" s="122"/>
      <c r="G141" s="121"/>
      <c r="H141" s="163" t="str">
        <f t="shared" si="4"/>
        <v/>
      </c>
    </row>
    <row r="142" spans="2:8" x14ac:dyDescent="0.25">
      <c r="B142" s="122"/>
      <c r="G142" s="121"/>
      <c r="H142" s="163" t="str">
        <f t="shared" si="4"/>
        <v/>
      </c>
    </row>
    <row r="143" spans="2:8" x14ac:dyDescent="0.25">
      <c r="B143" s="122"/>
      <c r="G143" s="121"/>
      <c r="H143" s="163" t="str">
        <f t="shared" si="4"/>
        <v/>
      </c>
    </row>
    <row r="144" spans="2:8" x14ac:dyDescent="0.25">
      <c r="B144" s="122"/>
      <c r="G144" s="121"/>
      <c r="H144" s="163" t="str">
        <f t="shared" si="4"/>
        <v/>
      </c>
    </row>
    <row r="145" spans="2:8" x14ac:dyDescent="0.25">
      <c r="B145" s="122"/>
      <c r="G145" s="121"/>
      <c r="H145" s="163" t="str">
        <f t="shared" si="4"/>
        <v/>
      </c>
    </row>
    <row r="146" spans="2:8" x14ac:dyDescent="0.25">
      <c r="B146" s="122"/>
      <c r="G146" s="121"/>
      <c r="H146" s="163" t="str">
        <f t="shared" si="4"/>
        <v/>
      </c>
    </row>
    <row r="147" spans="2:8" x14ac:dyDescent="0.25">
      <c r="B147" s="122"/>
      <c r="G147" s="121"/>
      <c r="H147" s="163" t="str">
        <f t="shared" ref="H147:H210" si="5">IFERROR(D147/E147,"")</f>
        <v/>
      </c>
    </row>
    <row r="148" spans="2:8" x14ac:dyDescent="0.25">
      <c r="B148" s="122"/>
      <c r="G148" s="121"/>
      <c r="H148" s="163" t="str">
        <f t="shared" si="5"/>
        <v/>
      </c>
    </row>
    <row r="149" spans="2:8" x14ac:dyDescent="0.25">
      <c r="B149" s="122"/>
      <c r="G149" s="121"/>
      <c r="H149" s="163" t="str">
        <f t="shared" si="5"/>
        <v/>
      </c>
    </row>
    <row r="150" spans="2:8" x14ac:dyDescent="0.25">
      <c r="B150" s="122"/>
      <c r="G150" s="121"/>
      <c r="H150" s="163" t="str">
        <f t="shared" si="5"/>
        <v/>
      </c>
    </row>
    <row r="151" spans="2:8" x14ac:dyDescent="0.25">
      <c r="B151" s="122"/>
      <c r="G151" s="121"/>
      <c r="H151" s="163" t="str">
        <f t="shared" si="5"/>
        <v/>
      </c>
    </row>
    <row r="152" spans="2:8" x14ac:dyDescent="0.25">
      <c r="B152" s="122"/>
      <c r="G152" s="121"/>
      <c r="H152" s="163" t="str">
        <f t="shared" si="5"/>
        <v/>
      </c>
    </row>
    <row r="153" spans="2:8" x14ac:dyDescent="0.25">
      <c r="B153" s="122"/>
      <c r="G153" s="121"/>
      <c r="H153" s="163" t="str">
        <f t="shared" si="5"/>
        <v/>
      </c>
    </row>
    <row r="154" spans="2:8" x14ac:dyDescent="0.25">
      <c r="B154" s="122"/>
      <c r="G154" s="121"/>
      <c r="H154" s="163" t="str">
        <f t="shared" si="5"/>
        <v/>
      </c>
    </row>
    <row r="155" spans="2:8" x14ac:dyDescent="0.25">
      <c r="B155" s="122"/>
      <c r="G155" s="121"/>
      <c r="H155" s="163" t="str">
        <f t="shared" si="5"/>
        <v/>
      </c>
    </row>
    <row r="156" spans="2:8" x14ac:dyDescent="0.25">
      <c r="B156" s="122"/>
      <c r="G156" s="121"/>
      <c r="H156" s="163" t="str">
        <f t="shared" si="5"/>
        <v/>
      </c>
    </row>
    <row r="157" spans="2:8" x14ac:dyDescent="0.25">
      <c r="B157" s="122"/>
      <c r="G157" s="121"/>
      <c r="H157" s="163" t="str">
        <f t="shared" si="5"/>
        <v/>
      </c>
    </row>
    <row r="158" spans="2:8" x14ac:dyDescent="0.25">
      <c r="B158" s="122"/>
      <c r="G158" s="121"/>
      <c r="H158" s="163" t="str">
        <f t="shared" si="5"/>
        <v/>
      </c>
    </row>
    <row r="159" spans="2:8" x14ac:dyDescent="0.25">
      <c r="B159" s="122"/>
      <c r="G159" s="121"/>
      <c r="H159" s="163" t="str">
        <f t="shared" si="5"/>
        <v/>
      </c>
    </row>
    <row r="160" spans="2:8" x14ac:dyDescent="0.25">
      <c r="B160" s="122"/>
      <c r="G160" s="121"/>
      <c r="H160" s="163" t="str">
        <f t="shared" si="5"/>
        <v/>
      </c>
    </row>
    <row r="161" spans="2:8" x14ac:dyDescent="0.25">
      <c r="B161" s="122"/>
      <c r="G161" s="121"/>
      <c r="H161" s="163" t="str">
        <f t="shared" si="5"/>
        <v/>
      </c>
    </row>
    <row r="162" spans="2:8" x14ac:dyDescent="0.25">
      <c r="B162" s="122"/>
      <c r="G162" s="121"/>
      <c r="H162" s="163" t="str">
        <f t="shared" si="5"/>
        <v/>
      </c>
    </row>
    <row r="163" spans="2:8" x14ac:dyDescent="0.25">
      <c r="B163" s="122"/>
      <c r="G163" s="121"/>
      <c r="H163" s="163" t="str">
        <f t="shared" si="5"/>
        <v/>
      </c>
    </row>
    <row r="164" spans="2:8" x14ac:dyDescent="0.25">
      <c r="B164" s="122"/>
      <c r="G164" s="121"/>
      <c r="H164" s="163" t="str">
        <f t="shared" si="5"/>
        <v/>
      </c>
    </row>
    <row r="165" spans="2:8" x14ac:dyDescent="0.25">
      <c r="B165" s="122"/>
      <c r="G165" s="121"/>
      <c r="H165" s="163" t="str">
        <f t="shared" si="5"/>
        <v/>
      </c>
    </row>
    <row r="166" spans="2:8" x14ac:dyDescent="0.25">
      <c r="B166" s="125"/>
      <c r="C166" s="126"/>
      <c r="D166" s="127"/>
      <c r="E166" s="127"/>
      <c r="F166" s="127"/>
      <c r="G166" s="128"/>
      <c r="H166" s="163" t="str">
        <f t="shared" si="5"/>
        <v/>
      </c>
    </row>
    <row r="167" spans="2:8" x14ac:dyDescent="0.25">
      <c r="H167" s="163" t="str">
        <f t="shared" si="5"/>
        <v/>
      </c>
    </row>
    <row r="168" spans="2:8" x14ac:dyDescent="0.25">
      <c r="H168" s="163" t="str">
        <f t="shared" si="5"/>
        <v/>
      </c>
    </row>
    <row r="169" spans="2:8" x14ac:dyDescent="0.25">
      <c r="H169" s="163" t="str">
        <f t="shared" si="5"/>
        <v/>
      </c>
    </row>
    <row r="170" spans="2:8" x14ac:dyDescent="0.25">
      <c r="H170" s="163" t="str">
        <f t="shared" si="5"/>
        <v/>
      </c>
    </row>
    <row r="171" spans="2:8" x14ac:dyDescent="0.25">
      <c r="H171" s="163" t="str">
        <f t="shared" si="5"/>
        <v/>
      </c>
    </row>
    <row r="172" spans="2:8" x14ac:dyDescent="0.25">
      <c r="H172" s="163" t="str">
        <f t="shared" si="5"/>
        <v/>
      </c>
    </row>
    <row r="173" spans="2:8" x14ac:dyDescent="0.25">
      <c r="H173" s="163" t="str">
        <f t="shared" si="5"/>
        <v/>
      </c>
    </row>
    <row r="174" spans="2:8" x14ac:dyDescent="0.25">
      <c r="H174" s="163" t="str">
        <f t="shared" si="5"/>
        <v/>
      </c>
    </row>
    <row r="175" spans="2:8" x14ac:dyDescent="0.25">
      <c r="H175" s="163" t="str">
        <f t="shared" si="5"/>
        <v/>
      </c>
    </row>
    <row r="176" spans="2:8" x14ac:dyDescent="0.25">
      <c r="H176" s="163" t="str">
        <f t="shared" si="5"/>
        <v/>
      </c>
    </row>
    <row r="177" spans="8:8" x14ac:dyDescent="0.25">
      <c r="H177" s="163" t="str">
        <f t="shared" si="5"/>
        <v/>
      </c>
    </row>
    <row r="178" spans="8:8" x14ac:dyDescent="0.25">
      <c r="H178" s="163" t="str">
        <f t="shared" si="5"/>
        <v/>
      </c>
    </row>
    <row r="179" spans="8:8" x14ac:dyDescent="0.25">
      <c r="H179" s="163" t="str">
        <f t="shared" si="5"/>
        <v/>
      </c>
    </row>
    <row r="180" spans="8:8" x14ac:dyDescent="0.25">
      <c r="H180" s="163" t="str">
        <f t="shared" si="5"/>
        <v/>
      </c>
    </row>
    <row r="181" spans="8:8" x14ac:dyDescent="0.25">
      <c r="H181" s="163" t="str">
        <f t="shared" si="5"/>
        <v/>
      </c>
    </row>
    <row r="182" spans="8:8" x14ac:dyDescent="0.25">
      <c r="H182" s="163" t="str">
        <f t="shared" si="5"/>
        <v/>
      </c>
    </row>
    <row r="183" spans="8:8" x14ac:dyDescent="0.25">
      <c r="H183" s="163" t="str">
        <f t="shared" si="5"/>
        <v/>
      </c>
    </row>
    <row r="184" spans="8:8" x14ac:dyDescent="0.25">
      <c r="H184" s="163" t="str">
        <f t="shared" si="5"/>
        <v/>
      </c>
    </row>
    <row r="185" spans="8:8" x14ac:dyDescent="0.25">
      <c r="H185" s="163" t="str">
        <f t="shared" si="5"/>
        <v/>
      </c>
    </row>
    <row r="186" spans="8:8" x14ac:dyDescent="0.25">
      <c r="H186" s="163" t="str">
        <f t="shared" si="5"/>
        <v/>
      </c>
    </row>
    <row r="187" spans="8:8" x14ac:dyDescent="0.25">
      <c r="H187" s="163" t="str">
        <f t="shared" si="5"/>
        <v/>
      </c>
    </row>
    <row r="188" spans="8:8" x14ac:dyDescent="0.25">
      <c r="H188" s="163" t="str">
        <f t="shared" si="5"/>
        <v/>
      </c>
    </row>
    <row r="189" spans="8:8" x14ac:dyDescent="0.25">
      <c r="H189" s="163" t="str">
        <f t="shared" si="5"/>
        <v/>
      </c>
    </row>
    <row r="190" spans="8:8" x14ac:dyDescent="0.25">
      <c r="H190" s="163" t="str">
        <f t="shared" si="5"/>
        <v/>
      </c>
    </row>
    <row r="191" spans="8:8" x14ac:dyDescent="0.25">
      <c r="H191" s="163" t="str">
        <f t="shared" si="5"/>
        <v/>
      </c>
    </row>
    <row r="192" spans="8:8" x14ac:dyDescent="0.25">
      <c r="H192" s="163" t="str">
        <f t="shared" si="5"/>
        <v/>
      </c>
    </row>
    <row r="193" spans="8:8" x14ac:dyDescent="0.25">
      <c r="H193" s="163" t="str">
        <f t="shared" si="5"/>
        <v/>
      </c>
    </row>
    <row r="194" spans="8:8" x14ac:dyDescent="0.25">
      <c r="H194" s="163" t="str">
        <f t="shared" si="5"/>
        <v/>
      </c>
    </row>
    <row r="195" spans="8:8" x14ac:dyDescent="0.25">
      <c r="H195" s="163" t="str">
        <f t="shared" si="5"/>
        <v/>
      </c>
    </row>
    <row r="196" spans="8:8" x14ac:dyDescent="0.25">
      <c r="H196" s="163" t="str">
        <f t="shared" si="5"/>
        <v/>
      </c>
    </row>
    <row r="197" spans="8:8" x14ac:dyDescent="0.25">
      <c r="H197" s="163" t="str">
        <f t="shared" si="5"/>
        <v/>
      </c>
    </row>
    <row r="198" spans="8:8" x14ac:dyDescent="0.25">
      <c r="H198" s="163" t="str">
        <f t="shared" si="5"/>
        <v/>
      </c>
    </row>
    <row r="199" spans="8:8" x14ac:dyDescent="0.25">
      <c r="H199" s="163" t="str">
        <f t="shared" si="5"/>
        <v/>
      </c>
    </row>
    <row r="200" spans="8:8" x14ac:dyDescent="0.25">
      <c r="H200" s="163" t="str">
        <f t="shared" si="5"/>
        <v/>
      </c>
    </row>
    <row r="201" spans="8:8" x14ac:dyDescent="0.25">
      <c r="H201" s="163" t="str">
        <f t="shared" si="5"/>
        <v/>
      </c>
    </row>
    <row r="202" spans="8:8" x14ac:dyDescent="0.25">
      <c r="H202" s="163" t="str">
        <f t="shared" si="5"/>
        <v/>
      </c>
    </row>
    <row r="203" spans="8:8" x14ac:dyDescent="0.25">
      <c r="H203" s="163" t="str">
        <f t="shared" si="5"/>
        <v/>
      </c>
    </row>
    <row r="204" spans="8:8" x14ac:dyDescent="0.25">
      <c r="H204" s="163" t="str">
        <f t="shared" si="5"/>
        <v/>
      </c>
    </row>
    <row r="205" spans="8:8" x14ac:dyDescent="0.25">
      <c r="H205" s="163" t="str">
        <f t="shared" si="5"/>
        <v/>
      </c>
    </row>
    <row r="206" spans="8:8" x14ac:dyDescent="0.25">
      <c r="H206" s="163" t="str">
        <f t="shared" si="5"/>
        <v/>
      </c>
    </row>
    <row r="207" spans="8:8" x14ac:dyDescent="0.25">
      <c r="H207" s="163" t="str">
        <f t="shared" si="5"/>
        <v/>
      </c>
    </row>
    <row r="208" spans="8:8" x14ac:dyDescent="0.25">
      <c r="H208" s="163" t="str">
        <f t="shared" si="5"/>
        <v/>
      </c>
    </row>
    <row r="209" spans="8:8" x14ac:dyDescent="0.25">
      <c r="H209" s="163" t="str">
        <f t="shared" si="5"/>
        <v/>
      </c>
    </row>
    <row r="210" spans="8:8" x14ac:dyDescent="0.25">
      <c r="H210" s="163" t="str">
        <f t="shared" si="5"/>
        <v/>
      </c>
    </row>
    <row r="211" spans="8:8" x14ac:dyDescent="0.25">
      <c r="H211" s="163" t="str">
        <f t="shared" ref="H211:H274" si="6">IFERROR(D211/E211,"")</f>
        <v/>
      </c>
    </row>
    <row r="212" spans="8:8" x14ac:dyDescent="0.25">
      <c r="H212" s="163" t="str">
        <f t="shared" si="6"/>
        <v/>
      </c>
    </row>
    <row r="213" spans="8:8" x14ac:dyDescent="0.25">
      <c r="H213" s="163" t="str">
        <f t="shared" si="6"/>
        <v/>
      </c>
    </row>
    <row r="214" spans="8:8" x14ac:dyDescent="0.25">
      <c r="H214" s="163" t="str">
        <f t="shared" si="6"/>
        <v/>
      </c>
    </row>
    <row r="215" spans="8:8" x14ac:dyDescent="0.25">
      <c r="H215" s="163" t="str">
        <f t="shared" si="6"/>
        <v/>
      </c>
    </row>
    <row r="216" spans="8:8" x14ac:dyDescent="0.25">
      <c r="H216" s="163" t="str">
        <f t="shared" si="6"/>
        <v/>
      </c>
    </row>
    <row r="217" spans="8:8" x14ac:dyDescent="0.25">
      <c r="H217" s="163" t="str">
        <f t="shared" si="6"/>
        <v/>
      </c>
    </row>
    <row r="218" spans="8:8" x14ac:dyDescent="0.25">
      <c r="H218" s="163" t="str">
        <f t="shared" si="6"/>
        <v/>
      </c>
    </row>
    <row r="219" spans="8:8" x14ac:dyDescent="0.25">
      <c r="H219" s="163" t="str">
        <f t="shared" si="6"/>
        <v/>
      </c>
    </row>
    <row r="220" spans="8:8" x14ac:dyDescent="0.25">
      <c r="H220" s="163" t="str">
        <f t="shared" si="6"/>
        <v/>
      </c>
    </row>
    <row r="221" spans="8:8" x14ac:dyDescent="0.25">
      <c r="H221" s="163" t="str">
        <f t="shared" si="6"/>
        <v/>
      </c>
    </row>
    <row r="222" spans="8:8" x14ac:dyDescent="0.25">
      <c r="H222" s="163" t="str">
        <f t="shared" si="6"/>
        <v/>
      </c>
    </row>
    <row r="223" spans="8:8" x14ac:dyDescent="0.25">
      <c r="H223" s="163" t="str">
        <f t="shared" si="6"/>
        <v/>
      </c>
    </row>
    <row r="224" spans="8:8" x14ac:dyDescent="0.25">
      <c r="H224" s="163" t="str">
        <f t="shared" si="6"/>
        <v/>
      </c>
    </row>
    <row r="225" spans="8:8" x14ac:dyDescent="0.25">
      <c r="H225" s="163" t="str">
        <f t="shared" si="6"/>
        <v/>
      </c>
    </row>
    <row r="226" spans="8:8" x14ac:dyDescent="0.25">
      <c r="H226" s="163" t="str">
        <f t="shared" si="6"/>
        <v/>
      </c>
    </row>
    <row r="227" spans="8:8" x14ac:dyDescent="0.25">
      <c r="H227" s="163" t="str">
        <f t="shared" si="6"/>
        <v/>
      </c>
    </row>
    <row r="228" spans="8:8" x14ac:dyDescent="0.25">
      <c r="H228" s="163" t="str">
        <f t="shared" si="6"/>
        <v/>
      </c>
    </row>
    <row r="229" spans="8:8" x14ac:dyDescent="0.25">
      <c r="H229" s="163" t="str">
        <f t="shared" si="6"/>
        <v/>
      </c>
    </row>
    <row r="230" spans="8:8" x14ac:dyDescent="0.25">
      <c r="H230" s="163" t="str">
        <f t="shared" si="6"/>
        <v/>
      </c>
    </row>
    <row r="231" spans="8:8" x14ac:dyDescent="0.25">
      <c r="H231" s="163" t="str">
        <f t="shared" si="6"/>
        <v/>
      </c>
    </row>
    <row r="232" spans="8:8" x14ac:dyDescent="0.25">
      <c r="H232" s="163" t="str">
        <f t="shared" si="6"/>
        <v/>
      </c>
    </row>
    <row r="233" spans="8:8" x14ac:dyDescent="0.25">
      <c r="H233" s="163" t="str">
        <f t="shared" si="6"/>
        <v/>
      </c>
    </row>
    <row r="234" spans="8:8" x14ac:dyDescent="0.25">
      <c r="H234" s="163" t="str">
        <f t="shared" si="6"/>
        <v/>
      </c>
    </row>
    <row r="235" spans="8:8" x14ac:dyDescent="0.25">
      <c r="H235" s="163" t="str">
        <f t="shared" si="6"/>
        <v/>
      </c>
    </row>
    <row r="236" spans="8:8" x14ac:dyDescent="0.25">
      <c r="H236" s="163" t="str">
        <f t="shared" si="6"/>
        <v/>
      </c>
    </row>
    <row r="237" spans="8:8" x14ac:dyDescent="0.25">
      <c r="H237" s="163" t="str">
        <f t="shared" si="6"/>
        <v/>
      </c>
    </row>
    <row r="238" spans="8:8" x14ac:dyDescent="0.25">
      <c r="H238" s="163" t="str">
        <f t="shared" si="6"/>
        <v/>
      </c>
    </row>
    <row r="239" spans="8:8" x14ac:dyDescent="0.25">
      <c r="H239" s="163" t="str">
        <f t="shared" si="6"/>
        <v/>
      </c>
    </row>
    <row r="240" spans="8:8" x14ac:dyDescent="0.25">
      <c r="H240" s="163" t="str">
        <f t="shared" si="6"/>
        <v/>
      </c>
    </row>
    <row r="241" spans="8:8" x14ac:dyDescent="0.25">
      <c r="H241" s="163" t="str">
        <f t="shared" si="6"/>
        <v/>
      </c>
    </row>
    <row r="242" spans="8:8" x14ac:dyDescent="0.25">
      <c r="H242" s="163" t="str">
        <f t="shared" si="6"/>
        <v/>
      </c>
    </row>
    <row r="243" spans="8:8" x14ac:dyDescent="0.25">
      <c r="H243" s="163" t="str">
        <f t="shared" si="6"/>
        <v/>
      </c>
    </row>
    <row r="244" spans="8:8" x14ac:dyDescent="0.25">
      <c r="H244" s="163" t="str">
        <f t="shared" si="6"/>
        <v/>
      </c>
    </row>
    <row r="245" spans="8:8" x14ac:dyDescent="0.25">
      <c r="H245" s="163" t="str">
        <f t="shared" si="6"/>
        <v/>
      </c>
    </row>
    <row r="246" spans="8:8" x14ac:dyDescent="0.25">
      <c r="H246" s="163" t="str">
        <f t="shared" si="6"/>
        <v/>
      </c>
    </row>
    <row r="247" spans="8:8" x14ac:dyDescent="0.25">
      <c r="H247" s="163" t="str">
        <f t="shared" si="6"/>
        <v/>
      </c>
    </row>
    <row r="248" spans="8:8" x14ac:dyDescent="0.25">
      <c r="H248" s="163" t="str">
        <f t="shared" si="6"/>
        <v/>
      </c>
    </row>
    <row r="249" spans="8:8" x14ac:dyDescent="0.25">
      <c r="H249" s="163" t="str">
        <f t="shared" si="6"/>
        <v/>
      </c>
    </row>
    <row r="250" spans="8:8" x14ac:dyDescent="0.25">
      <c r="H250" s="163" t="str">
        <f t="shared" si="6"/>
        <v/>
      </c>
    </row>
    <row r="251" spans="8:8" x14ac:dyDescent="0.25">
      <c r="H251" s="163" t="str">
        <f t="shared" si="6"/>
        <v/>
      </c>
    </row>
    <row r="252" spans="8:8" x14ac:dyDescent="0.25">
      <c r="H252" s="163" t="str">
        <f t="shared" si="6"/>
        <v/>
      </c>
    </row>
    <row r="253" spans="8:8" x14ac:dyDescent="0.25">
      <c r="H253" s="163" t="str">
        <f t="shared" si="6"/>
        <v/>
      </c>
    </row>
    <row r="254" spans="8:8" x14ac:dyDescent="0.25">
      <c r="H254" s="163" t="str">
        <f t="shared" si="6"/>
        <v/>
      </c>
    </row>
    <row r="255" spans="8:8" x14ac:dyDescent="0.25">
      <c r="H255" s="163" t="str">
        <f t="shared" si="6"/>
        <v/>
      </c>
    </row>
    <row r="256" spans="8:8" x14ac:dyDescent="0.25">
      <c r="H256" s="163" t="str">
        <f t="shared" si="6"/>
        <v/>
      </c>
    </row>
    <row r="257" spans="8:8" x14ac:dyDescent="0.25">
      <c r="H257" s="163" t="str">
        <f t="shared" si="6"/>
        <v/>
      </c>
    </row>
    <row r="258" spans="8:8" x14ac:dyDescent="0.25">
      <c r="H258" s="163" t="str">
        <f t="shared" si="6"/>
        <v/>
      </c>
    </row>
    <row r="259" spans="8:8" x14ac:dyDescent="0.25">
      <c r="H259" s="163" t="str">
        <f t="shared" si="6"/>
        <v/>
      </c>
    </row>
    <row r="260" spans="8:8" x14ac:dyDescent="0.25">
      <c r="H260" s="163" t="str">
        <f t="shared" si="6"/>
        <v/>
      </c>
    </row>
    <row r="261" spans="8:8" x14ac:dyDescent="0.25">
      <c r="H261" s="163" t="str">
        <f t="shared" si="6"/>
        <v/>
      </c>
    </row>
    <row r="262" spans="8:8" x14ac:dyDescent="0.25">
      <c r="H262" s="163" t="str">
        <f t="shared" si="6"/>
        <v/>
      </c>
    </row>
    <row r="263" spans="8:8" x14ac:dyDescent="0.25">
      <c r="H263" s="163" t="str">
        <f t="shared" si="6"/>
        <v/>
      </c>
    </row>
    <row r="264" spans="8:8" x14ac:dyDescent="0.25">
      <c r="H264" s="163" t="str">
        <f t="shared" si="6"/>
        <v/>
      </c>
    </row>
    <row r="265" spans="8:8" x14ac:dyDescent="0.25">
      <c r="H265" s="163" t="str">
        <f t="shared" si="6"/>
        <v/>
      </c>
    </row>
    <row r="266" spans="8:8" x14ac:dyDescent="0.25">
      <c r="H266" s="163" t="str">
        <f t="shared" si="6"/>
        <v/>
      </c>
    </row>
    <row r="267" spans="8:8" x14ac:dyDescent="0.25">
      <c r="H267" s="163" t="str">
        <f t="shared" si="6"/>
        <v/>
      </c>
    </row>
    <row r="268" spans="8:8" x14ac:dyDescent="0.25">
      <c r="H268" s="163" t="str">
        <f t="shared" si="6"/>
        <v/>
      </c>
    </row>
    <row r="269" spans="8:8" x14ac:dyDescent="0.25">
      <c r="H269" s="163" t="str">
        <f t="shared" si="6"/>
        <v/>
      </c>
    </row>
    <row r="270" spans="8:8" x14ac:dyDescent="0.25">
      <c r="H270" s="163" t="str">
        <f t="shared" si="6"/>
        <v/>
      </c>
    </row>
    <row r="271" spans="8:8" x14ac:dyDescent="0.25">
      <c r="H271" s="163" t="str">
        <f t="shared" si="6"/>
        <v/>
      </c>
    </row>
    <row r="272" spans="8:8" x14ac:dyDescent="0.25">
      <c r="H272" s="163" t="str">
        <f t="shared" si="6"/>
        <v/>
      </c>
    </row>
    <row r="273" spans="8:8" x14ac:dyDescent="0.25">
      <c r="H273" s="163" t="str">
        <f t="shared" si="6"/>
        <v/>
      </c>
    </row>
    <row r="274" spans="8:8" x14ac:dyDescent="0.25">
      <c r="H274" s="163" t="str">
        <f t="shared" si="6"/>
        <v/>
      </c>
    </row>
    <row r="275" spans="8:8" x14ac:dyDescent="0.25">
      <c r="H275" s="163" t="str">
        <f t="shared" ref="H275:H338" si="7">IFERROR(D275/E275,"")</f>
        <v/>
      </c>
    </row>
    <row r="276" spans="8:8" x14ac:dyDescent="0.25">
      <c r="H276" s="163" t="str">
        <f t="shared" si="7"/>
        <v/>
      </c>
    </row>
    <row r="277" spans="8:8" x14ac:dyDescent="0.25">
      <c r="H277" s="163" t="str">
        <f t="shared" si="7"/>
        <v/>
      </c>
    </row>
    <row r="278" spans="8:8" x14ac:dyDescent="0.25">
      <c r="H278" s="163" t="str">
        <f t="shared" si="7"/>
        <v/>
      </c>
    </row>
    <row r="279" spans="8:8" x14ac:dyDescent="0.25">
      <c r="H279" s="163" t="str">
        <f t="shared" si="7"/>
        <v/>
      </c>
    </row>
    <row r="280" spans="8:8" x14ac:dyDescent="0.25">
      <c r="H280" s="163" t="str">
        <f t="shared" si="7"/>
        <v/>
      </c>
    </row>
    <row r="281" spans="8:8" x14ac:dyDescent="0.25">
      <c r="H281" s="163" t="str">
        <f t="shared" si="7"/>
        <v/>
      </c>
    </row>
    <row r="282" spans="8:8" x14ac:dyDescent="0.25">
      <c r="H282" s="163" t="str">
        <f t="shared" si="7"/>
        <v/>
      </c>
    </row>
    <row r="283" spans="8:8" x14ac:dyDescent="0.25">
      <c r="H283" s="163" t="str">
        <f t="shared" si="7"/>
        <v/>
      </c>
    </row>
    <row r="284" spans="8:8" x14ac:dyDescent="0.25">
      <c r="H284" s="163" t="str">
        <f t="shared" si="7"/>
        <v/>
      </c>
    </row>
    <row r="285" spans="8:8" x14ac:dyDescent="0.25">
      <c r="H285" s="163" t="str">
        <f t="shared" si="7"/>
        <v/>
      </c>
    </row>
    <row r="286" spans="8:8" x14ac:dyDescent="0.25">
      <c r="H286" s="163" t="str">
        <f t="shared" si="7"/>
        <v/>
      </c>
    </row>
    <row r="287" spans="8:8" x14ac:dyDescent="0.25">
      <c r="H287" s="163" t="str">
        <f t="shared" si="7"/>
        <v/>
      </c>
    </row>
    <row r="288" spans="8:8" x14ac:dyDescent="0.25">
      <c r="H288" s="163" t="str">
        <f t="shared" si="7"/>
        <v/>
      </c>
    </row>
    <row r="289" spans="8:8" x14ac:dyDescent="0.25">
      <c r="H289" s="163" t="str">
        <f t="shared" si="7"/>
        <v/>
      </c>
    </row>
    <row r="290" spans="8:8" x14ac:dyDescent="0.25">
      <c r="H290" s="163" t="str">
        <f t="shared" si="7"/>
        <v/>
      </c>
    </row>
    <row r="291" spans="8:8" x14ac:dyDescent="0.25">
      <c r="H291" s="163" t="str">
        <f t="shared" si="7"/>
        <v/>
      </c>
    </row>
    <row r="292" spans="8:8" x14ac:dyDescent="0.25">
      <c r="H292" s="163" t="str">
        <f t="shared" si="7"/>
        <v/>
      </c>
    </row>
    <row r="293" spans="8:8" x14ac:dyDescent="0.25">
      <c r="H293" s="163" t="str">
        <f t="shared" si="7"/>
        <v/>
      </c>
    </row>
    <row r="294" spans="8:8" x14ac:dyDescent="0.25">
      <c r="H294" s="163" t="str">
        <f t="shared" si="7"/>
        <v/>
      </c>
    </row>
    <row r="295" spans="8:8" x14ac:dyDescent="0.25">
      <c r="H295" s="163" t="str">
        <f t="shared" si="7"/>
        <v/>
      </c>
    </row>
    <row r="296" spans="8:8" x14ac:dyDescent="0.25">
      <c r="H296" s="163" t="str">
        <f t="shared" si="7"/>
        <v/>
      </c>
    </row>
    <row r="297" spans="8:8" x14ac:dyDescent="0.25">
      <c r="H297" s="163" t="str">
        <f t="shared" si="7"/>
        <v/>
      </c>
    </row>
    <row r="298" spans="8:8" x14ac:dyDescent="0.25">
      <c r="H298" s="163" t="str">
        <f t="shared" si="7"/>
        <v/>
      </c>
    </row>
    <row r="299" spans="8:8" x14ac:dyDescent="0.25">
      <c r="H299" s="163" t="str">
        <f t="shared" si="7"/>
        <v/>
      </c>
    </row>
    <row r="300" spans="8:8" x14ac:dyDescent="0.25">
      <c r="H300" s="163" t="str">
        <f t="shared" si="7"/>
        <v/>
      </c>
    </row>
    <row r="301" spans="8:8" x14ac:dyDescent="0.25">
      <c r="H301" s="163" t="str">
        <f t="shared" si="7"/>
        <v/>
      </c>
    </row>
    <row r="302" spans="8:8" x14ac:dyDescent="0.25">
      <c r="H302" s="163" t="str">
        <f t="shared" si="7"/>
        <v/>
      </c>
    </row>
    <row r="303" spans="8:8" x14ac:dyDescent="0.25">
      <c r="H303" s="163" t="str">
        <f t="shared" si="7"/>
        <v/>
      </c>
    </row>
    <row r="304" spans="8:8" x14ac:dyDescent="0.25">
      <c r="H304" s="163" t="str">
        <f t="shared" si="7"/>
        <v/>
      </c>
    </row>
    <row r="305" spans="8:8" x14ac:dyDescent="0.25">
      <c r="H305" s="163" t="str">
        <f t="shared" si="7"/>
        <v/>
      </c>
    </row>
    <row r="306" spans="8:8" x14ac:dyDescent="0.25">
      <c r="H306" s="163" t="str">
        <f t="shared" si="7"/>
        <v/>
      </c>
    </row>
    <row r="307" spans="8:8" x14ac:dyDescent="0.25">
      <c r="H307" s="163" t="str">
        <f t="shared" si="7"/>
        <v/>
      </c>
    </row>
    <row r="308" spans="8:8" x14ac:dyDescent="0.25">
      <c r="H308" s="163" t="str">
        <f t="shared" si="7"/>
        <v/>
      </c>
    </row>
    <row r="309" spans="8:8" x14ac:dyDescent="0.25">
      <c r="H309" s="163" t="str">
        <f t="shared" si="7"/>
        <v/>
      </c>
    </row>
    <row r="310" spans="8:8" x14ac:dyDescent="0.25">
      <c r="H310" s="163" t="str">
        <f t="shared" si="7"/>
        <v/>
      </c>
    </row>
    <row r="311" spans="8:8" x14ac:dyDescent="0.25">
      <c r="H311" s="163" t="str">
        <f t="shared" si="7"/>
        <v/>
      </c>
    </row>
    <row r="312" spans="8:8" x14ac:dyDescent="0.25">
      <c r="H312" s="163" t="str">
        <f t="shared" si="7"/>
        <v/>
      </c>
    </row>
    <row r="313" spans="8:8" x14ac:dyDescent="0.25">
      <c r="H313" s="163" t="str">
        <f t="shared" si="7"/>
        <v/>
      </c>
    </row>
    <row r="314" spans="8:8" x14ac:dyDescent="0.25">
      <c r="H314" s="163" t="str">
        <f t="shared" si="7"/>
        <v/>
      </c>
    </row>
    <row r="315" spans="8:8" x14ac:dyDescent="0.25">
      <c r="H315" s="163" t="str">
        <f t="shared" si="7"/>
        <v/>
      </c>
    </row>
    <row r="316" spans="8:8" x14ac:dyDescent="0.25">
      <c r="H316" s="163" t="str">
        <f t="shared" si="7"/>
        <v/>
      </c>
    </row>
    <row r="317" spans="8:8" x14ac:dyDescent="0.25">
      <c r="H317" s="163" t="str">
        <f t="shared" si="7"/>
        <v/>
      </c>
    </row>
    <row r="318" spans="8:8" x14ac:dyDescent="0.25">
      <c r="H318" s="163" t="str">
        <f t="shared" si="7"/>
        <v/>
      </c>
    </row>
    <row r="319" spans="8:8" x14ac:dyDescent="0.25">
      <c r="H319" s="163" t="str">
        <f t="shared" si="7"/>
        <v/>
      </c>
    </row>
    <row r="320" spans="8:8" x14ac:dyDescent="0.25">
      <c r="H320" s="163" t="str">
        <f t="shared" si="7"/>
        <v/>
      </c>
    </row>
    <row r="321" spans="8:8" x14ac:dyDescent="0.25">
      <c r="H321" s="163" t="str">
        <f t="shared" si="7"/>
        <v/>
      </c>
    </row>
    <row r="322" spans="8:8" x14ac:dyDescent="0.25">
      <c r="H322" s="163" t="str">
        <f t="shared" si="7"/>
        <v/>
      </c>
    </row>
    <row r="323" spans="8:8" x14ac:dyDescent="0.25">
      <c r="H323" s="163" t="str">
        <f t="shared" si="7"/>
        <v/>
      </c>
    </row>
    <row r="324" spans="8:8" x14ac:dyDescent="0.25">
      <c r="H324" s="163" t="str">
        <f t="shared" si="7"/>
        <v/>
      </c>
    </row>
    <row r="325" spans="8:8" x14ac:dyDescent="0.25">
      <c r="H325" s="163" t="str">
        <f t="shared" si="7"/>
        <v/>
      </c>
    </row>
    <row r="326" spans="8:8" x14ac:dyDescent="0.25">
      <c r="H326" s="163" t="str">
        <f t="shared" si="7"/>
        <v/>
      </c>
    </row>
    <row r="327" spans="8:8" x14ac:dyDescent="0.25">
      <c r="H327" s="163" t="str">
        <f t="shared" si="7"/>
        <v/>
      </c>
    </row>
    <row r="328" spans="8:8" x14ac:dyDescent="0.25">
      <c r="H328" s="163" t="str">
        <f t="shared" si="7"/>
        <v/>
      </c>
    </row>
    <row r="329" spans="8:8" x14ac:dyDescent="0.25">
      <c r="H329" s="163" t="str">
        <f t="shared" si="7"/>
        <v/>
      </c>
    </row>
    <row r="330" spans="8:8" x14ac:dyDescent="0.25">
      <c r="H330" s="163" t="str">
        <f t="shared" si="7"/>
        <v/>
      </c>
    </row>
    <row r="331" spans="8:8" x14ac:dyDescent="0.25">
      <c r="H331" s="163" t="str">
        <f t="shared" si="7"/>
        <v/>
      </c>
    </row>
    <row r="332" spans="8:8" x14ac:dyDescent="0.25">
      <c r="H332" s="163" t="str">
        <f t="shared" si="7"/>
        <v/>
      </c>
    </row>
    <row r="333" spans="8:8" x14ac:dyDescent="0.25">
      <c r="H333" s="163" t="str">
        <f t="shared" si="7"/>
        <v/>
      </c>
    </row>
    <row r="334" spans="8:8" x14ac:dyDescent="0.25">
      <c r="H334" s="163" t="str">
        <f t="shared" si="7"/>
        <v/>
      </c>
    </row>
    <row r="335" spans="8:8" x14ac:dyDescent="0.25">
      <c r="H335" s="163" t="str">
        <f t="shared" si="7"/>
        <v/>
      </c>
    </row>
    <row r="336" spans="8:8" x14ac:dyDescent="0.25">
      <c r="H336" s="163" t="str">
        <f t="shared" si="7"/>
        <v/>
      </c>
    </row>
    <row r="337" spans="8:8" x14ac:dyDescent="0.25">
      <c r="H337" s="163" t="str">
        <f t="shared" si="7"/>
        <v/>
      </c>
    </row>
    <row r="338" spans="8:8" x14ac:dyDescent="0.25">
      <c r="H338" s="163" t="str">
        <f t="shared" si="7"/>
        <v/>
      </c>
    </row>
    <row r="339" spans="8:8" x14ac:dyDescent="0.25">
      <c r="H339" s="163" t="str">
        <f t="shared" ref="H339:H402" si="8">IFERROR(D339/E339,"")</f>
        <v/>
      </c>
    </row>
    <row r="340" spans="8:8" x14ac:dyDescent="0.25">
      <c r="H340" s="163" t="str">
        <f t="shared" si="8"/>
        <v/>
      </c>
    </row>
    <row r="341" spans="8:8" x14ac:dyDescent="0.25">
      <c r="H341" s="163" t="str">
        <f t="shared" si="8"/>
        <v/>
      </c>
    </row>
    <row r="342" spans="8:8" x14ac:dyDescent="0.25">
      <c r="H342" s="163" t="str">
        <f t="shared" si="8"/>
        <v/>
      </c>
    </row>
    <row r="343" spans="8:8" x14ac:dyDescent="0.25">
      <c r="H343" s="163" t="str">
        <f t="shared" si="8"/>
        <v/>
      </c>
    </row>
    <row r="344" spans="8:8" x14ac:dyDescent="0.25">
      <c r="H344" s="163" t="str">
        <f t="shared" si="8"/>
        <v/>
      </c>
    </row>
    <row r="345" spans="8:8" x14ac:dyDescent="0.25">
      <c r="H345" s="163" t="str">
        <f t="shared" si="8"/>
        <v/>
      </c>
    </row>
    <row r="346" spans="8:8" x14ac:dyDescent="0.25">
      <c r="H346" s="163" t="str">
        <f t="shared" si="8"/>
        <v/>
      </c>
    </row>
    <row r="347" spans="8:8" x14ac:dyDescent="0.25">
      <c r="H347" s="163" t="str">
        <f t="shared" si="8"/>
        <v/>
      </c>
    </row>
    <row r="348" spans="8:8" x14ac:dyDescent="0.25">
      <c r="H348" s="163" t="str">
        <f t="shared" si="8"/>
        <v/>
      </c>
    </row>
    <row r="349" spans="8:8" x14ac:dyDescent="0.25">
      <c r="H349" s="163" t="str">
        <f t="shared" si="8"/>
        <v/>
      </c>
    </row>
    <row r="350" spans="8:8" x14ac:dyDescent="0.25">
      <c r="H350" s="163" t="str">
        <f t="shared" si="8"/>
        <v/>
      </c>
    </row>
    <row r="351" spans="8:8" x14ac:dyDescent="0.25">
      <c r="H351" s="163" t="str">
        <f t="shared" si="8"/>
        <v/>
      </c>
    </row>
    <row r="352" spans="8:8" x14ac:dyDescent="0.25">
      <c r="H352" s="163" t="str">
        <f t="shared" si="8"/>
        <v/>
      </c>
    </row>
    <row r="353" spans="8:8" x14ac:dyDescent="0.25">
      <c r="H353" s="163" t="str">
        <f t="shared" si="8"/>
        <v/>
      </c>
    </row>
    <row r="354" spans="8:8" x14ac:dyDescent="0.25">
      <c r="H354" s="163" t="str">
        <f t="shared" si="8"/>
        <v/>
      </c>
    </row>
    <row r="355" spans="8:8" x14ac:dyDescent="0.25">
      <c r="H355" s="163" t="str">
        <f t="shared" si="8"/>
        <v/>
      </c>
    </row>
    <row r="356" spans="8:8" x14ac:dyDescent="0.25">
      <c r="H356" s="163" t="str">
        <f t="shared" si="8"/>
        <v/>
      </c>
    </row>
    <row r="357" spans="8:8" x14ac:dyDescent="0.25">
      <c r="H357" s="163" t="str">
        <f t="shared" si="8"/>
        <v/>
      </c>
    </row>
    <row r="358" spans="8:8" x14ac:dyDescent="0.25">
      <c r="H358" s="163" t="str">
        <f t="shared" si="8"/>
        <v/>
      </c>
    </row>
    <row r="359" spans="8:8" x14ac:dyDescent="0.25">
      <c r="H359" s="163" t="str">
        <f t="shared" si="8"/>
        <v/>
      </c>
    </row>
    <row r="360" spans="8:8" x14ac:dyDescent="0.25">
      <c r="H360" s="163" t="str">
        <f t="shared" si="8"/>
        <v/>
      </c>
    </row>
    <row r="361" spans="8:8" x14ac:dyDescent="0.25">
      <c r="H361" s="163" t="str">
        <f t="shared" si="8"/>
        <v/>
      </c>
    </row>
    <row r="362" spans="8:8" x14ac:dyDescent="0.25">
      <c r="H362" s="163" t="str">
        <f t="shared" si="8"/>
        <v/>
      </c>
    </row>
    <row r="363" spans="8:8" x14ac:dyDescent="0.25">
      <c r="H363" s="163" t="str">
        <f t="shared" si="8"/>
        <v/>
      </c>
    </row>
    <row r="364" spans="8:8" x14ac:dyDescent="0.25">
      <c r="H364" s="163" t="str">
        <f t="shared" si="8"/>
        <v/>
      </c>
    </row>
    <row r="365" spans="8:8" x14ac:dyDescent="0.25">
      <c r="H365" s="163" t="str">
        <f t="shared" si="8"/>
        <v/>
      </c>
    </row>
    <row r="366" spans="8:8" x14ac:dyDescent="0.25">
      <c r="H366" s="163" t="str">
        <f t="shared" si="8"/>
        <v/>
      </c>
    </row>
    <row r="367" spans="8:8" x14ac:dyDescent="0.25">
      <c r="H367" s="163" t="str">
        <f t="shared" si="8"/>
        <v/>
      </c>
    </row>
    <row r="368" spans="8:8" x14ac:dyDescent="0.25">
      <c r="H368" s="163" t="str">
        <f t="shared" si="8"/>
        <v/>
      </c>
    </row>
    <row r="369" spans="8:8" x14ac:dyDescent="0.25">
      <c r="H369" s="163" t="str">
        <f t="shared" si="8"/>
        <v/>
      </c>
    </row>
    <row r="370" spans="8:8" x14ac:dyDescent="0.25">
      <c r="H370" s="163" t="str">
        <f t="shared" si="8"/>
        <v/>
      </c>
    </row>
    <row r="371" spans="8:8" x14ac:dyDescent="0.25">
      <c r="H371" s="163" t="str">
        <f t="shared" si="8"/>
        <v/>
      </c>
    </row>
    <row r="372" spans="8:8" x14ac:dyDescent="0.25">
      <c r="H372" s="163" t="str">
        <f t="shared" si="8"/>
        <v/>
      </c>
    </row>
    <row r="373" spans="8:8" x14ac:dyDescent="0.25">
      <c r="H373" s="163" t="str">
        <f t="shared" si="8"/>
        <v/>
      </c>
    </row>
    <row r="374" spans="8:8" x14ac:dyDescent="0.25">
      <c r="H374" s="163" t="str">
        <f t="shared" si="8"/>
        <v/>
      </c>
    </row>
    <row r="375" spans="8:8" x14ac:dyDescent="0.25">
      <c r="H375" s="163" t="str">
        <f t="shared" si="8"/>
        <v/>
      </c>
    </row>
    <row r="376" spans="8:8" x14ac:dyDescent="0.25">
      <c r="H376" s="163" t="str">
        <f t="shared" si="8"/>
        <v/>
      </c>
    </row>
    <row r="377" spans="8:8" x14ac:dyDescent="0.25">
      <c r="H377" s="163" t="str">
        <f t="shared" si="8"/>
        <v/>
      </c>
    </row>
    <row r="378" spans="8:8" x14ac:dyDescent="0.25">
      <c r="H378" s="163" t="str">
        <f t="shared" si="8"/>
        <v/>
      </c>
    </row>
    <row r="379" spans="8:8" x14ac:dyDescent="0.25">
      <c r="H379" s="163" t="str">
        <f t="shared" si="8"/>
        <v/>
      </c>
    </row>
    <row r="380" spans="8:8" x14ac:dyDescent="0.25">
      <c r="H380" s="163" t="str">
        <f t="shared" si="8"/>
        <v/>
      </c>
    </row>
    <row r="381" spans="8:8" x14ac:dyDescent="0.25">
      <c r="H381" s="163" t="str">
        <f t="shared" si="8"/>
        <v/>
      </c>
    </row>
    <row r="382" spans="8:8" x14ac:dyDescent="0.25">
      <c r="H382" s="163" t="str">
        <f t="shared" si="8"/>
        <v/>
      </c>
    </row>
    <row r="383" spans="8:8" x14ac:dyDescent="0.25">
      <c r="H383" s="163" t="str">
        <f t="shared" si="8"/>
        <v/>
      </c>
    </row>
    <row r="384" spans="8:8" x14ac:dyDescent="0.25">
      <c r="H384" s="163" t="str">
        <f t="shared" si="8"/>
        <v/>
      </c>
    </row>
    <row r="385" spans="8:8" x14ac:dyDescent="0.25">
      <c r="H385" s="163" t="str">
        <f t="shared" si="8"/>
        <v/>
      </c>
    </row>
    <row r="386" spans="8:8" x14ac:dyDescent="0.25">
      <c r="H386" s="163" t="str">
        <f t="shared" si="8"/>
        <v/>
      </c>
    </row>
    <row r="387" spans="8:8" x14ac:dyDescent="0.25">
      <c r="H387" s="163" t="str">
        <f t="shared" si="8"/>
        <v/>
      </c>
    </row>
    <row r="388" spans="8:8" x14ac:dyDescent="0.25">
      <c r="H388" s="163" t="str">
        <f t="shared" si="8"/>
        <v/>
      </c>
    </row>
    <row r="389" spans="8:8" x14ac:dyDescent="0.25">
      <c r="H389" s="163" t="str">
        <f t="shared" si="8"/>
        <v/>
      </c>
    </row>
    <row r="390" spans="8:8" x14ac:dyDescent="0.25">
      <c r="H390" s="163" t="str">
        <f t="shared" si="8"/>
        <v/>
      </c>
    </row>
    <row r="391" spans="8:8" x14ac:dyDescent="0.25">
      <c r="H391" s="163" t="str">
        <f t="shared" si="8"/>
        <v/>
      </c>
    </row>
    <row r="392" spans="8:8" x14ac:dyDescent="0.25">
      <c r="H392" s="163" t="str">
        <f t="shared" si="8"/>
        <v/>
      </c>
    </row>
    <row r="393" spans="8:8" x14ac:dyDescent="0.25">
      <c r="H393" s="163" t="str">
        <f t="shared" si="8"/>
        <v/>
      </c>
    </row>
    <row r="394" spans="8:8" x14ac:dyDescent="0.25">
      <c r="H394" s="163" t="str">
        <f t="shared" si="8"/>
        <v/>
      </c>
    </row>
    <row r="395" spans="8:8" x14ac:dyDescent="0.25">
      <c r="H395" s="163" t="str">
        <f t="shared" si="8"/>
        <v/>
      </c>
    </row>
    <row r="396" spans="8:8" x14ac:dyDescent="0.25">
      <c r="H396" s="163" t="str">
        <f t="shared" si="8"/>
        <v/>
      </c>
    </row>
    <row r="397" spans="8:8" x14ac:dyDescent="0.25">
      <c r="H397" s="163" t="str">
        <f t="shared" si="8"/>
        <v/>
      </c>
    </row>
    <row r="398" spans="8:8" x14ac:dyDescent="0.25">
      <c r="H398" s="163" t="str">
        <f t="shared" si="8"/>
        <v/>
      </c>
    </row>
    <row r="399" spans="8:8" x14ac:dyDescent="0.25">
      <c r="H399" s="163" t="str">
        <f t="shared" si="8"/>
        <v/>
      </c>
    </row>
    <row r="400" spans="8:8" x14ac:dyDescent="0.25">
      <c r="H400" s="163" t="str">
        <f t="shared" si="8"/>
        <v/>
      </c>
    </row>
    <row r="401" spans="8:8" x14ac:dyDescent="0.25">
      <c r="H401" s="163" t="str">
        <f t="shared" si="8"/>
        <v/>
      </c>
    </row>
    <row r="402" spans="8:8" x14ac:dyDescent="0.25">
      <c r="H402" s="163" t="str">
        <f t="shared" si="8"/>
        <v/>
      </c>
    </row>
    <row r="403" spans="8:8" x14ac:dyDescent="0.25">
      <c r="H403" s="163" t="str">
        <f t="shared" ref="H403:H466" si="9">IFERROR(D403/E403,"")</f>
        <v/>
      </c>
    </row>
    <row r="404" spans="8:8" x14ac:dyDescent="0.25">
      <c r="H404" s="163" t="str">
        <f t="shared" si="9"/>
        <v/>
      </c>
    </row>
    <row r="405" spans="8:8" x14ac:dyDescent="0.25">
      <c r="H405" s="163" t="str">
        <f t="shared" si="9"/>
        <v/>
      </c>
    </row>
    <row r="406" spans="8:8" x14ac:dyDescent="0.25">
      <c r="H406" s="163" t="str">
        <f t="shared" si="9"/>
        <v/>
      </c>
    </row>
    <row r="407" spans="8:8" x14ac:dyDescent="0.25">
      <c r="H407" s="163" t="str">
        <f t="shared" si="9"/>
        <v/>
      </c>
    </row>
    <row r="408" spans="8:8" x14ac:dyDescent="0.25">
      <c r="H408" s="163" t="str">
        <f t="shared" si="9"/>
        <v/>
      </c>
    </row>
    <row r="409" spans="8:8" x14ac:dyDescent="0.25">
      <c r="H409" s="163" t="str">
        <f t="shared" si="9"/>
        <v/>
      </c>
    </row>
    <row r="410" spans="8:8" x14ac:dyDescent="0.25">
      <c r="H410" s="163" t="str">
        <f t="shared" si="9"/>
        <v/>
      </c>
    </row>
    <row r="411" spans="8:8" x14ac:dyDescent="0.25">
      <c r="H411" s="163" t="str">
        <f t="shared" si="9"/>
        <v/>
      </c>
    </row>
    <row r="412" spans="8:8" x14ac:dyDescent="0.25">
      <c r="H412" s="163" t="str">
        <f t="shared" si="9"/>
        <v/>
      </c>
    </row>
    <row r="413" spans="8:8" x14ac:dyDescent="0.25">
      <c r="H413" s="163" t="str">
        <f t="shared" si="9"/>
        <v/>
      </c>
    </row>
    <row r="414" spans="8:8" x14ac:dyDescent="0.25">
      <c r="H414" s="163" t="str">
        <f t="shared" si="9"/>
        <v/>
      </c>
    </row>
    <row r="415" spans="8:8" x14ac:dyDescent="0.25">
      <c r="H415" s="163" t="str">
        <f t="shared" si="9"/>
        <v/>
      </c>
    </row>
    <row r="416" spans="8:8" x14ac:dyDescent="0.25">
      <c r="H416" s="163" t="str">
        <f t="shared" si="9"/>
        <v/>
      </c>
    </row>
    <row r="417" spans="8:8" x14ac:dyDescent="0.25">
      <c r="H417" s="163" t="str">
        <f t="shared" si="9"/>
        <v/>
      </c>
    </row>
    <row r="418" spans="8:8" x14ac:dyDescent="0.25">
      <c r="H418" s="163" t="str">
        <f t="shared" si="9"/>
        <v/>
      </c>
    </row>
    <row r="419" spans="8:8" x14ac:dyDescent="0.25">
      <c r="H419" s="163" t="str">
        <f t="shared" si="9"/>
        <v/>
      </c>
    </row>
    <row r="420" spans="8:8" x14ac:dyDescent="0.25">
      <c r="H420" s="163" t="str">
        <f t="shared" si="9"/>
        <v/>
      </c>
    </row>
    <row r="421" spans="8:8" x14ac:dyDescent="0.25">
      <c r="H421" s="163" t="str">
        <f t="shared" si="9"/>
        <v/>
      </c>
    </row>
    <row r="422" spans="8:8" x14ac:dyDescent="0.25">
      <c r="H422" s="163" t="str">
        <f t="shared" si="9"/>
        <v/>
      </c>
    </row>
    <row r="423" spans="8:8" x14ac:dyDescent="0.25">
      <c r="H423" s="163" t="str">
        <f t="shared" si="9"/>
        <v/>
      </c>
    </row>
    <row r="424" spans="8:8" x14ac:dyDescent="0.25">
      <c r="H424" s="163" t="str">
        <f t="shared" si="9"/>
        <v/>
      </c>
    </row>
    <row r="425" spans="8:8" x14ac:dyDescent="0.25">
      <c r="H425" s="163" t="str">
        <f t="shared" si="9"/>
        <v/>
      </c>
    </row>
    <row r="426" spans="8:8" x14ac:dyDescent="0.25">
      <c r="H426" s="163" t="str">
        <f t="shared" si="9"/>
        <v/>
      </c>
    </row>
    <row r="427" spans="8:8" x14ac:dyDescent="0.25">
      <c r="H427" s="163" t="str">
        <f t="shared" si="9"/>
        <v/>
      </c>
    </row>
    <row r="428" spans="8:8" x14ac:dyDescent="0.25">
      <c r="H428" s="163" t="str">
        <f t="shared" si="9"/>
        <v/>
      </c>
    </row>
    <row r="429" spans="8:8" x14ac:dyDescent="0.25">
      <c r="H429" s="163" t="str">
        <f t="shared" si="9"/>
        <v/>
      </c>
    </row>
    <row r="430" spans="8:8" x14ac:dyDescent="0.25">
      <c r="H430" s="163" t="str">
        <f t="shared" si="9"/>
        <v/>
      </c>
    </row>
    <row r="431" spans="8:8" x14ac:dyDescent="0.25">
      <c r="H431" s="163" t="str">
        <f t="shared" si="9"/>
        <v/>
      </c>
    </row>
    <row r="432" spans="8:8" x14ac:dyDescent="0.25">
      <c r="H432" s="163" t="str">
        <f t="shared" si="9"/>
        <v/>
      </c>
    </row>
    <row r="433" spans="8:8" x14ac:dyDescent="0.25">
      <c r="H433" s="163" t="str">
        <f t="shared" si="9"/>
        <v/>
      </c>
    </row>
    <row r="434" spans="8:8" x14ac:dyDescent="0.25">
      <c r="H434" s="163" t="str">
        <f t="shared" si="9"/>
        <v/>
      </c>
    </row>
    <row r="435" spans="8:8" x14ac:dyDescent="0.25">
      <c r="H435" s="163" t="str">
        <f t="shared" si="9"/>
        <v/>
      </c>
    </row>
    <row r="436" spans="8:8" x14ac:dyDescent="0.25">
      <c r="H436" s="163" t="str">
        <f t="shared" si="9"/>
        <v/>
      </c>
    </row>
    <row r="437" spans="8:8" x14ac:dyDescent="0.25">
      <c r="H437" s="163" t="str">
        <f t="shared" si="9"/>
        <v/>
      </c>
    </row>
    <row r="438" spans="8:8" x14ac:dyDescent="0.25">
      <c r="H438" s="163" t="str">
        <f t="shared" si="9"/>
        <v/>
      </c>
    </row>
    <row r="439" spans="8:8" x14ac:dyDescent="0.25">
      <c r="H439" s="163" t="str">
        <f t="shared" si="9"/>
        <v/>
      </c>
    </row>
    <row r="440" spans="8:8" x14ac:dyDescent="0.25">
      <c r="H440" s="163" t="str">
        <f t="shared" si="9"/>
        <v/>
      </c>
    </row>
    <row r="441" spans="8:8" x14ac:dyDescent="0.25">
      <c r="H441" s="163" t="str">
        <f t="shared" si="9"/>
        <v/>
      </c>
    </row>
    <row r="442" spans="8:8" x14ac:dyDescent="0.25">
      <c r="H442" s="163" t="str">
        <f t="shared" si="9"/>
        <v/>
      </c>
    </row>
    <row r="443" spans="8:8" x14ac:dyDescent="0.25">
      <c r="H443" s="163" t="str">
        <f t="shared" si="9"/>
        <v/>
      </c>
    </row>
    <row r="444" spans="8:8" x14ac:dyDescent="0.25">
      <c r="H444" s="163" t="str">
        <f t="shared" si="9"/>
        <v/>
      </c>
    </row>
    <row r="445" spans="8:8" x14ac:dyDescent="0.25">
      <c r="H445" s="163" t="str">
        <f t="shared" si="9"/>
        <v/>
      </c>
    </row>
    <row r="446" spans="8:8" x14ac:dyDescent="0.25">
      <c r="H446" s="163" t="str">
        <f t="shared" si="9"/>
        <v/>
      </c>
    </row>
    <row r="447" spans="8:8" x14ac:dyDescent="0.25">
      <c r="H447" s="163" t="str">
        <f t="shared" si="9"/>
        <v/>
      </c>
    </row>
    <row r="448" spans="8:8" x14ac:dyDescent="0.25">
      <c r="H448" s="163" t="str">
        <f t="shared" si="9"/>
        <v/>
      </c>
    </row>
    <row r="449" spans="8:8" x14ac:dyDescent="0.25">
      <c r="H449" s="163" t="str">
        <f t="shared" si="9"/>
        <v/>
      </c>
    </row>
    <row r="450" spans="8:8" x14ac:dyDescent="0.25">
      <c r="H450" s="163" t="str">
        <f t="shared" si="9"/>
        <v/>
      </c>
    </row>
    <row r="451" spans="8:8" x14ac:dyDescent="0.25">
      <c r="H451" s="163" t="str">
        <f t="shared" si="9"/>
        <v/>
      </c>
    </row>
    <row r="452" spans="8:8" x14ac:dyDescent="0.25">
      <c r="H452" s="163" t="str">
        <f t="shared" si="9"/>
        <v/>
      </c>
    </row>
    <row r="453" spans="8:8" x14ac:dyDescent="0.25">
      <c r="H453" s="163" t="str">
        <f t="shared" si="9"/>
        <v/>
      </c>
    </row>
    <row r="454" spans="8:8" x14ac:dyDescent="0.25">
      <c r="H454" s="163" t="str">
        <f t="shared" si="9"/>
        <v/>
      </c>
    </row>
    <row r="455" spans="8:8" x14ac:dyDescent="0.25">
      <c r="H455" s="163" t="str">
        <f t="shared" si="9"/>
        <v/>
      </c>
    </row>
    <row r="456" spans="8:8" x14ac:dyDescent="0.25">
      <c r="H456" s="163" t="str">
        <f t="shared" si="9"/>
        <v/>
      </c>
    </row>
    <row r="457" spans="8:8" x14ac:dyDescent="0.25">
      <c r="H457" s="163" t="str">
        <f t="shared" si="9"/>
        <v/>
      </c>
    </row>
    <row r="458" spans="8:8" x14ac:dyDescent="0.25">
      <c r="H458" s="163" t="str">
        <f t="shared" si="9"/>
        <v/>
      </c>
    </row>
    <row r="459" spans="8:8" x14ac:dyDescent="0.25">
      <c r="H459" s="163" t="str">
        <f t="shared" si="9"/>
        <v/>
      </c>
    </row>
    <row r="460" spans="8:8" x14ac:dyDescent="0.25">
      <c r="H460" s="163" t="str">
        <f t="shared" si="9"/>
        <v/>
      </c>
    </row>
    <row r="461" spans="8:8" x14ac:dyDescent="0.25">
      <c r="H461" s="163" t="str">
        <f t="shared" si="9"/>
        <v/>
      </c>
    </row>
    <row r="462" spans="8:8" x14ac:dyDescent="0.25">
      <c r="H462" s="163" t="str">
        <f t="shared" si="9"/>
        <v/>
      </c>
    </row>
    <row r="463" spans="8:8" x14ac:dyDescent="0.25">
      <c r="H463" s="163" t="str">
        <f t="shared" si="9"/>
        <v/>
      </c>
    </row>
    <row r="464" spans="8:8" x14ac:dyDescent="0.25">
      <c r="H464" s="163" t="str">
        <f t="shared" si="9"/>
        <v/>
      </c>
    </row>
    <row r="465" spans="8:8" x14ac:dyDescent="0.25">
      <c r="H465" s="163" t="str">
        <f t="shared" si="9"/>
        <v/>
      </c>
    </row>
    <row r="466" spans="8:8" x14ac:dyDescent="0.25">
      <c r="H466" s="163" t="str">
        <f t="shared" si="9"/>
        <v/>
      </c>
    </row>
    <row r="467" spans="8:8" x14ac:dyDescent="0.25">
      <c r="H467" s="163" t="str">
        <f t="shared" ref="H467:H500" si="10">IFERROR(D467/E467,"")</f>
        <v/>
      </c>
    </row>
    <row r="468" spans="8:8" x14ac:dyDescent="0.25">
      <c r="H468" s="163" t="str">
        <f t="shared" si="10"/>
        <v/>
      </c>
    </row>
    <row r="469" spans="8:8" x14ac:dyDescent="0.25">
      <c r="H469" s="163" t="str">
        <f t="shared" si="10"/>
        <v/>
      </c>
    </row>
    <row r="470" spans="8:8" x14ac:dyDescent="0.25">
      <c r="H470" s="163" t="str">
        <f t="shared" si="10"/>
        <v/>
      </c>
    </row>
    <row r="471" spans="8:8" x14ac:dyDescent="0.25">
      <c r="H471" s="163" t="str">
        <f t="shared" si="10"/>
        <v/>
      </c>
    </row>
    <row r="472" spans="8:8" x14ac:dyDescent="0.25">
      <c r="H472" s="163" t="str">
        <f t="shared" si="10"/>
        <v/>
      </c>
    </row>
    <row r="473" spans="8:8" x14ac:dyDescent="0.25">
      <c r="H473" s="163" t="str">
        <f t="shared" si="10"/>
        <v/>
      </c>
    </row>
    <row r="474" spans="8:8" x14ac:dyDescent="0.25">
      <c r="H474" s="163" t="str">
        <f t="shared" si="10"/>
        <v/>
      </c>
    </row>
    <row r="475" spans="8:8" x14ac:dyDescent="0.25">
      <c r="H475" s="163" t="str">
        <f t="shared" si="10"/>
        <v/>
      </c>
    </row>
    <row r="476" spans="8:8" x14ac:dyDescent="0.25">
      <c r="H476" s="163" t="str">
        <f t="shared" si="10"/>
        <v/>
      </c>
    </row>
    <row r="477" spans="8:8" x14ac:dyDescent="0.25">
      <c r="H477" s="163" t="str">
        <f t="shared" si="10"/>
        <v/>
      </c>
    </row>
    <row r="478" spans="8:8" x14ac:dyDescent="0.25">
      <c r="H478" s="163" t="str">
        <f t="shared" si="10"/>
        <v/>
      </c>
    </row>
    <row r="479" spans="8:8" x14ac:dyDescent="0.25">
      <c r="H479" s="163" t="str">
        <f t="shared" si="10"/>
        <v/>
      </c>
    </row>
    <row r="480" spans="8:8" x14ac:dyDescent="0.25">
      <c r="H480" s="163" t="str">
        <f t="shared" si="10"/>
        <v/>
      </c>
    </row>
    <row r="481" spans="8:8" x14ac:dyDescent="0.25">
      <c r="H481" s="163" t="str">
        <f t="shared" si="10"/>
        <v/>
      </c>
    </row>
    <row r="482" spans="8:8" x14ac:dyDescent="0.25">
      <c r="H482" s="163" t="str">
        <f t="shared" si="10"/>
        <v/>
      </c>
    </row>
    <row r="483" spans="8:8" x14ac:dyDescent="0.25">
      <c r="H483" s="163" t="str">
        <f t="shared" si="10"/>
        <v/>
      </c>
    </row>
    <row r="484" spans="8:8" x14ac:dyDescent="0.25">
      <c r="H484" s="163" t="str">
        <f t="shared" si="10"/>
        <v/>
      </c>
    </row>
    <row r="485" spans="8:8" x14ac:dyDescent="0.25">
      <c r="H485" s="163" t="str">
        <f t="shared" si="10"/>
        <v/>
      </c>
    </row>
    <row r="486" spans="8:8" x14ac:dyDescent="0.25">
      <c r="H486" s="163" t="str">
        <f t="shared" si="10"/>
        <v/>
      </c>
    </row>
    <row r="487" spans="8:8" x14ac:dyDescent="0.25">
      <c r="H487" s="163" t="str">
        <f t="shared" si="10"/>
        <v/>
      </c>
    </row>
    <row r="488" spans="8:8" x14ac:dyDescent="0.25">
      <c r="H488" s="163" t="str">
        <f t="shared" si="10"/>
        <v/>
      </c>
    </row>
    <row r="489" spans="8:8" x14ac:dyDescent="0.25">
      <c r="H489" s="163" t="str">
        <f t="shared" si="10"/>
        <v/>
      </c>
    </row>
    <row r="490" spans="8:8" x14ac:dyDescent="0.25">
      <c r="H490" s="163" t="str">
        <f t="shared" si="10"/>
        <v/>
      </c>
    </row>
    <row r="491" spans="8:8" x14ac:dyDescent="0.25">
      <c r="H491" s="163" t="str">
        <f t="shared" si="10"/>
        <v/>
      </c>
    </row>
    <row r="492" spans="8:8" x14ac:dyDescent="0.25">
      <c r="H492" s="163" t="str">
        <f t="shared" si="10"/>
        <v/>
      </c>
    </row>
    <row r="493" spans="8:8" x14ac:dyDescent="0.25">
      <c r="H493" s="163" t="str">
        <f t="shared" si="10"/>
        <v/>
      </c>
    </row>
    <row r="494" spans="8:8" x14ac:dyDescent="0.25">
      <c r="H494" s="163" t="str">
        <f t="shared" si="10"/>
        <v/>
      </c>
    </row>
    <row r="495" spans="8:8" x14ac:dyDescent="0.25">
      <c r="H495" s="163" t="str">
        <f t="shared" si="10"/>
        <v/>
      </c>
    </row>
    <row r="496" spans="8:8" x14ac:dyDescent="0.25">
      <c r="H496" s="163" t="str">
        <f t="shared" si="10"/>
        <v/>
      </c>
    </row>
    <row r="497" spans="8:8" x14ac:dyDescent="0.25">
      <c r="H497" s="163" t="str">
        <f t="shared" si="10"/>
        <v/>
      </c>
    </row>
    <row r="498" spans="8:8" x14ac:dyDescent="0.25">
      <c r="H498" s="163" t="str">
        <f t="shared" si="10"/>
        <v/>
      </c>
    </row>
    <row r="499" spans="8:8" x14ac:dyDescent="0.25">
      <c r="H499" s="163" t="str">
        <f t="shared" si="10"/>
        <v/>
      </c>
    </row>
    <row r="500" spans="8:8" x14ac:dyDescent="0.25">
      <c r="H500" s="167" t="str">
        <f t="shared" si="10"/>
        <v/>
      </c>
    </row>
  </sheetData>
  <dataValidations count="1">
    <dataValidation type="list" allowBlank="1" showInputMessage="1" showErrorMessage="1" sqref="B6:B9" xr:uid="{9BCD0F2B-730A-4BBE-82B3-8AE73B10C9FD}">
      <formula1>"Tier 1,Tier 2,Tier 3,Tier 4"</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121654-1458-4DF3-8F15-DD1AF6B9A237}">
  <sheetPr codeName="Sheet4">
    <tabColor rgb="FF007299"/>
  </sheetPr>
  <dimension ref="A1:AA142"/>
  <sheetViews>
    <sheetView showGridLines="0" zoomScale="80" zoomScaleNormal="80" workbookViewId="0">
      <pane ySplit="5" topLeftCell="A6" activePane="bottomLeft" state="frozen"/>
      <selection activeCell="S3" sqref="S3"/>
      <selection pane="bottomLeft"/>
    </sheetView>
  </sheetViews>
  <sheetFormatPr defaultColWidth="9.109375" defaultRowHeight="12.75" customHeight="1" x14ac:dyDescent="0.25"/>
  <cols>
    <col min="1" max="1" width="7" hidden="1" customWidth="1"/>
    <col min="2" max="2" width="28.5546875" bestFit="1" customWidth="1"/>
    <col min="3" max="3" width="47.88671875" customWidth="1"/>
    <col min="4" max="4" width="59.44140625" style="75" customWidth="1"/>
    <col min="5" max="5" width="26.109375" bestFit="1" customWidth="1"/>
    <col min="6" max="6" width="15.44140625" customWidth="1"/>
    <col min="7" max="7" width="13.88671875" customWidth="1"/>
    <col min="8" max="8" width="15.5546875" customWidth="1"/>
    <col min="9" max="9" width="14" customWidth="1"/>
    <col min="10" max="12" width="10.5546875" customWidth="1"/>
    <col min="13" max="13" width="13.44140625" customWidth="1"/>
    <col min="14" max="16" width="10.5546875" customWidth="1"/>
    <col min="17" max="17" width="14.44140625" customWidth="1"/>
    <col min="18" max="19" width="10.5546875" customWidth="1"/>
    <col min="20" max="20" width="13.5546875" customWidth="1"/>
    <col min="21" max="22" width="10.5546875" customWidth="1"/>
    <col min="23" max="24" width="14.44140625" customWidth="1"/>
    <col min="25" max="25" width="88" style="75" customWidth="1"/>
    <col min="26" max="26" width="14.44140625" customWidth="1"/>
    <col min="27" max="27" width="5" customWidth="1"/>
    <col min="28" max="28" width="8.88671875" customWidth="1"/>
  </cols>
  <sheetData>
    <row r="1" spans="1:27" ht="15.75" hidden="1" customHeight="1" x14ac:dyDescent="0.25">
      <c r="C1" s="245"/>
      <c r="D1" s="245"/>
      <c r="E1" s="75"/>
      <c r="F1" s="75"/>
      <c r="G1" s="75"/>
      <c r="H1" s="75"/>
      <c r="I1" s="75"/>
      <c r="J1" s="75"/>
      <c r="K1" s="75"/>
      <c r="L1" s="75"/>
      <c r="M1" s="75"/>
      <c r="N1" s="75"/>
      <c r="O1" s="75"/>
      <c r="P1" s="75"/>
      <c r="Q1" s="75"/>
      <c r="R1" s="75"/>
      <c r="S1" s="75"/>
      <c r="T1" s="75"/>
      <c r="U1" s="75"/>
      <c r="V1" s="75"/>
      <c r="W1" s="75"/>
      <c r="X1" s="75"/>
      <c r="Z1" s="75"/>
      <c r="AA1" s="75"/>
    </row>
    <row r="2" spans="1:27" ht="30" customHeight="1" x14ac:dyDescent="0.25">
      <c r="C2" s="245"/>
      <c r="D2" s="245"/>
      <c r="I2" s="484" t="s">
        <v>74</v>
      </c>
      <c r="J2" s="485"/>
      <c r="K2" s="485"/>
      <c r="L2" s="485"/>
      <c r="M2" s="485"/>
      <c r="N2" s="485"/>
      <c r="O2" s="485"/>
      <c r="P2" s="486"/>
      <c r="Q2" s="489" t="s">
        <v>3843</v>
      </c>
      <c r="R2" s="490"/>
      <c r="S2" s="490"/>
      <c r="T2" s="490"/>
      <c r="U2" s="490"/>
      <c r="V2" s="491"/>
      <c r="W2" s="75"/>
      <c r="X2" s="75"/>
      <c r="Z2" s="75"/>
      <c r="AA2" s="54"/>
    </row>
    <row r="3" spans="1:27" ht="23.25" customHeight="1" x14ac:dyDescent="0.25">
      <c r="C3" s="245"/>
      <c r="D3" s="245"/>
      <c r="I3" s="482" t="s">
        <v>3844</v>
      </c>
      <c r="J3" s="483"/>
      <c r="K3" s="483"/>
      <c r="L3" s="483"/>
      <c r="M3" s="487" t="s">
        <v>3845</v>
      </c>
      <c r="N3" s="488"/>
      <c r="O3" s="488"/>
      <c r="P3" s="488"/>
      <c r="Q3" s="492" t="s">
        <v>3846</v>
      </c>
      <c r="R3" s="493"/>
      <c r="S3" s="493"/>
      <c r="T3" s="487" t="s">
        <v>3845</v>
      </c>
      <c r="U3" s="488"/>
      <c r="V3" s="494"/>
      <c r="W3" s="75"/>
      <c r="X3" s="75"/>
      <c r="Z3" s="75"/>
      <c r="AA3" s="54"/>
    </row>
    <row r="4" spans="1:27" ht="39.6" x14ac:dyDescent="0.25">
      <c r="A4" s="75"/>
      <c r="B4" s="370" t="str">
        <f>'EF Table_detail'!A5</f>
        <v>Emission Factor material type</v>
      </c>
      <c r="C4" s="371" t="str">
        <f>'EF Table_detail'!B5</f>
        <v>Emission Factor material category</v>
      </c>
      <c r="D4" s="371" t="str">
        <f>'EF Table_detail'!C5</f>
        <v>Description</v>
      </c>
      <c r="E4" s="371" t="str">
        <f>'EF Table_detail'!D5</f>
        <v>Tab name</v>
      </c>
      <c r="F4" s="371" t="str">
        <f>'EF Table_detail'!E5</f>
        <v>Declared unit</v>
      </c>
      <c r="G4" s="371" t="str">
        <f>'EF Table_detail'!F5</f>
        <v>Data qualitative Rating</v>
      </c>
      <c r="H4" s="371" t="str">
        <f>'EF Table_detail'!G5</f>
        <v>Uncertainty adjustment (%)</v>
      </c>
      <c r="I4" s="376" t="str">
        <f>'EF Table_detail'!L5</f>
        <v>Default (uncertainty adjusted)</v>
      </c>
      <c r="J4" s="377" t="str">
        <f>'EF Table_detail'!H5</f>
        <v>Max in category EF</v>
      </c>
      <c r="K4" s="377" t="str">
        <f>'EF Table_detail'!I5</f>
        <v>Min in category EF</v>
      </c>
      <c r="L4" s="377" t="str">
        <f>'EF Table_detail'!J5</f>
        <v>Average EF</v>
      </c>
      <c r="M4" s="376" t="str">
        <f>'EF Table_detail'!Q5</f>
        <v>Default (uncertainty adjusted)</v>
      </c>
      <c r="N4" s="377" t="str">
        <f>'EF Table_detail'!M5</f>
        <v>Max in category EF</v>
      </c>
      <c r="O4" s="377" t="str">
        <f>'EF Table_detail'!N5</f>
        <v>Min in category EF</v>
      </c>
      <c r="P4" s="377" t="str">
        <f>'EF Table_detail'!O5</f>
        <v>Average EF</v>
      </c>
      <c r="Q4" s="376" t="str">
        <f>'EF Table_detail'!V5</f>
        <v>Default (uncertainty adjusted)</v>
      </c>
      <c r="R4" s="377" t="str">
        <f>'EF Table_detail'!S5</f>
        <v>Max in category EF</v>
      </c>
      <c r="S4" s="377" t="str">
        <f>'EF Table_detail'!T5</f>
        <v>Average EF</v>
      </c>
      <c r="T4" s="376" t="str">
        <f>'EF Table_detail'!Z5</f>
        <v>Default (uncertainty adjusted)</v>
      </c>
      <c r="U4" s="377" t="str">
        <f>'EF Table_detail'!W5</f>
        <v>Max in category EF</v>
      </c>
      <c r="V4" s="377" t="str">
        <f>'EF Table_detail'!X5</f>
        <v>Average EF</v>
      </c>
      <c r="W4" s="379" t="str">
        <f>'EF Table_detail'!AB5</f>
        <v>Conversion (Based on average EF)</v>
      </c>
      <c r="X4" s="380" t="str">
        <f>'EF Table_detail'!AC5</f>
        <v>Conversion unit</v>
      </c>
      <c r="Y4" s="371" t="str">
        <f>'EF Table_detail'!AD5</f>
        <v>Notes</v>
      </c>
      <c r="Z4" s="378" t="str">
        <f>'EF Table_detail'!AE5</f>
        <v>Weighted average used (Yes/No)</v>
      </c>
    </row>
    <row r="5" spans="1:27" s="313" customFormat="1" ht="120" hidden="1" customHeight="1" x14ac:dyDescent="0.25">
      <c r="B5" s="373" t="str">
        <f>'EF Table_detail'!A6</f>
        <v>EF material type</v>
      </c>
      <c r="C5" s="374" t="str">
        <f>'EF Table_detail'!B6</f>
        <v>EF material category</v>
      </c>
      <c r="D5" s="374" t="str">
        <f>'EF Table_detail'!C6</f>
        <v>Description</v>
      </c>
      <c r="E5" s="374" t="str">
        <f>'EF Table_detail'!D6</f>
        <v>EXCLUDE</v>
      </c>
      <c r="F5" s="374" t="str">
        <f>'EF Table_detail'!E6</f>
        <v>Data source unit</v>
      </c>
      <c r="G5" s="374" t="str">
        <f>'EF Table_detail'!F6</f>
        <v>Data qualitative Rating</v>
      </c>
      <c r="H5" s="374" t="str">
        <f>'EF Table_detail'!G6</f>
        <v>Uncertainty adjustment (%)</v>
      </c>
      <c r="I5" s="372" t="str">
        <f>'EF Table_detail'!L6</f>
        <v>Upfront carbon emission - Default (uncertainty adjusted) (kgCO2e/declared unit)</v>
      </c>
      <c r="J5" s="375" t="str">
        <f>'EF Table_detail'!H6</f>
        <v>Upfront carbon emission - Max (kgCO2e/declared unit)</v>
      </c>
      <c r="K5" s="375" t="str">
        <f>'EF Table_detail'!I6</f>
        <v>Upfront carbon emission - Min (kgCO2e/declared unit)</v>
      </c>
      <c r="L5" s="375" t="str">
        <f>'EF Table_detail'!J6</f>
        <v>Upfront carbon emission - Average (kg CO2e/declared unit)</v>
      </c>
      <c r="M5" s="372" t="str">
        <f>'EF Table_detail'!Q6</f>
        <v>Upfront carbon emission - Default (uncertainty adjusted) (kgCO2e/kg)</v>
      </c>
      <c r="N5" s="375" t="str">
        <f>'EF Table_detail'!M6</f>
        <v>Upfront carbon emission - Max (kgCO2e/kg)</v>
      </c>
      <c r="O5" s="375" t="str">
        <f>'EF Table_detail'!N6</f>
        <v>Upfront carbon emission - Min (kgCO2e/kg)</v>
      </c>
      <c r="P5" s="375" t="str">
        <f>'EF Table_detail'!O6</f>
        <v>Upfront carbon emission - Average (kg CO2e/kg)</v>
      </c>
      <c r="Q5" s="372" t="str">
        <f>'EF Table_detail'!V6</f>
        <v>Upfront carbon storage - Default (uncertainty adjusted) (kgCO2e/declared unit)</v>
      </c>
      <c r="R5" s="375" t="str">
        <f>'EF Table_detail'!S6</f>
        <v>Upfront carbon storage - Max (kgCO2e/declared unit)</v>
      </c>
      <c r="S5" s="375" t="str">
        <f>'EF Table_detail'!T6</f>
        <v>Upfront carbon storage- Average (kg CO2e/declared unit)</v>
      </c>
      <c r="T5" s="372" t="str">
        <f>'EF Table_detail'!Z6</f>
        <v>Upfront carbon storage - Default (uncertainty adjusted) (kgCO2e/kg)</v>
      </c>
      <c r="U5" s="375" t="str">
        <f>'EF Table_detail'!W6</f>
        <v>Upfront carbon storage - Max (kgCO2e/kg)</v>
      </c>
      <c r="V5" s="375" t="str">
        <f>'EF Table_detail'!X6</f>
        <v>Upfront carbon storage - Average (kg CO2e/kg)</v>
      </c>
      <c r="W5" s="381" t="str">
        <f>'EF Table_detail'!AB6</f>
        <v>Conversion</v>
      </c>
      <c r="X5" s="381" t="str">
        <f>'EF Table_detail'!AC6</f>
        <v>Conversion unit</v>
      </c>
      <c r="Y5" s="374" t="str">
        <f>'EF Table_detail'!AD6</f>
        <v>EXCLUDE</v>
      </c>
      <c r="Z5" s="381" t="str">
        <f>'EF Table_detail'!AE6</f>
        <v>Weighted averaged used?</v>
      </c>
    </row>
    <row r="6" spans="1:27" ht="54.75" customHeight="1" x14ac:dyDescent="0.25">
      <c r="B6" s="276" t="str">
        <f>'EF Table_detail'!A7</f>
        <v>Concrete in-situ</v>
      </c>
      <c r="C6" s="192" t="str">
        <f>'EF Table_detail'!B7</f>
        <v>≤10 MPa</v>
      </c>
      <c r="D6" s="193" t="str">
        <f ca="1">'EF Table_detail'!C7</f>
        <v xml:space="preserve">Any concrete mix with a strength rating of 10 MPa or lower. </v>
      </c>
      <c r="E6" s="192" t="str">
        <f>'EF Table_detail'!D7</f>
        <v>Concrete_10MPa</v>
      </c>
      <c r="F6" s="192" t="str">
        <f ca="1">'EF Table_detail'!E7</f>
        <v>m³</v>
      </c>
      <c r="G6" s="192" t="str">
        <f ca="1">'EF Table_detail'!F7</f>
        <v>Tier 3</v>
      </c>
      <c r="H6" s="194">
        <f ca="1">'EF Table_detail'!G7</f>
        <v>1.1000000000000001</v>
      </c>
      <c r="I6" s="453" t="str" cm="1">
        <f t="array" aca="1" ref="I6" ca="1">IFERROR(print_SF('EF Table_detail'!L7),"")</f>
        <v>273</v>
      </c>
      <c r="J6" s="216" t="str" cm="1">
        <f t="array" aca="1" ref="J6" ca="1">IFERROR(print_SF('EF Table_detail'!H7),"")</f>
        <v>248</v>
      </c>
      <c r="K6" s="217" t="str" cm="1">
        <f t="array" aca="1" ref="K6" ca="1">IFERROR(print_SF('EF Table_detail'!I7),"")</f>
        <v>142</v>
      </c>
      <c r="L6" s="217" t="str" cm="1">
        <f t="array" aca="1" ref="L6" ca="1">IFERROR(print_SF('EF Table_detail'!J7),"")</f>
        <v>181</v>
      </c>
      <c r="M6" s="455" t="str" cm="1">
        <f t="array" aca="1" ref="M6" ca="1">IFERROR(print_SF('EF Table_detail'!Q7),"")</f>
        <v>0.114</v>
      </c>
      <c r="N6" s="220" t="str" cm="1">
        <f t="array" aca="1" ref="N6" ca="1">IFERROR(print_SF('EF Table_detail'!M7),"")</f>
        <v>0.103</v>
      </c>
      <c r="O6" s="221" t="str" cm="1">
        <f t="array" aca="1" ref="O6" ca="1">IFERROR(print_SF('EF Table_detail'!N7),"")</f>
        <v>0.0590</v>
      </c>
      <c r="P6" s="221" t="str" cm="1">
        <f t="array" aca="1" ref="P6" ca="1">IFERROR(print_SF('EF Table_detail'!O7),"")</f>
        <v>0.0755</v>
      </c>
      <c r="Q6" s="453" t="str" cm="1">
        <f t="array" aca="1" ref="Q6" ca="1">IFERROR(print_SF('EF Table_detail'!V7),"")</f>
        <v>0</v>
      </c>
      <c r="R6" s="220" t="str" cm="1">
        <f t="array" aca="1" ref="R6" ca="1">IFERROR(print_SF('EF Table_detail'!S7),"")</f>
        <v>0</v>
      </c>
      <c r="S6" s="221" t="str" cm="1">
        <f t="array" aca="1" ref="S6" ca="1">IFERROR(print_SF('EF Table_detail'!T7),"")</f>
        <v>0</v>
      </c>
      <c r="T6" s="455" t="str" cm="1">
        <f t="array" aca="1" ref="T6" ca="1">IFERROR(print_SF('EF Table_detail'!Z7),"")</f>
        <v>0</v>
      </c>
      <c r="U6" s="220" t="str" cm="1">
        <f t="array" aca="1" ref="U6" ca="1">IFERROR(print_SF('EF Table_detail'!W7),"")</f>
        <v>0</v>
      </c>
      <c r="V6" s="221" t="str" cm="1">
        <f t="array" aca="1" ref="V6" ca="1">IFERROR(print_SF('EF Table_detail'!X7),"")</f>
        <v>0</v>
      </c>
      <c r="W6" s="327" t="str" cm="1">
        <f t="array" aca="1" ref="W6" ca="1">IFERROR(print_SF('EF Table_detail'!AB7),"")</f>
        <v>2,400</v>
      </c>
      <c r="X6" s="328" t="str">
        <f t="shared" ref="X6:X37" ca="1" si="0">"kg/"&amp;F6</f>
        <v>kg/m³</v>
      </c>
      <c r="Y6" s="213" t="str" cm="1">
        <f t="array" aca="1" ref="Y6" ca="1">IF(INDIRECT(""&amp;$E6&amp;"!R"&amp;Y$141&amp;"C"&amp;Y$142,FALSE)=0,"",INDIRECT(""&amp;$E6&amp;"!R"&amp;Y$141&amp;"C"&amp;Y$142,FALSE))</f>
        <v/>
      </c>
      <c r="Z6" s="277" t="str" cm="1">
        <f t="array" aca="1" ref="Z6" ca="1">IF(INDIRECT(""&amp;$E6&amp;"!R"&amp;Z$141&amp;"C"&amp;Z$142,FALSE)="Average (weighted)","Yes","No")</f>
        <v>No</v>
      </c>
      <c r="AA6" s="96"/>
    </row>
    <row r="7" spans="1:27" ht="45" customHeight="1" x14ac:dyDescent="0.25">
      <c r="B7" s="276" t="str">
        <f>'EF Table_detail'!A8</f>
        <v>Concrete in-situ</v>
      </c>
      <c r="C7" s="192" t="str">
        <f>'EF Table_detail'!B8</f>
        <v>&gt;10 MPa to ≤20 MPa</v>
      </c>
      <c r="D7" s="193" t="str">
        <f ca="1">'EF Table_detail'!C8</f>
        <v>Any concrete mix with a strength rating of 20 MPa or lower and greater than 10MPa</v>
      </c>
      <c r="E7" s="192" t="str">
        <f>'EF Table_detail'!D8</f>
        <v>Concrete_20MPa</v>
      </c>
      <c r="F7" s="192" t="str">
        <f ca="1">'EF Table_detail'!E8</f>
        <v>m³</v>
      </c>
      <c r="G7" s="192" t="str">
        <f ca="1">'EF Table_detail'!F8</f>
        <v>Tier 1</v>
      </c>
      <c r="H7" s="194">
        <f ca="1">'EF Table_detail'!G8</f>
        <v>1.02</v>
      </c>
      <c r="I7" s="454" t="str" cm="1">
        <f t="array" aca="1" ref="I7" ca="1">IFERROR(print_SF('EF Table_detail'!L8),"")</f>
        <v>371</v>
      </c>
      <c r="J7" s="222" t="str" cm="1">
        <f t="array" aca="1" ref="J7" ca="1">IFERROR(print_SF('EF Table_detail'!H8),"")</f>
        <v>364</v>
      </c>
      <c r="K7" s="223" t="str" cm="1">
        <f t="array" aca="1" ref="K7" ca="1">IFERROR(print_SF('EF Table_detail'!I8),"")</f>
        <v>136</v>
      </c>
      <c r="L7" s="223" t="str" cm="1">
        <f t="array" aca="1" ref="L7" ca="1">IFERROR(print_SF('EF Table_detail'!J8),"")</f>
        <v>198</v>
      </c>
      <c r="M7" s="456" t="str" cm="1">
        <f t="array" aca="1" ref="M7" ca="1">IFERROR(print_SF('EF Table_detail'!Q8),"")</f>
        <v>0.155</v>
      </c>
      <c r="N7" s="218" t="str" cm="1">
        <f t="array" aca="1" ref="N7" ca="1">IFERROR(print_SF('EF Table_detail'!M8),"")</f>
        <v>0.152</v>
      </c>
      <c r="O7" s="219" t="str" cm="1">
        <f t="array" aca="1" ref="O7" ca="1">IFERROR(print_SF('EF Table_detail'!N8),"")</f>
        <v>0.0567</v>
      </c>
      <c r="P7" s="219" t="str" cm="1">
        <f t="array" aca="1" ref="P7" ca="1">IFERROR(print_SF('EF Table_detail'!O8),"")</f>
        <v>0.0827</v>
      </c>
      <c r="Q7" s="454" t="str" cm="1">
        <f t="array" aca="1" ref="Q7" ca="1">IFERROR(print_SF('EF Table_detail'!V8),"")</f>
        <v>0</v>
      </c>
      <c r="R7" s="218" t="str" cm="1">
        <f t="array" aca="1" ref="R7" ca="1">IFERROR(print_SF('EF Table_detail'!S8),"")</f>
        <v>0</v>
      </c>
      <c r="S7" s="219" t="str" cm="1">
        <f t="array" aca="1" ref="S7" ca="1">IFERROR(print_SF('EF Table_detail'!T8),"")</f>
        <v>0</v>
      </c>
      <c r="T7" s="456" t="str" cm="1">
        <f t="array" aca="1" ref="T7" ca="1">IFERROR(print_SF('EF Table_detail'!Z8),"")</f>
        <v>0</v>
      </c>
      <c r="U7" s="218" t="str" cm="1">
        <f t="array" aca="1" ref="U7" ca="1">IFERROR(print_SF('EF Table_detail'!W8),"")</f>
        <v>0</v>
      </c>
      <c r="V7" s="219" t="str" cm="1">
        <f t="array" aca="1" ref="V7" ca="1">IFERROR(print_SF('EF Table_detail'!X8),"")</f>
        <v>0</v>
      </c>
      <c r="W7" s="329" t="str" cm="1">
        <f t="array" aca="1" ref="W7" ca="1">IFERROR(print_SF('EF Table_detail'!AB8),"")</f>
        <v>2,400</v>
      </c>
      <c r="X7" s="330" t="str">
        <f t="shared" ca="1" si="0"/>
        <v>kg/m³</v>
      </c>
      <c r="Y7" s="213" t="str" cm="1">
        <f t="array" aca="1" ref="Y7" ca="1">IF(INDIRECT(""&amp;$E7&amp;"!R"&amp;Y$141&amp;"C"&amp;Y$142,FALSE)=0,"",INDIRECT(""&amp;$E7&amp;"!R"&amp;Y$141&amp;"C"&amp;Y$142,FALSE))</f>
        <v>The material category is based on the strength of concrete. Concrete mixes from all states and territories and with or without supplementary cementious materials are included in this dataset. This provides a conservative default value for the material category. Promoting the use of specific published EFs based on the concrete product used.</v>
      </c>
      <c r="Z7" s="277" t="str" cm="1">
        <f t="array" aca="1" ref="Z7" ca="1">IF(INDIRECT(""&amp;$E7&amp;"!R"&amp;Z$141&amp;"C"&amp;Z$142,FALSE)="Average (weighted)","Yes","No")</f>
        <v>No</v>
      </c>
      <c r="AA7" s="96"/>
    </row>
    <row r="8" spans="1:27" ht="45" customHeight="1" x14ac:dyDescent="0.25">
      <c r="B8" s="276" t="str">
        <f>'EF Table_detail'!A9</f>
        <v>Concrete in-situ</v>
      </c>
      <c r="C8" s="192" t="str">
        <f>'EF Table_detail'!B9</f>
        <v>&gt;20 MPa to ≤25 MPa</v>
      </c>
      <c r="D8" s="193" t="str">
        <f ca="1">'EF Table_detail'!C9</f>
        <v>Any concrete mix with a strength rating of 25 MPa or lower and greater than 20 MPa</v>
      </c>
      <c r="E8" s="192" t="str">
        <f>'EF Table_detail'!D9</f>
        <v>Concrete_25MPa</v>
      </c>
      <c r="F8" s="192" t="str">
        <f ca="1">'EF Table_detail'!E9</f>
        <v>m³</v>
      </c>
      <c r="G8" s="192" t="str">
        <f ca="1">'EF Table_detail'!F9</f>
        <v>Tier 1</v>
      </c>
      <c r="H8" s="194">
        <f ca="1">'EF Table_detail'!G9</f>
        <v>1.02</v>
      </c>
      <c r="I8" s="454" t="str" cm="1">
        <f t="array" aca="1" ref="I8" ca="1">IFERROR(print_SF('EF Table_detail'!L9),"")</f>
        <v>396</v>
      </c>
      <c r="J8" s="222" t="str" cm="1">
        <f t="array" aca="1" ref="J8" ca="1">IFERROR(print_SF('EF Table_detail'!H9),"")</f>
        <v>388</v>
      </c>
      <c r="K8" s="223" t="str" cm="1">
        <f t="array" aca="1" ref="K8" ca="1">IFERROR(print_SF('EF Table_detail'!I9),"")</f>
        <v>149</v>
      </c>
      <c r="L8" s="223" t="str" cm="1">
        <f t="array" aca="1" ref="L8" ca="1">IFERROR(print_SF('EF Table_detail'!J9),"")</f>
        <v>220</v>
      </c>
      <c r="M8" s="456" t="str" cm="1">
        <f t="array" aca="1" ref="M8" ca="1">IFERROR(print_SF('EF Table_detail'!Q9),"")</f>
        <v>0.165</v>
      </c>
      <c r="N8" s="218" t="str" cm="1">
        <f t="array" aca="1" ref="N8" ca="1">IFERROR(print_SF('EF Table_detail'!M9),"")</f>
        <v>0.162</v>
      </c>
      <c r="O8" s="219" t="str" cm="1">
        <f t="array" aca="1" ref="O8" ca="1">IFERROR(print_SF('EF Table_detail'!N9),"")</f>
        <v>0.0621</v>
      </c>
      <c r="P8" s="219" t="str" cm="1">
        <f t="array" aca="1" ref="P8" ca="1">IFERROR(print_SF('EF Table_detail'!O9),"")</f>
        <v>0.0916</v>
      </c>
      <c r="Q8" s="454" t="str" cm="1">
        <f t="array" aca="1" ref="Q8" ca="1">IFERROR(print_SF('EF Table_detail'!V9),"")</f>
        <v>0</v>
      </c>
      <c r="R8" s="218" t="str" cm="1">
        <f t="array" aca="1" ref="R8" ca="1">IFERROR(print_SF('EF Table_detail'!S9),"")</f>
        <v>0</v>
      </c>
      <c r="S8" s="219" t="str" cm="1">
        <f t="array" aca="1" ref="S8" ca="1">IFERROR(print_SF('EF Table_detail'!T9),"")</f>
        <v>0</v>
      </c>
      <c r="T8" s="456" t="str" cm="1">
        <f t="array" aca="1" ref="T8" ca="1">IFERROR(print_SF('EF Table_detail'!Z9),"")</f>
        <v>0</v>
      </c>
      <c r="U8" s="218" t="str" cm="1">
        <f t="array" aca="1" ref="U8" ca="1">IFERROR(print_SF('EF Table_detail'!W9),"")</f>
        <v>0</v>
      </c>
      <c r="V8" s="219" t="str" cm="1">
        <f t="array" aca="1" ref="V8" ca="1">IFERROR(print_SF('EF Table_detail'!X9),"")</f>
        <v>0</v>
      </c>
      <c r="W8" s="329" t="str" cm="1">
        <f t="array" aca="1" ref="W8" ca="1">IFERROR(print_SF('EF Table_detail'!AB9),"")</f>
        <v>2,400</v>
      </c>
      <c r="X8" s="330" t="str">
        <f t="shared" ca="1" si="0"/>
        <v>kg/m³</v>
      </c>
      <c r="Y8" s="213" t="str" cm="1">
        <f t="array" aca="1" ref="Y8" ca="1">IF(INDIRECT(""&amp;$E8&amp;"!R"&amp;Y$141&amp;"C"&amp;Y$142,FALSE)=0,"",INDIRECT(""&amp;$E8&amp;"!R"&amp;Y$141&amp;"C"&amp;Y$142,FALSE))</f>
        <v xml:space="preserve">The material category is based on the strength of concrete.  Concrete mixes from all states and territories and with or without supplementary cementious materials are included in this dataset.  This provides a conservative default value for the material category. Promoting the use of specific published EFs based on the concrete product used. </v>
      </c>
      <c r="Z8" s="277" t="str" cm="1">
        <f t="array" aca="1" ref="Z8" ca="1">IF(INDIRECT(""&amp;$E8&amp;"!R"&amp;Z$141&amp;"C"&amp;Z$142,FALSE)="Average (weighted)","Yes","No")</f>
        <v>No</v>
      </c>
      <c r="AA8" s="96"/>
    </row>
    <row r="9" spans="1:27" ht="45" customHeight="1" x14ac:dyDescent="0.25">
      <c r="B9" s="276" t="str">
        <f>'EF Table_detail'!A10</f>
        <v>Concrete in-situ</v>
      </c>
      <c r="C9" s="192" t="str">
        <f>'EF Table_detail'!B10</f>
        <v>&gt;25 MPa to ≤32 MPa</v>
      </c>
      <c r="D9" s="193" t="str">
        <f ca="1">'EF Table_detail'!C10</f>
        <v>Any concrete mix with a strength rating of 32 MPa or lower and greater than 25 MPa</v>
      </c>
      <c r="E9" s="192" t="str">
        <f>'EF Table_detail'!D10</f>
        <v>Concrete_32MPa</v>
      </c>
      <c r="F9" s="192" t="str">
        <f ca="1">'EF Table_detail'!E10</f>
        <v>m³</v>
      </c>
      <c r="G9" s="192" t="str">
        <f ca="1">'EF Table_detail'!F10</f>
        <v>Tier 1</v>
      </c>
      <c r="H9" s="194">
        <f ca="1">'EF Table_detail'!G10</f>
        <v>1.02</v>
      </c>
      <c r="I9" s="454" t="str" cm="1">
        <f t="array" aca="1" ref="I9" ca="1">IFERROR(print_SF('EF Table_detail'!L10),"")</f>
        <v>468</v>
      </c>
      <c r="J9" s="222" t="str" cm="1">
        <f t="array" aca="1" ref="J9" ca="1">IFERROR(print_SF('EF Table_detail'!H10),"")</f>
        <v>459</v>
      </c>
      <c r="K9" s="223" t="str" cm="1">
        <f t="array" aca="1" ref="K9" ca="1">IFERROR(print_SF('EF Table_detail'!I10),"")</f>
        <v>167</v>
      </c>
      <c r="L9" s="223" t="str" cm="1">
        <f t="array" aca="1" ref="L9" ca="1">IFERROR(print_SF('EF Table_detail'!J10),"")</f>
        <v>249</v>
      </c>
      <c r="M9" s="456" t="str" cm="1">
        <f t="array" aca="1" ref="M9" ca="1">IFERROR(print_SF('EF Table_detail'!Q10),"")</f>
        <v>0.195</v>
      </c>
      <c r="N9" s="218" t="str" cm="1">
        <f t="array" aca="1" ref="N9" ca="1">IFERROR(print_SF('EF Table_detail'!M10),"")</f>
        <v>0.191</v>
      </c>
      <c r="O9" s="219" t="str" cm="1">
        <f t="array" aca="1" ref="O9" ca="1">IFERROR(print_SF('EF Table_detail'!N10),"")</f>
        <v>0.0696</v>
      </c>
      <c r="P9" s="219" t="str" cm="1">
        <f t="array" aca="1" ref="P9" ca="1">IFERROR(print_SF('EF Table_detail'!O10),"")</f>
        <v>0.104</v>
      </c>
      <c r="Q9" s="454" t="str" cm="1">
        <f t="array" aca="1" ref="Q9" ca="1">IFERROR(print_SF('EF Table_detail'!V10),"")</f>
        <v>0</v>
      </c>
      <c r="R9" s="218" t="str" cm="1">
        <f t="array" aca="1" ref="R9" ca="1">IFERROR(print_SF('EF Table_detail'!S10),"")</f>
        <v>0</v>
      </c>
      <c r="S9" s="219" t="str" cm="1">
        <f t="array" aca="1" ref="S9" ca="1">IFERROR(print_SF('EF Table_detail'!T10),"")</f>
        <v>0</v>
      </c>
      <c r="T9" s="456" t="str" cm="1">
        <f t="array" aca="1" ref="T9" ca="1">IFERROR(print_SF('EF Table_detail'!Z10),"")</f>
        <v>0</v>
      </c>
      <c r="U9" s="218" t="str" cm="1">
        <f t="array" aca="1" ref="U9" ca="1">IFERROR(print_SF('EF Table_detail'!W10),"")</f>
        <v>0</v>
      </c>
      <c r="V9" s="219" t="str" cm="1">
        <f t="array" aca="1" ref="V9" ca="1">IFERROR(print_SF('EF Table_detail'!X10),"")</f>
        <v>0</v>
      </c>
      <c r="W9" s="329" t="str" cm="1">
        <f t="array" aca="1" ref="W9" ca="1">IFERROR(print_SF('EF Table_detail'!AB10),"")</f>
        <v>2,400</v>
      </c>
      <c r="X9" s="330" t="str">
        <f t="shared" ca="1" si="0"/>
        <v>kg/m³</v>
      </c>
      <c r="Y9" s="213" t="str" cm="1">
        <f t="array" aca="1" ref="Y9" ca="1">IF(INDIRECT(""&amp;$E9&amp;"!R"&amp;Y$141&amp;"C"&amp;Y$142,FALSE)=0,"",INDIRECT(""&amp;$E9&amp;"!R"&amp;Y$141&amp;"C"&amp;Y$142,FALSE))</f>
        <v xml:space="preserve">The material category is based on the strength of concrete.  Concrete mixes from all states and territories and with or without supplementary cementious materials are included in this dataset.  This provides a conservative default value for the material category. Promoting the use of specific published EFs based on the concrete product used. </v>
      </c>
      <c r="Z9" s="277" t="str" cm="1">
        <f t="array" aca="1" ref="Z9" ca="1">IF(INDIRECT(""&amp;$E9&amp;"!R"&amp;Z$141&amp;"C"&amp;Z$142,FALSE)="Average (weighted)","Yes","No")</f>
        <v>No</v>
      </c>
      <c r="AA9" s="96"/>
    </row>
    <row r="10" spans="1:27" ht="45" customHeight="1" x14ac:dyDescent="0.25">
      <c r="B10" s="276" t="str">
        <f>'EF Table_detail'!A11</f>
        <v>Concrete in-situ</v>
      </c>
      <c r="C10" s="192" t="str">
        <f>'EF Table_detail'!B11</f>
        <v>&gt;32 MPa to ≤40 MPa</v>
      </c>
      <c r="D10" s="193" t="str">
        <f ca="1">'EF Table_detail'!C11</f>
        <v>Any concrete mix with a strength rating of 40 MPa or lower and greater than 32 MPa</v>
      </c>
      <c r="E10" s="192" t="str">
        <f>'EF Table_detail'!D11</f>
        <v>Concrete_40MPa</v>
      </c>
      <c r="F10" s="192" t="str">
        <f ca="1">'EF Table_detail'!E11</f>
        <v>m³</v>
      </c>
      <c r="G10" s="192" t="str">
        <f ca="1">'EF Table_detail'!F11</f>
        <v>Tier 1</v>
      </c>
      <c r="H10" s="194">
        <f ca="1">'EF Table_detail'!G11</f>
        <v>1.02</v>
      </c>
      <c r="I10" s="454" t="str" cm="1">
        <f t="array" aca="1" ref="I10" ca="1">IFERROR(print_SF('EF Table_detail'!L11),"")</f>
        <v>556</v>
      </c>
      <c r="J10" s="222" t="str" cm="1">
        <f t="array" aca="1" ref="J10" ca="1">IFERROR(print_SF('EF Table_detail'!H11),"")</f>
        <v>545</v>
      </c>
      <c r="K10" s="223" t="str" cm="1">
        <f t="array" aca="1" ref="K10" ca="1">IFERROR(print_SF('EF Table_detail'!I11),"")</f>
        <v>185</v>
      </c>
      <c r="L10" s="223" t="str" cm="1">
        <f t="array" aca="1" ref="L10" ca="1">IFERROR(print_SF('EF Table_detail'!J11),"")</f>
        <v>300</v>
      </c>
      <c r="M10" s="456" t="str" cm="1">
        <f t="array" aca="1" ref="M10" ca="1">IFERROR(print_SF('EF Table_detail'!Q11),"")</f>
        <v>0.232</v>
      </c>
      <c r="N10" s="218" t="str" cm="1">
        <f t="array" aca="1" ref="N10" ca="1">IFERROR(print_SF('EF Table_detail'!M11),"")</f>
        <v>0.227</v>
      </c>
      <c r="O10" s="219" t="str" cm="1">
        <f t="array" aca="1" ref="O10" ca="1">IFERROR(print_SF('EF Table_detail'!N11),"")</f>
        <v>0.0771</v>
      </c>
      <c r="P10" s="219" t="str" cm="1">
        <f t="array" aca="1" ref="P10" ca="1">IFERROR(print_SF('EF Table_detail'!O11),"")</f>
        <v>0.125</v>
      </c>
      <c r="Q10" s="454" t="str" cm="1">
        <f t="array" aca="1" ref="Q10" ca="1">IFERROR(print_SF('EF Table_detail'!V11),"")</f>
        <v>0</v>
      </c>
      <c r="R10" s="218" t="str" cm="1">
        <f t="array" aca="1" ref="R10" ca="1">IFERROR(print_SF('EF Table_detail'!S11),"")</f>
        <v>0</v>
      </c>
      <c r="S10" s="219" t="str" cm="1">
        <f t="array" aca="1" ref="S10" ca="1">IFERROR(print_SF('EF Table_detail'!T11),"")</f>
        <v>0</v>
      </c>
      <c r="T10" s="456" t="str" cm="1">
        <f t="array" aca="1" ref="T10" ca="1">IFERROR(print_SF('EF Table_detail'!Z11),"")</f>
        <v>0</v>
      </c>
      <c r="U10" s="218" t="str" cm="1">
        <f t="array" aca="1" ref="U10" ca="1">IFERROR(print_SF('EF Table_detail'!W11),"")</f>
        <v>0</v>
      </c>
      <c r="V10" s="219" t="str" cm="1">
        <f t="array" aca="1" ref="V10" ca="1">IFERROR(print_SF('EF Table_detail'!X11),"")</f>
        <v>0</v>
      </c>
      <c r="W10" s="329" t="str" cm="1">
        <f t="array" aca="1" ref="W10" ca="1">IFERROR(print_SF('EF Table_detail'!AB11),"")</f>
        <v>2,400</v>
      </c>
      <c r="X10" s="330" t="str">
        <f t="shared" ca="1" si="0"/>
        <v>kg/m³</v>
      </c>
      <c r="Y10" s="213" t="str" cm="1">
        <f t="array" aca="1" ref="Y10" ca="1">IF(INDIRECT(""&amp;$E10&amp;"!R"&amp;Y$141&amp;"C"&amp;Y$142,FALSE)=0,"",INDIRECT(""&amp;$E10&amp;"!R"&amp;Y$141&amp;"C"&amp;Y$142,FALSE))</f>
        <v xml:space="preserve">The material category is based on the strength of concrete.  Concrete mixes from all states and territories and with or without supplementary cementious materials are included in this dataset.  This provides a conservative default value for the material category. Promoting the use of specific published EFs based on the concrete product used. </v>
      </c>
      <c r="Z10" s="277" t="str" cm="1">
        <f t="array" aca="1" ref="Z10" ca="1">IF(INDIRECT(""&amp;$E10&amp;"!R"&amp;Z$141&amp;"C"&amp;Z$142,FALSE)="Average (weighted)","Yes","No")</f>
        <v>No</v>
      </c>
      <c r="AA10" s="96"/>
    </row>
    <row r="11" spans="1:27" ht="45" customHeight="1" x14ac:dyDescent="0.25">
      <c r="B11" s="276" t="str">
        <f>'EF Table_detail'!A12</f>
        <v>Concrete in-situ</v>
      </c>
      <c r="C11" s="192" t="str">
        <f>'EF Table_detail'!B12</f>
        <v>&gt;40 MPa to ≤50 MPa</v>
      </c>
      <c r="D11" s="193" t="str">
        <f ca="1">'EF Table_detail'!C12</f>
        <v>Any concrete mix with a strength rating of 50 MPa or lower and greater than 40 MPa</v>
      </c>
      <c r="E11" s="192" t="str">
        <f>'EF Table_detail'!D12</f>
        <v>Concrete_50MPa</v>
      </c>
      <c r="F11" s="192" t="str">
        <f ca="1">'EF Table_detail'!E12</f>
        <v>m³</v>
      </c>
      <c r="G11" s="192" t="str">
        <f ca="1">'EF Table_detail'!F12</f>
        <v>Tier 1</v>
      </c>
      <c r="H11" s="194">
        <f ca="1">'EF Table_detail'!G12</f>
        <v>1.02</v>
      </c>
      <c r="I11" s="454" t="str" cm="1">
        <f t="array" aca="1" ref="I11" ca="1">IFERROR(print_SF('EF Table_detail'!L12),"")</f>
        <v>621</v>
      </c>
      <c r="J11" s="222" t="str" cm="1">
        <f t="array" aca="1" ref="J11" ca="1">IFERROR(print_SF('EF Table_detail'!H12),"")</f>
        <v>609</v>
      </c>
      <c r="K11" s="223" t="str" cm="1">
        <f t="array" aca="1" ref="K11" ca="1">IFERROR(print_SF('EF Table_detail'!I12),"")</f>
        <v>101</v>
      </c>
      <c r="L11" s="223" t="str" cm="1">
        <f t="array" aca="1" ref="L11" ca="1">IFERROR(print_SF('EF Table_detail'!J12),"")</f>
        <v>357</v>
      </c>
      <c r="M11" s="456" t="str" cm="1">
        <f t="array" aca="1" ref="M11" ca="1">IFERROR(print_SF('EF Table_detail'!Q12),"")</f>
        <v>0.259</v>
      </c>
      <c r="N11" s="218" t="str" cm="1">
        <f t="array" aca="1" ref="N11" ca="1">IFERROR(print_SF('EF Table_detail'!M12),"")</f>
        <v>0.254</v>
      </c>
      <c r="O11" s="219" t="str" cm="1">
        <f t="array" aca="1" ref="O11" ca="1">IFERROR(print_SF('EF Table_detail'!N12),"")</f>
        <v>0.0421</v>
      </c>
      <c r="P11" s="219" t="str" cm="1">
        <f t="array" aca="1" ref="P11" ca="1">IFERROR(print_SF('EF Table_detail'!O12),"")</f>
        <v>0.149</v>
      </c>
      <c r="Q11" s="454" t="str" cm="1">
        <f t="array" aca="1" ref="Q11" ca="1">IFERROR(print_SF('EF Table_detail'!V12),"")</f>
        <v>0</v>
      </c>
      <c r="R11" s="218" t="str" cm="1">
        <f t="array" aca="1" ref="R11" ca="1">IFERROR(print_SF('EF Table_detail'!S12),"")</f>
        <v>0</v>
      </c>
      <c r="S11" s="219" t="str" cm="1">
        <f t="array" aca="1" ref="S11" ca="1">IFERROR(print_SF('EF Table_detail'!T12),"")</f>
        <v>0</v>
      </c>
      <c r="T11" s="456" t="str" cm="1">
        <f t="array" aca="1" ref="T11" ca="1">IFERROR(print_SF('EF Table_detail'!Z12),"")</f>
        <v>0</v>
      </c>
      <c r="U11" s="218" t="str" cm="1">
        <f t="array" aca="1" ref="U11" ca="1">IFERROR(print_SF('EF Table_detail'!W12),"")</f>
        <v>0</v>
      </c>
      <c r="V11" s="219" t="str" cm="1">
        <f t="array" aca="1" ref="V11" ca="1">IFERROR(print_SF('EF Table_detail'!X12),"")</f>
        <v>0</v>
      </c>
      <c r="W11" s="329" t="str" cm="1">
        <f t="array" aca="1" ref="W11" ca="1">IFERROR(print_SF('EF Table_detail'!AB12),"")</f>
        <v>2,400</v>
      </c>
      <c r="X11" s="330" t="str">
        <f t="shared" ca="1" si="0"/>
        <v>kg/m³</v>
      </c>
      <c r="Y11" s="213" t="str" cm="1">
        <f t="array" aca="1" ref="Y11" ca="1">IF(INDIRECT(""&amp;$E11&amp;"!R"&amp;Y$141&amp;"C"&amp;Y$142,FALSE)=0,"",INDIRECT(""&amp;$E11&amp;"!R"&amp;Y$141&amp;"C"&amp;Y$142,FALSE))</f>
        <v xml:space="preserve">The material category is based on the strength of concrete.  Concrete mixes from all states and territories and with or without supplementary cementious materials are included in this dataset.  This provides a conservative default value for the material category. Promoting the use of specific published EFs based on the concrete product used. </v>
      </c>
      <c r="Z11" s="277" t="str" cm="1">
        <f t="array" aca="1" ref="Z11" ca="1">IF(INDIRECT(""&amp;$E11&amp;"!R"&amp;Z$141&amp;"C"&amp;Z$142,FALSE)="Average (weighted)","Yes","No")</f>
        <v>No</v>
      </c>
      <c r="AA11" s="96"/>
    </row>
    <row r="12" spans="1:27" ht="45" customHeight="1" x14ac:dyDescent="0.25">
      <c r="B12" s="276" t="str">
        <f>'EF Table_detail'!A13</f>
        <v>Concrete in-situ</v>
      </c>
      <c r="C12" s="192" t="str">
        <f>'EF Table_detail'!B13</f>
        <v>&gt;50 MPa to ≤65 MPa</v>
      </c>
      <c r="D12" s="193" t="str">
        <f ca="1">'EF Table_detail'!C13</f>
        <v>Any concrete mix with a strength rating of 65 MPa or lower and greater than 50 MPa</v>
      </c>
      <c r="E12" s="192" t="str">
        <f>'EF Table_detail'!D13</f>
        <v>Concrete_65MPa</v>
      </c>
      <c r="F12" s="192" t="str">
        <f ca="1">'EF Table_detail'!E13</f>
        <v>m³</v>
      </c>
      <c r="G12" s="192" t="str">
        <f ca="1">'EF Table_detail'!F13</f>
        <v>Tier 2</v>
      </c>
      <c r="H12" s="194">
        <f ca="1">'EF Table_detail'!G13</f>
        <v>1.05</v>
      </c>
      <c r="I12" s="454" t="str" cm="1">
        <f t="array" aca="1" ref="I12" ca="1">IFERROR(print_SF('EF Table_detail'!L13),"")</f>
        <v>640</v>
      </c>
      <c r="J12" s="222" t="str" cm="1">
        <f t="array" aca="1" ref="J12" ca="1">IFERROR(print_SF('EF Table_detail'!H13),"")</f>
        <v>609</v>
      </c>
      <c r="K12" s="223" t="str" cm="1">
        <f t="array" aca="1" ref="K12" ca="1">IFERROR(print_SF('EF Table_detail'!I13),"")</f>
        <v>274</v>
      </c>
      <c r="L12" s="223" t="str" cm="1">
        <f t="array" aca="1" ref="L12" ca="1">IFERROR(print_SF('EF Table_detail'!J13),"")</f>
        <v>382</v>
      </c>
      <c r="M12" s="456" t="str" cm="1">
        <f t="array" aca="1" ref="M12" ca="1">IFERROR(print_SF('EF Table_detail'!Q13),"")</f>
        <v>0.267</v>
      </c>
      <c r="N12" s="218" t="str" cm="1">
        <f t="array" aca="1" ref="N12" ca="1">IFERROR(print_SF('EF Table_detail'!M13),"")</f>
        <v>0.254</v>
      </c>
      <c r="O12" s="219" t="str" cm="1">
        <f t="array" aca="1" ref="O12" ca="1">IFERROR(print_SF('EF Table_detail'!N13),"")</f>
        <v>0.114</v>
      </c>
      <c r="P12" s="219" t="str" cm="1">
        <f t="array" aca="1" ref="P12" ca="1">IFERROR(print_SF('EF Table_detail'!O13),"")</f>
        <v>0.159</v>
      </c>
      <c r="Q12" s="454" t="str" cm="1">
        <f t="array" aca="1" ref="Q12" ca="1">IFERROR(print_SF('EF Table_detail'!V13),"")</f>
        <v>0</v>
      </c>
      <c r="R12" s="218" t="str" cm="1">
        <f t="array" aca="1" ref="R12" ca="1">IFERROR(print_SF('EF Table_detail'!S13),"")</f>
        <v>0</v>
      </c>
      <c r="S12" s="219" t="str" cm="1">
        <f t="array" aca="1" ref="S12" ca="1">IFERROR(print_SF('EF Table_detail'!T13),"")</f>
        <v>0</v>
      </c>
      <c r="T12" s="456" t="str" cm="1">
        <f t="array" aca="1" ref="T12" ca="1">IFERROR(print_SF('EF Table_detail'!Z13),"")</f>
        <v>0</v>
      </c>
      <c r="U12" s="218" t="str" cm="1">
        <f t="array" aca="1" ref="U12" ca="1">IFERROR(print_SF('EF Table_detail'!W13),"")</f>
        <v>0</v>
      </c>
      <c r="V12" s="219" t="str" cm="1">
        <f t="array" aca="1" ref="V12" ca="1">IFERROR(print_SF('EF Table_detail'!X13),"")</f>
        <v>0</v>
      </c>
      <c r="W12" s="329" t="str" cm="1">
        <f t="array" aca="1" ref="W12" ca="1">IFERROR(print_SF('EF Table_detail'!AB13),"")</f>
        <v>2,400</v>
      </c>
      <c r="X12" s="330" t="str">
        <f t="shared" ca="1" si="0"/>
        <v>kg/m³</v>
      </c>
      <c r="Y12" s="213" t="str" cm="1">
        <f t="array" aca="1" ref="Y12" ca="1">IF(INDIRECT(""&amp;$E12&amp;"!R"&amp;Y$141&amp;"C"&amp;Y$142,FALSE)=0,"",INDIRECT(""&amp;$E12&amp;"!R"&amp;Y$141&amp;"C"&amp;Y$142,FALSE))</f>
        <v xml:space="preserve">Maximum of data source falls below the maximum for 50 MPa. Likely due to a limited source of market coverage at this strength rating. The max from 50 MPa has been used. The material category is based on the strength of concrete.  Concrete mixes from all states and territories and with or without supplementary cementious materials are included in this dataset.  This provides a conservative default value for the material category. Promoting the use of specific published EFs based on the concrete product used. </v>
      </c>
      <c r="Z12" s="277" t="str" cm="1">
        <f t="array" aca="1" ref="Z12" ca="1">IF(INDIRECT(""&amp;$E12&amp;"!R"&amp;Z$141&amp;"C"&amp;Z$142,FALSE)="Average (weighted)","Yes","No")</f>
        <v>No</v>
      </c>
      <c r="AA12" s="96"/>
    </row>
    <row r="13" spans="1:27" ht="45" customHeight="1" x14ac:dyDescent="0.25">
      <c r="B13" s="276" t="str">
        <f>'EF Table_detail'!A14</f>
        <v>Concrete in-situ</v>
      </c>
      <c r="C13" s="192" t="str">
        <f>'EF Table_detail'!B14</f>
        <v>&gt;65 MPa to ≤80 MPa</v>
      </c>
      <c r="D13" s="193" t="str">
        <f ca="1">'EF Table_detail'!C14</f>
        <v>Any concrete mix with a strength rating of 80 MPa or lower and greater than 65 MPa</v>
      </c>
      <c r="E13" s="192" t="str">
        <f>'EF Table_detail'!D14</f>
        <v>Concrete_80MPa</v>
      </c>
      <c r="F13" s="192" t="str">
        <f ca="1">'EF Table_detail'!E14</f>
        <v>m³</v>
      </c>
      <c r="G13" s="192" t="str">
        <f ca="1">'EF Table_detail'!F14</f>
        <v>Tier 3</v>
      </c>
      <c r="H13" s="194">
        <f ca="1">'EF Table_detail'!G14</f>
        <v>1.1000000000000001</v>
      </c>
      <c r="I13" s="454" t="str" cm="1">
        <f t="array" aca="1" ref="I13" ca="1">IFERROR(print_SF('EF Table_detail'!L14),"")</f>
        <v>670</v>
      </c>
      <c r="J13" s="222" t="str" cm="1">
        <f t="array" aca="1" ref="J13" ca="1">IFERROR(print_SF('EF Table_detail'!H14),"")</f>
        <v>609</v>
      </c>
      <c r="K13" s="223" t="str" cm="1">
        <f t="array" aca="1" ref="K13" ca="1">IFERROR(print_SF('EF Table_detail'!I14),"")</f>
        <v>301</v>
      </c>
      <c r="L13" s="223" t="str" cm="1">
        <f t="array" aca="1" ref="L13" ca="1">IFERROR(print_SF('EF Table_detail'!J14),"")</f>
        <v>426</v>
      </c>
      <c r="M13" s="456" t="str" cm="1">
        <f t="array" aca="1" ref="M13" ca="1">IFERROR(print_SF('EF Table_detail'!Q14),"")</f>
        <v>0.279</v>
      </c>
      <c r="N13" s="218" t="str" cm="1">
        <f t="array" aca="1" ref="N13" ca="1">IFERROR(print_SF('EF Table_detail'!M14),"")</f>
        <v>0.254</v>
      </c>
      <c r="O13" s="219" t="str" cm="1">
        <f t="array" aca="1" ref="O13" ca="1">IFERROR(print_SF('EF Table_detail'!N14),"")</f>
        <v>0.125</v>
      </c>
      <c r="P13" s="219" t="str" cm="1">
        <f t="array" aca="1" ref="P13" ca="1">IFERROR(print_SF('EF Table_detail'!O14),"")</f>
        <v>0.177</v>
      </c>
      <c r="Q13" s="454" t="str" cm="1">
        <f t="array" aca="1" ref="Q13" ca="1">IFERROR(print_SF('EF Table_detail'!V14),"")</f>
        <v>0</v>
      </c>
      <c r="R13" s="218" t="str" cm="1">
        <f t="array" aca="1" ref="R13" ca="1">IFERROR(print_SF('EF Table_detail'!S14),"")</f>
        <v>0</v>
      </c>
      <c r="S13" s="219" t="str" cm="1">
        <f t="array" aca="1" ref="S13" ca="1">IFERROR(print_SF('EF Table_detail'!T14),"")</f>
        <v>0</v>
      </c>
      <c r="T13" s="456" t="str" cm="1">
        <f t="array" aca="1" ref="T13" ca="1">IFERROR(print_SF('EF Table_detail'!Z14),"")</f>
        <v>0</v>
      </c>
      <c r="U13" s="218" t="str" cm="1">
        <f t="array" aca="1" ref="U13" ca="1">IFERROR(print_SF('EF Table_detail'!W14),"")</f>
        <v>0</v>
      </c>
      <c r="V13" s="219" t="str" cm="1">
        <f t="array" aca="1" ref="V13" ca="1">IFERROR(print_SF('EF Table_detail'!X14),"")</f>
        <v>0</v>
      </c>
      <c r="W13" s="329" t="str" cm="1">
        <f t="array" aca="1" ref="W13" ca="1">IFERROR(print_SF('EF Table_detail'!AB14),"")</f>
        <v>2,400</v>
      </c>
      <c r="X13" s="330" t="str">
        <f t="shared" ca="1" si="0"/>
        <v>kg/m³</v>
      </c>
      <c r="Y13" s="213" t="str" cm="1">
        <f t="array" aca="1" ref="Y13" ca="1">IF(INDIRECT(""&amp;$E13&amp;"!R"&amp;Y$141&amp;"C"&amp;Y$142,FALSE)=0,"",INDIRECT(""&amp;$E13&amp;"!R"&amp;Y$141&amp;"C"&amp;Y$142,FALSE))</f>
        <v>Maximum of data source falls below the maximum for 50 MPa. Likely due to a limited source of market coverage at this strength rating. The max from 50 MPa has been used. Concrete mixes from all states and territories and with or without supplementary cementious materials are included in this dataset.  This provides a conservative default value for the material category. Promoting the use of specific published EFs based on the concrete product used.</v>
      </c>
      <c r="Z13" s="277" t="str" cm="1">
        <f t="array" aca="1" ref="Z13" ca="1">IF(INDIRECT(""&amp;$E13&amp;"!R"&amp;Z$141&amp;"C"&amp;Z$142,FALSE)="Average (weighted)","Yes","No")</f>
        <v>No</v>
      </c>
      <c r="AA13" s="96"/>
    </row>
    <row r="14" spans="1:27" ht="45" customHeight="1" x14ac:dyDescent="0.25">
      <c r="B14" s="276" t="str">
        <f>'EF Table_detail'!A15</f>
        <v>Concrete in-situ</v>
      </c>
      <c r="C14" s="192" t="str">
        <f>'EF Table_detail'!B15</f>
        <v>&gt;80 MPa +</v>
      </c>
      <c r="D14" s="193" t="str">
        <f ca="1">'EF Table_detail'!C15</f>
        <v>Any concrete mix with a strength rating above 80 Mpa</v>
      </c>
      <c r="E14" s="192" t="str">
        <f>'EF Table_detail'!D15</f>
        <v>Concrete_80upMPa</v>
      </c>
      <c r="F14" s="192" t="str">
        <f ca="1">'EF Table_detail'!E15</f>
        <v>m³</v>
      </c>
      <c r="G14" s="192" t="str">
        <f ca="1">'EF Table_detail'!F15</f>
        <v>Tier 4</v>
      </c>
      <c r="H14" s="194">
        <f ca="1">'EF Table_detail'!G15</f>
        <v>1.2</v>
      </c>
      <c r="I14" s="454" t="str" cm="1">
        <f t="array" aca="1" ref="I14" ca="1">IFERROR(print_SF('EF Table_detail'!L15),"")</f>
        <v>731</v>
      </c>
      <c r="J14" s="222" t="str" cm="1">
        <f t="array" aca="1" ref="J14" ca="1">IFERROR(print_SF('EF Table_detail'!H15),"")</f>
        <v>609</v>
      </c>
      <c r="K14" s="223" t="str" cm="1">
        <f t="array" aca="1" ref="K14" ca="1">IFERROR(print_SF('EF Table_detail'!I15),"")</f>
        <v>444</v>
      </c>
      <c r="L14" s="223" t="str" cm="1">
        <f t="array" aca="1" ref="L14" ca="1">IFERROR(print_SF('EF Table_detail'!J15),"")</f>
        <v>444</v>
      </c>
      <c r="M14" s="456" t="str" cm="1">
        <f t="array" aca="1" ref="M14" ca="1">IFERROR(print_SF('EF Table_detail'!Q15),"")</f>
        <v>0.305</v>
      </c>
      <c r="N14" s="218" t="str" cm="1">
        <f t="array" aca="1" ref="N14" ca="1">IFERROR(print_SF('EF Table_detail'!M15),"")</f>
        <v>0.254</v>
      </c>
      <c r="O14" s="219" t="str" cm="1">
        <f t="array" aca="1" ref="O14" ca="1">IFERROR(print_SF('EF Table_detail'!N15),"")</f>
        <v>0.185</v>
      </c>
      <c r="P14" s="219" t="str" cm="1">
        <f t="array" aca="1" ref="P14" ca="1">IFERROR(print_SF('EF Table_detail'!O15),"")</f>
        <v>0.185</v>
      </c>
      <c r="Q14" s="454" t="str" cm="1">
        <f t="array" aca="1" ref="Q14" ca="1">IFERROR(print_SF('EF Table_detail'!V15),"")</f>
        <v>0</v>
      </c>
      <c r="R14" s="218" t="str" cm="1">
        <f t="array" aca="1" ref="R14" ca="1">IFERROR(print_SF('EF Table_detail'!S15),"")</f>
        <v>0</v>
      </c>
      <c r="S14" s="219" t="str" cm="1">
        <f t="array" aca="1" ref="S14" ca="1">IFERROR(print_SF('EF Table_detail'!T15),"")</f>
        <v>0</v>
      </c>
      <c r="T14" s="456" t="str" cm="1">
        <f t="array" aca="1" ref="T14" ca="1">IFERROR(print_SF('EF Table_detail'!Z15),"")</f>
        <v>0</v>
      </c>
      <c r="U14" s="218" t="str" cm="1">
        <f t="array" aca="1" ref="U14" ca="1">IFERROR(print_SF('EF Table_detail'!W15),"")</f>
        <v>0</v>
      </c>
      <c r="V14" s="219" t="str" cm="1">
        <f t="array" aca="1" ref="V14" ca="1">IFERROR(print_SF('EF Table_detail'!X15),"")</f>
        <v>0</v>
      </c>
      <c r="W14" s="329" t="str" cm="1">
        <f t="array" aca="1" ref="W14" ca="1">IFERROR(print_SF('EF Table_detail'!AB15),"")</f>
        <v>2,400</v>
      </c>
      <c r="X14" s="330" t="str">
        <f t="shared" ca="1" si="0"/>
        <v>kg/m³</v>
      </c>
      <c r="Y14" s="213" t="str" cm="1">
        <f t="array" aca="1" ref="Y14" ca="1">IF(INDIRECT(""&amp;$E14&amp;"!R"&amp;Y$141&amp;"C"&amp;Y$142,FALSE)=0,"",INDIRECT(""&amp;$E14&amp;"!R"&amp;Y$141&amp;"C"&amp;Y$142,FALSE))</f>
        <v>Maximum of data source falls below the maximum for 50 MPa. Likely due to a limited source of market coverage at this strength rating. The max from 50 MPa has been used.</v>
      </c>
      <c r="Z14" s="277" t="str" cm="1">
        <f t="array" aca="1" ref="Z14" ca="1">IF(INDIRECT(""&amp;$E14&amp;"!R"&amp;Z$141&amp;"C"&amp;Z$142,FALSE)="Average (weighted)","Yes","No")</f>
        <v>No</v>
      </c>
      <c r="AA14" s="96"/>
    </row>
    <row r="15" spans="1:27" ht="45" customHeight="1" x14ac:dyDescent="0.25">
      <c r="B15" s="276" t="str">
        <f>'EF Table_detail'!A16</f>
        <v>Concrete pre-cast panel</v>
      </c>
      <c r="C15" s="192" t="str">
        <f>'EF Table_detail'!B16</f>
        <v>Wall panel - precast concrete</v>
      </c>
      <c r="D15" s="193" t="str">
        <f ca="1">'EF Table_detail'!C16</f>
        <v>Any precaste concrete panel i.e. wall, deck, or balcony panel.</v>
      </c>
      <c r="E15" s="192" t="str">
        <f>'EF Table_detail'!D16</f>
        <v>Concrete_precast_panel</v>
      </c>
      <c r="F15" s="192" t="str">
        <f ca="1">'EF Table_detail'!E16</f>
        <v>tonne</v>
      </c>
      <c r="G15" s="192" t="str">
        <f ca="1">'EF Table_detail'!F16</f>
        <v>Tier 4</v>
      </c>
      <c r="H15" s="194">
        <f ca="1">'EF Table_detail'!G16</f>
        <v>1.2</v>
      </c>
      <c r="I15" s="454" t="str" cm="1">
        <f t="array" aca="1" ref="I15" ca="1">IFERROR(print_SF('EF Table_detail'!L16),"")</f>
        <v>261</v>
      </c>
      <c r="J15" s="222" t="str" cm="1">
        <f t="array" aca="1" ref="J15" ca="1">IFERROR(print_SF('EF Table_detail'!H16),"")</f>
        <v>218</v>
      </c>
      <c r="K15" s="223" t="str" cm="1">
        <f t="array" aca="1" ref="K15" ca="1">IFERROR(print_SF('EF Table_detail'!I16),"")</f>
        <v>183</v>
      </c>
      <c r="L15" s="223" t="str" cm="1">
        <f t="array" aca="1" ref="L15" ca="1">IFERROR(print_SF('EF Table_detail'!J16),"")</f>
        <v>208</v>
      </c>
      <c r="M15" s="456" t="str" cm="1">
        <f t="array" aca="1" ref="M15" ca="1">IFERROR(print_SF('EF Table_detail'!Q16),"")</f>
        <v>0.261</v>
      </c>
      <c r="N15" s="218" t="str" cm="1">
        <f t="array" aca="1" ref="N15" ca="1">IFERROR(print_SF('EF Table_detail'!M16),"")</f>
        <v>0.218</v>
      </c>
      <c r="O15" s="219" t="str" cm="1">
        <f t="array" aca="1" ref="O15" ca="1">IFERROR(print_SF('EF Table_detail'!N16),"")</f>
        <v>0.183</v>
      </c>
      <c r="P15" s="219" t="str" cm="1">
        <f t="array" aca="1" ref="P15" ca="1">IFERROR(print_SF('EF Table_detail'!O16),"")</f>
        <v>0.208</v>
      </c>
      <c r="Q15" s="454" t="str" cm="1">
        <f t="array" aca="1" ref="Q15" ca="1">IFERROR(print_SF('EF Table_detail'!V16),"")</f>
        <v>0</v>
      </c>
      <c r="R15" s="218" t="str" cm="1">
        <f t="array" aca="1" ref="R15" ca="1">IFERROR(print_SF('EF Table_detail'!S16),"")</f>
        <v>0</v>
      </c>
      <c r="S15" s="219" t="str" cm="1">
        <f t="array" aca="1" ref="S15" ca="1">IFERROR(print_SF('EF Table_detail'!T16),"")</f>
        <v>0</v>
      </c>
      <c r="T15" s="456" t="str" cm="1">
        <f t="array" aca="1" ref="T15" ca="1">IFERROR(print_SF('EF Table_detail'!Z16),"")</f>
        <v>0</v>
      </c>
      <c r="U15" s="218" t="str" cm="1">
        <f t="array" aca="1" ref="U15" ca="1">IFERROR(print_SF('EF Table_detail'!W16),"")</f>
        <v>0</v>
      </c>
      <c r="V15" s="219" t="str" cm="1">
        <f t="array" aca="1" ref="V15" ca="1">IFERROR(print_SF('EF Table_detail'!X16),"")</f>
        <v>0</v>
      </c>
      <c r="W15" s="329" t="str" cm="1">
        <f t="array" aca="1" ref="W15" ca="1">IFERROR(print_SF('EF Table_detail'!AB16),"")</f>
        <v>1,000</v>
      </c>
      <c r="X15" s="330" t="str">
        <f t="shared" ca="1" si="0"/>
        <v>kg/tonne</v>
      </c>
      <c r="Y15" s="213" t="str" cm="1">
        <f t="array" aca="1" ref="Y15" ca="1">IF(INDIRECT(""&amp;$E15&amp;"!R"&amp;Y$141&amp;"C"&amp;Y$142,FALSE)=0,"",INDIRECT(""&amp;$E15&amp;"!R"&amp;Y$141&amp;"C"&amp;Y$142,FALSE))</f>
        <v>Includes steel reinforcing.</v>
      </c>
      <c r="Z15" s="277" t="str" cm="1">
        <f t="array" aca="1" ref="Z15" ca="1">IF(INDIRECT(""&amp;$E15&amp;"!R"&amp;Z$141&amp;"C"&amp;Z$142,FALSE)="Average (weighted)","Yes","No")</f>
        <v>No</v>
      </c>
      <c r="AA15" s="96"/>
    </row>
    <row r="16" spans="1:27" ht="45" customHeight="1" x14ac:dyDescent="0.25">
      <c r="B16" s="276" t="str">
        <f>'EF Table_detail'!A17</f>
        <v>Concrete pre-cast panel</v>
      </c>
      <c r="C16" s="192" t="str">
        <f>'EF Table_detail'!B17</f>
        <v>Deck panel - precast concrete</v>
      </c>
      <c r="D16" s="193" t="str">
        <f ca="1">'EF Table_detail'!C17</f>
        <v>Any precaste concrete panel i.e. wall, deck, or balcony panel.</v>
      </c>
      <c r="E16" s="192" t="str">
        <f>'EF Table_detail'!D17</f>
        <v>Concrete_precast_panel</v>
      </c>
      <c r="F16" s="192" t="str">
        <f ca="1">'EF Table_detail'!E17</f>
        <v>tonne</v>
      </c>
      <c r="G16" s="192" t="str">
        <f ca="1">'EF Table_detail'!F17</f>
        <v>Tier 4</v>
      </c>
      <c r="H16" s="194">
        <f ca="1">'EF Table_detail'!G17</f>
        <v>1.2</v>
      </c>
      <c r="I16" s="454" t="str" cm="1">
        <f t="array" aca="1" ref="I16" ca="1">IFERROR(print_SF('EF Table_detail'!L17),"")</f>
        <v>261</v>
      </c>
      <c r="J16" s="222" t="str" cm="1">
        <f t="array" aca="1" ref="J16" ca="1">IFERROR(print_SF('EF Table_detail'!H17),"")</f>
        <v>218</v>
      </c>
      <c r="K16" s="223" t="str" cm="1">
        <f t="array" aca="1" ref="K16" ca="1">IFERROR(print_SF('EF Table_detail'!I17),"")</f>
        <v>183</v>
      </c>
      <c r="L16" s="223" t="str" cm="1">
        <f t="array" aca="1" ref="L16" ca="1">IFERROR(print_SF('EF Table_detail'!J17),"")</f>
        <v>208</v>
      </c>
      <c r="M16" s="456" t="str" cm="1">
        <f t="array" aca="1" ref="M16" ca="1">IFERROR(print_SF('EF Table_detail'!Q17),"")</f>
        <v>0.261</v>
      </c>
      <c r="N16" s="218" t="str" cm="1">
        <f t="array" aca="1" ref="N16" ca="1">IFERROR(print_SF('EF Table_detail'!M17),"")</f>
        <v>0.218</v>
      </c>
      <c r="O16" s="219" t="str" cm="1">
        <f t="array" aca="1" ref="O16" ca="1">IFERROR(print_SF('EF Table_detail'!N17),"")</f>
        <v>0.183</v>
      </c>
      <c r="P16" s="219" t="str" cm="1">
        <f t="array" aca="1" ref="P16" ca="1">IFERROR(print_SF('EF Table_detail'!O17),"")</f>
        <v>0.208</v>
      </c>
      <c r="Q16" s="454" t="str" cm="1">
        <f t="array" aca="1" ref="Q16" ca="1">IFERROR(print_SF('EF Table_detail'!V17),"")</f>
        <v>0</v>
      </c>
      <c r="R16" s="218" t="str" cm="1">
        <f t="array" aca="1" ref="R16" ca="1">IFERROR(print_SF('EF Table_detail'!S17),"")</f>
        <v>0</v>
      </c>
      <c r="S16" s="219" t="str" cm="1">
        <f t="array" aca="1" ref="S16" ca="1">IFERROR(print_SF('EF Table_detail'!T17),"")</f>
        <v>0</v>
      </c>
      <c r="T16" s="456" t="str" cm="1">
        <f t="array" aca="1" ref="T16" ca="1">IFERROR(print_SF('EF Table_detail'!Z17),"")</f>
        <v>0</v>
      </c>
      <c r="U16" s="218" t="str" cm="1">
        <f t="array" aca="1" ref="U16" ca="1">IFERROR(print_SF('EF Table_detail'!W17),"")</f>
        <v>0</v>
      </c>
      <c r="V16" s="219" t="str" cm="1">
        <f t="array" aca="1" ref="V16" ca="1">IFERROR(print_SF('EF Table_detail'!X17),"")</f>
        <v>0</v>
      </c>
      <c r="W16" s="329" t="str" cm="1">
        <f t="array" aca="1" ref="W16" ca="1">IFERROR(print_SF('EF Table_detail'!AB17),"")</f>
        <v>1,000</v>
      </c>
      <c r="X16" s="330" t="str">
        <f t="shared" ca="1" si="0"/>
        <v>kg/tonne</v>
      </c>
      <c r="Y16" s="213" t="str" cm="1">
        <f t="array" aca="1" ref="Y16" ca="1">IF(INDIRECT(""&amp;$E16&amp;"!R"&amp;Y$141&amp;"C"&amp;Y$142,FALSE)=0,"",INDIRECT(""&amp;$E16&amp;"!R"&amp;Y$141&amp;"C"&amp;Y$142,FALSE))</f>
        <v>Includes steel reinforcing.</v>
      </c>
      <c r="Z16" s="277" t="str" cm="1">
        <f t="array" aca="1" ref="Z16" ca="1">IF(INDIRECT(""&amp;$E16&amp;"!R"&amp;Z$141&amp;"C"&amp;Z$142,FALSE)="Average (weighted)","Yes","No")</f>
        <v>No</v>
      </c>
      <c r="AA16" s="96"/>
    </row>
    <row r="17" spans="2:27" ht="45" customHeight="1" x14ac:dyDescent="0.25">
      <c r="B17" s="276" t="str">
        <f>'EF Table_detail'!A18</f>
        <v>Concrete pre-cast panel</v>
      </c>
      <c r="C17" s="192" t="str">
        <f>'EF Table_detail'!B18</f>
        <v>Hollow core - precast concrete</v>
      </c>
      <c r="D17" s="193" t="str">
        <f ca="1">'EF Table_detail'!C18</f>
        <v>Precast hollowcore concrete slabs</v>
      </c>
      <c r="E17" s="192" t="str">
        <f>'EF Table_detail'!D18</f>
        <v>Concrete_hollowcore</v>
      </c>
      <c r="F17" s="192" t="str">
        <f ca="1">'EF Table_detail'!E18</f>
        <v>m³</v>
      </c>
      <c r="G17" s="192" t="str">
        <f ca="1">'EF Table_detail'!F18</f>
        <v>Tier 4</v>
      </c>
      <c r="H17" s="194">
        <f ca="1">'EF Table_detail'!G18</f>
        <v>1.2</v>
      </c>
      <c r="I17" s="454" t="str" cm="1">
        <f t="array" aca="1" ref="I17" ca="1">IFERROR(print_SF('EF Table_detail'!L18),"")</f>
        <v>428</v>
      </c>
      <c r="J17" s="222" t="str" cm="1">
        <f t="array" aca="1" ref="J17" ca="1">IFERROR(print_SF('EF Table_detail'!H18),"")</f>
        <v>357</v>
      </c>
      <c r="K17" s="223" t="str" cm="1">
        <f t="array" aca="1" ref="K17" ca="1">IFERROR(print_SF('EF Table_detail'!I18),"")</f>
        <v>317</v>
      </c>
      <c r="L17" s="223" t="str" cm="1">
        <f t="array" aca="1" ref="L17" ca="1">IFERROR(print_SF('EF Table_detail'!J18),"")</f>
        <v>339</v>
      </c>
      <c r="M17" s="456" t="str" cm="1">
        <f t="array" aca="1" ref="M17" ca="1">IFERROR(print_SF('EF Table_detail'!Q18),"")</f>
        <v>0.290</v>
      </c>
      <c r="N17" s="218" t="str" cm="1">
        <f t="array" aca="1" ref="N17" ca="1">IFERROR(print_SF('EF Table_detail'!M18),"")</f>
        <v>0.242</v>
      </c>
      <c r="O17" s="219" t="str" cm="1">
        <f t="array" aca="1" ref="O17" ca="1">IFERROR(print_SF('EF Table_detail'!N18),"")</f>
        <v>0.215</v>
      </c>
      <c r="P17" s="219" t="str" cm="1">
        <f t="array" aca="1" ref="P17" ca="1">IFERROR(print_SF('EF Table_detail'!O18),"")</f>
        <v>0.229</v>
      </c>
      <c r="Q17" s="454" t="str" cm="1">
        <f t="array" aca="1" ref="Q17" ca="1">IFERROR(print_SF('EF Table_detail'!V18),"")</f>
        <v>0</v>
      </c>
      <c r="R17" s="218" t="str" cm="1">
        <f t="array" aca="1" ref="R17" ca="1">IFERROR(print_SF('EF Table_detail'!S18),"")</f>
        <v>0</v>
      </c>
      <c r="S17" s="219" t="str" cm="1">
        <f t="array" aca="1" ref="S17" ca="1">IFERROR(print_SF('EF Table_detail'!T18),"")</f>
        <v>0</v>
      </c>
      <c r="T17" s="456" t="str" cm="1">
        <f t="array" aca="1" ref="T17" ca="1">IFERROR(print_SF('EF Table_detail'!Z18),"")</f>
        <v>0</v>
      </c>
      <c r="U17" s="218" t="str" cm="1">
        <f t="array" aca="1" ref="U17" ca="1">IFERROR(print_SF('EF Table_detail'!W18),"")</f>
        <v>0</v>
      </c>
      <c r="V17" s="219" t="str" cm="1">
        <f t="array" aca="1" ref="V17" ca="1">IFERROR(print_SF('EF Table_detail'!X18),"")</f>
        <v>0</v>
      </c>
      <c r="W17" s="329" t="str" cm="1">
        <f t="array" aca="1" ref="W17" ca="1">IFERROR(print_SF('EF Table_detail'!AB18),"")</f>
        <v>1,480</v>
      </c>
      <c r="X17" s="330" t="str">
        <f t="shared" ca="1" si="0"/>
        <v>kg/m³</v>
      </c>
      <c r="Y17" s="213" t="str" cm="1">
        <f t="array" aca="1" ref="Y17" ca="1">IF(INDIRECT(""&amp;$E17&amp;"!R"&amp;Y$141&amp;"C"&amp;Y$142,FALSE)=0,"",INDIRECT(""&amp;$E17&amp;"!R"&amp;Y$141&amp;"C"&amp;Y$142,FALSE))</f>
        <v>Declared unit is per cubic meters of slab including hollows/voids</v>
      </c>
      <c r="Z17" s="277" t="str" cm="1">
        <f t="array" aca="1" ref="Z17" ca="1">IF(INDIRECT(""&amp;$E17&amp;"!R"&amp;Z$141&amp;"C"&amp;Z$142,FALSE)="Average (weighted)","Yes","No")</f>
        <v>No</v>
      </c>
      <c r="AA17" s="96"/>
    </row>
    <row r="18" spans="2:27" ht="45" customHeight="1" x14ac:dyDescent="0.25">
      <c r="B18" s="276" t="str">
        <f>'EF Table_detail'!A19</f>
        <v>Concrete block</v>
      </c>
      <c r="C18" s="192" t="str">
        <f>'EF Table_detail'!B19</f>
        <v>Concrete block</v>
      </c>
      <c r="D18" s="193" t="str">
        <f ca="1">'EF Table_detail'!C19</f>
        <v>Concrete brick or block i.e. cinder block or concrete finishing brick used in masonry. Not including any core fill material or reinforcing.</v>
      </c>
      <c r="E18" s="192" t="str">
        <f>'EF Table_detail'!D19</f>
        <v>Concrete_bricks</v>
      </c>
      <c r="F18" s="192" t="str">
        <f ca="1">'EF Table_detail'!E19</f>
        <v>tonne</v>
      </c>
      <c r="G18" s="192" t="str">
        <f ca="1">'EF Table_detail'!F19</f>
        <v>Tier 3</v>
      </c>
      <c r="H18" s="194">
        <f ca="1">'EF Table_detail'!G19</f>
        <v>1.1000000000000001</v>
      </c>
      <c r="I18" s="454" t="str" cm="1">
        <f t="array" aca="1" ref="I18" ca="1">IFERROR(print_SF('EF Table_detail'!L19),"")</f>
        <v>264</v>
      </c>
      <c r="J18" s="222" t="str" cm="1">
        <f t="array" aca="1" ref="J18" ca="1">IFERROR(print_SF('EF Table_detail'!H19),"")</f>
        <v>240</v>
      </c>
      <c r="K18" s="223" t="str" cm="1">
        <f t="array" aca="1" ref="K18" ca="1">IFERROR(print_SF('EF Table_detail'!I19),"")</f>
        <v>112</v>
      </c>
      <c r="L18" s="223" t="str" cm="1">
        <f t="array" aca="1" ref="L18" ca="1">IFERROR(print_SF('EF Table_detail'!J19),"")</f>
        <v>159</v>
      </c>
      <c r="M18" s="456" t="str" cm="1">
        <f t="array" aca="1" ref="M18" ca="1">IFERROR(print_SF('EF Table_detail'!Q19),"")</f>
        <v>0.264</v>
      </c>
      <c r="N18" s="218" t="str" cm="1">
        <f t="array" aca="1" ref="N18" ca="1">IFERROR(print_SF('EF Table_detail'!M19),"")</f>
        <v>0.240</v>
      </c>
      <c r="O18" s="219" t="str" cm="1">
        <f t="array" aca="1" ref="O18" ca="1">IFERROR(print_SF('EF Table_detail'!N19),"")</f>
        <v>0.112</v>
      </c>
      <c r="P18" s="219" t="str" cm="1">
        <f t="array" aca="1" ref="P18" ca="1">IFERROR(print_SF('EF Table_detail'!O19),"")</f>
        <v>0.159</v>
      </c>
      <c r="Q18" s="454" t="str" cm="1">
        <f t="array" aca="1" ref="Q18" ca="1">IFERROR(print_SF('EF Table_detail'!V19),"")</f>
        <v>0</v>
      </c>
      <c r="R18" s="218" t="str" cm="1">
        <f t="array" aca="1" ref="R18" ca="1">IFERROR(print_SF('EF Table_detail'!S19),"")</f>
        <v>0</v>
      </c>
      <c r="S18" s="219" t="str" cm="1">
        <f t="array" aca="1" ref="S18" ca="1">IFERROR(print_SF('EF Table_detail'!T19),"")</f>
        <v>0</v>
      </c>
      <c r="T18" s="456" t="str" cm="1">
        <f t="array" aca="1" ref="T18" ca="1">IFERROR(print_SF('EF Table_detail'!Z19),"")</f>
        <v>0</v>
      </c>
      <c r="U18" s="218" t="str" cm="1">
        <f t="array" aca="1" ref="U18" ca="1">IFERROR(print_SF('EF Table_detail'!W19),"")</f>
        <v>0</v>
      </c>
      <c r="V18" s="219" t="str" cm="1">
        <f t="array" aca="1" ref="V18" ca="1">IFERROR(print_SF('EF Table_detail'!X19),"")</f>
        <v>0</v>
      </c>
      <c r="W18" s="329" t="str" cm="1">
        <f t="array" aca="1" ref="W18" ca="1">IFERROR(print_SF('EF Table_detail'!AB19),"")</f>
        <v>1,000</v>
      </c>
      <c r="X18" s="330" t="str">
        <f t="shared" ca="1" si="0"/>
        <v>kg/tonne</v>
      </c>
      <c r="Y18" s="213" t="str" cm="1">
        <f t="array" aca="1" ref="Y18" ca="1">IF(INDIRECT(""&amp;$E18&amp;"!R"&amp;Y$141&amp;"C"&amp;Y$142,FALSE)=0,"",INDIRECT(""&amp;$E18&amp;"!R"&amp;Y$141&amp;"C"&amp;Y$142,FALSE))</f>
        <v>Not including any core fill material or reinforcing.</v>
      </c>
      <c r="Z18" s="277" t="str" cm="1">
        <f t="array" aca="1" ref="Z18" ca="1">IF(INDIRECT(""&amp;$E18&amp;"!R"&amp;Z$141&amp;"C"&amp;Z$142,FALSE)="Average (weighted)","Yes","No")</f>
        <v>No</v>
      </c>
      <c r="AA18" s="96"/>
    </row>
    <row r="19" spans="2:27" ht="45" customHeight="1" x14ac:dyDescent="0.25">
      <c r="B19" s="276" t="str">
        <f>'EF Table_detail'!A20</f>
        <v>Concrete brick</v>
      </c>
      <c r="C19" s="192" t="str">
        <f>'EF Table_detail'!B20</f>
        <v>Concrete brick</v>
      </c>
      <c r="D19" s="193" t="str">
        <f ca="1">'EF Table_detail'!C20</f>
        <v>Concrete brick or block i.e. cinder block or concrete finishing brick used in masonry. Not including any core fill material or reinforcing.</v>
      </c>
      <c r="E19" s="192" t="str">
        <f>'EF Table_detail'!D20</f>
        <v>Concrete_bricks</v>
      </c>
      <c r="F19" s="192" t="str">
        <f ca="1">'EF Table_detail'!E20</f>
        <v>tonne</v>
      </c>
      <c r="G19" s="192" t="str">
        <f ca="1">'EF Table_detail'!F20</f>
        <v>Tier 3</v>
      </c>
      <c r="H19" s="194">
        <f ca="1">'EF Table_detail'!G20</f>
        <v>1.1000000000000001</v>
      </c>
      <c r="I19" s="454" t="str" cm="1">
        <f t="array" aca="1" ref="I19" ca="1">IFERROR(print_SF('EF Table_detail'!L20),"")</f>
        <v>264</v>
      </c>
      <c r="J19" s="222" t="str" cm="1">
        <f t="array" aca="1" ref="J19" ca="1">IFERROR(print_SF('EF Table_detail'!H20),"")</f>
        <v>240</v>
      </c>
      <c r="K19" s="223" t="str" cm="1">
        <f t="array" aca="1" ref="K19" ca="1">IFERROR(print_SF('EF Table_detail'!I20),"")</f>
        <v>112</v>
      </c>
      <c r="L19" s="223" t="str" cm="1">
        <f t="array" aca="1" ref="L19" ca="1">IFERROR(print_SF('EF Table_detail'!J20),"")</f>
        <v>159</v>
      </c>
      <c r="M19" s="456" t="str" cm="1">
        <f t="array" aca="1" ref="M19" ca="1">IFERROR(print_SF('EF Table_detail'!Q20),"")</f>
        <v>0.264</v>
      </c>
      <c r="N19" s="218" t="str" cm="1">
        <f t="array" aca="1" ref="N19" ca="1">IFERROR(print_SF('EF Table_detail'!M20),"")</f>
        <v>0.240</v>
      </c>
      <c r="O19" s="219" t="str" cm="1">
        <f t="array" aca="1" ref="O19" ca="1">IFERROR(print_SF('EF Table_detail'!N20),"")</f>
        <v>0.112</v>
      </c>
      <c r="P19" s="219" t="str" cm="1">
        <f t="array" aca="1" ref="P19" ca="1">IFERROR(print_SF('EF Table_detail'!O20),"")</f>
        <v>0.159</v>
      </c>
      <c r="Q19" s="454" t="str" cm="1">
        <f t="array" aca="1" ref="Q19" ca="1">IFERROR(print_SF('EF Table_detail'!V20),"")</f>
        <v>0</v>
      </c>
      <c r="R19" s="218" t="str" cm="1">
        <f t="array" aca="1" ref="R19" ca="1">IFERROR(print_SF('EF Table_detail'!S20),"")</f>
        <v>0</v>
      </c>
      <c r="S19" s="219" t="str" cm="1">
        <f t="array" aca="1" ref="S19" ca="1">IFERROR(print_SF('EF Table_detail'!T20),"")</f>
        <v>0</v>
      </c>
      <c r="T19" s="456" t="str" cm="1">
        <f t="array" aca="1" ref="T19" ca="1">IFERROR(print_SF('EF Table_detail'!Z20),"")</f>
        <v>0</v>
      </c>
      <c r="U19" s="218" t="str" cm="1">
        <f t="array" aca="1" ref="U19" ca="1">IFERROR(print_SF('EF Table_detail'!W20),"")</f>
        <v>0</v>
      </c>
      <c r="V19" s="219" t="str" cm="1">
        <f t="array" aca="1" ref="V19" ca="1">IFERROR(print_SF('EF Table_detail'!X20),"")</f>
        <v>0</v>
      </c>
      <c r="W19" s="329" t="str" cm="1">
        <f t="array" aca="1" ref="W19" ca="1">IFERROR(print_SF('EF Table_detail'!AB20),"")</f>
        <v>1,000</v>
      </c>
      <c r="X19" s="330" t="str">
        <f t="shared" ca="1" si="0"/>
        <v>kg/tonne</v>
      </c>
      <c r="Y19" s="213" t="str" cm="1">
        <f t="array" aca="1" ref="Y19" ca="1">IF(INDIRECT(""&amp;$E19&amp;"!R"&amp;Y$141&amp;"C"&amp;Y$142,FALSE)=0,"",INDIRECT(""&amp;$E19&amp;"!R"&amp;Y$141&amp;"C"&amp;Y$142,FALSE))</f>
        <v>Not including any core fill material or reinforcing.</v>
      </c>
      <c r="Z19" s="277" t="str" cm="1">
        <f t="array" aca="1" ref="Z19" ca="1">IF(INDIRECT(""&amp;$E19&amp;"!R"&amp;Z$141&amp;"C"&amp;Z$142,FALSE)="Average (weighted)","Yes","No")</f>
        <v>No</v>
      </c>
      <c r="AA19" s="96"/>
    </row>
    <row r="20" spans="2:27" ht="45" customHeight="1" x14ac:dyDescent="0.25">
      <c r="B20" s="276" t="str">
        <f>'EF Table_detail'!A21</f>
        <v>Concrete block/brick</v>
      </c>
      <c r="C20" s="192" t="str">
        <f>'EF Table_detail'!B21</f>
        <v>Solid AAC</v>
      </c>
      <c r="D20" s="193" t="str">
        <f ca="1">'EF Table_detail'!C21</f>
        <v>Autoclaved Aerated Concrete (AAC) blocks/bricks</v>
      </c>
      <c r="E20" s="192" t="str">
        <f>'EF Table_detail'!D21</f>
        <v>AAC_block</v>
      </c>
      <c r="F20" s="192" t="str">
        <f ca="1">'EF Table_detail'!E21</f>
        <v>m³</v>
      </c>
      <c r="G20" s="192" t="str">
        <f ca="1">'EF Table_detail'!F21</f>
        <v>Tier 4</v>
      </c>
      <c r="H20" s="194">
        <f ca="1">'EF Table_detail'!G21</f>
        <v>1.2</v>
      </c>
      <c r="I20" s="454" t="str" cm="1">
        <f t="array" aca="1" ref="I20" ca="1">IFERROR(print_SF('EF Table_detail'!L21),"")</f>
        <v>278</v>
      </c>
      <c r="J20" s="222" t="str" cm="1">
        <f t="array" aca="1" ref="J20" ca="1">IFERROR(print_SF('EF Table_detail'!H21),"")</f>
        <v>232</v>
      </c>
      <c r="K20" s="223" t="str" cm="1">
        <f t="array" aca="1" ref="K20" ca="1">IFERROR(print_SF('EF Table_detail'!I21),"")</f>
        <v>150</v>
      </c>
      <c r="L20" s="223" t="str" cm="1">
        <f t="array" aca="1" ref="L20" ca="1">IFERROR(print_SF('EF Table_detail'!J21),"")</f>
        <v>190</v>
      </c>
      <c r="M20" s="456" t="str" cm="1">
        <f t="array" aca="1" ref="M20" ca="1">IFERROR(print_SF('EF Table_detail'!Q21),"")</f>
        <v>0.724</v>
      </c>
      <c r="N20" s="218" t="str" cm="1">
        <f t="array" aca="1" ref="N20" ca="1">IFERROR(print_SF('EF Table_detail'!M21),"")</f>
        <v>0.603</v>
      </c>
      <c r="O20" s="219" t="str" cm="1">
        <f t="array" aca="1" ref="O20" ca="1">IFERROR(print_SF('EF Table_detail'!N21),"")</f>
        <v>0.334</v>
      </c>
      <c r="P20" s="219" t="str" cm="1">
        <f t="array" aca="1" ref="P20" ca="1">IFERROR(print_SF('EF Table_detail'!O21),"")</f>
        <v>0.437</v>
      </c>
      <c r="Q20" s="454" t="str" cm="1">
        <f t="array" aca="1" ref="Q20" ca="1">IFERROR(print_SF('EF Table_detail'!V21),"")</f>
        <v>0</v>
      </c>
      <c r="R20" s="218" t="str" cm="1">
        <f t="array" aca="1" ref="R20" ca="1">IFERROR(print_SF('EF Table_detail'!S21),"")</f>
        <v>0</v>
      </c>
      <c r="S20" s="219" t="str" cm="1">
        <f t="array" aca="1" ref="S20" ca="1">IFERROR(print_SF('EF Table_detail'!T21),"")</f>
        <v>0</v>
      </c>
      <c r="T20" s="456" t="str" cm="1">
        <f t="array" aca="1" ref="T20" ca="1">IFERROR(print_SF('EF Table_detail'!Z21),"")</f>
        <v>0</v>
      </c>
      <c r="U20" s="218" t="str" cm="1">
        <f t="array" aca="1" ref="U20" ca="1">IFERROR(print_SF('EF Table_detail'!W21),"")</f>
        <v>0</v>
      </c>
      <c r="V20" s="219" t="str" cm="1">
        <f t="array" aca="1" ref="V20" ca="1">IFERROR(print_SF('EF Table_detail'!X21),"")</f>
        <v>0</v>
      </c>
      <c r="W20" s="329" t="str" cm="1">
        <f t="array" aca="1" ref="W20" ca="1">IFERROR(print_SF('EF Table_detail'!AB21),"")</f>
        <v>435</v>
      </c>
      <c r="X20" s="330" t="str">
        <f t="shared" ca="1" si="0"/>
        <v>kg/m³</v>
      </c>
      <c r="Y20" s="213" t="str" cm="1">
        <f t="array" aca="1" ref="Y20" ca="1">IF(INDIRECT(""&amp;$E20&amp;"!R"&amp;Y$141&amp;"C"&amp;Y$142,FALSE)=0,"",INDIRECT(""&amp;$E20&amp;"!R"&amp;Y$141&amp;"C"&amp;Y$142,FALSE))</f>
        <v/>
      </c>
      <c r="Z20" s="277" t="str" cm="1">
        <f t="array" aca="1" ref="Z20" ca="1">IF(INDIRECT(""&amp;$E20&amp;"!R"&amp;Z$141&amp;"C"&amp;Z$142,FALSE)="Average (weighted)","Yes","No")</f>
        <v>No</v>
      </c>
      <c r="AA20" s="96"/>
    </row>
    <row r="21" spans="2:27" ht="45" customHeight="1" x14ac:dyDescent="0.25">
      <c r="B21" s="276" t="str">
        <f>'EF Table_detail'!A22</f>
        <v>Reinforcing steel</v>
      </c>
      <c r="C21" s="192" t="str">
        <f>'EF Table_detail'!B22</f>
        <v>Bar &amp; mesh reinforcing steel</v>
      </c>
      <c r="D21" s="193" t="str">
        <f ca="1">'EF Table_detail'!C22</f>
        <v>Steel used to reinforce concrete structures (bar, mesh, cages, fibre, strand etc.)</v>
      </c>
      <c r="E21" s="192" t="str">
        <f>'EF Table_detail'!D22</f>
        <v>Reinforcing_steel</v>
      </c>
      <c r="F21" s="192" t="str">
        <f ca="1">'EF Table_detail'!E22</f>
        <v>tonne</v>
      </c>
      <c r="G21" s="192" t="str">
        <f ca="1">'EF Table_detail'!F22</f>
        <v>Tier 2</v>
      </c>
      <c r="H21" s="194">
        <f ca="1">'EF Table_detail'!G22</f>
        <v>1.05</v>
      </c>
      <c r="I21" s="454" t="str" cm="1">
        <f t="array" aca="1" ref="I21" ca="1">IFERROR(print_SF('EF Table_detail'!L22),"")</f>
        <v>3,650</v>
      </c>
      <c r="J21" s="222" t="str" cm="1">
        <f t="array" aca="1" ref="J21" ca="1">IFERROR(print_SF('EF Table_detail'!H22),"")</f>
        <v>3,480</v>
      </c>
      <c r="K21" s="223" t="str" cm="1">
        <f t="array" aca="1" ref="K21" ca="1">IFERROR(print_SF('EF Table_detail'!I22),"")</f>
        <v>309</v>
      </c>
      <c r="L21" s="223" t="str" cm="1">
        <f t="array" aca="1" ref="L21" ca="1">IFERROR(print_SF('EF Table_detail'!J22),"")</f>
        <v>1,750</v>
      </c>
      <c r="M21" s="456" t="str" cm="1">
        <f t="array" aca="1" ref="M21" ca="1">IFERROR(print_SF('EF Table_detail'!Q22),"")</f>
        <v>3.65</v>
      </c>
      <c r="N21" s="218" t="str" cm="1">
        <f t="array" aca="1" ref="N21" ca="1">IFERROR(print_SF('EF Table_detail'!M22),"")</f>
        <v>3.48</v>
      </c>
      <c r="O21" s="219" t="str" cm="1">
        <f t="array" aca="1" ref="O21" ca="1">IFERROR(print_SF('EF Table_detail'!N22),"")</f>
        <v>0.309</v>
      </c>
      <c r="P21" s="219" t="str" cm="1">
        <f t="array" aca="1" ref="P21" ca="1">IFERROR(print_SF('EF Table_detail'!O22),"")</f>
        <v>1.75</v>
      </c>
      <c r="Q21" s="454" t="str" cm="1">
        <f t="array" aca="1" ref="Q21" ca="1">IFERROR(print_SF('EF Table_detail'!V22),"")</f>
        <v>0</v>
      </c>
      <c r="R21" s="218" t="str" cm="1">
        <f t="array" aca="1" ref="R21" ca="1">IFERROR(print_SF('EF Table_detail'!S22),"")</f>
        <v>0</v>
      </c>
      <c r="S21" s="219" t="str" cm="1">
        <f t="array" aca="1" ref="S21" ca="1">IFERROR(print_SF('EF Table_detail'!T22),"")</f>
        <v>0</v>
      </c>
      <c r="T21" s="456" t="str" cm="1">
        <f t="array" aca="1" ref="T21" ca="1">IFERROR(print_SF('EF Table_detail'!Z22),"")</f>
        <v>0</v>
      </c>
      <c r="U21" s="218" t="str" cm="1">
        <f t="array" aca="1" ref="U21" ca="1">IFERROR(print_SF('EF Table_detail'!W22),"")</f>
        <v>0</v>
      </c>
      <c r="V21" s="219" t="str" cm="1">
        <f t="array" aca="1" ref="V21" ca="1">IFERROR(print_SF('EF Table_detail'!X22),"")</f>
        <v>0</v>
      </c>
      <c r="W21" s="329" t="str" cm="1">
        <f t="array" aca="1" ref="W21" ca="1">IFERROR(print_SF('EF Table_detail'!AB22),"")</f>
        <v>1,000</v>
      </c>
      <c r="X21" s="330" t="str">
        <f t="shared" ca="1" si="0"/>
        <v>kg/tonne</v>
      </c>
      <c r="Y21" s="213" t="str" cm="1">
        <f t="array" aca="1" ref="Y21" ca="1">IF(INDIRECT(""&amp;$E21&amp;"!R"&amp;Y$141&amp;"C"&amp;Y$142,FALSE)=0,"",INDIRECT(""&amp;$E21&amp;"!R"&amp;Y$141&amp;"C"&amp;Y$142,FALSE))</f>
        <v/>
      </c>
      <c r="Z21" s="277" t="str" cm="1">
        <f t="array" aca="1" ref="Z21" ca="1">IF(INDIRECT(""&amp;$E21&amp;"!R"&amp;Z$141&amp;"C"&amp;Z$142,FALSE)="Average (weighted)","Yes","No")</f>
        <v>Yes</v>
      </c>
      <c r="AA21" s="96"/>
    </row>
    <row r="22" spans="2:27" ht="57" customHeight="1" x14ac:dyDescent="0.25">
      <c r="B22" s="276" t="str">
        <f>'EF Table_detail'!A23</f>
        <v>Reinforcing steel</v>
      </c>
      <c r="C22" s="192" t="str">
        <f>'EF Table_detail'!B23</f>
        <v>Fibre &amp; strand reinforcing steel</v>
      </c>
      <c r="D22" s="193" t="str">
        <f ca="1">'EF Table_detail'!C23</f>
        <v>Steel used to reinforce concrete structures (bar, mesh, cages, fibre, strand etc.)</v>
      </c>
      <c r="E22" s="192" t="str">
        <f>'EF Table_detail'!D23</f>
        <v>Reinforcing_steel</v>
      </c>
      <c r="F22" s="192" t="str">
        <f ca="1">'EF Table_detail'!E23</f>
        <v>tonne</v>
      </c>
      <c r="G22" s="192" t="str">
        <f ca="1">'EF Table_detail'!F23</f>
        <v>Tier 2</v>
      </c>
      <c r="H22" s="194">
        <f ca="1">'EF Table_detail'!G23</f>
        <v>1.05</v>
      </c>
      <c r="I22" s="454" t="str" cm="1">
        <f t="array" aca="1" ref="I22" ca="1">IFERROR(print_SF('EF Table_detail'!L23),"")</f>
        <v>3,650</v>
      </c>
      <c r="J22" s="222" t="str" cm="1">
        <f t="array" aca="1" ref="J22" ca="1">IFERROR(print_SF('EF Table_detail'!H23),"")</f>
        <v>3,480</v>
      </c>
      <c r="K22" s="223" t="str" cm="1">
        <f t="array" aca="1" ref="K22" ca="1">IFERROR(print_SF('EF Table_detail'!I23),"")</f>
        <v>309</v>
      </c>
      <c r="L22" s="223" t="str" cm="1">
        <f t="array" aca="1" ref="L22" ca="1">IFERROR(print_SF('EF Table_detail'!J23),"")</f>
        <v>1,750</v>
      </c>
      <c r="M22" s="456" t="str" cm="1">
        <f t="array" aca="1" ref="M22" ca="1">IFERROR(print_SF('EF Table_detail'!Q23),"")</f>
        <v>3.65</v>
      </c>
      <c r="N22" s="218" t="str" cm="1">
        <f t="array" aca="1" ref="N22" ca="1">IFERROR(print_SF('EF Table_detail'!M23),"")</f>
        <v>3.48</v>
      </c>
      <c r="O22" s="219" t="str" cm="1">
        <f t="array" aca="1" ref="O22" ca="1">IFERROR(print_SF('EF Table_detail'!N23),"")</f>
        <v>0.309</v>
      </c>
      <c r="P22" s="219" t="str" cm="1">
        <f t="array" aca="1" ref="P22" ca="1">IFERROR(print_SF('EF Table_detail'!O23),"")</f>
        <v>1.75</v>
      </c>
      <c r="Q22" s="454" t="str" cm="1">
        <f t="array" aca="1" ref="Q22" ca="1">IFERROR(print_SF('EF Table_detail'!V23),"")</f>
        <v>0</v>
      </c>
      <c r="R22" s="218" t="str" cm="1">
        <f t="array" aca="1" ref="R22" ca="1">IFERROR(print_SF('EF Table_detail'!S23),"")</f>
        <v>0</v>
      </c>
      <c r="S22" s="219" t="str" cm="1">
        <f t="array" aca="1" ref="S22" ca="1">IFERROR(print_SF('EF Table_detail'!T23),"")</f>
        <v>0</v>
      </c>
      <c r="T22" s="456" t="str" cm="1">
        <f t="array" aca="1" ref="T22" ca="1">IFERROR(print_SF('EF Table_detail'!Z23),"")</f>
        <v>0</v>
      </c>
      <c r="U22" s="218" t="str" cm="1">
        <f t="array" aca="1" ref="U22" ca="1">IFERROR(print_SF('EF Table_detail'!W23),"")</f>
        <v>0</v>
      </c>
      <c r="V22" s="219" t="str" cm="1">
        <f t="array" aca="1" ref="V22" ca="1">IFERROR(print_SF('EF Table_detail'!X23),"")</f>
        <v>0</v>
      </c>
      <c r="W22" s="329" t="str" cm="1">
        <f t="array" aca="1" ref="W22" ca="1">IFERROR(print_SF('EF Table_detail'!AB23),"")</f>
        <v>1,000</v>
      </c>
      <c r="X22" s="330" t="str">
        <f t="shared" ca="1" si="0"/>
        <v>kg/tonne</v>
      </c>
      <c r="Y22" s="213" t="str" cm="1">
        <f t="array" aca="1" ref="Y22" ca="1">IF(INDIRECT(""&amp;$E22&amp;"!R"&amp;Y$141&amp;"C"&amp;Y$142,FALSE)=0,"",INDIRECT(""&amp;$E22&amp;"!R"&amp;Y$141&amp;"C"&amp;Y$142,FALSE))</f>
        <v/>
      </c>
      <c r="Z22" s="277" t="str" cm="1">
        <f t="array" aca="1" ref="Z22" ca="1">IF(INDIRECT(""&amp;$E22&amp;"!R"&amp;Z$141&amp;"C"&amp;Z$142,FALSE)="Average (weighted)","Yes","No")</f>
        <v>Yes</v>
      </c>
      <c r="AA22" s="96"/>
    </row>
    <row r="23" spans="2:27" ht="45" customHeight="1" x14ac:dyDescent="0.25">
      <c r="B23" s="276" t="str">
        <f>'EF Table_detail'!A24</f>
        <v>Structural steel</v>
      </c>
      <c r="C23" s="192" t="str">
        <f>'EF Table_detail'!B24</f>
        <v>Structural sections steel (welded beam, columns, angles, plates etc) (hot rolled)</v>
      </c>
      <c r="D23" s="193" t="str">
        <f ca="1">'EF Table_detail'!C24</f>
        <v>Steel used for structural purposes (unpainted, not galavanized) that has undergone hot-rolled steel production route. Including beams, columns, angles, flange channels, hollow sections.</v>
      </c>
      <c r="E23" s="192" t="str">
        <f>'EF Table_detail'!D24</f>
        <v>Structural_steel_hot</v>
      </c>
      <c r="F23" s="192" t="str">
        <f ca="1">'EF Table_detail'!E24</f>
        <v>tonne</v>
      </c>
      <c r="G23" s="192" t="str">
        <f ca="1">'EF Table_detail'!F24</f>
        <v>Tier 2</v>
      </c>
      <c r="H23" s="194">
        <f ca="1">'EF Table_detail'!G24</f>
        <v>1.05</v>
      </c>
      <c r="I23" s="454" t="str" cm="1">
        <f t="array" aca="1" ref="I23" ca="1">IFERROR(print_SF('EF Table_detail'!L24),"")</f>
        <v>3,910</v>
      </c>
      <c r="J23" s="222" t="str" cm="1">
        <f t="array" aca="1" ref="J23" ca="1">IFERROR(print_SF('EF Table_detail'!H24),"")</f>
        <v>3,720</v>
      </c>
      <c r="K23" s="223" t="str" cm="1">
        <f t="array" aca="1" ref="K23" ca="1">IFERROR(print_SF('EF Table_detail'!I24),"")</f>
        <v>2,410</v>
      </c>
      <c r="L23" s="223" t="str" cm="1">
        <f t="array" aca="1" ref="L23" ca="1">IFERROR(print_SF('EF Table_detail'!J24),"")</f>
        <v>3,040</v>
      </c>
      <c r="M23" s="456" t="str" cm="1">
        <f t="array" aca="1" ref="M23" ca="1">IFERROR(print_SF('EF Table_detail'!Q24),"")</f>
        <v>3.91</v>
      </c>
      <c r="N23" s="218" t="str" cm="1">
        <f t="array" aca="1" ref="N23" ca="1">IFERROR(print_SF('EF Table_detail'!M24),"")</f>
        <v>3.72</v>
      </c>
      <c r="O23" s="219" t="str" cm="1">
        <f t="array" aca="1" ref="O23" ca="1">IFERROR(print_SF('EF Table_detail'!N24),"")</f>
        <v>2.41</v>
      </c>
      <c r="P23" s="219" t="str" cm="1">
        <f t="array" aca="1" ref="P23" ca="1">IFERROR(print_SF('EF Table_detail'!O24),"")</f>
        <v>3.04</v>
      </c>
      <c r="Q23" s="454" t="str" cm="1">
        <f t="array" aca="1" ref="Q23" ca="1">IFERROR(print_SF('EF Table_detail'!V24),"")</f>
        <v>0</v>
      </c>
      <c r="R23" s="218" t="str" cm="1">
        <f t="array" aca="1" ref="R23" ca="1">IFERROR(print_SF('EF Table_detail'!S24),"")</f>
        <v>0</v>
      </c>
      <c r="S23" s="219" t="str" cm="1">
        <f t="array" aca="1" ref="S23" ca="1">IFERROR(print_SF('EF Table_detail'!T24),"")</f>
        <v>0</v>
      </c>
      <c r="T23" s="456" t="str" cm="1">
        <f t="array" aca="1" ref="T23" ca="1">IFERROR(print_SF('EF Table_detail'!Z24),"")</f>
        <v>0</v>
      </c>
      <c r="U23" s="218" t="str" cm="1">
        <f t="array" aca="1" ref="U23" ca="1">IFERROR(print_SF('EF Table_detail'!W24),"")</f>
        <v>0</v>
      </c>
      <c r="V23" s="219" t="str" cm="1">
        <f t="array" aca="1" ref="V23" ca="1">IFERROR(print_SF('EF Table_detail'!X24),"")</f>
        <v>0</v>
      </c>
      <c r="W23" s="329" t="str" cm="1">
        <f t="array" aca="1" ref="W23" ca="1">IFERROR(print_SF('EF Table_detail'!AB24),"")</f>
        <v>1,000</v>
      </c>
      <c r="X23" s="330" t="str">
        <f t="shared" ca="1" si="0"/>
        <v>kg/tonne</v>
      </c>
      <c r="Y23" s="213" t="str" cm="1">
        <f t="array" aca="1" ref="Y23" ca="1">IF(INDIRECT(""&amp;$E23&amp;"!R"&amp;Y$141&amp;"C"&amp;Y$142,FALSE)=0,"",INDIRECT(""&amp;$E23&amp;"!R"&amp;Y$141&amp;"C"&amp;Y$142,FALSE))</f>
        <v/>
      </c>
      <c r="Z23" s="277" t="str" cm="1">
        <f t="array" aca="1" ref="Z23" ca="1">IF(INDIRECT(""&amp;$E23&amp;"!R"&amp;Z$141&amp;"C"&amp;Z$142,FALSE)="Average (weighted)","Yes","No")</f>
        <v>Yes</v>
      </c>
      <c r="AA23" s="96"/>
    </row>
    <row r="24" spans="2:27" ht="45" customHeight="1" x14ac:dyDescent="0.25">
      <c r="B24" s="276" t="str">
        <f>'EF Table_detail'!A25</f>
        <v>Structural steel</v>
      </c>
      <c r="C24" s="192" t="str">
        <f>'EF Table_detail'!B25</f>
        <v>Structural formwork and decking steel (cold rolled - light weight)</v>
      </c>
      <c r="D24" s="193" t="str">
        <f ca="1">'EF Table_detail'!C25</f>
        <v>Steel (upainted, not galvanized) used for structural purposes that has undergone cold-rolled steel production route. Including purlins, girts, stick frames, wall framing, merchant bar.</v>
      </c>
      <c r="E24" s="192" t="str">
        <f>'EF Table_detail'!D25</f>
        <v>Structural_steel_cold</v>
      </c>
      <c r="F24" s="192" t="str">
        <f ca="1">'EF Table_detail'!E25</f>
        <v>tonne</v>
      </c>
      <c r="G24" s="192" t="str">
        <f ca="1">'EF Table_detail'!F25</f>
        <v>Tier 2</v>
      </c>
      <c r="H24" s="194">
        <f ca="1">'EF Table_detail'!G25</f>
        <v>1.05</v>
      </c>
      <c r="I24" s="454" t="str" cm="1">
        <f t="array" aca="1" ref="I24" ca="1">IFERROR(print_SF('EF Table_detail'!L25),"")</f>
        <v>4,050</v>
      </c>
      <c r="J24" s="222" t="str" cm="1">
        <f t="array" aca="1" ref="J24" ca="1">IFERROR(print_SF('EF Table_detail'!H25),"")</f>
        <v>3,860</v>
      </c>
      <c r="K24" s="223" t="str" cm="1">
        <f t="array" aca="1" ref="K24" ca="1">IFERROR(print_SF('EF Table_detail'!I25),"")</f>
        <v>1,240</v>
      </c>
      <c r="L24" s="223" t="str" cm="1">
        <f t="array" aca="1" ref="L24" ca="1">IFERROR(print_SF('EF Table_detail'!J25),"")</f>
        <v>2,430</v>
      </c>
      <c r="M24" s="456" t="str" cm="1">
        <f t="array" aca="1" ref="M24" ca="1">IFERROR(print_SF('EF Table_detail'!Q25),"")</f>
        <v>4.05</v>
      </c>
      <c r="N24" s="218" t="str" cm="1">
        <f t="array" aca="1" ref="N24" ca="1">IFERROR(print_SF('EF Table_detail'!M25),"")</f>
        <v>3.86</v>
      </c>
      <c r="O24" s="219" t="str" cm="1">
        <f t="array" aca="1" ref="O24" ca="1">IFERROR(print_SF('EF Table_detail'!N25),"")</f>
        <v>1.24</v>
      </c>
      <c r="P24" s="219" t="str" cm="1">
        <f t="array" aca="1" ref="P24" ca="1">IFERROR(print_SF('EF Table_detail'!O25),"")</f>
        <v>2.43</v>
      </c>
      <c r="Q24" s="454" t="str" cm="1">
        <f t="array" aca="1" ref="Q24" ca="1">IFERROR(print_SF('EF Table_detail'!V25),"")</f>
        <v>0</v>
      </c>
      <c r="R24" s="218" t="str" cm="1">
        <f t="array" aca="1" ref="R24" ca="1">IFERROR(print_SF('EF Table_detail'!S25),"")</f>
        <v>0</v>
      </c>
      <c r="S24" s="219" t="str" cm="1">
        <f t="array" aca="1" ref="S24" ca="1">IFERROR(print_SF('EF Table_detail'!T25),"")</f>
        <v>0</v>
      </c>
      <c r="T24" s="456" t="str" cm="1">
        <f t="array" aca="1" ref="T24" ca="1">IFERROR(print_SF('EF Table_detail'!Z25),"")</f>
        <v>0</v>
      </c>
      <c r="U24" s="218" t="str" cm="1">
        <f t="array" aca="1" ref="U24" ca="1">IFERROR(print_SF('EF Table_detail'!W25),"")</f>
        <v>0</v>
      </c>
      <c r="V24" s="219" t="str" cm="1">
        <f t="array" aca="1" ref="V24" ca="1">IFERROR(print_SF('EF Table_detail'!X25),"")</f>
        <v>0</v>
      </c>
      <c r="W24" s="329" t="str" cm="1">
        <f t="array" aca="1" ref="W24" ca="1">IFERROR(print_SF('EF Table_detail'!AB25),"")</f>
        <v>1,000</v>
      </c>
      <c r="X24" s="330" t="str">
        <f t="shared" ca="1" si="0"/>
        <v>kg/tonne</v>
      </c>
      <c r="Y24" s="213" t="str" cm="1">
        <f t="array" aca="1" ref="Y24" ca="1">IF(INDIRECT(""&amp;$E24&amp;"!R"&amp;Y$141&amp;"C"&amp;Y$142,FALSE)=0,"",INDIRECT(""&amp;$E24&amp;"!R"&amp;Y$141&amp;"C"&amp;Y$142,FALSE))</f>
        <v/>
      </c>
      <c r="Z24" s="277" t="str" cm="1">
        <f t="array" aca="1" ref="Z24" ca="1">IF(INDIRECT(""&amp;$E24&amp;"!R"&amp;Z$141&amp;"C"&amp;Z$142,FALSE)="Average (weighted)","Yes","No")</f>
        <v>Yes</v>
      </c>
      <c r="AA24" s="96"/>
    </row>
    <row r="25" spans="2:27" ht="45" customHeight="1" x14ac:dyDescent="0.25">
      <c r="B25" s="276" t="str">
        <f>'EF Table_detail'!A26</f>
        <v>Structural steel</v>
      </c>
      <c r="C25" s="192" t="str">
        <f>'EF Table_detail'!B26</f>
        <v>Structural framing steel (cold rolled - lightweight)</v>
      </c>
      <c r="D25" s="193" t="str">
        <f ca="1">'EF Table_detail'!C26</f>
        <v>Steel (upainted, not galvanized) used for structural purposes that has undergone cold-rolled steel production route. Including purlins, girts, stick frames, wall framing, merchant bar.</v>
      </c>
      <c r="E25" s="192" t="str">
        <f>'EF Table_detail'!D26</f>
        <v>Structural_steel_cold</v>
      </c>
      <c r="F25" s="192" t="str">
        <f ca="1">'EF Table_detail'!E26</f>
        <v>tonne</v>
      </c>
      <c r="G25" s="192" t="str">
        <f ca="1">'EF Table_detail'!F26</f>
        <v>Tier 2</v>
      </c>
      <c r="H25" s="194">
        <f ca="1">'EF Table_detail'!G26</f>
        <v>1.05</v>
      </c>
      <c r="I25" s="454" t="str" cm="1">
        <f t="array" aca="1" ref="I25" ca="1">IFERROR(print_SF('EF Table_detail'!L26),"")</f>
        <v>4,050</v>
      </c>
      <c r="J25" s="222" t="str" cm="1">
        <f t="array" aca="1" ref="J25" ca="1">IFERROR(print_SF('EF Table_detail'!H26),"")</f>
        <v>3,860</v>
      </c>
      <c r="K25" s="223" t="str" cm="1">
        <f t="array" aca="1" ref="K25" ca="1">IFERROR(print_SF('EF Table_detail'!I26),"")</f>
        <v>1,240</v>
      </c>
      <c r="L25" s="223" t="str" cm="1">
        <f t="array" aca="1" ref="L25" ca="1">IFERROR(print_SF('EF Table_detail'!J26),"")</f>
        <v>2,430</v>
      </c>
      <c r="M25" s="456" t="str" cm="1">
        <f t="array" aca="1" ref="M25" ca="1">IFERROR(print_SF('EF Table_detail'!Q26),"")</f>
        <v>4.05</v>
      </c>
      <c r="N25" s="218" t="str" cm="1">
        <f t="array" aca="1" ref="N25" ca="1">IFERROR(print_SF('EF Table_detail'!M26),"")</f>
        <v>3.86</v>
      </c>
      <c r="O25" s="219" t="str" cm="1">
        <f t="array" aca="1" ref="O25" ca="1">IFERROR(print_SF('EF Table_detail'!N26),"")</f>
        <v>1.24</v>
      </c>
      <c r="P25" s="219" t="str" cm="1">
        <f t="array" aca="1" ref="P25" ca="1">IFERROR(print_SF('EF Table_detail'!O26),"")</f>
        <v>2.43</v>
      </c>
      <c r="Q25" s="454" t="str" cm="1">
        <f t="array" aca="1" ref="Q25" ca="1">IFERROR(print_SF('EF Table_detail'!V26),"")</f>
        <v>0</v>
      </c>
      <c r="R25" s="218" t="str" cm="1">
        <f t="array" aca="1" ref="R25" ca="1">IFERROR(print_SF('EF Table_detail'!S26),"")</f>
        <v>0</v>
      </c>
      <c r="S25" s="219" t="str" cm="1">
        <f t="array" aca="1" ref="S25" ca="1">IFERROR(print_SF('EF Table_detail'!T26),"")</f>
        <v>0</v>
      </c>
      <c r="T25" s="456" t="str" cm="1">
        <f t="array" aca="1" ref="T25" ca="1">IFERROR(print_SF('EF Table_detail'!Z26),"")</f>
        <v>0</v>
      </c>
      <c r="U25" s="218" t="str" cm="1">
        <f t="array" aca="1" ref="U25" ca="1">IFERROR(print_SF('EF Table_detail'!W26),"")</f>
        <v>0</v>
      </c>
      <c r="V25" s="219" t="str" cm="1">
        <f t="array" aca="1" ref="V25" ca="1">IFERROR(print_SF('EF Table_detail'!X26),"")</f>
        <v>0</v>
      </c>
      <c r="W25" s="329" t="str" cm="1">
        <f t="array" aca="1" ref="W25" ca="1">IFERROR(print_SF('EF Table_detail'!AB26),"")</f>
        <v>1,000</v>
      </c>
      <c r="X25" s="330" t="str">
        <f t="shared" ca="1" si="0"/>
        <v>kg/tonne</v>
      </c>
      <c r="Y25" s="213" t="str" cm="1">
        <f t="array" aca="1" ref="Y25" ca="1">IF(INDIRECT(""&amp;$E25&amp;"!R"&amp;Y$141&amp;"C"&amp;Y$142,FALSE)=0,"",INDIRECT(""&amp;$E25&amp;"!R"&amp;Y$141&amp;"C"&amp;Y$142,FALSE))</f>
        <v/>
      </c>
      <c r="Z25" s="277" t="str" cm="1">
        <f t="array" aca="1" ref="Z25" ca="1">IF(INDIRECT(""&amp;$E25&amp;"!R"&amp;Z$141&amp;"C"&amp;Z$142,FALSE)="Average (weighted)","Yes","No")</f>
        <v>Yes</v>
      </c>
      <c r="AA25" s="96"/>
    </row>
    <row r="26" spans="2:27" ht="45" customHeight="1" x14ac:dyDescent="0.25">
      <c r="B26" s="276" t="str">
        <f>'EF Table_detail'!A27</f>
        <v>Structural steel</v>
      </c>
      <c r="C26" s="192" t="str">
        <f>'EF Table_detail'!B27</f>
        <v>Steel piles</v>
      </c>
      <c r="D26" s="193" t="str">
        <f ca="1">'EF Table_detail'!C27</f>
        <v>Steel used for structural purposes (unpainted, not galavanized) that has undergone hot-rolled steel production route. Including beams, columns, angles, flange channels, hollow sections.</v>
      </c>
      <c r="E26" s="192" t="str">
        <f>'EF Table_detail'!D27</f>
        <v>Structural_steel_hot</v>
      </c>
      <c r="F26" s="192" t="str">
        <f ca="1">'EF Table_detail'!E27</f>
        <v>tonne</v>
      </c>
      <c r="G26" s="192" t="str">
        <f ca="1">'EF Table_detail'!F27</f>
        <v>Tier 2</v>
      </c>
      <c r="H26" s="194">
        <f ca="1">'EF Table_detail'!G27</f>
        <v>1.05</v>
      </c>
      <c r="I26" s="454" t="str" cm="1">
        <f t="array" aca="1" ref="I26" ca="1">IFERROR(print_SF('EF Table_detail'!L27),"")</f>
        <v>3,910</v>
      </c>
      <c r="J26" s="222" t="str" cm="1">
        <f t="array" aca="1" ref="J26" ca="1">IFERROR(print_SF('EF Table_detail'!H27),"")</f>
        <v>3,720</v>
      </c>
      <c r="K26" s="223" t="str" cm="1">
        <f t="array" aca="1" ref="K26" ca="1">IFERROR(print_SF('EF Table_detail'!I27),"")</f>
        <v>2,410</v>
      </c>
      <c r="L26" s="223" t="str" cm="1">
        <f t="array" aca="1" ref="L26" ca="1">IFERROR(print_SF('EF Table_detail'!J27),"")</f>
        <v>3,040</v>
      </c>
      <c r="M26" s="456" t="str" cm="1">
        <f t="array" aca="1" ref="M26" ca="1">IFERROR(print_SF('EF Table_detail'!Q27),"")</f>
        <v>3.91</v>
      </c>
      <c r="N26" s="218" t="str" cm="1">
        <f t="array" aca="1" ref="N26" ca="1">IFERROR(print_SF('EF Table_detail'!M27),"")</f>
        <v>3.72</v>
      </c>
      <c r="O26" s="219" t="str" cm="1">
        <f t="array" aca="1" ref="O26" ca="1">IFERROR(print_SF('EF Table_detail'!N27),"")</f>
        <v>2.41</v>
      </c>
      <c r="P26" s="219" t="str" cm="1">
        <f t="array" aca="1" ref="P26" ca="1">IFERROR(print_SF('EF Table_detail'!O27),"")</f>
        <v>3.04</v>
      </c>
      <c r="Q26" s="454" t="str" cm="1">
        <f t="array" aca="1" ref="Q26" ca="1">IFERROR(print_SF('EF Table_detail'!V27),"")</f>
        <v>0</v>
      </c>
      <c r="R26" s="218" t="str" cm="1">
        <f t="array" aca="1" ref="R26" ca="1">IFERROR(print_SF('EF Table_detail'!S27),"")</f>
        <v>0</v>
      </c>
      <c r="S26" s="219" t="str" cm="1">
        <f t="array" aca="1" ref="S26" ca="1">IFERROR(print_SF('EF Table_detail'!T27),"")</f>
        <v>0</v>
      </c>
      <c r="T26" s="456" t="str" cm="1">
        <f t="array" aca="1" ref="T26" ca="1">IFERROR(print_SF('EF Table_detail'!Z27),"")</f>
        <v>0</v>
      </c>
      <c r="U26" s="218" t="str" cm="1">
        <f t="array" aca="1" ref="U26" ca="1">IFERROR(print_SF('EF Table_detail'!W27),"")</f>
        <v>0</v>
      </c>
      <c r="V26" s="219" t="str" cm="1">
        <f t="array" aca="1" ref="V26" ca="1">IFERROR(print_SF('EF Table_detail'!X27),"")</f>
        <v>0</v>
      </c>
      <c r="W26" s="329" t="str" cm="1">
        <f t="array" aca="1" ref="W26" ca="1">IFERROR(print_SF('EF Table_detail'!AB27),"")</f>
        <v>1,000</v>
      </c>
      <c r="X26" s="330" t="str">
        <f t="shared" ca="1" si="0"/>
        <v>kg/tonne</v>
      </c>
      <c r="Y26" s="213" t="str" cm="1">
        <f t="array" aca="1" ref="Y26" ca="1">IF(INDIRECT(""&amp;$E26&amp;"!R"&amp;Y$141&amp;"C"&amp;Y$142,FALSE)=0,"",INDIRECT(""&amp;$E26&amp;"!R"&amp;Y$141&amp;"C"&amp;Y$142,FALSE))</f>
        <v/>
      </c>
      <c r="Z26" s="277" t="str" cm="1">
        <f t="array" aca="1" ref="Z26" ca="1">IF(INDIRECT(""&amp;$E26&amp;"!R"&amp;Z$141&amp;"C"&amp;Z$142,FALSE)="Average (weighted)","Yes","No")</f>
        <v>Yes</v>
      </c>
      <c r="AA26" s="96"/>
    </row>
    <row r="27" spans="2:27" ht="45" customHeight="1" x14ac:dyDescent="0.25">
      <c r="B27" s="276" t="str">
        <f>'EF Table_detail'!A28</f>
        <v>Structural steel</v>
      </c>
      <c r="C27" s="192" t="str">
        <f>'EF Table_detail'!B28</f>
        <v>Plate steel (hot rolled)</v>
      </c>
      <c r="D27" s="193" t="str">
        <f ca="1">'EF Table_detail'!C28</f>
        <v>Steel used for structural purposes (unpainted, not galavanized) that has undergone hot-rolled steel production route. Including beams, columns, angles, flange channels, hollow sections.</v>
      </c>
      <c r="E27" s="192" t="str">
        <f>'EF Table_detail'!D28</f>
        <v>Structural_steel_hot</v>
      </c>
      <c r="F27" s="192" t="str">
        <f ca="1">'EF Table_detail'!E28</f>
        <v>tonne</v>
      </c>
      <c r="G27" s="192" t="str">
        <f ca="1">'EF Table_detail'!F28</f>
        <v>Tier 2</v>
      </c>
      <c r="H27" s="194">
        <f ca="1">'EF Table_detail'!G28</f>
        <v>1.05</v>
      </c>
      <c r="I27" s="454" t="str" cm="1">
        <f t="array" aca="1" ref="I27" ca="1">IFERROR(print_SF('EF Table_detail'!L28),"")</f>
        <v>3,910</v>
      </c>
      <c r="J27" s="222" t="str" cm="1">
        <f t="array" aca="1" ref="J27" ca="1">IFERROR(print_SF('EF Table_detail'!H28),"")</f>
        <v>3,720</v>
      </c>
      <c r="K27" s="223" t="str" cm="1">
        <f t="array" aca="1" ref="K27" ca="1">IFERROR(print_SF('EF Table_detail'!I28),"")</f>
        <v>2,410</v>
      </c>
      <c r="L27" s="223" t="str" cm="1">
        <f t="array" aca="1" ref="L27" ca="1">IFERROR(print_SF('EF Table_detail'!J28),"")</f>
        <v>3,040</v>
      </c>
      <c r="M27" s="456" t="str" cm="1">
        <f t="array" aca="1" ref="M27" ca="1">IFERROR(print_SF('EF Table_detail'!Q28),"")</f>
        <v>3.91</v>
      </c>
      <c r="N27" s="218" t="str" cm="1">
        <f t="array" aca="1" ref="N27" ca="1">IFERROR(print_SF('EF Table_detail'!M28),"")</f>
        <v>3.72</v>
      </c>
      <c r="O27" s="219" t="str" cm="1">
        <f t="array" aca="1" ref="O27" ca="1">IFERROR(print_SF('EF Table_detail'!N28),"")</f>
        <v>2.41</v>
      </c>
      <c r="P27" s="219" t="str" cm="1">
        <f t="array" aca="1" ref="P27" ca="1">IFERROR(print_SF('EF Table_detail'!O28),"")</f>
        <v>3.04</v>
      </c>
      <c r="Q27" s="454" t="str" cm="1">
        <f t="array" aca="1" ref="Q27" ca="1">IFERROR(print_SF('EF Table_detail'!V28),"")</f>
        <v>0</v>
      </c>
      <c r="R27" s="218" t="str" cm="1">
        <f t="array" aca="1" ref="R27" ca="1">IFERROR(print_SF('EF Table_detail'!S28),"")</f>
        <v>0</v>
      </c>
      <c r="S27" s="219" t="str" cm="1">
        <f t="array" aca="1" ref="S27" ca="1">IFERROR(print_SF('EF Table_detail'!T28),"")</f>
        <v>0</v>
      </c>
      <c r="T27" s="456" t="str" cm="1">
        <f t="array" aca="1" ref="T27" ca="1">IFERROR(print_SF('EF Table_detail'!Z28),"")</f>
        <v>0</v>
      </c>
      <c r="U27" s="218" t="str" cm="1">
        <f t="array" aca="1" ref="U27" ca="1">IFERROR(print_SF('EF Table_detail'!W28),"")</f>
        <v>0</v>
      </c>
      <c r="V27" s="219" t="str" cm="1">
        <f t="array" aca="1" ref="V27" ca="1">IFERROR(print_SF('EF Table_detail'!X28),"")</f>
        <v>0</v>
      </c>
      <c r="W27" s="329" t="str" cm="1">
        <f t="array" aca="1" ref="W27" ca="1">IFERROR(print_SF('EF Table_detail'!AB28),"")</f>
        <v>1,000</v>
      </c>
      <c r="X27" s="330" t="str">
        <f t="shared" ca="1" si="0"/>
        <v>kg/tonne</v>
      </c>
      <c r="Y27" s="213" t="str" cm="1">
        <f t="array" aca="1" ref="Y27" ca="1">IF(INDIRECT(""&amp;$E27&amp;"!R"&amp;Y$141&amp;"C"&amp;Y$142,FALSE)=0,"",INDIRECT(""&amp;$E27&amp;"!R"&amp;Y$141&amp;"C"&amp;Y$142,FALSE))</f>
        <v/>
      </c>
      <c r="Z27" s="277" t="str" cm="1">
        <f t="array" aca="1" ref="Z27" ca="1">IF(INDIRECT(""&amp;$E27&amp;"!R"&amp;Z$141&amp;"C"&amp;Z$142,FALSE)="Average (weighted)","Yes","No")</f>
        <v>Yes</v>
      </c>
      <c r="AA27" s="96"/>
    </row>
    <row r="28" spans="2:27" ht="45" customHeight="1" x14ac:dyDescent="0.25">
      <c r="B28" s="276" t="str">
        <f>'EF Table_detail'!A29</f>
        <v>Structural steel</v>
      </c>
      <c r="C28" s="192" t="str">
        <f>'EF Table_detail'!B29</f>
        <v>Galvanised Structural sections steel (welded beam, columns, angles, plates etc) (hot rolled)</v>
      </c>
      <c r="D28" s="193" t="str">
        <f ca="1">'EF Table_detail'!C29</f>
        <v>Steel (Galvanized) used for structural purposes that has undergone hot-rolled steel production route. Including beams, columns, angles, flange channels, hollow sections.</v>
      </c>
      <c r="E28" s="192" t="str">
        <f>'EF Table_detail'!D29</f>
        <v>Structural_steel_hot_gal</v>
      </c>
      <c r="F28" s="192" t="str">
        <f ca="1">'EF Table_detail'!E29</f>
        <v>tonne</v>
      </c>
      <c r="G28" s="192" t="str">
        <f ca="1">'EF Table_detail'!F29</f>
        <v>Tier 2</v>
      </c>
      <c r="H28" s="194">
        <f ca="1">'EF Table_detail'!G29</f>
        <v>1.05</v>
      </c>
      <c r="I28" s="454" t="str" cm="1">
        <f t="array" aca="1" ref="I28" ca="1">IFERROR(print_SF('EF Table_detail'!L29),"")</f>
        <v>4,090</v>
      </c>
      <c r="J28" s="222" t="str" cm="1">
        <f t="array" aca="1" ref="J28" ca="1">IFERROR(print_SF('EF Table_detail'!H29),"")</f>
        <v>3,890</v>
      </c>
      <c r="K28" s="223" t="str" cm="1">
        <f t="array" aca="1" ref="K28" ca="1">IFERROR(print_SF('EF Table_detail'!I29),"")</f>
        <v>2,410</v>
      </c>
      <c r="L28" s="223" t="str" cm="1">
        <f t="array" aca="1" ref="L28" ca="1">IFERROR(print_SF('EF Table_detail'!J29),"")</f>
        <v>3,180</v>
      </c>
      <c r="M28" s="456" t="str" cm="1">
        <f t="array" aca="1" ref="M28" ca="1">IFERROR(print_SF('EF Table_detail'!Q29),"")</f>
        <v>4.09</v>
      </c>
      <c r="N28" s="218" t="str" cm="1">
        <f t="array" aca="1" ref="N28" ca="1">IFERROR(print_SF('EF Table_detail'!M29),"")</f>
        <v>3.89</v>
      </c>
      <c r="O28" s="219" t="str" cm="1">
        <f t="array" aca="1" ref="O28" ca="1">IFERROR(print_SF('EF Table_detail'!N29),"")</f>
        <v>2.41</v>
      </c>
      <c r="P28" s="219" t="str" cm="1">
        <f t="array" aca="1" ref="P28" ca="1">IFERROR(print_SF('EF Table_detail'!O29),"")</f>
        <v>3.18</v>
      </c>
      <c r="Q28" s="454" t="str" cm="1">
        <f t="array" aca="1" ref="Q28" ca="1">IFERROR(print_SF('EF Table_detail'!V29),"")</f>
        <v>0</v>
      </c>
      <c r="R28" s="218" t="str" cm="1">
        <f t="array" aca="1" ref="R28" ca="1">IFERROR(print_SF('EF Table_detail'!S29),"")</f>
        <v>0</v>
      </c>
      <c r="S28" s="219" t="str" cm="1">
        <f t="array" aca="1" ref="S28" ca="1">IFERROR(print_SF('EF Table_detail'!T29),"")</f>
        <v>0</v>
      </c>
      <c r="T28" s="456" t="str" cm="1">
        <f t="array" aca="1" ref="T28" ca="1">IFERROR(print_SF('EF Table_detail'!Z29),"")</f>
        <v>0</v>
      </c>
      <c r="U28" s="218" t="str" cm="1">
        <f t="array" aca="1" ref="U28" ca="1">IFERROR(print_SF('EF Table_detail'!W29),"")</f>
        <v>0</v>
      </c>
      <c r="V28" s="219" t="str" cm="1">
        <f t="array" aca="1" ref="V28" ca="1">IFERROR(print_SF('EF Table_detail'!X29),"")</f>
        <v>0</v>
      </c>
      <c r="W28" s="329" t="str" cm="1">
        <f t="array" aca="1" ref="W28" ca="1">IFERROR(print_SF('EF Table_detail'!AB29),"")</f>
        <v>1,000</v>
      </c>
      <c r="X28" s="330" t="str">
        <f t="shared" ca="1" si="0"/>
        <v>kg/tonne</v>
      </c>
      <c r="Y28" s="213" t="str" cm="1">
        <f t="array" aca="1" ref="Y28" ca="1">IF(INDIRECT(""&amp;$E28&amp;"!R"&amp;Y$141&amp;"C"&amp;Y$142,FALSE)=0,"",INDIRECT(""&amp;$E28&amp;"!R"&amp;Y$141&amp;"C"&amp;Y$142,FALSE))</f>
        <v>Using emission factors determined in structural steel hot rolled then multiplying by a factor for galvanising as determined using data found in additional data</v>
      </c>
      <c r="Z28" s="277" t="str" cm="1">
        <f t="array" aca="1" ref="Z28" ca="1">IF(INDIRECT(""&amp;$E28&amp;"!R"&amp;Z$141&amp;"C"&amp;Z$142,FALSE)="Average (weighted)","Yes","No")</f>
        <v>Yes</v>
      </c>
      <c r="AA28" s="96"/>
    </row>
    <row r="29" spans="2:27" ht="45" customHeight="1" x14ac:dyDescent="0.25">
      <c r="B29" s="276" t="str">
        <f>'EF Table_detail'!A30</f>
        <v>Structural steel</v>
      </c>
      <c r="C29" s="192" t="str">
        <f>'EF Table_detail'!B30</f>
        <v>Galvanised Structural formwork and decking steel (cold rolled - light weight)</v>
      </c>
      <c r="D29" s="193" t="str">
        <f ca="1">'EF Table_detail'!C30</f>
        <v>Steel (Galvanized) used for structural purposes that has undergone cold-rolled steel production route. Including purlins, girts, stick frames, wall framing, merchant bar.</v>
      </c>
      <c r="E29" s="192" t="str">
        <f>'EF Table_detail'!D30</f>
        <v>Structural_steel_cold_gal</v>
      </c>
      <c r="F29" s="192" t="str">
        <f ca="1">'EF Table_detail'!E30</f>
        <v>tonne</v>
      </c>
      <c r="G29" s="192" t="str">
        <f ca="1">'EF Table_detail'!F30</f>
        <v>Tier 2</v>
      </c>
      <c r="H29" s="194">
        <f ca="1">'EF Table_detail'!G30</f>
        <v>1.05</v>
      </c>
      <c r="I29" s="454" t="str" cm="1">
        <f t="array" aca="1" ref="I29" ca="1">IFERROR(print_SF('EF Table_detail'!L30),"")</f>
        <v>4,240</v>
      </c>
      <c r="J29" s="222" t="str" cm="1">
        <f t="array" aca="1" ref="J29" ca="1">IFERROR(print_SF('EF Table_detail'!H30),"")</f>
        <v>4,040</v>
      </c>
      <c r="K29" s="223" t="str" cm="1">
        <f t="array" aca="1" ref="K29" ca="1">IFERROR(print_SF('EF Table_detail'!I30),"")</f>
        <v>1,240</v>
      </c>
      <c r="L29" s="223" t="str" cm="1">
        <f t="array" aca="1" ref="L29" ca="1">IFERROR(print_SF('EF Table_detail'!J30),"")</f>
        <v>2,550</v>
      </c>
      <c r="M29" s="456" t="str" cm="1">
        <f t="array" aca="1" ref="M29" ca="1">IFERROR(print_SF('EF Table_detail'!Q30),"")</f>
        <v>4.24</v>
      </c>
      <c r="N29" s="218" t="str" cm="1">
        <f t="array" aca="1" ref="N29" ca="1">IFERROR(print_SF('EF Table_detail'!M30),"")</f>
        <v>4.04</v>
      </c>
      <c r="O29" s="219" t="str" cm="1">
        <f t="array" aca="1" ref="O29" ca="1">IFERROR(print_SF('EF Table_detail'!N30),"")</f>
        <v>1.24</v>
      </c>
      <c r="P29" s="219" t="str" cm="1">
        <f t="array" aca="1" ref="P29" ca="1">IFERROR(print_SF('EF Table_detail'!O30),"")</f>
        <v>2.55</v>
      </c>
      <c r="Q29" s="454" t="str" cm="1">
        <f t="array" aca="1" ref="Q29" ca="1">IFERROR(print_SF('EF Table_detail'!V30),"")</f>
        <v>0</v>
      </c>
      <c r="R29" s="218" t="str" cm="1">
        <f t="array" aca="1" ref="R29" ca="1">IFERROR(print_SF('EF Table_detail'!S30),"")</f>
        <v>0</v>
      </c>
      <c r="S29" s="219" t="str" cm="1">
        <f t="array" aca="1" ref="S29" ca="1">IFERROR(print_SF('EF Table_detail'!T30),"")</f>
        <v>0</v>
      </c>
      <c r="T29" s="456" t="str" cm="1">
        <f t="array" aca="1" ref="T29" ca="1">IFERROR(print_SF('EF Table_detail'!Z30),"")</f>
        <v>0</v>
      </c>
      <c r="U29" s="218" t="str" cm="1">
        <f t="array" aca="1" ref="U29" ca="1">IFERROR(print_SF('EF Table_detail'!W30),"")</f>
        <v>0</v>
      </c>
      <c r="V29" s="219" t="str" cm="1">
        <f t="array" aca="1" ref="V29" ca="1">IFERROR(print_SF('EF Table_detail'!X30),"")</f>
        <v>0</v>
      </c>
      <c r="W29" s="329" t="str" cm="1">
        <f t="array" aca="1" ref="W29" ca="1">IFERROR(print_SF('EF Table_detail'!AB30),"")</f>
        <v>1,000</v>
      </c>
      <c r="X29" s="330" t="str">
        <f t="shared" ca="1" si="0"/>
        <v>kg/tonne</v>
      </c>
      <c r="Y29" s="213" t="str" cm="1">
        <f t="array" aca="1" ref="Y29" ca="1">IF(INDIRECT(""&amp;$E29&amp;"!R"&amp;Y$141&amp;"C"&amp;Y$142,FALSE)=0,"",INDIRECT(""&amp;$E29&amp;"!R"&amp;Y$141&amp;"C"&amp;Y$142,FALSE))</f>
        <v>Using emission factors determined in structural steel hot rolled then multiplying by a factor for galvanising as determined using data found in additional data</v>
      </c>
      <c r="Z29" s="277" t="str" cm="1">
        <f t="array" aca="1" ref="Z29" ca="1">IF(INDIRECT(""&amp;$E29&amp;"!R"&amp;Z$141&amp;"C"&amp;Z$142,FALSE)="Average (weighted)","Yes","No")</f>
        <v>Yes</v>
      </c>
      <c r="AA29" s="96"/>
    </row>
    <row r="30" spans="2:27" ht="45" customHeight="1" x14ac:dyDescent="0.25">
      <c r="B30" s="276" t="str">
        <f>'EF Table_detail'!A31</f>
        <v>Structural steel</v>
      </c>
      <c r="C30" s="192" t="str">
        <f>'EF Table_detail'!B31</f>
        <v>Galvanised Structural framing steel (cold rolled - lightweight)</v>
      </c>
      <c r="D30" s="193" t="str">
        <f ca="1">'EF Table_detail'!C31</f>
        <v>Steel (Galvanized) used for structural purposes that has undergone cold-rolled steel production route. Including purlins, girts, stick frames, wall framing, merchant bar.</v>
      </c>
      <c r="E30" s="192" t="str">
        <f>'EF Table_detail'!D31</f>
        <v>Structural_steel_cold_gal</v>
      </c>
      <c r="F30" s="192" t="str">
        <f ca="1">'EF Table_detail'!E31</f>
        <v>tonne</v>
      </c>
      <c r="G30" s="192" t="str">
        <f ca="1">'EF Table_detail'!F31</f>
        <v>Tier 2</v>
      </c>
      <c r="H30" s="194">
        <f ca="1">'EF Table_detail'!G31</f>
        <v>1.05</v>
      </c>
      <c r="I30" s="454" t="str" cm="1">
        <f t="array" aca="1" ref="I30" ca="1">IFERROR(print_SF('EF Table_detail'!L31),"")</f>
        <v>4,240</v>
      </c>
      <c r="J30" s="222" t="str" cm="1">
        <f t="array" aca="1" ref="J30" ca="1">IFERROR(print_SF('EF Table_detail'!H31),"")</f>
        <v>4,040</v>
      </c>
      <c r="K30" s="223" t="str" cm="1">
        <f t="array" aca="1" ref="K30" ca="1">IFERROR(print_SF('EF Table_detail'!I31),"")</f>
        <v>1,240</v>
      </c>
      <c r="L30" s="223" t="str" cm="1">
        <f t="array" aca="1" ref="L30" ca="1">IFERROR(print_SF('EF Table_detail'!J31),"")</f>
        <v>2,550</v>
      </c>
      <c r="M30" s="456" t="str" cm="1">
        <f t="array" aca="1" ref="M30" ca="1">IFERROR(print_SF('EF Table_detail'!Q31),"")</f>
        <v>4.24</v>
      </c>
      <c r="N30" s="218" t="str" cm="1">
        <f t="array" aca="1" ref="N30" ca="1">IFERROR(print_SF('EF Table_detail'!M31),"")</f>
        <v>4.04</v>
      </c>
      <c r="O30" s="219" t="str" cm="1">
        <f t="array" aca="1" ref="O30" ca="1">IFERROR(print_SF('EF Table_detail'!N31),"")</f>
        <v>1.24</v>
      </c>
      <c r="P30" s="219" t="str" cm="1">
        <f t="array" aca="1" ref="P30" ca="1">IFERROR(print_SF('EF Table_detail'!O31),"")</f>
        <v>2.55</v>
      </c>
      <c r="Q30" s="454" t="str" cm="1">
        <f t="array" aca="1" ref="Q30" ca="1">IFERROR(print_SF('EF Table_detail'!V31),"")</f>
        <v>0</v>
      </c>
      <c r="R30" s="218" t="str" cm="1">
        <f t="array" aca="1" ref="R30" ca="1">IFERROR(print_SF('EF Table_detail'!S31),"")</f>
        <v>0</v>
      </c>
      <c r="S30" s="219" t="str" cm="1">
        <f t="array" aca="1" ref="S30" ca="1">IFERROR(print_SF('EF Table_detail'!T31),"")</f>
        <v>0</v>
      </c>
      <c r="T30" s="456" t="str" cm="1">
        <f t="array" aca="1" ref="T30" ca="1">IFERROR(print_SF('EF Table_detail'!Z31),"")</f>
        <v>0</v>
      </c>
      <c r="U30" s="218" t="str" cm="1">
        <f t="array" aca="1" ref="U30" ca="1">IFERROR(print_SF('EF Table_detail'!W31),"")</f>
        <v>0</v>
      </c>
      <c r="V30" s="219" t="str" cm="1">
        <f t="array" aca="1" ref="V30" ca="1">IFERROR(print_SF('EF Table_detail'!X31),"")</f>
        <v>0</v>
      </c>
      <c r="W30" s="329" t="str" cm="1">
        <f t="array" aca="1" ref="W30" ca="1">IFERROR(print_SF('EF Table_detail'!AB31),"")</f>
        <v>1,000</v>
      </c>
      <c r="X30" s="330" t="str">
        <f t="shared" ca="1" si="0"/>
        <v>kg/tonne</v>
      </c>
      <c r="Y30" s="213" t="str" cm="1">
        <f t="array" aca="1" ref="Y30" ca="1">IF(INDIRECT(""&amp;$E30&amp;"!R"&amp;Y$141&amp;"C"&amp;Y$142,FALSE)=0,"",INDIRECT(""&amp;$E30&amp;"!R"&amp;Y$141&amp;"C"&amp;Y$142,FALSE))</f>
        <v>Using emission factors determined in structural steel hot rolled then multiplying by a factor for galvanising as determined using data found in additional data</v>
      </c>
      <c r="Z30" s="277" t="str" cm="1">
        <f t="array" aca="1" ref="Z30" ca="1">IF(INDIRECT(""&amp;$E30&amp;"!R"&amp;Z$141&amp;"C"&amp;Z$142,FALSE)="Average (weighted)","Yes","No")</f>
        <v>Yes</v>
      </c>
      <c r="AA30" s="96"/>
    </row>
    <row r="31" spans="2:27" ht="45" customHeight="1" x14ac:dyDescent="0.25">
      <c r="B31" s="276" t="str">
        <f>'EF Table_detail'!A32</f>
        <v>Structural steel</v>
      </c>
      <c r="C31" s="192" t="str">
        <f>'EF Table_detail'!B32</f>
        <v>Galvanised Steel piles</v>
      </c>
      <c r="D31" s="193" t="str">
        <f ca="1">'EF Table_detail'!C32</f>
        <v>Steel (Galvanized) used for structural purposes that has undergone hot-rolled steel production route. Including beams, columns, angles, flange channels, hollow sections.</v>
      </c>
      <c r="E31" s="192" t="str">
        <f>'EF Table_detail'!D32</f>
        <v>Structural_steel_hot_gal</v>
      </c>
      <c r="F31" s="192" t="str">
        <f ca="1">'EF Table_detail'!E32</f>
        <v>tonne</v>
      </c>
      <c r="G31" s="192" t="str">
        <f ca="1">'EF Table_detail'!F32</f>
        <v>Tier 2</v>
      </c>
      <c r="H31" s="194">
        <f ca="1">'EF Table_detail'!G32</f>
        <v>1.05</v>
      </c>
      <c r="I31" s="454" t="str" cm="1">
        <f t="array" aca="1" ref="I31" ca="1">IFERROR(print_SF('EF Table_detail'!L32),"")</f>
        <v>4,090</v>
      </c>
      <c r="J31" s="222" t="str" cm="1">
        <f t="array" aca="1" ref="J31" ca="1">IFERROR(print_SF('EF Table_detail'!H32),"")</f>
        <v>3,890</v>
      </c>
      <c r="K31" s="223" t="str" cm="1">
        <f t="array" aca="1" ref="K31" ca="1">IFERROR(print_SF('EF Table_detail'!I32),"")</f>
        <v>2,410</v>
      </c>
      <c r="L31" s="223" t="str" cm="1">
        <f t="array" aca="1" ref="L31" ca="1">IFERROR(print_SF('EF Table_detail'!J32),"")</f>
        <v>3,180</v>
      </c>
      <c r="M31" s="456" t="str" cm="1">
        <f t="array" aca="1" ref="M31" ca="1">IFERROR(print_SF('EF Table_detail'!Q32),"")</f>
        <v>4.09</v>
      </c>
      <c r="N31" s="218" t="str" cm="1">
        <f t="array" aca="1" ref="N31" ca="1">IFERROR(print_SF('EF Table_detail'!M32),"")</f>
        <v>3.89</v>
      </c>
      <c r="O31" s="219" t="str" cm="1">
        <f t="array" aca="1" ref="O31" ca="1">IFERROR(print_SF('EF Table_detail'!N32),"")</f>
        <v>2.41</v>
      </c>
      <c r="P31" s="219" t="str" cm="1">
        <f t="array" aca="1" ref="P31" ca="1">IFERROR(print_SF('EF Table_detail'!O32),"")</f>
        <v>3.18</v>
      </c>
      <c r="Q31" s="454" t="str" cm="1">
        <f t="array" aca="1" ref="Q31" ca="1">IFERROR(print_SF('EF Table_detail'!V32),"")</f>
        <v>0</v>
      </c>
      <c r="R31" s="218" t="str" cm="1">
        <f t="array" aca="1" ref="R31" ca="1">IFERROR(print_SF('EF Table_detail'!S32),"")</f>
        <v>0</v>
      </c>
      <c r="S31" s="219" t="str" cm="1">
        <f t="array" aca="1" ref="S31" ca="1">IFERROR(print_SF('EF Table_detail'!T32),"")</f>
        <v>0</v>
      </c>
      <c r="T31" s="456" t="str" cm="1">
        <f t="array" aca="1" ref="T31" ca="1">IFERROR(print_SF('EF Table_detail'!Z32),"")</f>
        <v>0</v>
      </c>
      <c r="U31" s="218" t="str" cm="1">
        <f t="array" aca="1" ref="U31" ca="1">IFERROR(print_SF('EF Table_detail'!W32),"")</f>
        <v>0</v>
      </c>
      <c r="V31" s="219" t="str" cm="1">
        <f t="array" aca="1" ref="V31" ca="1">IFERROR(print_SF('EF Table_detail'!X32),"")</f>
        <v>0</v>
      </c>
      <c r="W31" s="329" t="str" cm="1">
        <f t="array" aca="1" ref="W31" ca="1">IFERROR(print_SF('EF Table_detail'!AB32),"")</f>
        <v>1,000</v>
      </c>
      <c r="X31" s="330" t="str">
        <f t="shared" ca="1" si="0"/>
        <v>kg/tonne</v>
      </c>
      <c r="Y31" s="213" t="str" cm="1">
        <f t="array" aca="1" ref="Y31" ca="1">IF(INDIRECT(""&amp;$E31&amp;"!R"&amp;Y$141&amp;"C"&amp;Y$142,FALSE)=0,"",INDIRECT(""&amp;$E31&amp;"!R"&amp;Y$141&amp;"C"&amp;Y$142,FALSE))</f>
        <v>Using emission factors determined in structural steel hot rolled then multiplying by a factor for galvanising as determined using data found in additional data</v>
      </c>
      <c r="Z31" s="277" t="str" cm="1">
        <f t="array" aca="1" ref="Z31" ca="1">IF(INDIRECT(""&amp;$E31&amp;"!R"&amp;Z$141&amp;"C"&amp;Z$142,FALSE)="Average (weighted)","Yes","No")</f>
        <v>Yes</v>
      </c>
      <c r="AA31" s="96"/>
    </row>
    <row r="32" spans="2:27" ht="45" customHeight="1" x14ac:dyDescent="0.25">
      <c r="B32" s="276" t="str">
        <f>'EF Table_detail'!A33</f>
        <v>Structural steel</v>
      </c>
      <c r="C32" s="192" t="str">
        <f>'EF Table_detail'!B33</f>
        <v>Galvanised Plate steel (hot rolled)</v>
      </c>
      <c r="D32" s="193" t="str">
        <f ca="1">'EF Table_detail'!C33</f>
        <v>Steel (Galvanized) used for structural purposes that has undergone hot-rolled steel production route. Including beams, columns, angles, flange channels, hollow sections.</v>
      </c>
      <c r="E32" s="192" t="str">
        <f>'EF Table_detail'!D33</f>
        <v>Structural_steel_hot_gal</v>
      </c>
      <c r="F32" s="192" t="str">
        <f ca="1">'EF Table_detail'!E33</f>
        <v>tonne</v>
      </c>
      <c r="G32" s="192" t="str">
        <f ca="1">'EF Table_detail'!F33</f>
        <v>Tier 2</v>
      </c>
      <c r="H32" s="194">
        <f ca="1">'EF Table_detail'!G33</f>
        <v>1.05</v>
      </c>
      <c r="I32" s="454" t="str" cm="1">
        <f t="array" aca="1" ref="I32" ca="1">IFERROR(print_SF('EF Table_detail'!L33),"")</f>
        <v>4,090</v>
      </c>
      <c r="J32" s="222" t="str" cm="1">
        <f t="array" aca="1" ref="J32" ca="1">IFERROR(print_SF('EF Table_detail'!H33),"")</f>
        <v>3,890</v>
      </c>
      <c r="K32" s="223" t="str" cm="1">
        <f t="array" aca="1" ref="K32" ca="1">IFERROR(print_SF('EF Table_detail'!I33),"")</f>
        <v>2,410</v>
      </c>
      <c r="L32" s="223" t="str" cm="1">
        <f t="array" aca="1" ref="L32" ca="1">IFERROR(print_SF('EF Table_detail'!J33),"")</f>
        <v>3,180</v>
      </c>
      <c r="M32" s="456" t="str" cm="1">
        <f t="array" aca="1" ref="M32" ca="1">IFERROR(print_SF('EF Table_detail'!Q33),"")</f>
        <v>4.09</v>
      </c>
      <c r="N32" s="218" t="str" cm="1">
        <f t="array" aca="1" ref="N32" ca="1">IFERROR(print_SF('EF Table_detail'!M33),"")</f>
        <v>3.89</v>
      </c>
      <c r="O32" s="219" t="str" cm="1">
        <f t="array" aca="1" ref="O32" ca="1">IFERROR(print_SF('EF Table_detail'!N33),"")</f>
        <v>2.41</v>
      </c>
      <c r="P32" s="219" t="str" cm="1">
        <f t="array" aca="1" ref="P32" ca="1">IFERROR(print_SF('EF Table_detail'!O33),"")</f>
        <v>3.18</v>
      </c>
      <c r="Q32" s="454" t="str" cm="1">
        <f t="array" aca="1" ref="Q32" ca="1">IFERROR(print_SF('EF Table_detail'!V33),"")</f>
        <v>0</v>
      </c>
      <c r="R32" s="218" t="str" cm="1">
        <f t="array" aca="1" ref="R32" ca="1">IFERROR(print_SF('EF Table_detail'!S33),"")</f>
        <v>0</v>
      </c>
      <c r="S32" s="219" t="str" cm="1">
        <f t="array" aca="1" ref="S32" ca="1">IFERROR(print_SF('EF Table_detail'!T33),"")</f>
        <v>0</v>
      </c>
      <c r="T32" s="456" t="str" cm="1">
        <f t="array" aca="1" ref="T32" ca="1">IFERROR(print_SF('EF Table_detail'!Z33),"")</f>
        <v>0</v>
      </c>
      <c r="U32" s="218" t="str" cm="1">
        <f t="array" aca="1" ref="U32" ca="1">IFERROR(print_SF('EF Table_detail'!W33),"")</f>
        <v>0</v>
      </c>
      <c r="V32" s="219" t="str" cm="1">
        <f t="array" aca="1" ref="V32" ca="1">IFERROR(print_SF('EF Table_detail'!X33),"")</f>
        <v>0</v>
      </c>
      <c r="W32" s="329" t="str" cm="1">
        <f t="array" aca="1" ref="W32" ca="1">IFERROR(print_SF('EF Table_detail'!AB33),"")</f>
        <v>1,000</v>
      </c>
      <c r="X32" s="330" t="str">
        <f t="shared" ca="1" si="0"/>
        <v>kg/tonne</v>
      </c>
      <c r="Y32" s="213" t="str" cm="1">
        <f t="array" aca="1" ref="Y32" ca="1">IF(INDIRECT(""&amp;$E32&amp;"!R"&amp;Y$141&amp;"C"&amp;Y$142,FALSE)=0,"",INDIRECT(""&amp;$E32&amp;"!R"&amp;Y$141&amp;"C"&amp;Y$142,FALSE))</f>
        <v>Using emission factors determined in structural steel hot rolled then multiplying by a factor for galvanising as determined using data found in additional data</v>
      </c>
      <c r="Z32" s="277" t="str" cm="1">
        <f t="array" aca="1" ref="Z32" ca="1">IF(INDIRECT(""&amp;$E32&amp;"!R"&amp;Z$141&amp;"C"&amp;Z$142,FALSE)="Average (weighted)","Yes","No")</f>
        <v>Yes</v>
      </c>
      <c r="AA32" s="96"/>
    </row>
    <row r="33" spans="2:27" ht="45" customHeight="1" x14ac:dyDescent="0.25">
      <c r="B33" s="276" t="str">
        <f>'EF Table_detail'!A34</f>
        <v>Structural steel</v>
      </c>
      <c r="C33" s="192" t="str">
        <f>'EF Table_detail'!B34</f>
        <v>Painted Structural sections steel (welded beam, columns, angles, plates etc) (hot rolled)</v>
      </c>
      <c r="D33" s="193" t="str">
        <f ca="1">'EF Table_detail'!C34</f>
        <v>Steel (Painted) used for structural purposes that has undergone hot-rolled steel production route. Including beams, columns, angles, flange channels, hollow sections.</v>
      </c>
      <c r="E33" s="192" t="str">
        <f>'EF Table_detail'!D34</f>
        <v>Structural_steel_hot_painted</v>
      </c>
      <c r="F33" s="192" t="str">
        <f ca="1">'EF Table_detail'!E34</f>
        <v>tonne</v>
      </c>
      <c r="G33" s="192" t="str">
        <f ca="1">'EF Table_detail'!F34</f>
        <v>Tier 2</v>
      </c>
      <c r="H33" s="194">
        <f ca="1">'EF Table_detail'!G34</f>
        <v>1.05</v>
      </c>
      <c r="I33" s="454" t="str" cm="1">
        <f t="array" aca="1" ref="I33" ca="1">IFERROR(print_SF('EF Table_detail'!L34),"")</f>
        <v>4,000</v>
      </c>
      <c r="J33" s="222" t="str" cm="1">
        <f t="array" aca="1" ref="J33" ca="1">IFERROR(print_SF('EF Table_detail'!H34),"")</f>
        <v>3,810</v>
      </c>
      <c r="K33" s="223" t="str" cm="1">
        <f t="array" aca="1" ref="K33" ca="1">IFERROR(print_SF('EF Table_detail'!I34),"")</f>
        <v>2,410</v>
      </c>
      <c r="L33" s="223" t="str" cm="1">
        <f t="array" aca="1" ref="L33" ca="1">IFERROR(print_SF('EF Table_detail'!J34),"")</f>
        <v>3,110</v>
      </c>
      <c r="M33" s="456" t="str" cm="1">
        <f t="array" aca="1" ref="M33" ca="1">IFERROR(print_SF('EF Table_detail'!Q34),"")</f>
        <v>4.00</v>
      </c>
      <c r="N33" s="218" t="str" cm="1">
        <f t="array" aca="1" ref="N33" ca="1">IFERROR(print_SF('EF Table_detail'!M34),"")</f>
        <v>3.81</v>
      </c>
      <c r="O33" s="219" t="str" cm="1">
        <f t="array" aca="1" ref="O33" ca="1">IFERROR(print_SF('EF Table_detail'!N34),"")</f>
        <v>2.41</v>
      </c>
      <c r="P33" s="219" t="str" cm="1">
        <f t="array" aca="1" ref="P33" ca="1">IFERROR(print_SF('EF Table_detail'!O34),"")</f>
        <v>3.11</v>
      </c>
      <c r="Q33" s="454" t="str" cm="1">
        <f t="array" aca="1" ref="Q33" ca="1">IFERROR(print_SF('EF Table_detail'!V34),"")</f>
        <v>0</v>
      </c>
      <c r="R33" s="218" t="str" cm="1">
        <f t="array" aca="1" ref="R33" ca="1">IFERROR(print_SF('EF Table_detail'!S34),"")</f>
        <v>0</v>
      </c>
      <c r="S33" s="219" t="str" cm="1">
        <f t="array" aca="1" ref="S33" ca="1">IFERROR(print_SF('EF Table_detail'!T34),"")</f>
        <v>0</v>
      </c>
      <c r="T33" s="456" t="str" cm="1">
        <f t="array" aca="1" ref="T33" ca="1">IFERROR(print_SF('EF Table_detail'!Z34),"")</f>
        <v>0</v>
      </c>
      <c r="U33" s="218" t="str" cm="1">
        <f t="array" aca="1" ref="U33" ca="1">IFERROR(print_SF('EF Table_detail'!W34),"")</f>
        <v>0</v>
      </c>
      <c r="V33" s="219" t="str" cm="1">
        <f t="array" aca="1" ref="V33" ca="1">IFERROR(print_SF('EF Table_detail'!X34),"")</f>
        <v>0</v>
      </c>
      <c r="W33" s="329" t="str" cm="1">
        <f t="array" aca="1" ref="W33" ca="1">IFERROR(print_SF('EF Table_detail'!AB34),"")</f>
        <v>1,000</v>
      </c>
      <c r="X33" s="330" t="str">
        <f t="shared" ca="1" si="0"/>
        <v>kg/tonne</v>
      </c>
      <c r="Y33" s="213" t="str" cm="1">
        <f t="array" aca="1" ref="Y33" ca="1">IF(INDIRECT(""&amp;$E33&amp;"!R"&amp;Y$141&amp;"C"&amp;Y$142,FALSE)=0,"",INDIRECT(""&amp;$E33&amp;"!R"&amp;Y$141&amp;"C"&amp;Y$142,FALSE))</f>
        <v>Using emission factors determined in structural steel hot rolled then multiplying by a factor for painting as determined using data found in additional data</v>
      </c>
      <c r="Z33" s="277" t="str" cm="1">
        <f t="array" aca="1" ref="Z33" ca="1">IF(INDIRECT(""&amp;$E33&amp;"!R"&amp;Z$141&amp;"C"&amp;Z$142,FALSE)="Average (weighted)","Yes","No")</f>
        <v>Yes</v>
      </c>
      <c r="AA33" s="96"/>
    </row>
    <row r="34" spans="2:27" ht="45" customHeight="1" x14ac:dyDescent="0.25">
      <c r="B34" s="276" t="str">
        <f>'EF Table_detail'!A35</f>
        <v>Structural steel</v>
      </c>
      <c r="C34" s="192" t="str">
        <f>'EF Table_detail'!B35</f>
        <v>Painted Structural formwork and decking steel (cold rolled - light weight)</v>
      </c>
      <c r="D34" s="193" t="str">
        <f ca="1">'EF Table_detail'!C35</f>
        <v>Steel (Painted) used for structural purposes that has undergone cold-rolled steel production route. Including purlins, girts, stick frames, wall framing, merchant bar.</v>
      </c>
      <c r="E34" s="192" t="str">
        <f>'EF Table_detail'!D35</f>
        <v>Structural_steel_cold_painted</v>
      </c>
      <c r="F34" s="192" t="str">
        <f ca="1">'EF Table_detail'!E35</f>
        <v>tonne</v>
      </c>
      <c r="G34" s="192" t="str">
        <f ca="1">'EF Table_detail'!F35</f>
        <v>Tier 2</v>
      </c>
      <c r="H34" s="194">
        <f ca="1">'EF Table_detail'!G35</f>
        <v>1.05</v>
      </c>
      <c r="I34" s="454" t="str" cm="1">
        <f t="array" aca="1" ref="I34" ca="1">IFERROR(print_SF('EF Table_detail'!L35),"")</f>
        <v>4,510</v>
      </c>
      <c r="J34" s="222" t="str" cm="1">
        <f t="array" aca="1" ref="J34" ca="1">IFERROR(print_SF('EF Table_detail'!H35),"")</f>
        <v>4,290</v>
      </c>
      <c r="K34" s="223" t="str" cm="1">
        <f t="array" aca="1" ref="K34" ca="1">IFERROR(print_SF('EF Table_detail'!I35),"")</f>
        <v>1,240</v>
      </c>
      <c r="L34" s="223" t="str" cm="1">
        <f t="array" aca="1" ref="L34" ca="1">IFERROR(print_SF('EF Table_detail'!J35),"")</f>
        <v>2,710</v>
      </c>
      <c r="M34" s="456" t="str" cm="1">
        <f t="array" aca="1" ref="M34" ca="1">IFERROR(print_SF('EF Table_detail'!Q35),"")</f>
        <v>4.51</v>
      </c>
      <c r="N34" s="218" t="str" cm="1">
        <f t="array" aca="1" ref="N34" ca="1">IFERROR(print_SF('EF Table_detail'!M35),"")</f>
        <v>4.29</v>
      </c>
      <c r="O34" s="219" t="str" cm="1">
        <f t="array" aca="1" ref="O34" ca="1">IFERROR(print_SF('EF Table_detail'!N35),"")</f>
        <v>1.24</v>
      </c>
      <c r="P34" s="219" t="str" cm="1">
        <f t="array" aca="1" ref="P34" ca="1">IFERROR(print_SF('EF Table_detail'!O35),"")</f>
        <v>2.71</v>
      </c>
      <c r="Q34" s="454" t="str" cm="1">
        <f t="array" aca="1" ref="Q34" ca="1">IFERROR(print_SF('EF Table_detail'!V35),"")</f>
        <v>0</v>
      </c>
      <c r="R34" s="218" t="str" cm="1">
        <f t="array" aca="1" ref="R34" ca="1">IFERROR(print_SF('EF Table_detail'!S35),"")</f>
        <v>0</v>
      </c>
      <c r="S34" s="219" t="str" cm="1">
        <f t="array" aca="1" ref="S34" ca="1">IFERROR(print_SF('EF Table_detail'!T35),"")</f>
        <v>0</v>
      </c>
      <c r="T34" s="456" t="str" cm="1">
        <f t="array" aca="1" ref="T34" ca="1">IFERROR(print_SF('EF Table_detail'!Z35),"")</f>
        <v>0</v>
      </c>
      <c r="U34" s="218" t="str" cm="1">
        <f t="array" aca="1" ref="U34" ca="1">IFERROR(print_SF('EF Table_detail'!W35),"")</f>
        <v>0</v>
      </c>
      <c r="V34" s="219" t="str" cm="1">
        <f t="array" aca="1" ref="V34" ca="1">IFERROR(print_SF('EF Table_detail'!X35),"")</f>
        <v>0</v>
      </c>
      <c r="W34" s="329" t="str" cm="1">
        <f t="array" aca="1" ref="W34" ca="1">IFERROR(print_SF('EF Table_detail'!AB35),"")</f>
        <v>1,000</v>
      </c>
      <c r="X34" s="330" t="str">
        <f t="shared" ca="1" si="0"/>
        <v>kg/tonne</v>
      </c>
      <c r="Y34" s="213" t="str" cm="1">
        <f t="array" aca="1" ref="Y34" ca="1">IF(INDIRECT(""&amp;$E34&amp;"!R"&amp;Y$141&amp;"C"&amp;Y$142,FALSE)=0,"",INDIRECT(""&amp;$E34&amp;"!R"&amp;Y$141&amp;"C"&amp;Y$142,FALSE))</f>
        <v>Using emission factors determined in structural steel hot rolled then multiplying by a factor for painting as determined using data found in additional data</v>
      </c>
      <c r="Z34" s="277" t="str" cm="1">
        <f t="array" aca="1" ref="Z34" ca="1">IF(INDIRECT(""&amp;$E34&amp;"!R"&amp;Z$141&amp;"C"&amp;Z$142,FALSE)="Average (weighted)","Yes","No")</f>
        <v>Yes</v>
      </c>
      <c r="AA34" s="96"/>
    </row>
    <row r="35" spans="2:27" ht="45" customHeight="1" x14ac:dyDescent="0.25">
      <c r="B35" s="276" t="str">
        <f>'EF Table_detail'!A36</f>
        <v>Structural steel</v>
      </c>
      <c r="C35" s="192" t="str">
        <f>'EF Table_detail'!B36</f>
        <v>Painted Structural framing steel (cold rolled - lightweight)</v>
      </c>
      <c r="D35" s="193" t="str">
        <f ca="1">'EF Table_detail'!C36</f>
        <v>Steel (Painted) used for structural purposes that has undergone cold-rolled steel production route. Including purlins, girts, stick frames, wall framing, merchant bar.</v>
      </c>
      <c r="E35" s="192" t="str">
        <f>'EF Table_detail'!D36</f>
        <v>Structural_steel_cold_painted</v>
      </c>
      <c r="F35" s="192" t="str">
        <f ca="1">'EF Table_detail'!E36</f>
        <v>tonne</v>
      </c>
      <c r="G35" s="192" t="str">
        <f ca="1">'EF Table_detail'!F36</f>
        <v>Tier 2</v>
      </c>
      <c r="H35" s="194">
        <f ca="1">'EF Table_detail'!G36</f>
        <v>1.05</v>
      </c>
      <c r="I35" s="454" t="str" cm="1">
        <f t="array" aca="1" ref="I35" ca="1">IFERROR(print_SF('EF Table_detail'!L36),"")</f>
        <v>4,510</v>
      </c>
      <c r="J35" s="222" t="str" cm="1">
        <f t="array" aca="1" ref="J35" ca="1">IFERROR(print_SF('EF Table_detail'!H36),"")</f>
        <v>4,290</v>
      </c>
      <c r="K35" s="223" t="str" cm="1">
        <f t="array" aca="1" ref="K35" ca="1">IFERROR(print_SF('EF Table_detail'!I36),"")</f>
        <v>1,240</v>
      </c>
      <c r="L35" s="223" t="str" cm="1">
        <f t="array" aca="1" ref="L35" ca="1">IFERROR(print_SF('EF Table_detail'!J36),"")</f>
        <v>2,710</v>
      </c>
      <c r="M35" s="456" t="str" cm="1">
        <f t="array" aca="1" ref="M35" ca="1">IFERROR(print_SF('EF Table_detail'!Q36),"")</f>
        <v>4.51</v>
      </c>
      <c r="N35" s="218" t="str" cm="1">
        <f t="array" aca="1" ref="N35" ca="1">IFERROR(print_SF('EF Table_detail'!M36),"")</f>
        <v>4.29</v>
      </c>
      <c r="O35" s="219" t="str" cm="1">
        <f t="array" aca="1" ref="O35" ca="1">IFERROR(print_SF('EF Table_detail'!N36),"")</f>
        <v>1.24</v>
      </c>
      <c r="P35" s="219" t="str" cm="1">
        <f t="array" aca="1" ref="P35" ca="1">IFERROR(print_SF('EF Table_detail'!O36),"")</f>
        <v>2.71</v>
      </c>
      <c r="Q35" s="454" t="str" cm="1">
        <f t="array" aca="1" ref="Q35" ca="1">IFERROR(print_SF('EF Table_detail'!V36),"")</f>
        <v>0</v>
      </c>
      <c r="R35" s="218" t="str" cm="1">
        <f t="array" aca="1" ref="R35" ca="1">IFERROR(print_SF('EF Table_detail'!S36),"")</f>
        <v>0</v>
      </c>
      <c r="S35" s="219" t="str" cm="1">
        <f t="array" aca="1" ref="S35" ca="1">IFERROR(print_SF('EF Table_detail'!T36),"")</f>
        <v>0</v>
      </c>
      <c r="T35" s="456" t="str" cm="1">
        <f t="array" aca="1" ref="T35" ca="1">IFERROR(print_SF('EF Table_detail'!Z36),"")</f>
        <v>0</v>
      </c>
      <c r="U35" s="218" t="str" cm="1">
        <f t="array" aca="1" ref="U35" ca="1">IFERROR(print_SF('EF Table_detail'!W36),"")</f>
        <v>0</v>
      </c>
      <c r="V35" s="219" t="str" cm="1">
        <f t="array" aca="1" ref="V35" ca="1">IFERROR(print_SF('EF Table_detail'!X36),"")</f>
        <v>0</v>
      </c>
      <c r="W35" s="329" t="str" cm="1">
        <f t="array" aca="1" ref="W35" ca="1">IFERROR(print_SF('EF Table_detail'!AB36),"")</f>
        <v>1,000</v>
      </c>
      <c r="X35" s="330" t="str">
        <f t="shared" ca="1" si="0"/>
        <v>kg/tonne</v>
      </c>
      <c r="Y35" s="213" t="str" cm="1">
        <f t="array" aca="1" ref="Y35" ca="1">IF(INDIRECT(""&amp;$E35&amp;"!R"&amp;Y$141&amp;"C"&amp;Y$142,FALSE)=0,"",INDIRECT(""&amp;$E35&amp;"!R"&amp;Y$141&amp;"C"&amp;Y$142,FALSE))</f>
        <v>Using emission factors determined in structural steel hot rolled then multiplying by a factor for painting as determined using data found in additional data</v>
      </c>
      <c r="Z35" s="277" t="str" cm="1">
        <f t="array" aca="1" ref="Z35" ca="1">IF(INDIRECT(""&amp;$E35&amp;"!R"&amp;Z$141&amp;"C"&amp;Z$142,FALSE)="Average (weighted)","Yes","No")</f>
        <v>Yes</v>
      </c>
      <c r="AA35" s="96"/>
    </row>
    <row r="36" spans="2:27" ht="45" customHeight="1" x14ac:dyDescent="0.25">
      <c r="B36" s="276" t="str">
        <f>'EF Table_detail'!A37</f>
        <v>Structural steel</v>
      </c>
      <c r="C36" s="192" t="str">
        <f>'EF Table_detail'!B37</f>
        <v>Painted Steel piles</v>
      </c>
      <c r="D36" s="193" t="str">
        <f ca="1">'EF Table_detail'!C37</f>
        <v>Steel (Painted) used for structural purposes that has undergone hot-rolled steel production route. Including beams, columns, angles, flange channels, hollow sections.</v>
      </c>
      <c r="E36" s="192" t="str">
        <f>'EF Table_detail'!D37</f>
        <v>Structural_steel_hot_painted</v>
      </c>
      <c r="F36" s="192" t="str">
        <f ca="1">'EF Table_detail'!E37</f>
        <v>tonne</v>
      </c>
      <c r="G36" s="192" t="str">
        <f ca="1">'EF Table_detail'!F37</f>
        <v>Tier 2</v>
      </c>
      <c r="H36" s="194">
        <f ca="1">'EF Table_detail'!G37</f>
        <v>1.05</v>
      </c>
      <c r="I36" s="454" t="str" cm="1">
        <f t="array" aca="1" ref="I36" ca="1">IFERROR(print_SF('EF Table_detail'!L37),"")</f>
        <v>4,000</v>
      </c>
      <c r="J36" s="222" t="str" cm="1">
        <f t="array" aca="1" ref="J36" ca="1">IFERROR(print_SF('EF Table_detail'!H37),"")</f>
        <v>3,810</v>
      </c>
      <c r="K36" s="223" t="str" cm="1">
        <f t="array" aca="1" ref="K36" ca="1">IFERROR(print_SF('EF Table_detail'!I37),"")</f>
        <v>2,410</v>
      </c>
      <c r="L36" s="223" t="str" cm="1">
        <f t="array" aca="1" ref="L36" ca="1">IFERROR(print_SF('EF Table_detail'!J37),"")</f>
        <v>3,110</v>
      </c>
      <c r="M36" s="456" t="str" cm="1">
        <f t="array" aca="1" ref="M36" ca="1">IFERROR(print_SF('EF Table_detail'!Q37),"")</f>
        <v>4.00</v>
      </c>
      <c r="N36" s="218" t="str" cm="1">
        <f t="array" aca="1" ref="N36" ca="1">IFERROR(print_SF('EF Table_detail'!M37),"")</f>
        <v>3.81</v>
      </c>
      <c r="O36" s="219" t="str" cm="1">
        <f t="array" aca="1" ref="O36" ca="1">IFERROR(print_SF('EF Table_detail'!N37),"")</f>
        <v>2.41</v>
      </c>
      <c r="P36" s="219" t="str" cm="1">
        <f t="array" aca="1" ref="P36" ca="1">IFERROR(print_SF('EF Table_detail'!O37),"")</f>
        <v>3.11</v>
      </c>
      <c r="Q36" s="454" t="str" cm="1">
        <f t="array" aca="1" ref="Q36" ca="1">IFERROR(print_SF('EF Table_detail'!V37),"")</f>
        <v>0</v>
      </c>
      <c r="R36" s="218" t="str" cm="1">
        <f t="array" aca="1" ref="R36" ca="1">IFERROR(print_SF('EF Table_detail'!S37),"")</f>
        <v>0</v>
      </c>
      <c r="S36" s="219" t="str" cm="1">
        <f t="array" aca="1" ref="S36" ca="1">IFERROR(print_SF('EF Table_detail'!T37),"")</f>
        <v>0</v>
      </c>
      <c r="T36" s="456" t="str" cm="1">
        <f t="array" aca="1" ref="T36" ca="1">IFERROR(print_SF('EF Table_detail'!Z37),"")</f>
        <v>0</v>
      </c>
      <c r="U36" s="218" t="str" cm="1">
        <f t="array" aca="1" ref="U36" ca="1">IFERROR(print_SF('EF Table_detail'!W37),"")</f>
        <v>0</v>
      </c>
      <c r="V36" s="219" t="str" cm="1">
        <f t="array" aca="1" ref="V36" ca="1">IFERROR(print_SF('EF Table_detail'!X37),"")</f>
        <v>0</v>
      </c>
      <c r="W36" s="329" t="str" cm="1">
        <f t="array" aca="1" ref="W36" ca="1">IFERROR(print_SF('EF Table_detail'!AB37),"")</f>
        <v>1,000</v>
      </c>
      <c r="X36" s="330" t="str">
        <f t="shared" ca="1" si="0"/>
        <v>kg/tonne</v>
      </c>
      <c r="Y36" s="213" t="str" cm="1">
        <f t="array" aca="1" ref="Y36" ca="1">IF(INDIRECT(""&amp;$E36&amp;"!R"&amp;Y$141&amp;"C"&amp;Y$142,FALSE)=0,"",INDIRECT(""&amp;$E36&amp;"!R"&amp;Y$141&amp;"C"&amp;Y$142,FALSE))</f>
        <v>Using emission factors determined in structural steel hot rolled then multiplying by a factor for painting as determined using data found in additional data</v>
      </c>
      <c r="Z36" s="277" t="str" cm="1">
        <f t="array" aca="1" ref="Z36" ca="1">IF(INDIRECT(""&amp;$E36&amp;"!R"&amp;Z$141&amp;"C"&amp;Z$142,FALSE)="Average (weighted)","Yes","No")</f>
        <v>Yes</v>
      </c>
      <c r="AA36" s="96"/>
    </row>
    <row r="37" spans="2:27" ht="45" customHeight="1" x14ac:dyDescent="0.25">
      <c r="B37" s="276" t="str">
        <f>'EF Table_detail'!A38</f>
        <v>Structural steel</v>
      </c>
      <c r="C37" s="192" t="str">
        <f>'EF Table_detail'!B38</f>
        <v>Painted Plate steel (hot rolled)</v>
      </c>
      <c r="D37" s="193" t="str">
        <f ca="1">'EF Table_detail'!C38</f>
        <v>Steel (Painted) used for structural purposes that has undergone hot-rolled steel production route. Including beams, columns, angles, flange channels, hollow sections.</v>
      </c>
      <c r="E37" s="192" t="str">
        <f>'EF Table_detail'!D38</f>
        <v>Structural_steel_hot_painted</v>
      </c>
      <c r="F37" s="192" t="str">
        <f ca="1">'EF Table_detail'!E38</f>
        <v>tonne</v>
      </c>
      <c r="G37" s="192" t="str">
        <f ca="1">'EF Table_detail'!F38</f>
        <v>Tier 2</v>
      </c>
      <c r="H37" s="194">
        <f ca="1">'EF Table_detail'!G38</f>
        <v>1.05</v>
      </c>
      <c r="I37" s="454" t="str" cm="1">
        <f t="array" aca="1" ref="I37" ca="1">IFERROR(print_SF('EF Table_detail'!L38),"")</f>
        <v>4,000</v>
      </c>
      <c r="J37" s="222" t="str" cm="1">
        <f t="array" aca="1" ref="J37" ca="1">IFERROR(print_SF('EF Table_detail'!H38),"")</f>
        <v>3,810</v>
      </c>
      <c r="K37" s="223" t="str" cm="1">
        <f t="array" aca="1" ref="K37" ca="1">IFERROR(print_SF('EF Table_detail'!I38),"")</f>
        <v>2,410</v>
      </c>
      <c r="L37" s="223" t="str" cm="1">
        <f t="array" aca="1" ref="L37" ca="1">IFERROR(print_SF('EF Table_detail'!J38),"")</f>
        <v>3,110</v>
      </c>
      <c r="M37" s="456" t="str" cm="1">
        <f t="array" aca="1" ref="M37" ca="1">IFERROR(print_SF('EF Table_detail'!Q38),"")</f>
        <v>4.00</v>
      </c>
      <c r="N37" s="218" t="str" cm="1">
        <f t="array" aca="1" ref="N37" ca="1">IFERROR(print_SF('EF Table_detail'!M38),"")</f>
        <v>3.81</v>
      </c>
      <c r="O37" s="219" t="str" cm="1">
        <f t="array" aca="1" ref="O37" ca="1">IFERROR(print_SF('EF Table_detail'!N38),"")</f>
        <v>2.41</v>
      </c>
      <c r="P37" s="219" t="str" cm="1">
        <f t="array" aca="1" ref="P37" ca="1">IFERROR(print_SF('EF Table_detail'!O38),"")</f>
        <v>3.11</v>
      </c>
      <c r="Q37" s="454" t="str" cm="1">
        <f t="array" aca="1" ref="Q37" ca="1">IFERROR(print_SF('EF Table_detail'!V38),"")</f>
        <v>0</v>
      </c>
      <c r="R37" s="218" t="str" cm="1">
        <f t="array" aca="1" ref="R37" ca="1">IFERROR(print_SF('EF Table_detail'!S38),"")</f>
        <v>0</v>
      </c>
      <c r="S37" s="219" t="str" cm="1">
        <f t="array" aca="1" ref="S37" ca="1">IFERROR(print_SF('EF Table_detail'!T38),"")</f>
        <v>0</v>
      </c>
      <c r="T37" s="456" t="str" cm="1">
        <f t="array" aca="1" ref="T37" ca="1">IFERROR(print_SF('EF Table_detail'!Z38),"")</f>
        <v>0</v>
      </c>
      <c r="U37" s="218" t="str" cm="1">
        <f t="array" aca="1" ref="U37" ca="1">IFERROR(print_SF('EF Table_detail'!W38),"")</f>
        <v>0</v>
      </c>
      <c r="V37" s="219" t="str" cm="1">
        <f t="array" aca="1" ref="V37" ca="1">IFERROR(print_SF('EF Table_detail'!X38),"")</f>
        <v>0</v>
      </c>
      <c r="W37" s="329" t="str" cm="1">
        <f t="array" aca="1" ref="W37" ca="1">IFERROR(print_SF('EF Table_detail'!AB38),"")</f>
        <v>1,000</v>
      </c>
      <c r="X37" s="330" t="str">
        <f t="shared" ca="1" si="0"/>
        <v>kg/tonne</v>
      </c>
      <c r="Y37" s="213" t="str" cm="1">
        <f t="array" aca="1" ref="Y37" ca="1">IF(INDIRECT(""&amp;$E37&amp;"!R"&amp;Y$141&amp;"C"&amp;Y$142,FALSE)=0,"",INDIRECT(""&amp;$E37&amp;"!R"&amp;Y$141&amp;"C"&amp;Y$142,FALSE))</f>
        <v>Using emission factors determined in structural steel hot rolled then multiplying by a factor for painting as determined using data found in additional data</v>
      </c>
      <c r="Z37" s="277" t="str" cm="1">
        <f t="array" aca="1" ref="Z37" ca="1">IF(INDIRECT(""&amp;$E37&amp;"!R"&amp;Z$141&amp;"C"&amp;Z$142,FALSE)="Average (weighted)","Yes","No")</f>
        <v>Yes</v>
      </c>
      <c r="AA37" s="96"/>
    </row>
    <row r="38" spans="2:27" ht="45" customHeight="1" x14ac:dyDescent="0.25">
      <c r="B38" s="276" t="str">
        <f>'EF Table_detail'!A39</f>
        <v>Stainless steel</v>
      </c>
      <c r="C38" s="192" t="str">
        <f>'EF Table_detail'!B39</f>
        <v>Stainless steel (general)</v>
      </c>
      <c r="D38" s="193" t="str">
        <f ca="1">'EF Table_detail'!C39</f>
        <v xml:space="preserve">All stainless steel </v>
      </c>
      <c r="E38" s="192" t="str">
        <f>'EF Table_detail'!D39</f>
        <v>Stainless_steel</v>
      </c>
      <c r="F38" s="192" t="str">
        <f ca="1">'EF Table_detail'!E39</f>
        <v>tonne</v>
      </c>
      <c r="G38" s="192" t="str">
        <f ca="1">'EF Table_detail'!F39</f>
        <v>Tier 4</v>
      </c>
      <c r="H38" s="194">
        <f ca="1">'EF Table_detail'!G39</f>
        <v>1.2</v>
      </c>
      <c r="I38" s="454" t="str" cm="1">
        <f t="array" aca="1" ref="I38" ca="1">IFERROR(print_SF('EF Table_detail'!L39),"")</f>
        <v>5,990</v>
      </c>
      <c r="J38" s="222" t="str" cm="1">
        <f t="array" aca="1" ref="J38" ca="1">IFERROR(print_SF('EF Table_detail'!H39),"")</f>
        <v>4,990</v>
      </c>
      <c r="K38" s="223" t="str" cm="1">
        <f t="array" aca="1" ref="K38" ca="1">IFERROR(print_SF('EF Table_detail'!I39),"")</f>
        <v>2,740</v>
      </c>
      <c r="L38" s="223" t="str" cm="1">
        <f t="array" aca="1" ref="L38" ca="1">IFERROR(print_SF('EF Table_detail'!J39),"")</f>
        <v>3,520</v>
      </c>
      <c r="M38" s="456" t="str" cm="1">
        <f t="array" aca="1" ref="M38" ca="1">IFERROR(print_SF('EF Table_detail'!Q39),"")</f>
        <v>5.99</v>
      </c>
      <c r="N38" s="218" t="str" cm="1">
        <f t="array" aca="1" ref="N38" ca="1">IFERROR(print_SF('EF Table_detail'!M39),"")</f>
        <v>4.99</v>
      </c>
      <c r="O38" s="219" t="str" cm="1">
        <f t="array" aca="1" ref="O38" ca="1">IFERROR(print_SF('EF Table_detail'!N39),"")</f>
        <v>2.74</v>
      </c>
      <c r="P38" s="219" t="str" cm="1">
        <f t="array" aca="1" ref="P38" ca="1">IFERROR(print_SF('EF Table_detail'!O39),"")</f>
        <v>3.52</v>
      </c>
      <c r="Q38" s="454" t="str" cm="1">
        <f t="array" aca="1" ref="Q38" ca="1">IFERROR(print_SF('EF Table_detail'!V39),"")</f>
        <v>0</v>
      </c>
      <c r="R38" s="218" t="str" cm="1">
        <f t="array" aca="1" ref="R38" ca="1">IFERROR(print_SF('EF Table_detail'!S39),"")</f>
        <v>0</v>
      </c>
      <c r="S38" s="219" t="str" cm="1">
        <f t="array" aca="1" ref="S38" ca="1">IFERROR(print_SF('EF Table_detail'!T39),"")</f>
        <v>0</v>
      </c>
      <c r="T38" s="456" t="str" cm="1">
        <f t="array" aca="1" ref="T38" ca="1">IFERROR(print_SF('EF Table_detail'!Z39),"")</f>
        <v>0</v>
      </c>
      <c r="U38" s="218" t="str" cm="1">
        <f t="array" aca="1" ref="U38" ca="1">IFERROR(print_SF('EF Table_detail'!W39),"")</f>
        <v>0</v>
      </c>
      <c r="V38" s="219" t="str" cm="1">
        <f t="array" aca="1" ref="V38" ca="1">IFERROR(print_SF('EF Table_detail'!X39),"")</f>
        <v>0</v>
      </c>
      <c r="W38" s="329" t="str" cm="1">
        <f t="array" aca="1" ref="W38" ca="1">IFERROR(print_SF('EF Table_detail'!AB39),"")</f>
        <v>1,000</v>
      </c>
      <c r="X38" s="330" t="str">
        <f t="shared" ref="X38:X69" ca="1" si="1">"kg/"&amp;F38</f>
        <v>kg/tonne</v>
      </c>
      <c r="Y38" s="213" t="str" cm="1">
        <f t="array" aca="1" ref="Y38" ca="1">IF(INDIRECT(""&amp;$E38&amp;"!R"&amp;Y$141&amp;"C"&amp;Y$142,FALSE)=0,"",INDIRECT(""&amp;$E38&amp;"!R"&amp;Y$141&amp;"C"&amp;Y$142,FALSE))</f>
        <v/>
      </c>
      <c r="Z38" s="277" t="str" cm="1">
        <f t="array" aca="1" ref="Z38" ca="1">IF(INDIRECT(""&amp;$E38&amp;"!R"&amp;Z$141&amp;"C"&amp;Z$142,FALSE)="Average (weighted)","Yes","No")</f>
        <v>No</v>
      </c>
      <c r="AA38" s="96"/>
    </row>
    <row r="39" spans="2:27" ht="45" customHeight="1" x14ac:dyDescent="0.25">
      <c r="B39" s="276" t="str">
        <f>'EF Table_detail'!A40</f>
        <v>Timber</v>
      </c>
      <c r="C39" s="192" t="str">
        <f>'EF Table_detail'!B40</f>
        <v>Sawn softwood</v>
      </c>
      <c r="D39" s="193" t="str">
        <f ca="1">'EF Table_detail'!C40</f>
        <v>Softwood timber most common species raidata pine,and includes treated, untreated, surfaced, and sawn products</v>
      </c>
      <c r="E39" s="192" t="str">
        <f>'EF Table_detail'!D40</f>
        <v>Timber_softwood</v>
      </c>
      <c r="F39" s="192" t="str">
        <f ca="1">'EF Table_detail'!E40</f>
        <v>m³</v>
      </c>
      <c r="G39" s="192" t="str">
        <f ca="1">'EF Table_detail'!F40</f>
        <v>Tier 2</v>
      </c>
      <c r="H39" s="194">
        <f ca="1">'EF Table_detail'!G40</f>
        <v>1.05</v>
      </c>
      <c r="I39" s="454" t="str" cm="1">
        <f t="array" aca="1" ref="I39" ca="1">IFERROR(print_SF('EF Table_detail'!L40),"")</f>
        <v>349</v>
      </c>
      <c r="J39" s="222" t="str" cm="1">
        <f t="array" aca="1" ref="J39" ca="1">IFERROR(print_SF('EF Table_detail'!H40),"")</f>
        <v>332</v>
      </c>
      <c r="K39" s="223" t="str" cm="1">
        <f t="array" aca="1" ref="K39" ca="1">IFERROR(print_SF('EF Table_detail'!I40),"")</f>
        <v>113</v>
      </c>
      <c r="L39" s="223" t="str" cm="1">
        <f t="array" aca="1" ref="L39" ca="1">IFERROR(print_SF('EF Table_detail'!J40),"")</f>
        <v>188</v>
      </c>
      <c r="M39" s="456" t="str" cm="1">
        <f t="array" aca="1" ref="M39" ca="1">IFERROR(print_SF('EF Table_detail'!Q40),"")</f>
        <v>0.633</v>
      </c>
      <c r="N39" s="218" t="str" cm="1">
        <f t="array" aca="1" ref="N39" ca="1">IFERROR(print_SF('EF Table_detail'!M40),"")</f>
        <v>0.603</v>
      </c>
      <c r="O39" s="219" t="str" cm="1">
        <f t="array" aca="1" ref="O39" ca="1">IFERROR(print_SF('EF Table_detail'!N40),"")</f>
        <v>0.205</v>
      </c>
      <c r="P39" s="219" t="str" cm="1">
        <f t="array" aca="1" ref="P39" ca="1">IFERROR(print_SF('EF Table_detail'!O40),"")</f>
        <v>0.366</v>
      </c>
      <c r="Q39" s="454" t="str" cm="1">
        <f t="array" aca="1" ref="Q39" ca="1">IFERROR(print_SF('EF Table_detail'!V40),"")</f>
        <v>933</v>
      </c>
      <c r="R39" s="222" t="str" cm="1">
        <f t="array" aca="1" ref="R39" ca="1">IFERROR(print_SF('EF Table_detail'!S40),"")</f>
        <v>889</v>
      </c>
      <c r="S39" s="223" t="str" cm="1">
        <f t="array" aca="1" ref="S39" ca="1">IFERROR(print_SF('EF Table_detail'!T40),"")</f>
        <v>857</v>
      </c>
      <c r="T39" s="456" t="str" cm="1">
        <f t="array" aca="1" ref="T39" ca="1">IFERROR(print_SF('EF Table_detail'!Z40),"")</f>
        <v>1.61</v>
      </c>
      <c r="U39" s="218" t="str" cm="1">
        <f t="array" aca="1" ref="U39" ca="1">IFERROR(print_SF('EF Table_detail'!W40),"")</f>
        <v>1.61</v>
      </c>
      <c r="V39" s="219" t="str" cm="1">
        <f t="array" aca="1" ref="V39" ca="1">IFERROR(print_SF('EF Table_detail'!X40),"")</f>
        <v>1.64</v>
      </c>
      <c r="W39" s="329" t="str" cm="1">
        <f t="array" aca="1" ref="W39" ca="1">IFERROR(print_SF('EF Table_detail'!AB40),"")</f>
        <v>514</v>
      </c>
      <c r="X39" s="330" t="str">
        <f t="shared" ca="1" si="1"/>
        <v>kg/m³</v>
      </c>
      <c r="Y39" s="213" t="str" cm="1">
        <f t="array" aca="1" ref="Y39" ca="1">IF(INDIRECT(""&amp;$E39&amp;"!R"&amp;Y$141&amp;"C"&amp;Y$142,FALSE)=0,"",INDIRECT(""&amp;$E39&amp;"!R"&amp;Y$141&amp;"C"&amp;Y$142,FALSE))</f>
        <v/>
      </c>
      <c r="Z39" s="277" t="str" cm="1">
        <f t="array" aca="1" ref="Z39" ca="1">IF(INDIRECT(""&amp;$E39&amp;"!R"&amp;Z$141&amp;"C"&amp;Z$142,FALSE)="Average (weighted)","Yes","No")</f>
        <v>Yes</v>
      </c>
      <c r="AA39" s="96"/>
    </row>
    <row r="40" spans="2:27" ht="45" customHeight="1" x14ac:dyDescent="0.25">
      <c r="B40" s="276" t="str">
        <f>'EF Table_detail'!A41</f>
        <v>Timber</v>
      </c>
      <c r="C40" s="192" t="str">
        <f>'EF Table_detail'!B41</f>
        <v>Sawn hardwood</v>
      </c>
      <c r="D40" s="193" t="str">
        <f ca="1">'EF Table_detail'!C41</f>
        <v>Hardwood timber includes treated, untreated, dressed, and sawn products</v>
      </c>
      <c r="E40" s="192" t="str">
        <f>'EF Table_detail'!D41</f>
        <v>Timber_hardwood</v>
      </c>
      <c r="F40" s="192" t="str">
        <f ca="1">'EF Table_detail'!E41</f>
        <v>m³</v>
      </c>
      <c r="G40" s="192" t="str">
        <f ca="1">'EF Table_detail'!F41</f>
        <v>Tier 2</v>
      </c>
      <c r="H40" s="194">
        <f ca="1">'EF Table_detail'!G41</f>
        <v>1.05</v>
      </c>
      <c r="I40" s="454" t="str" cm="1">
        <f t="array" aca="1" ref="I40" ca="1">IFERROR(print_SF('EF Table_detail'!L41),"")</f>
        <v>591</v>
      </c>
      <c r="J40" s="222" t="str" cm="1">
        <f t="array" aca="1" ref="J40" ca="1">IFERROR(print_SF('EF Table_detail'!H41),"")</f>
        <v>563</v>
      </c>
      <c r="K40" s="223" t="str" cm="1">
        <f t="array" aca="1" ref="K40" ca="1">IFERROR(print_SF('EF Table_detail'!I41),"")</f>
        <v>104</v>
      </c>
      <c r="L40" s="223" t="str" cm="1">
        <f t="array" aca="1" ref="L40" ca="1">IFERROR(print_SF('EF Table_detail'!J41),"")</f>
        <v>347</v>
      </c>
      <c r="M40" s="456" t="str" cm="1">
        <f t="array" aca="1" ref="M40" ca="1">IFERROR(print_SF('EF Table_detail'!Q41),"")</f>
        <v>0.804</v>
      </c>
      <c r="N40" s="218" t="str" cm="1">
        <f t="array" aca="1" ref="N40" ca="1">IFERROR(print_SF('EF Table_detail'!M41),"")</f>
        <v>0.765</v>
      </c>
      <c r="O40" s="219" t="str" cm="1">
        <f t="array" aca="1" ref="O40" ca="1">IFERROR(print_SF('EF Table_detail'!N41),"")</f>
        <v>0.126</v>
      </c>
      <c r="P40" s="219" t="str" cm="1">
        <f t="array" aca="1" ref="P40" ca="1">IFERROR(print_SF('EF Table_detail'!O41),"")</f>
        <v>0.466</v>
      </c>
      <c r="Q40" s="454" t="str" cm="1">
        <f t="array" aca="1" ref="Q40" ca="1">IFERROR(print_SF('EF Table_detail'!V41),"")</f>
        <v>1,270</v>
      </c>
      <c r="R40" s="222" t="str" cm="1">
        <f t="array" aca="1" ref="R40" ca="1">IFERROR(print_SF('EF Table_detail'!S41),"")</f>
        <v>1,210</v>
      </c>
      <c r="S40" s="223" t="str" cm="1">
        <f t="array" aca="1" ref="S40" ca="1">IFERROR(print_SF('EF Table_detail'!T41),"")</f>
        <v>1,170</v>
      </c>
      <c r="T40" s="456" t="str" cm="1">
        <f t="array" aca="1" ref="T40" ca="1">IFERROR(print_SF('EF Table_detail'!Z41),"")</f>
        <v>1.65</v>
      </c>
      <c r="U40" s="218" t="str" cm="1">
        <f t="array" aca="1" ref="U40" ca="1">IFERROR(print_SF('EF Table_detail'!W41),"")</f>
        <v>1.65</v>
      </c>
      <c r="V40" s="219" t="str" cm="1">
        <f t="array" aca="1" ref="V40" ca="1">IFERROR(print_SF('EF Table_detail'!X41),"")</f>
        <v>1.54</v>
      </c>
      <c r="W40" s="329" t="str" cm="1">
        <f t="array" aca="1" ref="W40" ca="1">IFERROR(print_SF('EF Table_detail'!AB41),"")</f>
        <v>744</v>
      </c>
      <c r="X40" s="330" t="str">
        <f t="shared" ca="1" si="1"/>
        <v>kg/m³</v>
      </c>
      <c r="Y40" s="213" t="str" cm="1">
        <f t="array" aca="1" ref="Y40" ca="1">IF(INDIRECT(""&amp;$E40&amp;"!R"&amp;Y$141&amp;"C"&amp;Y$142,FALSE)=0,"",INDIRECT(""&amp;$E40&amp;"!R"&amp;Y$141&amp;"C"&amp;Y$142,FALSE))</f>
        <v/>
      </c>
      <c r="Z40" s="277" t="str" cm="1">
        <f t="array" aca="1" ref="Z40" ca="1">IF(INDIRECT(""&amp;$E40&amp;"!R"&amp;Z$141&amp;"C"&amp;Z$142,FALSE)="Average (weighted)","Yes","No")</f>
        <v>No</v>
      </c>
      <c r="AA40" s="96"/>
    </row>
    <row r="41" spans="2:27" ht="45" customHeight="1" x14ac:dyDescent="0.25">
      <c r="B41" s="276" t="str">
        <f>'EF Table_detail'!A42</f>
        <v>Timber</v>
      </c>
      <c r="C41" s="192" t="str">
        <f>'EF Table_detail'!B42</f>
        <v>Timber poles - piles</v>
      </c>
      <c r="D41" s="193" t="str">
        <f ca="1">'EF Table_detail'!C42</f>
        <v>Hardwood timber includes treated, untreated, dressed, and sawn products</v>
      </c>
      <c r="E41" s="192" t="str">
        <f>'EF Table_detail'!D42</f>
        <v>Timber_hardwood</v>
      </c>
      <c r="F41" s="192" t="str">
        <f ca="1">'EF Table_detail'!E42</f>
        <v>m³</v>
      </c>
      <c r="G41" s="192" t="str">
        <f ca="1">'EF Table_detail'!F42</f>
        <v>Tier 2</v>
      </c>
      <c r="H41" s="194">
        <f ca="1">'EF Table_detail'!G42</f>
        <v>1.05</v>
      </c>
      <c r="I41" s="454" t="str" cm="1">
        <f t="array" aca="1" ref="I41" ca="1">IFERROR(print_SF('EF Table_detail'!L42),"")</f>
        <v>591</v>
      </c>
      <c r="J41" s="222" t="str" cm="1">
        <f t="array" aca="1" ref="J41" ca="1">IFERROR(print_SF('EF Table_detail'!H42),"")</f>
        <v>563</v>
      </c>
      <c r="K41" s="223" t="str" cm="1">
        <f t="array" aca="1" ref="K41" ca="1">IFERROR(print_SF('EF Table_detail'!I42),"")</f>
        <v>104</v>
      </c>
      <c r="L41" s="223" t="str" cm="1">
        <f t="array" aca="1" ref="L41" ca="1">IFERROR(print_SF('EF Table_detail'!J42),"")</f>
        <v>347</v>
      </c>
      <c r="M41" s="456" t="str" cm="1">
        <f t="array" aca="1" ref="M41" ca="1">IFERROR(print_SF('EF Table_detail'!Q42),"")</f>
        <v>0.804</v>
      </c>
      <c r="N41" s="218" t="str" cm="1">
        <f t="array" aca="1" ref="N41" ca="1">IFERROR(print_SF('EF Table_detail'!M42),"")</f>
        <v>0.765</v>
      </c>
      <c r="O41" s="219" t="str" cm="1">
        <f t="array" aca="1" ref="O41" ca="1">IFERROR(print_SF('EF Table_detail'!N42),"")</f>
        <v>0.126</v>
      </c>
      <c r="P41" s="219" t="str" cm="1">
        <f t="array" aca="1" ref="P41" ca="1">IFERROR(print_SF('EF Table_detail'!O42),"")</f>
        <v>0.466</v>
      </c>
      <c r="Q41" s="454" t="str" cm="1">
        <f t="array" aca="1" ref="Q41" ca="1">IFERROR(print_SF('EF Table_detail'!V42),"")</f>
        <v>1,270</v>
      </c>
      <c r="R41" s="222" t="str" cm="1">
        <f t="array" aca="1" ref="R41" ca="1">IFERROR(print_SF('EF Table_detail'!S42),"")</f>
        <v>1,210</v>
      </c>
      <c r="S41" s="223" t="str" cm="1">
        <f t="array" aca="1" ref="S41" ca="1">IFERROR(print_SF('EF Table_detail'!T42),"")</f>
        <v>1,170</v>
      </c>
      <c r="T41" s="456" t="str" cm="1">
        <f t="array" aca="1" ref="T41" ca="1">IFERROR(print_SF('EF Table_detail'!Z42),"")</f>
        <v>1.65</v>
      </c>
      <c r="U41" s="218" t="str" cm="1">
        <f t="array" aca="1" ref="U41" ca="1">IFERROR(print_SF('EF Table_detail'!W42),"")</f>
        <v>1.65</v>
      </c>
      <c r="V41" s="219" t="str" cm="1">
        <f t="array" aca="1" ref="V41" ca="1">IFERROR(print_SF('EF Table_detail'!X42),"")</f>
        <v>1.54</v>
      </c>
      <c r="W41" s="329" t="str" cm="1">
        <f t="array" aca="1" ref="W41" ca="1">IFERROR(print_SF('EF Table_detail'!AB42),"")</f>
        <v>744</v>
      </c>
      <c r="X41" s="330" t="str">
        <f t="shared" ca="1" si="1"/>
        <v>kg/m³</v>
      </c>
      <c r="Y41" s="213" t="str" cm="1">
        <f t="array" aca="1" ref="Y41" ca="1">IF(INDIRECT(""&amp;$E41&amp;"!R"&amp;Y$141&amp;"C"&amp;Y$142,FALSE)=0,"",INDIRECT(""&amp;$E41&amp;"!R"&amp;Y$141&amp;"C"&amp;Y$142,FALSE))</f>
        <v/>
      </c>
      <c r="Z41" s="277" t="str" cm="1">
        <f t="array" aca="1" ref="Z41" ca="1">IF(INDIRECT(""&amp;$E41&amp;"!R"&amp;Z$141&amp;"C"&amp;Z$142,FALSE)="Average (weighted)","Yes","No")</f>
        <v>No</v>
      </c>
      <c r="AA41" s="96"/>
    </row>
    <row r="42" spans="2:27" ht="45" customHeight="1" x14ac:dyDescent="0.25">
      <c r="B42" s="276" t="str">
        <f>'EF Table_detail'!A43</f>
        <v>Timber (engineered)</v>
      </c>
      <c r="C42" s="192" t="str">
        <f>'EF Table_detail'!B43</f>
        <v>Plywood (all)</v>
      </c>
      <c r="D42" s="193" t="str">
        <f ca="1">'EF Table_detail'!C43</f>
        <v xml:space="preserve">Plywood timber for bracing, structural (walling, flooring), formwork purposes. </v>
      </c>
      <c r="E42" s="192" t="str">
        <f>'EF Table_detail'!D43</f>
        <v>Eng_Timber_Plywood</v>
      </c>
      <c r="F42" s="192" t="str">
        <f ca="1">'EF Table_detail'!E43</f>
        <v>m³</v>
      </c>
      <c r="G42" s="192" t="str">
        <f ca="1">'EF Table_detail'!F43</f>
        <v>Tier 2</v>
      </c>
      <c r="H42" s="194">
        <f ca="1">'EF Table_detail'!G43</f>
        <v>1.05</v>
      </c>
      <c r="I42" s="454" t="str" cm="1">
        <f t="array" aca="1" ref="I42" ca="1">IFERROR(print_SF('EF Table_detail'!L43),"")</f>
        <v>968</v>
      </c>
      <c r="J42" s="222" t="str" cm="1">
        <f t="array" aca="1" ref="J42" ca="1">IFERROR(print_SF('EF Table_detail'!H43),"")</f>
        <v>922</v>
      </c>
      <c r="K42" s="223" t="str" cm="1">
        <f t="array" aca="1" ref="K42" ca="1">IFERROR(print_SF('EF Table_detail'!I43),"")</f>
        <v>235</v>
      </c>
      <c r="L42" s="223" t="str" cm="1">
        <f t="array" aca="1" ref="L42" ca="1">IFERROR(print_SF('EF Table_detail'!J43),"")</f>
        <v>498</v>
      </c>
      <c r="M42" s="456" t="str" cm="1">
        <f t="array" aca="1" ref="M42" ca="1">IFERROR(print_SF('EF Table_detail'!Q43),"")</f>
        <v>1.77</v>
      </c>
      <c r="N42" s="218" t="str" cm="1">
        <f t="array" aca="1" ref="N42" ca="1">IFERROR(print_SF('EF Table_detail'!M43),"")</f>
        <v>1.69</v>
      </c>
      <c r="O42" s="219" t="str" cm="1">
        <f t="array" aca="1" ref="O42" ca="1">IFERROR(print_SF('EF Table_detail'!N43),"")</f>
        <v>0.396</v>
      </c>
      <c r="P42" s="219" t="str" cm="1">
        <f t="array" aca="1" ref="P42" ca="1">IFERROR(print_SF('EF Table_detail'!O43),"")</f>
        <v>0.978</v>
      </c>
      <c r="Q42" s="454" t="str" cm="1">
        <f t="array" aca="1" ref="Q42" ca="1">IFERROR(print_SF('EF Table_detail'!V43),"")</f>
        <v>967</v>
      </c>
      <c r="R42" s="222" t="str" cm="1">
        <f t="array" aca="1" ref="R42" ca="1">IFERROR(print_SF('EF Table_detail'!S43),"")</f>
        <v>921</v>
      </c>
      <c r="S42" s="223" t="str" cm="1">
        <f t="array" aca="1" ref="S42" ca="1">IFERROR(print_SF('EF Table_detail'!T43),"")</f>
        <v>841</v>
      </c>
      <c r="T42" s="456" t="str" cm="1">
        <f t="array" aca="1" ref="T42" ca="1">IFERROR(print_SF('EF Table_detail'!Z43),"")</f>
        <v>1.69</v>
      </c>
      <c r="U42" s="218" t="str" cm="1">
        <f t="array" aca="1" ref="U42" ca="1">IFERROR(print_SF('EF Table_detail'!W43),"")</f>
        <v>1.69</v>
      </c>
      <c r="V42" s="219" t="str" cm="1">
        <f t="array" aca="1" ref="V42" ca="1">IFERROR(print_SF('EF Table_detail'!X43),"")</f>
        <v>1.64</v>
      </c>
      <c r="W42" s="329" t="str" cm="1">
        <f t="array" aca="1" ref="W42" ca="1">IFERROR(print_SF('EF Table_detail'!AB43),"")</f>
        <v>509</v>
      </c>
      <c r="X42" s="330" t="str">
        <f t="shared" ca="1" si="1"/>
        <v>kg/m³</v>
      </c>
      <c r="Y42" s="213" t="str" cm="1">
        <f t="array" aca="1" ref="Y42" ca="1">IF(INDIRECT(""&amp;$E42&amp;"!R"&amp;Y$141&amp;"C"&amp;Y$142,FALSE)=0,"",INDIRECT(""&amp;$E42&amp;"!R"&amp;Y$141&amp;"C"&amp;Y$142,FALSE))</f>
        <v/>
      </c>
      <c r="Z42" s="277" t="str" cm="1">
        <f t="array" aca="1" ref="Z42" ca="1">IF(INDIRECT(""&amp;$E42&amp;"!R"&amp;Z$141&amp;"C"&amp;Z$142,FALSE)="Average (weighted)","Yes","No")</f>
        <v>Yes</v>
      </c>
      <c r="AA42" s="96"/>
    </row>
    <row r="43" spans="2:27" ht="45" customHeight="1" x14ac:dyDescent="0.25">
      <c r="B43" s="276" t="str">
        <f>'EF Table_detail'!A44</f>
        <v>Timber (engineered)</v>
      </c>
      <c r="C43" s="192" t="str">
        <f>'EF Table_detail'!B44</f>
        <v>Particleboard</v>
      </c>
      <c r="D43" s="193" t="str">
        <f ca="1">'EF Table_detail'!C44</f>
        <v xml:space="preserve">Particleboard including walling and flooring applications </v>
      </c>
      <c r="E43" s="192" t="str">
        <f>'EF Table_detail'!D44</f>
        <v>Eng_Timber_Particleboard</v>
      </c>
      <c r="F43" s="192" t="str">
        <f ca="1">'EF Table_detail'!E44</f>
        <v>m³</v>
      </c>
      <c r="G43" s="192" t="str">
        <f ca="1">'EF Table_detail'!F44</f>
        <v>Tier 2</v>
      </c>
      <c r="H43" s="194">
        <f ca="1">'EF Table_detail'!G44</f>
        <v>1.05</v>
      </c>
      <c r="I43" s="454" t="str" cm="1">
        <f t="array" aca="1" ref="I43" ca="1">IFERROR(print_SF('EF Table_detail'!L44),"")</f>
        <v>880</v>
      </c>
      <c r="J43" s="222" t="str" cm="1">
        <f t="array" aca="1" ref="J43" ca="1">IFERROR(print_SF('EF Table_detail'!H44),"")</f>
        <v>838</v>
      </c>
      <c r="K43" s="223" t="str" cm="1">
        <f t="array" aca="1" ref="K43" ca="1">IFERROR(print_SF('EF Table_detail'!I44),"")</f>
        <v>322</v>
      </c>
      <c r="L43" s="223" t="str" cm="1">
        <f t="array" aca="1" ref="L43" ca="1">IFERROR(print_SF('EF Table_detail'!J44),"")</f>
        <v>650</v>
      </c>
      <c r="M43" s="456" t="str" cm="1">
        <f t="array" aca="1" ref="M43" ca="1">IFERROR(print_SF('EF Table_detail'!Q44),"")</f>
        <v>1.23</v>
      </c>
      <c r="N43" s="218" t="str" cm="1">
        <f t="array" aca="1" ref="N43" ca="1">IFERROR(print_SF('EF Table_detail'!M44),"")</f>
        <v>1.17</v>
      </c>
      <c r="O43" s="219" t="str" cm="1">
        <f t="array" aca="1" ref="O43" ca="1">IFERROR(print_SF('EF Table_detail'!N44),"")</f>
        <v>0.488</v>
      </c>
      <c r="P43" s="219" t="str" cm="1">
        <f t="array" aca="1" ref="P43" ca="1">IFERROR(print_SF('EF Table_detail'!O44),"")</f>
        <v>0.915</v>
      </c>
      <c r="Q43" s="454" t="str" cm="1">
        <f t="array" aca="1" ref="Q43" ca="1">IFERROR(print_SF('EF Table_detail'!V44),"")</f>
        <v>1,240</v>
      </c>
      <c r="R43" s="222" t="str" cm="1">
        <f t="array" aca="1" ref="R43" ca="1">IFERROR(print_SF('EF Table_detail'!S44),"")</f>
        <v>1,180</v>
      </c>
      <c r="S43" s="223" t="str" cm="1">
        <f t="array" aca="1" ref="S43" ca="1">IFERROR(print_SF('EF Table_detail'!T44),"")</f>
        <v>1,140</v>
      </c>
      <c r="T43" s="456" t="str" cm="1">
        <f t="array" aca="1" ref="T43" ca="1">IFERROR(print_SF('EF Table_detail'!Z44),"")</f>
        <v>1.65</v>
      </c>
      <c r="U43" s="218" t="str" cm="1">
        <f t="array" aca="1" ref="U43" ca="1">IFERROR(print_SF('EF Table_detail'!W44),"")</f>
        <v>1.65</v>
      </c>
      <c r="V43" s="219" t="str" cm="1">
        <f t="array" aca="1" ref="V43" ca="1">IFERROR(print_SF('EF Table_detail'!X44),"")</f>
        <v>1.62</v>
      </c>
      <c r="W43" s="329" t="str" cm="1">
        <f t="array" aca="1" ref="W43" ca="1">IFERROR(print_SF('EF Table_detail'!AB44),"")</f>
        <v>711</v>
      </c>
      <c r="X43" s="330" t="str">
        <f t="shared" ca="1" si="1"/>
        <v>kg/m³</v>
      </c>
      <c r="Y43" s="213" t="str" cm="1">
        <f t="array" aca="1" ref="Y43" ca="1">IF(INDIRECT(""&amp;$E43&amp;"!R"&amp;Y$141&amp;"C"&amp;Y$142,FALSE)=0,"",INDIRECT(""&amp;$E43&amp;"!R"&amp;Y$141&amp;"C"&amp;Y$142,FALSE))</f>
        <v/>
      </c>
      <c r="Z43" s="277" t="str" cm="1">
        <f t="array" aca="1" ref="Z43" ca="1">IF(INDIRECT(""&amp;$E43&amp;"!R"&amp;Z$141&amp;"C"&amp;Z$142,FALSE)="Average (weighted)","Yes","No")</f>
        <v>Yes</v>
      </c>
      <c r="AA43" s="96"/>
    </row>
    <row r="44" spans="2:27" ht="45" customHeight="1" x14ac:dyDescent="0.25">
      <c r="B44" s="276" t="str">
        <f>'EF Table_detail'!A45</f>
        <v>Timber (engineered)</v>
      </c>
      <c r="C44" s="192" t="str">
        <f>'EF Table_detail'!B45</f>
        <v>GLT&amp;CLT (softwood)</v>
      </c>
      <c r="D44" s="193" t="str">
        <f ca="1">'EF Table_detail'!C45</f>
        <v>Softwood glue laminated timber (GLT) or cross laminated timber (CLT) including treated and untreated</v>
      </c>
      <c r="E44" s="192" t="str">
        <f>'EF Table_detail'!D45</f>
        <v>Eng_Timber_GLT_CLT_Soft</v>
      </c>
      <c r="F44" s="192" t="str">
        <f ca="1">'EF Table_detail'!E45</f>
        <v>m³</v>
      </c>
      <c r="G44" s="192" t="str">
        <f ca="1">'EF Table_detail'!F45</f>
        <v>Tier 2</v>
      </c>
      <c r="H44" s="194">
        <f ca="1">'EF Table_detail'!G45</f>
        <v>1.05</v>
      </c>
      <c r="I44" s="454" t="str" cm="1">
        <f t="array" aca="1" ref="I44" ca="1">IFERROR(print_SF('EF Table_detail'!L45),"")</f>
        <v>565</v>
      </c>
      <c r="J44" s="222" t="str" cm="1">
        <f t="array" aca="1" ref="J44" ca="1">IFERROR(print_SF('EF Table_detail'!H45),"")</f>
        <v>539</v>
      </c>
      <c r="K44" s="223" t="str" cm="1">
        <f t="array" aca="1" ref="K44" ca="1">IFERROR(print_SF('EF Table_detail'!I45),"")</f>
        <v>53.8</v>
      </c>
      <c r="L44" s="223" t="str" cm="1">
        <f t="array" aca="1" ref="L44" ca="1">IFERROR(print_SF('EF Table_detail'!J45),"")</f>
        <v>242</v>
      </c>
      <c r="M44" s="456" t="str" cm="1">
        <f t="array" aca="1" ref="M44" ca="1">IFERROR(print_SF('EF Table_detail'!Q45),"")</f>
        <v>1.26</v>
      </c>
      <c r="N44" s="218" t="str" cm="1">
        <f t="array" aca="1" ref="N44" ca="1">IFERROR(print_SF('EF Table_detail'!M45),"")</f>
        <v>1.20</v>
      </c>
      <c r="O44" s="219" t="str" cm="1">
        <f t="array" aca="1" ref="O44" ca="1">IFERROR(print_SF('EF Table_detail'!N45),"")</f>
        <v>0.114</v>
      </c>
      <c r="P44" s="219" t="str" cm="1">
        <f t="array" aca="1" ref="P44" ca="1">IFERROR(print_SF('EF Table_detail'!O45),"")</f>
        <v>0.467</v>
      </c>
      <c r="Q44" s="454" t="str" cm="1">
        <f t="array" aca="1" ref="Q44" ca="1">IFERROR(print_SF('EF Table_detail'!V45),"")</f>
        <v>745</v>
      </c>
      <c r="R44" s="222" t="str" cm="1">
        <f t="array" aca="1" ref="R44" ca="1">IFERROR(print_SF('EF Table_detail'!S45),"")</f>
        <v>710</v>
      </c>
      <c r="S44" s="223" t="str" cm="1">
        <f t="array" aca="1" ref="S44" ca="1">IFERROR(print_SF('EF Table_detail'!T45),"")</f>
        <v>823</v>
      </c>
      <c r="T44" s="456" t="str" cm="1">
        <f t="array" aca="1" ref="T44" ca="1">IFERROR(print_SF('EF Table_detail'!Z45),"")</f>
        <v>1.58</v>
      </c>
      <c r="U44" s="218" t="str" cm="1">
        <f t="array" aca="1" ref="U44" ca="1">IFERROR(print_SF('EF Table_detail'!W45),"")</f>
        <v>1.58</v>
      </c>
      <c r="V44" s="219" t="str" cm="1">
        <f t="array" aca="1" ref="V44" ca="1">IFERROR(print_SF('EF Table_detail'!X45),"")</f>
        <v>1.61</v>
      </c>
      <c r="W44" s="329" t="str" cm="1">
        <f t="array" aca="1" ref="W44" ca="1">IFERROR(print_SF('EF Table_detail'!AB45),"")</f>
        <v>518</v>
      </c>
      <c r="X44" s="330" t="str">
        <f t="shared" ca="1" si="1"/>
        <v>kg/m³</v>
      </c>
      <c r="Y44" s="213" t="str" cm="1">
        <f t="array" aca="1" ref="Y44" ca="1">IF(INDIRECT(""&amp;$E44&amp;"!R"&amp;Y$141&amp;"C"&amp;Y$142,FALSE)=0,"",INDIRECT(""&amp;$E44&amp;"!R"&amp;Y$141&amp;"C"&amp;Y$142,FALSE))</f>
        <v/>
      </c>
      <c r="Z44" s="277" t="str" cm="1">
        <f t="array" aca="1" ref="Z44" ca="1">IF(INDIRECT(""&amp;$E44&amp;"!R"&amp;Z$141&amp;"C"&amp;Z$142,FALSE)="Average (weighted)","Yes","No")</f>
        <v>Yes</v>
      </c>
      <c r="AA44" s="96"/>
    </row>
    <row r="45" spans="2:27" ht="45" customHeight="1" x14ac:dyDescent="0.25">
      <c r="B45" s="276" t="str">
        <f>'EF Table_detail'!A46</f>
        <v>Timber (engineered)</v>
      </c>
      <c r="C45" s="192" t="str">
        <f>'EF Table_detail'!B46</f>
        <v>GLT&amp;CLT (hardwood)</v>
      </c>
      <c r="D45" s="193" t="str">
        <f ca="1">'EF Table_detail'!C46</f>
        <v>Hardwood glue laminated timber (GLT) or cross laminated timber (CLT) including treated and untreated</v>
      </c>
      <c r="E45" s="192" t="str">
        <f>'EF Table_detail'!D46</f>
        <v>Eng_Timber_GLT_CLT_Hard</v>
      </c>
      <c r="F45" s="192" t="str">
        <f ca="1">'EF Table_detail'!E46</f>
        <v>m³</v>
      </c>
      <c r="G45" s="192" t="str">
        <f ca="1">'EF Table_detail'!F46</f>
        <v>Tier 3</v>
      </c>
      <c r="H45" s="194">
        <f ca="1">'EF Table_detail'!G46</f>
        <v>1.1000000000000001</v>
      </c>
      <c r="I45" s="454" t="str" cm="1">
        <f t="array" aca="1" ref="I45" ca="1">IFERROR(print_SF('EF Table_detail'!L46),"")</f>
        <v>841</v>
      </c>
      <c r="J45" s="222" t="str" cm="1">
        <f t="array" aca="1" ref="J45" ca="1">IFERROR(print_SF('EF Table_detail'!H46),"")</f>
        <v>765</v>
      </c>
      <c r="K45" s="223" t="str" cm="1">
        <f t="array" aca="1" ref="K45" ca="1">IFERROR(print_SF('EF Table_detail'!I46),"")</f>
        <v>627</v>
      </c>
      <c r="L45" s="223" t="str" cm="1">
        <f t="array" aca="1" ref="L45" ca="1">IFERROR(print_SF('EF Table_detail'!J46),"")</f>
        <v>690</v>
      </c>
      <c r="M45" s="456" t="str" cm="1">
        <f t="array" aca="1" ref="M45" ca="1">IFERROR(print_SF('EF Table_detail'!Q46),"")</f>
        <v>1.25</v>
      </c>
      <c r="N45" s="218" t="str" cm="1">
        <f t="array" aca="1" ref="N45" ca="1">IFERROR(print_SF('EF Table_detail'!M46),"")</f>
        <v>1.13</v>
      </c>
      <c r="O45" s="219" t="str" cm="1">
        <f t="array" aca="1" ref="O45" ca="1">IFERROR(print_SF('EF Table_detail'!N46),"")</f>
        <v>0.930</v>
      </c>
      <c r="P45" s="219" t="str" cm="1">
        <f t="array" aca="1" ref="P45" ca="1">IFERROR(print_SF('EF Table_detail'!O46),"")</f>
        <v>1.02</v>
      </c>
      <c r="Q45" s="454" t="str" cm="1">
        <f t="array" aca="1" ref="Q45" ca="1">IFERROR(print_SF('EF Table_detail'!V46),"")</f>
        <v>1,200</v>
      </c>
      <c r="R45" s="222" t="str" cm="1">
        <f t="array" aca="1" ref="R45" ca="1">IFERROR(print_SF('EF Table_detail'!S46),"")</f>
        <v>1,090</v>
      </c>
      <c r="S45" s="223" t="str" cm="1">
        <f t="array" aca="1" ref="S45" ca="1">IFERROR(print_SF('EF Table_detail'!T46),"")</f>
        <v>1,090</v>
      </c>
      <c r="T45" s="456" t="str" cm="1">
        <f t="array" aca="1" ref="T45" ca="1">IFERROR(print_SF('EF Table_detail'!Z46),"")</f>
        <v>1.61</v>
      </c>
      <c r="U45" s="218" t="str" cm="1">
        <f t="array" aca="1" ref="U45" ca="1">IFERROR(print_SF('EF Table_detail'!W46),"")</f>
        <v>1.61</v>
      </c>
      <c r="V45" s="219" t="str" cm="1">
        <f t="array" aca="1" ref="V45" ca="1">IFERROR(print_SF('EF Table_detail'!X46),"")</f>
        <v>1.61</v>
      </c>
      <c r="W45" s="329" t="str" cm="1">
        <f t="array" aca="1" ref="W45" ca="1">IFERROR(print_SF('EF Table_detail'!AB46),"")</f>
        <v>674</v>
      </c>
      <c r="X45" s="330" t="str">
        <f t="shared" ca="1" si="1"/>
        <v>kg/m³</v>
      </c>
      <c r="Y45" s="213" t="str" cm="1">
        <f t="array" aca="1" ref="Y45" ca="1">IF(INDIRECT(""&amp;$E45&amp;"!R"&amp;Y$141&amp;"C"&amp;Y$142,FALSE)=0,"",INDIRECT(""&amp;$E45&amp;"!R"&amp;Y$141&amp;"C"&amp;Y$142,FALSE))</f>
        <v/>
      </c>
      <c r="Z45" s="277" t="str" cm="1">
        <f t="array" aca="1" ref="Z45" ca="1">IF(INDIRECT(""&amp;$E45&amp;"!R"&amp;Z$141&amp;"C"&amp;Z$142,FALSE)="Average (weighted)","Yes","No")</f>
        <v>Yes</v>
      </c>
      <c r="AA45" s="96"/>
    </row>
    <row r="46" spans="2:27" ht="45" customHeight="1" x14ac:dyDescent="0.25">
      <c r="B46" s="276" t="str">
        <f>'EF Table_detail'!A47</f>
        <v>Timber (engineered)</v>
      </c>
      <c r="C46" s="192" t="str">
        <f>'EF Table_detail'!B47</f>
        <v>LVL</v>
      </c>
      <c r="D46" s="193" t="str">
        <f ca="1">'EF Table_detail'!C47</f>
        <v xml:space="preserve">Laminated veneer timber (LVL) including treated and untreated </v>
      </c>
      <c r="E46" s="192" t="str">
        <f>'EF Table_detail'!D47</f>
        <v>Eng_Timber_LVL</v>
      </c>
      <c r="F46" s="192" t="str">
        <f ca="1">'EF Table_detail'!E47</f>
        <v>m³</v>
      </c>
      <c r="G46" s="192" t="str">
        <f ca="1">'EF Table_detail'!F47</f>
        <v>Tier 3</v>
      </c>
      <c r="H46" s="194">
        <f ca="1">'EF Table_detail'!G47</f>
        <v>1.1000000000000001</v>
      </c>
      <c r="I46" s="454" t="str" cm="1">
        <f t="array" aca="1" ref="I46" ca="1">IFERROR(print_SF('EF Table_detail'!L47),"")</f>
        <v>442</v>
      </c>
      <c r="J46" s="222" t="str" cm="1">
        <f t="array" aca="1" ref="J46" ca="1">IFERROR(print_SF('EF Table_detail'!H47),"")</f>
        <v>402</v>
      </c>
      <c r="K46" s="223" t="str" cm="1">
        <f t="array" aca="1" ref="K46" ca="1">IFERROR(print_SF('EF Table_detail'!I47),"")</f>
        <v>94.4</v>
      </c>
      <c r="L46" s="223" t="str" cm="1">
        <f t="array" aca="1" ref="L46" ca="1">IFERROR(print_SF('EF Table_detail'!J47),"")</f>
        <v>269</v>
      </c>
      <c r="M46" s="456" t="str" cm="1">
        <f t="array" aca="1" ref="M46" ca="1">IFERROR(print_SF('EF Table_detail'!Q47),"")</f>
        <v>1.00</v>
      </c>
      <c r="N46" s="218" t="str" cm="1">
        <f t="array" aca="1" ref="N46" ca="1">IFERROR(print_SF('EF Table_detail'!M47),"")</f>
        <v>0.913</v>
      </c>
      <c r="O46" s="219" t="str" cm="1">
        <f t="array" aca="1" ref="O46" ca="1">IFERROR(print_SF('EF Table_detail'!N47),"")</f>
        <v>0.155</v>
      </c>
      <c r="P46" s="219" t="str" cm="1">
        <f t="array" aca="1" ref="P46" ca="1">IFERROR(print_SF('EF Table_detail'!O47),"")</f>
        <v>0.531</v>
      </c>
      <c r="Q46" s="454" t="str" cm="1">
        <f t="array" aca="1" ref="Q46" ca="1">IFERROR(print_SF('EF Table_detail'!V47),"")</f>
        <v>863</v>
      </c>
      <c r="R46" s="222" t="str" cm="1">
        <f t="array" aca="1" ref="R46" ca="1">IFERROR(print_SF('EF Table_detail'!S47),"")</f>
        <v>785</v>
      </c>
      <c r="S46" s="223" t="str" cm="1">
        <f t="array" aca="1" ref="S46" ca="1">IFERROR(print_SF('EF Table_detail'!T47),"")</f>
        <v>835</v>
      </c>
      <c r="T46" s="456" t="str" cm="1">
        <f t="array" aca="1" ref="T46" ca="1">IFERROR(print_SF('EF Table_detail'!Z47),"")</f>
        <v>1.54</v>
      </c>
      <c r="U46" s="218" t="str" cm="1">
        <f t="array" aca="1" ref="U46" ca="1">IFERROR(print_SF('EF Table_detail'!W47),"")</f>
        <v>1.54</v>
      </c>
      <c r="V46" s="219" t="str" cm="1">
        <f t="array" aca="1" ref="V46" ca="1">IFERROR(print_SF('EF Table_detail'!X47),"")</f>
        <v>1.60</v>
      </c>
      <c r="W46" s="329" t="str" cm="1">
        <f t="array" aca="1" ref="W46" ca="1">IFERROR(print_SF('EF Table_detail'!AB47),"")</f>
        <v>508</v>
      </c>
      <c r="X46" s="330" t="str">
        <f t="shared" ca="1" si="1"/>
        <v>kg/m³</v>
      </c>
      <c r="Y46" s="213" t="str" cm="1">
        <f t="array" aca="1" ref="Y46" ca="1">IF(INDIRECT(""&amp;$E46&amp;"!R"&amp;Y$141&amp;"C"&amp;Y$142,FALSE)=0,"",INDIRECT(""&amp;$E46&amp;"!R"&amp;Y$141&amp;"C"&amp;Y$142,FALSE))</f>
        <v/>
      </c>
      <c r="Z46" s="277" t="str" cm="1">
        <f t="array" aca="1" ref="Z46" ca="1">IF(INDIRECT(""&amp;$E46&amp;"!R"&amp;Z$141&amp;"C"&amp;Z$142,FALSE)="Average (weighted)","Yes","No")</f>
        <v>No</v>
      </c>
      <c r="AA46" s="96"/>
    </row>
    <row r="47" spans="2:27" ht="45" customHeight="1" x14ac:dyDescent="0.25">
      <c r="B47" s="276" t="str">
        <f>'EF Table_detail'!A48</f>
        <v>Timber (engineered)</v>
      </c>
      <c r="C47" s="192" t="str">
        <f>'EF Table_detail'!B48</f>
        <v>OSB</v>
      </c>
      <c r="D47" s="193" t="str">
        <f ca="1">'EF Table_detail'!C48</f>
        <v xml:space="preserve">Oriented strand board (OSB) </v>
      </c>
      <c r="E47" s="192" t="str">
        <f>'EF Table_detail'!D48</f>
        <v>Eng_Timber_OSB</v>
      </c>
      <c r="F47" s="192" t="str">
        <f ca="1">'EF Table_detail'!E48</f>
        <v>m³</v>
      </c>
      <c r="G47" s="192" t="str">
        <f ca="1">'EF Table_detail'!F48</f>
        <v>Tier 4</v>
      </c>
      <c r="H47" s="194">
        <f ca="1">'EF Table_detail'!G48</f>
        <v>1.2</v>
      </c>
      <c r="I47" s="454" t="str" cm="1">
        <f t="array" aca="1" ref="I47" ca="1">IFERROR(print_SF('EF Table_detail'!L48),"")</f>
        <v>461</v>
      </c>
      <c r="J47" s="222" t="str" cm="1">
        <f t="array" aca="1" ref="J47" ca="1">IFERROR(print_SF('EF Table_detail'!H48),"")</f>
        <v>384</v>
      </c>
      <c r="K47" s="223" t="str" cm="1">
        <f t="array" aca="1" ref="K47" ca="1">IFERROR(print_SF('EF Table_detail'!I48),"")</f>
        <v>101</v>
      </c>
      <c r="L47" s="223" t="str" cm="1">
        <f t="array" aca="1" ref="L47" ca="1">IFERROR(print_SF('EF Table_detail'!J48),"")</f>
        <v>202</v>
      </c>
      <c r="M47" s="456" t="str" cm="1">
        <f t="array" aca="1" ref="M47" ca="1">IFERROR(print_SF('EF Table_detail'!Q48),"")</f>
        <v>0.767</v>
      </c>
      <c r="N47" s="218" t="str" cm="1">
        <f t="array" aca="1" ref="N47" ca="1">IFERROR(print_SF('EF Table_detail'!M48),"")</f>
        <v>0.640</v>
      </c>
      <c r="O47" s="219" t="str" cm="1">
        <f t="array" aca="1" ref="O47" ca="1">IFERROR(print_SF('EF Table_detail'!N48),"")</f>
        <v>0.165</v>
      </c>
      <c r="P47" s="219" t="str" cm="1">
        <f t="array" aca="1" ref="P47" ca="1">IFERROR(print_SF('EF Table_detail'!O48),"")</f>
        <v>0.331</v>
      </c>
      <c r="Q47" s="454" t="str" cm="1">
        <f t="array" aca="1" ref="Q47" ca="1">IFERROR(print_SF('EF Table_detail'!V48),"")</f>
        <v>1,250</v>
      </c>
      <c r="R47" s="222" t="str" cm="1">
        <f t="array" aca="1" ref="R47" ca="1">IFERROR(print_SF('EF Table_detail'!S48),"")</f>
        <v>1,040</v>
      </c>
      <c r="S47" s="223" t="str" cm="1">
        <f t="array" aca="1" ref="S47" ca="1">IFERROR(print_SF('EF Table_detail'!T48),"")</f>
        <v>1,010</v>
      </c>
      <c r="T47" s="456" t="str" cm="1">
        <f t="array" aca="1" ref="T47" ca="1">IFERROR(print_SF('EF Table_detail'!Z48),"")</f>
        <v>1.73</v>
      </c>
      <c r="U47" s="218" t="str" cm="1">
        <f t="array" aca="1" ref="U47" ca="1">IFERROR(print_SF('EF Table_detail'!W48),"")</f>
        <v>1.73</v>
      </c>
      <c r="V47" s="219" t="str" cm="1">
        <f t="array" aca="1" ref="V47" ca="1">IFERROR(print_SF('EF Table_detail'!X48),"")</f>
        <v>1.66</v>
      </c>
      <c r="W47" s="329" t="str" cm="1">
        <f t="array" aca="1" ref="W47" ca="1">IFERROR(print_SF('EF Table_detail'!AB48),"")</f>
        <v>610</v>
      </c>
      <c r="X47" s="330" t="str">
        <f t="shared" ca="1" si="1"/>
        <v>kg/m³</v>
      </c>
      <c r="Y47" s="213" t="str" cm="1">
        <f t="array" aca="1" ref="Y47" ca="1">IF(INDIRECT(""&amp;$E47&amp;"!R"&amp;Y$141&amp;"C"&amp;Y$142,FALSE)=0,"",INDIRECT(""&amp;$E47&amp;"!R"&amp;Y$141&amp;"C"&amp;Y$142,FALSE))</f>
        <v/>
      </c>
      <c r="Z47" s="277" t="str" cm="1">
        <f t="array" aca="1" ref="Z47" ca="1">IF(INDIRECT(""&amp;$E47&amp;"!R"&amp;Z$141&amp;"C"&amp;Z$142,FALSE)="Average (weighted)","Yes","No")</f>
        <v>No</v>
      </c>
      <c r="AA47" s="96"/>
    </row>
    <row r="48" spans="2:27" ht="45" customHeight="1" x14ac:dyDescent="0.25">
      <c r="B48" s="276" t="str">
        <f>'EF Table_detail'!A49</f>
        <v>Brick</v>
      </c>
      <c r="C48" s="192" t="str">
        <f>'EF Table_detail'!B49</f>
        <v>Clay bricks</v>
      </c>
      <c r="D48" s="193" t="str">
        <f ca="1">'EF Table_detail'!C49</f>
        <v>Masonry bricks made from clay, including fired, perforated, engineering, and facing bricks</v>
      </c>
      <c r="E48" s="192" t="str">
        <f>'EF Table_detail'!D49</f>
        <v>Clay_bricks</v>
      </c>
      <c r="F48" s="192" t="str">
        <f ca="1">'EF Table_detail'!E49</f>
        <v>tonne</v>
      </c>
      <c r="G48" s="192" t="str">
        <f ca="1">'EF Table_detail'!F49</f>
        <v>Tier 3</v>
      </c>
      <c r="H48" s="194">
        <f ca="1">'EF Table_detail'!G49</f>
        <v>1.1000000000000001</v>
      </c>
      <c r="I48" s="454" t="str" cm="1">
        <f t="array" aca="1" ref="I48" ca="1">IFERROR(print_SF('EF Table_detail'!L49),"")</f>
        <v>449</v>
      </c>
      <c r="J48" s="222" t="str" cm="1">
        <f t="array" aca="1" ref="J48" ca="1">IFERROR(print_SF('EF Table_detail'!H49),"")</f>
        <v>408</v>
      </c>
      <c r="K48" s="223" t="str" cm="1">
        <f t="array" aca="1" ref="K48" ca="1">IFERROR(print_SF('EF Table_detail'!I49),"")</f>
        <v>47.8</v>
      </c>
      <c r="L48" s="223" t="str" cm="1">
        <f t="array" aca="1" ref="L48" ca="1">IFERROR(print_SF('EF Table_detail'!J49),"")</f>
        <v>186</v>
      </c>
      <c r="M48" s="456" t="str" cm="1">
        <f t="array" aca="1" ref="M48" ca="1">IFERROR(print_SF('EF Table_detail'!Q49),"")</f>
        <v>0.449</v>
      </c>
      <c r="N48" s="218" t="str" cm="1">
        <f t="array" aca="1" ref="N48" ca="1">IFERROR(print_SF('EF Table_detail'!M49),"")</f>
        <v>0.408</v>
      </c>
      <c r="O48" s="219" t="str" cm="1">
        <f t="array" aca="1" ref="O48" ca="1">IFERROR(print_SF('EF Table_detail'!N49),"")</f>
        <v>0.0478</v>
      </c>
      <c r="P48" s="219" t="str" cm="1">
        <f t="array" aca="1" ref="P48" ca="1">IFERROR(print_SF('EF Table_detail'!O49),"")</f>
        <v>0.186</v>
      </c>
      <c r="Q48" s="454" t="str" cm="1">
        <f t="array" aca="1" ref="Q48" ca="1">IFERROR(print_SF('EF Table_detail'!V49),"")</f>
        <v>0</v>
      </c>
      <c r="R48" s="218" t="str" cm="1">
        <f t="array" aca="1" ref="R48" ca="1">IFERROR(print_SF('EF Table_detail'!S49),"")</f>
        <v>0</v>
      </c>
      <c r="S48" s="219" t="str" cm="1">
        <f t="array" aca="1" ref="S48" ca="1">IFERROR(print_SF('EF Table_detail'!T49),"")</f>
        <v>0</v>
      </c>
      <c r="T48" s="456" t="str" cm="1">
        <f t="array" aca="1" ref="T48" ca="1">IFERROR(print_SF('EF Table_detail'!Z49),"")</f>
        <v>0</v>
      </c>
      <c r="U48" s="218" t="str" cm="1">
        <f t="array" aca="1" ref="U48" ca="1">IFERROR(print_SF('EF Table_detail'!W49),"")</f>
        <v>0</v>
      </c>
      <c r="V48" s="219" t="str" cm="1">
        <f t="array" aca="1" ref="V48" ca="1">IFERROR(print_SF('EF Table_detail'!X49),"")</f>
        <v>0</v>
      </c>
      <c r="W48" s="329" t="str" cm="1">
        <f t="array" aca="1" ref="W48" ca="1">IFERROR(print_SF('EF Table_detail'!AB49),"")</f>
        <v>1,000</v>
      </c>
      <c r="X48" s="330" t="str">
        <f t="shared" ca="1" si="1"/>
        <v>kg/tonne</v>
      </c>
      <c r="Y48" s="213" t="str" cm="1">
        <f t="array" aca="1" ref="Y48" ca="1">IF(INDIRECT(""&amp;$E48&amp;"!R"&amp;Y$141&amp;"C"&amp;Y$142,FALSE)=0,"",INDIRECT(""&amp;$E48&amp;"!R"&amp;Y$141&amp;"C"&amp;Y$142,FALSE))</f>
        <v/>
      </c>
      <c r="Z48" s="277" t="str" cm="1">
        <f t="array" aca="1" ref="Z48" ca="1">IF(INDIRECT(""&amp;$E48&amp;"!R"&amp;Z$141&amp;"C"&amp;Z$142,FALSE)="Average (weighted)","Yes","No")</f>
        <v>No</v>
      </c>
      <c r="AA48" s="96"/>
    </row>
    <row r="49" spans="2:27" ht="45" customHeight="1" x14ac:dyDescent="0.25">
      <c r="B49" s="276" t="str">
        <f>'EF Table_detail'!A50</f>
        <v>Brick</v>
      </c>
      <c r="C49" s="192" t="str">
        <f>'EF Table_detail'!B50</f>
        <v>Concrete brick</v>
      </c>
      <c r="D49" s="193" t="str">
        <f ca="1">'EF Table_detail'!C50</f>
        <v>Concrete brick or block i.e. cinder block or concrete finishing brick used in masonry. Not including any core fill material or reinforcing.</v>
      </c>
      <c r="E49" s="192" t="str">
        <f>'EF Table_detail'!D50</f>
        <v>Concrete_bricks</v>
      </c>
      <c r="F49" s="192" t="str">
        <f ca="1">'EF Table_detail'!E50</f>
        <v>tonne</v>
      </c>
      <c r="G49" s="192" t="str">
        <f ca="1">'EF Table_detail'!F50</f>
        <v>Tier 3</v>
      </c>
      <c r="H49" s="194">
        <f ca="1">'EF Table_detail'!G50</f>
        <v>1.1000000000000001</v>
      </c>
      <c r="I49" s="454" t="str" cm="1">
        <f t="array" aca="1" ref="I49" ca="1">IFERROR(print_SF('EF Table_detail'!L50),"")</f>
        <v>264</v>
      </c>
      <c r="J49" s="222" t="str" cm="1">
        <f t="array" aca="1" ref="J49" ca="1">IFERROR(print_SF('EF Table_detail'!H50),"")</f>
        <v>240</v>
      </c>
      <c r="K49" s="223" t="str" cm="1">
        <f t="array" aca="1" ref="K49" ca="1">IFERROR(print_SF('EF Table_detail'!I50),"")</f>
        <v>112</v>
      </c>
      <c r="L49" s="223" t="str" cm="1">
        <f t="array" aca="1" ref="L49" ca="1">IFERROR(print_SF('EF Table_detail'!J50),"")</f>
        <v>159</v>
      </c>
      <c r="M49" s="456" t="str" cm="1">
        <f t="array" aca="1" ref="M49" ca="1">IFERROR(print_SF('EF Table_detail'!Q50),"")</f>
        <v>0.264</v>
      </c>
      <c r="N49" s="218" t="str" cm="1">
        <f t="array" aca="1" ref="N49" ca="1">IFERROR(print_SF('EF Table_detail'!M50),"")</f>
        <v>0.240</v>
      </c>
      <c r="O49" s="219" t="str" cm="1">
        <f t="array" aca="1" ref="O49" ca="1">IFERROR(print_SF('EF Table_detail'!N50),"")</f>
        <v>0.112</v>
      </c>
      <c r="P49" s="219" t="str" cm="1">
        <f t="array" aca="1" ref="P49" ca="1">IFERROR(print_SF('EF Table_detail'!O50),"")</f>
        <v>0.159</v>
      </c>
      <c r="Q49" s="454" t="str" cm="1">
        <f t="array" aca="1" ref="Q49" ca="1">IFERROR(print_SF('EF Table_detail'!V50),"")</f>
        <v>0</v>
      </c>
      <c r="R49" s="218" t="str" cm="1">
        <f t="array" aca="1" ref="R49" ca="1">IFERROR(print_SF('EF Table_detail'!S50),"")</f>
        <v>0</v>
      </c>
      <c r="S49" s="219" t="str" cm="1">
        <f t="array" aca="1" ref="S49" ca="1">IFERROR(print_SF('EF Table_detail'!T50),"")</f>
        <v>0</v>
      </c>
      <c r="T49" s="456" t="str" cm="1">
        <f t="array" aca="1" ref="T49" ca="1">IFERROR(print_SF('EF Table_detail'!Z50),"")</f>
        <v>0</v>
      </c>
      <c r="U49" s="218" t="str" cm="1">
        <f t="array" aca="1" ref="U49" ca="1">IFERROR(print_SF('EF Table_detail'!W50),"")</f>
        <v>0</v>
      </c>
      <c r="V49" s="219" t="str" cm="1">
        <f t="array" aca="1" ref="V49" ca="1">IFERROR(print_SF('EF Table_detail'!X50),"")</f>
        <v>0</v>
      </c>
      <c r="W49" s="329" t="str" cm="1">
        <f t="array" aca="1" ref="W49" ca="1">IFERROR(print_SF('EF Table_detail'!AB50),"")</f>
        <v>1,000</v>
      </c>
      <c r="X49" s="330" t="str">
        <f t="shared" ca="1" si="1"/>
        <v>kg/tonne</v>
      </c>
      <c r="Y49" s="213" t="str" cm="1">
        <f t="array" aca="1" ref="Y49" ca="1">IF(INDIRECT(""&amp;$E49&amp;"!R"&amp;Y$141&amp;"C"&amp;Y$142,FALSE)=0,"",INDIRECT(""&amp;$E49&amp;"!R"&amp;Y$141&amp;"C"&amp;Y$142,FALSE))</f>
        <v>Not including any core fill material or reinforcing.</v>
      </c>
      <c r="Z49" s="277" t="str" cm="1">
        <f t="array" aca="1" ref="Z49" ca="1">IF(INDIRECT(""&amp;$E49&amp;"!R"&amp;Z$141&amp;"C"&amp;Z$142,FALSE)="Average (weighted)","Yes","No")</f>
        <v>No</v>
      </c>
      <c r="AA49" s="96"/>
    </row>
    <row r="50" spans="2:27" ht="45" customHeight="1" x14ac:dyDescent="0.25">
      <c r="B50" s="276" t="str">
        <f>'EF Table_detail'!A51</f>
        <v>Brick</v>
      </c>
      <c r="C50" s="192" t="str">
        <f>'EF Table_detail'!B51</f>
        <v>Stone brick</v>
      </c>
      <c r="D50" s="193" t="str">
        <f ca="1">'EF Table_detail'!C51</f>
        <v>Stone tiles (wall and floor) and pavers including porcelain tiles, represented by granite and limestone quarry operations and surface preparation with stabilisation as needed.</v>
      </c>
      <c r="E50" s="192" t="str">
        <f>'EF Table_detail'!D51</f>
        <v>Pavers_Stone</v>
      </c>
      <c r="F50" s="192" t="str">
        <f ca="1">'EF Table_detail'!E51</f>
        <v>tonne</v>
      </c>
      <c r="G50" s="192" t="str">
        <f ca="1">'EF Table_detail'!F51</f>
        <v>Tier 4</v>
      </c>
      <c r="H50" s="194">
        <f ca="1">'EF Table_detail'!G51</f>
        <v>1.2</v>
      </c>
      <c r="I50" s="454" t="str" cm="1">
        <f t="array" aca="1" ref="I50" ca="1">IFERROR(print_SF('EF Table_detail'!L51),"")</f>
        <v>542</v>
      </c>
      <c r="J50" s="222" t="str" cm="1">
        <f t="array" aca="1" ref="J50" ca="1">IFERROR(print_SF('EF Table_detail'!H51),"")</f>
        <v>452</v>
      </c>
      <c r="K50" s="223" t="str" cm="1">
        <f t="array" aca="1" ref="K50" ca="1">IFERROR(print_SF('EF Table_detail'!I51),"")</f>
        <v>75.7</v>
      </c>
      <c r="L50" s="223" t="str" cm="1">
        <f t="array" aca="1" ref="L50" ca="1">IFERROR(print_SF('EF Table_detail'!J51),"")</f>
        <v>256</v>
      </c>
      <c r="M50" s="456" t="str" cm="1">
        <f t="array" aca="1" ref="M50" ca="1">IFERROR(print_SF('EF Table_detail'!Q51),"")</f>
        <v>0.542</v>
      </c>
      <c r="N50" s="218" t="str" cm="1">
        <f t="array" aca="1" ref="N50" ca="1">IFERROR(print_SF('EF Table_detail'!M51),"")</f>
        <v>0.452</v>
      </c>
      <c r="O50" s="219" t="str" cm="1">
        <f t="array" aca="1" ref="O50" ca="1">IFERROR(print_SF('EF Table_detail'!N51),"")</f>
        <v>0.0757</v>
      </c>
      <c r="P50" s="219" t="str" cm="1">
        <f t="array" aca="1" ref="P50" ca="1">IFERROR(print_SF('EF Table_detail'!O51),"")</f>
        <v>0.256</v>
      </c>
      <c r="Q50" s="454" t="str" cm="1">
        <f t="array" aca="1" ref="Q50" ca="1">IFERROR(print_SF('EF Table_detail'!V51),"")</f>
        <v>0</v>
      </c>
      <c r="R50" s="218" t="str" cm="1">
        <f t="array" aca="1" ref="R50" ca="1">IFERROR(print_SF('EF Table_detail'!S51),"")</f>
        <v>0</v>
      </c>
      <c r="S50" s="219" t="str" cm="1">
        <f t="array" aca="1" ref="S50" ca="1">IFERROR(print_SF('EF Table_detail'!T51),"")</f>
        <v>0</v>
      </c>
      <c r="T50" s="456" t="str" cm="1">
        <f t="array" aca="1" ref="T50" ca="1">IFERROR(print_SF('EF Table_detail'!Z51),"")</f>
        <v>0</v>
      </c>
      <c r="U50" s="218" t="str" cm="1">
        <f t="array" aca="1" ref="U50" ca="1">IFERROR(print_SF('EF Table_detail'!W51),"")</f>
        <v>0</v>
      </c>
      <c r="V50" s="219" t="str" cm="1">
        <f t="array" aca="1" ref="V50" ca="1">IFERROR(print_SF('EF Table_detail'!X51),"")</f>
        <v>0</v>
      </c>
      <c r="W50" s="329" t="str" cm="1">
        <f t="array" aca="1" ref="W50" ca="1">IFERROR(print_SF('EF Table_detail'!AB51),"")</f>
        <v>1,000</v>
      </c>
      <c r="X50" s="330" t="str">
        <f t="shared" ca="1" si="1"/>
        <v>kg/tonne</v>
      </c>
      <c r="Y50" s="213" t="str" cm="1">
        <f t="array" aca="1" ref="Y50" ca="1">IF(INDIRECT(""&amp;$E50&amp;"!R"&amp;Y$141&amp;"C"&amp;Y$142,FALSE)=0,"",INDIRECT(""&amp;$E50&amp;"!R"&amp;Y$141&amp;"C"&amp;Y$142,FALSE))</f>
        <v/>
      </c>
      <c r="Z50" s="277" t="str" cm="1">
        <f t="array" aca="1" ref="Z50" ca="1">IF(INDIRECT(""&amp;$E50&amp;"!R"&amp;Z$141&amp;"C"&amp;Z$142,FALSE)="Average (weighted)","Yes","No")</f>
        <v>No</v>
      </c>
      <c r="AA50" s="96"/>
    </row>
    <row r="51" spans="2:27" ht="45" customHeight="1" x14ac:dyDescent="0.25">
      <c r="B51" s="276" t="str">
        <f>'EF Table_detail'!A52</f>
        <v>Wall ceiling Insulated Panel</v>
      </c>
      <c r="C51" s="192" t="str">
        <f>'EF Table_detail'!B52</f>
        <v>Panel - SIP ≤100mm</v>
      </c>
      <c r="D51" s="193" t="str">
        <f ca="1">'EF Table_detail'!C52</f>
        <v>Structural Insulated Panels (SIP) of thickness less than 100 mm, including wall and roof panels</v>
      </c>
      <c r="E51" s="192" t="str">
        <f>'EF Table_detail'!D52</f>
        <v>Panel_SIP_less_equal_100</v>
      </c>
      <c r="F51" s="192" t="str">
        <f ca="1">'EF Table_detail'!E52</f>
        <v>m²</v>
      </c>
      <c r="G51" s="192" t="str">
        <f ca="1">'EF Table_detail'!F52</f>
        <v>Tier 2</v>
      </c>
      <c r="H51" s="194">
        <f ca="1">'EF Table_detail'!G52</f>
        <v>1.05</v>
      </c>
      <c r="I51" s="454" t="str" cm="1">
        <f t="array" aca="1" ref="I51" ca="1">IFERROR(print_SF('EF Table_detail'!L52),"")</f>
        <v>67.2</v>
      </c>
      <c r="J51" s="224" t="str" cm="1">
        <f t="array" aca="1" ref="J51" ca="1">IFERROR(print_SF('EF Table_detail'!H52),"")</f>
        <v>64.0</v>
      </c>
      <c r="K51" s="225" t="str" cm="1">
        <f t="array" aca="1" ref="K51" ca="1">IFERROR(print_SF('EF Table_detail'!I52),"")</f>
        <v>7.15</v>
      </c>
      <c r="L51" s="225" t="str" cm="1">
        <f t="array" aca="1" ref="L51" ca="1">IFERROR(print_SF('EF Table_detail'!J52),"")</f>
        <v>42.3</v>
      </c>
      <c r="M51" s="456" t="str" cm="1">
        <f t="array" aca="1" ref="M51" ca="1">IFERROR(print_SF('EF Table_detail'!Q52),"")</f>
        <v>5.16</v>
      </c>
      <c r="N51" s="218" t="str" cm="1">
        <f t="array" aca="1" ref="N51" ca="1">IFERROR(print_SF('EF Table_detail'!M52),"")</f>
        <v>4.92</v>
      </c>
      <c r="O51" s="219" t="str" cm="1">
        <f t="array" aca="1" ref="O51" ca="1">IFERROR(print_SF('EF Table_detail'!N52),"")</f>
        <v>1.10</v>
      </c>
      <c r="P51" s="219" t="str" cm="1">
        <f t="array" aca="1" ref="P51" ca="1">IFERROR(print_SF('EF Table_detail'!O52),"")</f>
        <v>3.64</v>
      </c>
      <c r="Q51" s="454" t="str" cm="1">
        <f t="array" aca="1" ref="Q51" ca="1">IFERROR(print_SF('EF Table_detail'!V52),"")</f>
        <v>0</v>
      </c>
      <c r="R51" s="218" t="str" cm="1">
        <f t="array" aca="1" ref="R51" ca="1">IFERROR(print_SF('EF Table_detail'!S52),"")</f>
        <v>0</v>
      </c>
      <c r="S51" s="219" t="str" cm="1">
        <f t="array" aca="1" ref="S51" ca="1">IFERROR(print_SF('EF Table_detail'!T52),"")</f>
        <v>0</v>
      </c>
      <c r="T51" s="456" t="str" cm="1">
        <f t="array" aca="1" ref="T51" ca="1">IFERROR(print_SF('EF Table_detail'!Z52),"")</f>
        <v>0</v>
      </c>
      <c r="U51" s="218" t="str" cm="1">
        <f t="array" aca="1" ref="U51" ca="1">IFERROR(print_SF('EF Table_detail'!W52),"")</f>
        <v>0</v>
      </c>
      <c r="V51" s="219" t="str" cm="1">
        <f t="array" aca="1" ref="V51" ca="1">IFERROR(print_SF('EF Table_detail'!X52),"")</f>
        <v>0</v>
      </c>
      <c r="W51" s="329" t="str" cm="1">
        <f t="array" aca="1" ref="W51" ca="1">IFERROR(print_SF('EF Table_detail'!AB52),"")</f>
        <v>11.6</v>
      </c>
      <c r="X51" s="330" t="str">
        <f t="shared" ca="1" si="1"/>
        <v>kg/m²</v>
      </c>
      <c r="Y51" s="213" t="str" cm="1">
        <f t="array" aca="1" ref="Y51" ca="1">IF(INDIRECT(""&amp;$E51&amp;"!R"&amp;Y$141&amp;"C"&amp;Y$142,FALSE)=0,"",INDIRECT(""&amp;$E51&amp;"!R"&amp;Y$141&amp;"C"&amp;Y$142,FALSE))</f>
        <v xml:space="preserve">Important to consider board thickness. Recommended to use kg CO2e/kg EF when thickness and mass is known. </v>
      </c>
      <c r="Z51" s="277" t="str" cm="1">
        <f t="array" aca="1" ref="Z51" ca="1">IF(INDIRECT(""&amp;$E51&amp;"!R"&amp;Z$141&amp;"C"&amp;Z$142,FALSE)="Average (weighted)","Yes","No")</f>
        <v>No</v>
      </c>
      <c r="AA51" s="96"/>
    </row>
    <row r="52" spans="2:27" ht="45" customHeight="1" x14ac:dyDescent="0.25">
      <c r="B52" s="276" t="str">
        <f>'EF Table_detail'!A53</f>
        <v>Wall ceiling Insulated Panel</v>
      </c>
      <c r="C52" s="192" t="str">
        <f>'EF Table_detail'!B53</f>
        <v>Panel - SIP &gt;100mm</v>
      </c>
      <c r="D52" s="193" t="str">
        <f ca="1">'EF Table_detail'!C53</f>
        <v>Structural Insulated Panels (SIP) of thickness greater than 100 mm and no thicker than 250 mm including wall and roof panels</v>
      </c>
      <c r="E52" s="192" t="str">
        <f>'EF Table_detail'!D53</f>
        <v>Panel_SIP_more100</v>
      </c>
      <c r="F52" s="192" t="str">
        <f ca="1">'EF Table_detail'!E53</f>
        <v>m²</v>
      </c>
      <c r="G52" s="192" t="str">
        <f ca="1">'EF Table_detail'!F53</f>
        <v>Tier 2</v>
      </c>
      <c r="H52" s="194">
        <f ca="1">'EF Table_detail'!G53</f>
        <v>1.05</v>
      </c>
      <c r="I52" s="454" t="str" cm="1">
        <f t="array" aca="1" ref="I52" ca="1">IFERROR(print_SF('EF Table_detail'!L53),"")</f>
        <v>89.0</v>
      </c>
      <c r="J52" s="224" t="str" cm="1">
        <f t="array" aca="1" ref="J52" ca="1">IFERROR(print_SF('EF Table_detail'!H53),"")</f>
        <v>84.8</v>
      </c>
      <c r="K52" s="225" t="str" cm="1">
        <f t="array" aca="1" ref="K52" ca="1">IFERROR(print_SF('EF Table_detail'!I53),"")</f>
        <v>36.5</v>
      </c>
      <c r="L52" s="225" t="str" cm="1">
        <f t="array" aca="1" ref="L52" ca="1">IFERROR(print_SF('EF Table_detail'!J53),"")</f>
        <v>55.6</v>
      </c>
      <c r="M52" s="456" t="str" cm="1">
        <f t="array" aca="1" ref="M52" ca="1">IFERROR(print_SF('EF Table_detail'!Q53),"")</f>
        <v>5.11</v>
      </c>
      <c r="N52" s="218" t="str" cm="1">
        <f t="array" aca="1" ref="N52" ca="1">IFERROR(print_SF('EF Table_detail'!M53),"")</f>
        <v>4.87</v>
      </c>
      <c r="O52" s="219" t="str" cm="1">
        <f t="array" aca="1" ref="O52" ca="1">IFERROR(print_SF('EF Table_detail'!N53),"")</f>
        <v>1.55</v>
      </c>
      <c r="P52" s="219" t="str" cm="1">
        <f t="array" aca="1" ref="P52" ca="1">IFERROR(print_SF('EF Table_detail'!O53),"")</f>
        <v>3.76</v>
      </c>
      <c r="Q52" s="454" t="str" cm="1">
        <f t="array" aca="1" ref="Q52" ca="1">IFERROR(print_SF('EF Table_detail'!V53),"")</f>
        <v>0</v>
      </c>
      <c r="R52" s="218" t="str" cm="1">
        <f t="array" aca="1" ref="R52" ca="1">IFERROR(print_SF('EF Table_detail'!S53),"")</f>
        <v>0</v>
      </c>
      <c r="S52" s="219" t="str" cm="1">
        <f t="array" aca="1" ref="S52" ca="1">IFERROR(print_SF('EF Table_detail'!T53),"")</f>
        <v>0</v>
      </c>
      <c r="T52" s="456" t="str" cm="1">
        <f t="array" aca="1" ref="T52" ca="1">IFERROR(print_SF('EF Table_detail'!Z53),"")</f>
        <v>0</v>
      </c>
      <c r="U52" s="218" t="str" cm="1">
        <f t="array" aca="1" ref="U52" ca="1">IFERROR(print_SF('EF Table_detail'!W53),"")</f>
        <v>0</v>
      </c>
      <c r="V52" s="219" t="str" cm="1">
        <f t="array" aca="1" ref="V52" ca="1">IFERROR(print_SF('EF Table_detail'!X53),"")</f>
        <v>0</v>
      </c>
      <c r="W52" s="329" t="str" cm="1">
        <f t="array" aca="1" ref="W52" ca="1">IFERROR(print_SF('EF Table_detail'!AB53),"")</f>
        <v>14.8</v>
      </c>
      <c r="X52" s="330" t="str">
        <f t="shared" ca="1" si="1"/>
        <v>kg/m²</v>
      </c>
      <c r="Y52" s="213" t="str" cm="1">
        <f t="array" aca="1" ref="Y52" ca="1">IF(INDIRECT(""&amp;$E52&amp;"!R"&amp;Y$141&amp;"C"&amp;Y$142,FALSE)=0,"",INDIRECT(""&amp;$E52&amp;"!R"&amp;Y$141&amp;"C"&amp;Y$142,FALSE))</f>
        <v xml:space="preserve">Important to consider board thickness. Recommended to use kg CO2e/kg EF when thickness and mass is known. </v>
      </c>
      <c r="Z52" s="277" t="str" cm="1">
        <f t="array" aca="1" ref="Z52" ca="1">IF(INDIRECT(""&amp;$E52&amp;"!R"&amp;Z$141&amp;"C"&amp;Z$142,FALSE)="Average (weighted)","Yes","No")</f>
        <v>No</v>
      </c>
      <c r="AA52" s="96"/>
    </row>
    <row r="53" spans="2:27" ht="45" customHeight="1" x14ac:dyDescent="0.25">
      <c r="B53" s="276" t="str">
        <f>'EF Table_detail'!A54</f>
        <v>Aggregate</v>
      </c>
      <c r="C53" s="192" t="str">
        <f>'EF Table_detail'!B54</f>
        <v>Fill</v>
      </c>
      <c r="D53" s="193" t="str">
        <f ca="1">'EF Table_detail'!C54</f>
        <v>Various aggregates used as fill including quarry products, road base and ballast of differing size distributions.</v>
      </c>
      <c r="E53" s="192" t="str">
        <f>'EF Table_detail'!D54</f>
        <v>Engineered_fill</v>
      </c>
      <c r="F53" s="192" t="str">
        <f ca="1">'EF Table_detail'!E54</f>
        <v>tonne</v>
      </c>
      <c r="G53" s="192" t="str">
        <f ca="1">'EF Table_detail'!F54</f>
        <v>Tier 3</v>
      </c>
      <c r="H53" s="194">
        <f ca="1">'EF Table_detail'!G54</f>
        <v>1.1000000000000001</v>
      </c>
      <c r="I53" s="454" t="str" cm="1">
        <f t="array" aca="1" ref="I53" ca="1">IFERROR(print_SF('EF Table_detail'!L54),"")</f>
        <v>10.2</v>
      </c>
      <c r="J53" s="218" t="str" cm="1">
        <f t="array" aca="1" ref="J53" ca="1">IFERROR(print_SF('EF Table_detail'!H54),"")</f>
        <v>9.24</v>
      </c>
      <c r="K53" s="219" t="str" cm="1">
        <f t="array" aca="1" ref="K53" ca="1">IFERROR(print_SF('EF Table_detail'!I54),"")</f>
        <v>3.26</v>
      </c>
      <c r="L53" s="219" t="str" cm="1">
        <f t="array" aca="1" ref="L53" ca="1">IFERROR(print_SF('EF Table_detail'!J54),"")</f>
        <v>6.66</v>
      </c>
      <c r="M53" s="456" t="str" cm="1">
        <f t="array" aca="1" ref="M53" ca="1">IFERROR(print_SF('EF Table_detail'!Q54),"")</f>
        <v>0.0102</v>
      </c>
      <c r="N53" s="218" t="str" cm="1">
        <f t="array" aca="1" ref="N53" ca="1">IFERROR(print_SF('EF Table_detail'!M54),"")</f>
        <v>0.00924</v>
      </c>
      <c r="O53" s="219" t="str" cm="1">
        <f t="array" aca="1" ref="O53" ca="1">IFERROR(print_SF('EF Table_detail'!N54),"")</f>
        <v>0.00326</v>
      </c>
      <c r="P53" s="219" t="str" cm="1">
        <f t="array" aca="1" ref="P53" ca="1">IFERROR(print_SF('EF Table_detail'!O54),"")</f>
        <v>0.00666</v>
      </c>
      <c r="Q53" s="454" t="str" cm="1">
        <f t="array" aca="1" ref="Q53" ca="1">IFERROR(print_SF('EF Table_detail'!V54),"")</f>
        <v>0</v>
      </c>
      <c r="R53" s="218" t="str" cm="1">
        <f t="array" aca="1" ref="R53" ca="1">IFERROR(print_SF('EF Table_detail'!S54),"")</f>
        <v>0</v>
      </c>
      <c r="S53" s="219" t="str" cm="1">
        <f t="array" aca="1" ref="S53" ca="1">IFERROR(print_SF('EF Table_detail'!T54),"")</f>
        <v>0</v>
      </c>
      <c r="T53" s="456" t="str" cm="1">
        <f t="array" aca="1" ref="T53" ca="1">IFERROR(print_SF('EF Table_detail'!Z54),"")</f>
        <v>0</v>
      </c>
      <c r="U53" s="218" t="str" cm="1">
        <f t="array" aca="1" ref="U53" ca="1">IFERROR(print_SF('EF Table_detail'!W54),"")</f>
        <v>0</v>
      </c>
      <c r="V53" s="219" t="str" cm="1">
        <f t="array" aca="1" ref="V53" ca="1">IFERROR(print_SF('EF Table_detail'!X54),"")</f>
        <v>0</v>
      </c>
      <c r="W53" s="329" t="str" cm="1">
        <f t="array" aca="1" ref="W53" ca="1">IFERROR(print_SF('EF Table_detail'!AB54),"")</f>
        <v>1,000</v>
      </c>
      <c r="X53" s="330" t="str">
        <f t="shared" ca="1" si="1"/>
        <v>kg/tonne</v>
      </c>
      <c r="Y53" s="213" t="str" cm="1">
        <f t="array" aca="1" ref="Y53" ca="1">IF(INDIRECT(""&amp;$E53&amp;"!R"&amp;Y$141&amp;"C"&amp;Y$142,FALSE)=0,"",INDIRECT(""&amp;$E53&amp;"!R"&amp;Y$141&amp;"C"&amp;Y$142,FALSE))</f>
        <v/>
      </c>
      <c r="Z53" s="277" t="str" cm="1">
        <f t="array" aca="1" ref="Z53" ca="1">IF(INDIRECT(""&amp;$E53&amp;"!R"&amp;Z$141&amp;"C"&amp;Z$142,FALSE)="Average (weighted)","Yes","No")</f>
        <v>No</v>
      </c>
      <c r="AA53" s="96"/>
    </row>
    <row r="54" spans="2:27" ht="45" customHeight="1" x14ac:dyDescent="0.25">
      <c r="B54" s="276" t="str">
        <f>'EF Table_detail'!A55</f>
        <v>Aggregate</v>
      </c>
      <c r="C54" s="192" t="str">
        <f>'EF Table_detail'!B55</f>
        <v>Engineered fill</v>
      </c>
      <c r="D54" s="193" t="str">
        <f ca="1">'EF Table_detail'!C55</f>
        <v>Various aggregates used as fill including quarry products, road base and ballast of differing size distributions.</v>
      </c>
      <c r="E54" s="192" t="str">
        <f>'EF Table_detail'!D55</f>
        <v>Engineered_fill</v>
      </c>
      <c r="F54" s="192" t="str">
        <f ca="1">'EF Table_detail'!E55</f>
        <v>tonne</v>
      </c>
      <c r="G54" s="192" t="str">
        <f ca="1">'EF Table_detail'!F55</f>
        <v>Tier 3</v>
      </c>
      <c r="H54" s="194">
        <f ca="1">'EF Table_detail'!G55</f>
        <v>1.1000000000000001</v>
      </c>
      <c r="I54" s="454" t="str" cm="1">
        <f t="array" aca="1" ref="I54" ca="1">IFERROR(print_SF('EF Table_detail'!L55),"")</f>
        <v>10.2</v>
      </c>
      <c r="J54" s="218" t="str" cm="1">
        <f t="array" aca="1" ref="J54" ca="1">IFERROR(print_SF('EF Table_detail'!H55),"")</f>
        <v>9.24</v>
      </c>
      <c r="K54" s="219" t="str" cm="1">
        <f t="array" aca="1" ref="K54" ca="1">IFERROR(print_SF('EF Table_detail'!I55),"")</f>
        <v>3.26</v>
      </c>
      <c r="L54" s="219" t="str" cm="1">
        <f t="array" aca="1" ref="L54" ca="1">IFERROR(print_SF('EF Table_detail'!J55),"")</f>
        <v>6.66</v>
      </c>
      <c r="M54" s="456" t="str" cm="1">
        <f t="array" aca="1" ref="M54" ca="1">IFERROR(print_SF('EF Table_detail'!Q55),"")</f>
        <v>0.0102</v>
      </c>
      <c r="N54" s="218" t="str" cm="1">
        <f t="array" aca="1" ref="N54" ca="1">IFERROR(print_SF('EF Table_detail'!M55),"")</f>
        <v>0.00924</v>
      </c>
      <c r="O54" s="219" t="str" cm="1">
        <f t="array" aca="1" ref="O54" ca="1">IFERROR(print_SF('EF Table_detail'!N55),"")</f>
        <v>0.00326</v>
      </c>
      <c r="P54" s="219" t="str" cm="1">
        <f t="array" aca="1" ref="P54" ca="1">IFERROR(print_SF('EF Table_detail'!O55),"")</f>
        <v>0.00666</v>
      </c>
      <c r="Q54" s="454" t="str" cm="1">
        <f t="array" aca="1" ref="Q54" ca="1">IFERROR(print_SF('EF Table_detail'!V55),"")</f>
        <v>0</v>
      </c>
      <c r="R54" s="218" t="str" cm="1">
        <f t="array" aca="1" ref="R54" ca="1">IFERROR(print_SF('EF Table_detail'!S55),"")</f>
        <v>0</v>
      </c>
      <c r="S54" s="219" t="str" cm="1">
        <f t="array" aca="1" ref="S54" ca="1">IFERROR(print_SF('EF Table_detail'!T55),"")</f>
        <v>0</v>
      </c>
      <c r="T54" s="456" t="str" cm="1">
        <f t="array" aca="1" ref="T54" ca="1">IFERROR(print_SF('EF Table_detail'!Z55),"")</f>
        <v>0</v>
      </c>
      <c r="U54" s="218" t="str" cm="1">
        <f t="array" aca="1" ref="U54" ca="1">IFERROR(print_SF('EF Table_detail'!W55),"")</f>
        <v>0</v>
      </c>
      <c r="V54" s="219" t="str" cm="1">
        <f t="array" aca="1" ref="V54" ca="1">IFERROR(print_SF('EF Table_detail'!X55),"")</f>
        <v>0</v>
      </c>
      <c r="W54" s="329" t="str" cm="1">
        <f t="array" aca="1" ref="W54" ca="1">IFERROR(print_SF('EF Table_detail'!AB55),"")</f>
        <v>1,000</v>
      </c>
      <c r="X54" s="330" t="str">
        <f t="shared" ca="1" si="1"/>
        <v>kg/tonne</v>
      </c>
      <c r="Y54" s="213" t="str" cm="1">
        <f t="array" aca="1" ref="Y54" ca="1">IF(INDIRECT(""&amp;$E54&amp;"!R"&amp;Y$141&amp;"C"&amp;Y$142,FALSE)=0,"",INDIRECT(""&amp;$E54&amp;"!R"&amp;Y$141&amp;"C"&amp;Y$142,FALSE))</f>
        <v/>
      </c>
      <c r="Z54" s="277" t="str" cm="1">
        <f t="array" aca="1" ref="Z54" ca="1">IF(INDIRECT(""&amp;$E54&amp;"!R"&amp;Z$141&amp;"C"&amp;Z$142,FALSE)="Average (weighted)","Yes","No")</f>
        <v>No</v>
      </c>
      <c r="AA54" s="96"/>
    </row>
    <row r="55" spans="2:27" ht="45" customHeight="1" x14ac:dyDescent="0.25">
      <c r="B55" s="276" t="str">
        <f>'EF Table_detail'!A56</f>
        <v xml:space="preserve">Aggregate </v>
      </c>
      <c r="C55" s="192" t="str">
        <f>'EF Table_detail'!B56</f>
        <v>Recycled fill material</v>
      </c>
      <c r="D55" s="193" t="str">
        <f ca="1">'EF Table_detail'!C56</f>
        <v>Aggregates generated from a recycled or recovered resource.</v>
      </c>
      <c r="E55" s="192" t="str">
        <f>'EF Table_detail'!D56</f>
        <v>Recovered_aggregate</v>
      </c>
      <c r="F55" s="192" t="str">
        <f ca="1">'EF Table_detail'!E56</f>
        <v>tonne</v>
      </c>
      <c r="G55" s="192" t="str">
        <f ca="1">'EF Table_detail'!F56</f>
        <v>Tier 4</v>
      </c>
      <c r="H55" s="194">
        <f ca="1">'EF Table_detail'!G56</f>
        <v>1.2</v>
      </c>
      <c r="I55" s="454" t="str" cm="1">
        <f t="array" aca="1" ref="I55" ca="1">IFERROR(print_SF('EF Table_detail'!L56),"")</f>
        <v>19.2</v>
      </c>
      <c r="J55" s="224" t="str" cm="1">
        <f t="array" aca="1" ref="J55" ca="1">IFERROR(print_SF('EF Table_detail'!H56),"")</f>
        <v>16.0</v>
      </c>
      <c r="K55" s="225" t="str" cm="1">
        <f t="array" aca="1" ref="K55" ca="1">IFERROR(print_SF('EF Table_detail'!I56),"")</f>
        <v>16.0</v>
      </c>
      <c r="L55" s="225" t="str" cm="1">
        <f t="array" aca="1" ref="L55" ca="1">IFERROR(print_SF('EF Table_detail'!J56),"")</f>
        <v>16.0</v>
      </c>
      <c r="M55" s="456" t="str" cm="1">
        <f t="array" aca="1" ref="M55" ca="1">IFERROR(print_SF('EF Table_detail'!Q56),"")</f>
        <v>0.0192</v>
      </c>
      <c r="N55" s="218" t="str" cm="1">
        <f t="array" aca="1" ref="N55" ca="1">IFERROR(print_SF('EF Table_detail'!M56),"")</f>
        <v>0.0160</v>
      </c>
      <c r="O55" s="219" t="str" cm="1">
        <f t="array" aca="1" ref="O55" ca="1">IFERROR(print_SF('EF Table_detail'!N56),"")</f>
        <v>0.0160</v>
      </c>
      <c r="P55" s="219" t="str" cm="1">
        <f t="array" aca="1" ref="P55" ca="1">IFERROR(print_SF('EF Table_detail'!O56),"")</f>
        <v>0.0160</v>
      </c>
      <c r="Q55" s="454" t="str" cm="1">
        <f t="array" aca="1" ref="Q55" ca="1">IFERROR(print_SF('EF Table_detail'!V56),"")</f>
        <v>0</v>
      </c>
      <c r="R55" s="218" t="str" cm="1">
        <f t="array" aca="1" ref="R55" ca="1">IFERROR(print_SF('EF Table_detail'!S56),"")</f>
        <v>0</v>
      </c>
      <c r="S55" s="219" t="str" cm="1">
        <f t="array" aca="1" ref="S55" ca="1">IFERROR(print_SF('EF Table_detail'!T56),"")</f>
        <v>0</v>
      </c>
      <c r="T55" s="456" t="str" cm="1">
        <f t="array" aca="1" ref="T55" ca="1">IFERROR(print_SF('EF Table_detail'!Z56),"")</f>
        <v>0</v>
      </c>
      <c r="U55" s="218" t="str" cm="1">
        <f t="array" aca="1" ref="U55" ca="1">IFERROR(print_SF('EF Table_detail'!W56),"")</f>
        <v>0</v>
      </c>
      <c r="V55" s="219" t="str" cm="1">
        <f t="array" aca="1" ref="V55" ca="1">IFERROR(print_SF('EF Table_detail'!X56),"")</f>
        <v>0</v>
      </c>
      <c r="W55" s="329" t="str" cm="1">
        <f t="array" aca="1" ref="W55" ca="1">IFERROR(print_SF('EF Table_detail'!AB56),"")</f>
        <v>1,000</v>
      </c>
      <c r="X55" s="330" t="str">
        <f t="shared" ca="1" si="1"/>
        <v>kg/tonne</v>
      </c>
      <c r="Y55" s="213" t="str" cm="1">
        <f t="array" aca="1" ref="Y55" ca="1">IF(INDIRECT(""&amp;$E55&amp;"!R"&amp;Y$141&amp;"C"&amp;Y$142,FALSE)=0,"",INDIRECT(""&amp;$E55&amp;"!R"&amp;Y$141&amp;"C"&amp;Y$142,FALSE))</f>
        <v/>
      </c>
      <c r="Z55" s="277" t="str" cm="1">
        <f t="array" aca="1" ref="Z55" ca="1">IF(INDIRECT(""&amp;$E55&amp;"!R"&amp;Z$141&amp;"C"&amp;Z$142,FALSE)="Average (weighted)","Yes","No")</f>
        <v>No</v>
      </c>
      <c r="AA55" s="96"/>
    </row>
    <row r="56" spans="2:27" ht="45" customHeight="1" x14ac:dyDescent="0.25">
      <c r="B56" s="276" t="str">
        <f>'EF Table_detail'!A57</f>
        <v xml:space="preserve">Aggregate </v>
      </c>
      <c r="C56" s="192" t="str">
        <f>'EF Table_detail'!B57</f>
        <v>Stabilised sand</v>
      </c>
      <c r="D56" s="193" t="str">
        <f ca="1">'EF Table_detail'!C57</f>
        <v>Sand used as fill or for stabilsation purposes, including various rates of stabliser inclusion from 7% to 25%</v>
      </c>
      <c r="E56" s="192" t="str">
        <f>'EF Table_detail'!D57</f>
        <v>stabilised_sand</v>
      </c>
      <c r="F56" s="192" t="str">
        <f ca="1">'EF Table_detail'!E57</f>
        <v>m³</v>
      </c>
      <c r="G56" s="192" t="str">
        <f ca="1">'EF Table_detail'!F57</f>
        <v>Tier 2</v>
      </c>
      <c r="H56" s="194">
        <f ca="1">'EF Table_detail'!G57</f>
        <v>1.05</v>
      </c>
      <c r="I56" s="454" t="str" cm="1">
        <f t="array" aca="1" ref="I56" ca="1">IFERROR(print_SF('EF Table_detail'!L57),"")</f>
        <v>361</v>
      </c>
      <c r="J56" s="222" t="str" cm="1">
        <f t="array" aca="1" ref="J56" ca="1">IFERROR(print_SF('EF Table_detail'!H57),"")</f>
        <v>344</v>
      </c>
      <c r="K56" s="223" t="str" cm="1">
        <f t="array" aca="1" ref="K56" ca="1">IFERROR(print_SF('EF Table_detail'!I57),"")</f>
        <v>67.8</v>
      </c>
      <c r="L56" s="223" t="str" cm="1">
        <f t="array" aca="1" ref="L56" ca="1">IFERROR(print_SF('EF Table_detail'!J57),"")</f>
        <v>185</v>
      </c>
      <c r="M56" s="456" t="str" cm="1">
        <f t="array" aca="1" ref="M56" ca="1">IFERROR(print_SF('EF Table_detail'!Q57),"")</f>
        <v>0.206</v>
      </c>
      <c r="N56" s="218" t="str" cm="1">
        <f t="array" aca="1" ref="N56" ca="1">IFERROR(print_SF('EF Table_detail'!M57),"")</f>
        <v>0.197</v>
      </c>
      <c r="O56" s="219" t="str" cm="1">
        <f t="array" aca="1" ref="O56" ca="1">IFERROR(print_SF('EF Table_detail'!N57),"")</f>
        <v>0.0387</v>
      </c>
      <c r="P56" s="219" t="str" cm="1">
        <f t="array" aca="1" ref="P56" ca="1">IFERROR(print_SF('EF Table_detail'!O57),"")</f>
        <v>0.105</v>
      </c>
      <c r="Q56" s="454" t="str" cm="1">
        <f t="array" aca="1" ref="Q56" ca="1">IFERROR(print_SF('EF Table_detail'!V57),"")</f>
        <v>0</v>
      </c>
      <c r="R56" s="218" t="str" cm="1">
        <f t="array" aca="1" ref="R56" ca="1">IFERROR(print_SF('EF Table_detail'!S57),"")</f>
        <v>0</v>
      </c>
      <c r="S56" s="219" t="str" cm="1">
        <f t="array" aca="1" ref="S56" ca="1">IFERROR(print_SF('EF Table_detail'!T57),"")</f>
        <v>0</v>
      </c>
      <c r="T56" s="456" t="str" cm="1">
        <f t="array" aca="1" ref="T56" ca="1">IFERROR(print_SF('EF Table_detail'!Z57),"")</f>
        <v>0</v>
      </c>
      <c r="U56" s="218" t="str" cm="1">
        <f t="array" aca="1" ref="U56" ca="1">IFERROR(print_SF('EF Table_detail'!W57),"")</f>
        <v>0</v>
      </c>
      <c r="V56" s="219" t="str" cm="1">
        <f t="array" aca="1" ref="V56" ca="1">IFERROR(print_SF('EF Table_detail'!X57),"")</f>
        <v>0</v>
      </c>
      <c r="W56" s="329" t="str" cm="1">
        <f t="array" aca="1" ref="W56" ca="1">IFERROR(print_SF('EF Table_detail'!AB57),"")</f>
        <v>1,760</v>
      </c>
      <c r="X56" s="330" t="str">
        <f t="shared" ca="1" si="1"/>
        <v>kg/m³</v>
      </c>
      <c r="Y56" s="213" t="str" cm="1">
        <f t="array" aca="1" ref="Y56" ca="1">IF(INDIRECT(""&amp;$E56&amp;"!R"&amp;Y$141&amp;"C"&amp;Y$142,FALSE)=0,"",INDIRECT(""&amp;$E56&amp;"!R"&amp;Y$141&amp;"C"&amp;Y$142,FALSE))</f>
        <v/>
      </c>
      <c r="Z56" s="277" t="str" cm="1">
        <f t="array" aca="1" ref="Z56" ca="1">IF(INDIRECT(""&amp;$E56&amp;"!R"&amp;Z$141&amp;"C"&amp;Z$142,FALSE)="Average (weighted)","Yes","No")</f>
        <v>No</v>
      </c>
      <c r="AA56" s="96"/>
    </row>
    <row r="57" spans="2:27" ht="45" customHeight="1" x14ac:dyDescent="0.25">
      <c r="B57" s="276" t="str">
        <f>'EF Table_detail'!A58</f>
        <v>Steel - cladding/roofing</v>
      </c>
      <c r="C57" s="192" t="str">
        <f>'EF Table_detail'!B58</f>
        <v>Steel cladding - metallic coat</v>
      </c>
      <c r="D57" s="193" t="str">
        <f ca="1">'EF Table_detail'!C58</f>
        <v xml:space="preserve">Steel cladding with a metallic coating including all base metal thicknesses (BMT) from 0.3 mm to 2.9mm </v>
      </c>
      <c r="E57" s="192" t="str">
        <f>'EF Table_detail'!D58</f>
        <v>steel_cladding_metallic</v>
      </c>
      <c r="F57" s="192" t="str">
        <f ca="1">'EF Table_detail'!E58</f>
        <v>m²</v>
      </c>
      <c r="G57" s="192" t="str">
        <f ca="1">'EF Table_detail'!F58</f>
        <v>Tier 1</v>
      </c>
      <c r="H57" s="194">
        <f ca="1">'EF Table_detail'!G58</f>
        <v>1.02</v>
      </c>
      <c r="I57" s="454" t="str" cm="1">
        <f t="array" aca="1" ref="I57" ca="1">IFERROR(print_SF('EF Table_detail'!L58),"")</f>
        <v>64.0</v>
      </c>
      <c r="J57" s="224" t="str" cm="1">
        <f t="array" aca="1" ref="J57" ca="1">IFERROR(print_SF('EF Table_detail'!H58),"")</f>
        <v>62.7</v>
      </c>
      <c r="K57" s="225" t="str" cm="1">
        <f t="array" aca="1" ref="K57" ca="1">IFERROR(print_SF('EF Table_detail'!I58),"")</f>
        <v>8.40</v>
      </c>
      <c r="L57" s="225" t="str" cm="1">
        <f t="array" aca="1" ref="L57" ca="1">IFERROR(print_SF('EF Table_detail'!J58),"")</f>
        <v>19.5</v>
      </c>
      <c r="M57" s="456" t="str" cm="1">
        <f t="array" aca="1" ref="M57" ca="1">IFERROR(print_SF('EF Table_detail'!Q58),"")</f>
        <v>5.12</v>
      </c>
      <c r="N57" s="218" t="str" cm="1">
        <f t="array" aca="1" ref="N57" ca="1">IFERROR(print_SF('EF Table_detail'!M58),"")</f>
        <v>5.01</v>
      </c>
      <c r="O57" s="219" t="str" cm="1">
        <f t="array" aca="1" ref="O57" ca="1">IFERROR(print_SF('EF Table_detail'!N58),"")</f>
        <v>2.72</v>
      </c>
      <c r="P57" s="219" t="str" cm="1">
        <f t="array" aca="1" ref="P57" ca="1">IFERROR(print_SF('EF Table_detail'!O58),"")</f>
        <v>3.08</v>
      </c>
      <c r="Q57" s="454" t="str" cm="1">
        <f t="array" aca="1" ref="Q57" ca="1">IFERROR(print_SF('EF Table_detail'!V58),"")</f>
        <v>0</v>
      </c>
      <c r="R57" s="218" t="str" cm="1">
        <f t="array" aca="1" ref="R57" ca="1">IFERROR(print_SF('EF Table_detail'!S58),"")</f>
        <v>0</v>
      </c>
      <c r="S57" s="219" t="str" cm="1">
        <f t="array" aca="1" ref="S57" ca="1">IFERROR(print_SF('EF Table_detail'!T58),"")</f>
        <v>0</v>
      </c>
      <c r="T57" s="456" t="str" cm="1">
        <f t="array" aca="1" ref="T57" ca="1">IFERROR(print_SF('EF Table_detail'!Z58),"")</f>
        <v>0</v>
      </c>
      <c r="U57" s="218" t="str" cm="1">
        <f t="array" aca="1" ref="U57" ca="1">IFERROR(print_SF('EF Table_detail'!W58),"")</f>
        <v>0</v>
      </c>
      <c r="V57" s="219" t="str" cm="1">
        <f t="array" aca="1" ref="V57" ca="1">IFERROR(print_SF('EF Table_detail'!X58),"")</f>
        <v>0</v>
      </c>
      <c r="W57" s="329" t="str" cm="1">
        <f t="array" aca="1" ref="W57" ca="1">IFERROR(print_SF('EF Table_detail'!AB58),"")</f>
        <v>6.32</v>
      </c>
      <c r="X57" s="330" t="str">
        <f t="shared" ca="1" si="1"/>
        <v>kg/m²</v>
      </c>
      <c r="Y57" s="213" t="str" cm="1">
        <f t="array" aca="1" ref="Y57" ca="1">IF(INDIRECT(""&amp;$E57&amp;"!R"&amp;Y$141&amp;"C"&amp;Y$142,FALSE)=0,"",INDIRECT(""&amp;$E57&amp;"!R"&amp;Y$141&amp;"C"&amp;Y$142,FALSE))</f>
        <v xml:space="preserve">Important to consider in the context of base metal thickness (BMT) and size of sheet not cladding area (shape of sheet i.e. corrugation and overlapping means area of sheet is more than area to be clad). Recommended to use kg CO2e/kg EF when BMT and mass is known. </v>
      </c>
      <c r="Z57" s="277" t="str" cm="1">
        <f t="array" aca="1" ref="Z57" ca="1">IF(INDIRECT(""&amp;$E57&amp;"!R"&amp;Z$141&amp;"C"&amp;Z$142,FALSE)="Average (weighted)","Yes","No")</f>
        <v>No</v>
      </c>
      <c r="AA57" s="96"/>
    </row>
    <row r="58" spans="2:27" ht="45" customHeight="1" x14ac:dyDescent="0.25">
      <c r="B58" s="276" t="str">
        <f>'EF Table_detail'!A59</f>
        <v>Steel - cladding/roofing</v>
      </c>
      <c r="C58" s="192" t="str">
        <f>'EF Table_detail'!B59</f>
        <v>Steel cladding - painted</v>
      </c>
      <c r="D58" s="193" t="str">
        <f ca="1">'EF Table_detail'!C59</f>
        <v xml:space="preserve">Steel cladding that has been painted, including all base metal thicknesses (BMT) from 0.42 mm to 1.0 mm </v>
      </c>
      <c r="E58" s="192" t="str">
        <f>'EF Table_detail'!D59</f>
        <v>steel_cladding_painted</v>
      </c>
      <c r="F58" s="192" t="str">
        <f ca="1">'EF Table_detail'!E59</f>
        <v>m²</v>
      </c>
      <c r="G58" s="192" t="str">
        <f ca="1">'EF Table_detail'!F59</f>
        <v>Tier 1</v>
      </c>
      <c r="H58" s="194">
        <f ca="1">'EF Table_detail'!G59</f>
        <v>1.02</v>
      </c>
      <c r="I58" s="454" t="str" cm="1">
        <f t="array" aca="1" ref="I58" ca="1">IFERROR(print_SF('EF Table_detail'!L59),"")</f>
        <v>25.4</v>
      </c>
      <c r="J58" s="224" t="str" cm="1">
        <f t="array" aca="1" ref="J58" ca="1">IFERROR(print_SF('EF Table_detail'!H59),"")</f>
        <v>24.9</v>
      </c>
      <c r="K58" s="225" t="str" cm="1">
        <f t="array" aca="1" ref="K58" ca="1">IFERROR(print_SF('EF Table_detail'!I59),"")</f>
        <v>9.49</v>
      </c>
      <c r="L58" s="225" t="str" cm="1">
        <f t="array" aca="1" ref="L58" ca="1">IFERROR(print_SF('EF Table_detail'!J59),"")</f>
        <v>14.9</v>
      </c>
      <c r="M58" s="456" t="str" cm="1">
        <f t="array" aca="1" ref="M58" ca="1">IFERROR(print_SF('EF Table_detail'!Q59),"")</f>
        <v>5.49</v>
      </c>
      <c r="N58" s="218" t="str" cm="1">
        <f t="array" aca="1" ref="N58" ca="1">IFERROR(print_SF('EF Table_detail'!M59),"")</f>
        <v>5.38</v>
      </c>
      <c r="O58" s="219" t="str" cm="1">
        <f t="array" aca="1" ref="O58" ca="1">IFERROR(print_SF('EF Table_detail'!N59),"")</f>
        <v>2.98</v>
      </c>
      <c r="P58" s="219" t="str" cm="1">
        <f t="array" aca="1" ref="P58" ca="1">IFERROR(print_SF('EF Table_detail'!O59),"")</f>
        <v>3.51</v>
      </c>
      <c r="Q58" s="454" t="str" cm="1">
        <f t="array" aca="1" ref="Q58" ca="1">IFERROR(print_SF('EF Table_detail'!V59),"")</f>
        <v>0</v>
      </c>
      <c r="R58" s="218" t="str" cm="1">
        <f t="array" aca="1" ref="R58" ca="1">IFERROR(print_SF('EF Table_detail'!S59),"")</f>
        <v>0</v>
      </c>
      <c r="S58" s="219" t="str" cm="1">
        <f t="array" aca="1" ref="S58" ca="1">IFERROR(print_SF('EF Table_detail'!T59),"")</f>
        <v>0</v>
      </c>
      <c r="T58" s="456" t="str" cm="1">
        <f t="array" aca="1" ref="T58" ca="1">IFERROR(print_SF('EF Table_detail'!Z59),"")</f>
        <v>0</v>
      </c>
      <c r="U58" s="218" t="str" cm="1">
        <f t="array" aca="1" ref="U58" ca="1">IFERROR(print_SF('EF Table_detail'!W59),"")</f>
        <v>0</v>
      </c>
      <c r="V58" s="219" t="str" cm="1">
        <f t="array" aca="1" ref="V58" ca="1">IFERROR(print_SF('EF Table_detail'!X59),"")</f>
        <v>0</v>
      </c>
      <c r="W58" s="329" t="str" cm="1">
        <f t="array" aca="1" ref="W58" ca="1">IFERROR(print_SF('EF Table_detail'!AB59),"")</f>
        <v>4.23</v>
      </c>
      <c r="X58" s="330" t="str">
        <f t="shared" ca="1" si="1"/>
        <v>kg/m²</v>
      </c>
      <c r="Y58" s="213" t="str" cm="1">
        <f t="array" aca="1" ref="Y58" ca="1">IF(INDIRECT(""&amp;$E58&amp;"!R"&amp;Y$141&amp;"C"&amp;Y$142,FALSE)=0,"",INDIRECT(""&amp;$E58&amp;"!R"&amp;Y$141&amp;"C"&amp;Y$142,FALSE))</f>
        <v xml:space="preserve">Important to consider in the context of base metal thickness (BMT) and size of sheet not cladding area (shape of sheet i.e. corrugation and overlapping means area of sheet is more than area to be clad). Recommended to use kg CO2e/kg EF when BMT and mass is known. </v>
      </c>
      <c r="Z58" s="277" t="str" cm="1">
        <f t="array" aca="1" ref="Z58" ca="1">IF(INDIRECT(""&amp;$E58&amp;"!R"&amp;Z$141&amp;"C"&amp;Z$142,FALSE)="Average (weighted)","Yes","No")</f>
        <v>No</v>
      </c>
      <c r="AA58" s="96"/>
    </row>
    <row r="59" spans="2:27" ht="45" customHeight="1" x14ac:dyDescent="0.25">
      <c r="B59" s="276" t="str">
        <f>'EF Table_detail'!A60</f>
        <v>Aluminium - cladding/roofing</v>
      </c>
      <c r="C59" s="192" t="str">
        <f>'EF Table_detail'!B60</f>
        <v>Aluminium cladding</v>
      </c>
      <c r="D59" s="193" t="str">
        <f ca="1">'EF Table_detail'!C60</f>
        <v xml:space="preserve">Aluminium cladding including all base metal thicknesses (BMT) from 0.70 mm to 0.9 mm </v>
      </c>
      <c r="E59" s="192" t="str">
        <f>'EF Table_detail'!D60</f>
        <v>Aluminium_cladding</v>
      </c>
      <c r="F59" s="192" t="str">
        <f ca="1">'EF Table_detail'!E60</f>
        <v>kg</v>
      </c>
      <c r="G59" s="192" t="str">
        <f ca="1">'EF Table_detail'!F60</f>
        <v>Tier 4</v>
      </c>
      <c r="H59" s="194">
        <f ca="1">'EF Table_detail'!G60</f>
        <v>1.2</v>
      </c>
      <c r="I59" s="454" t="str" cm="1">
        <f t="array" aca="1" ref="I59" ca="1">IFERROR(print_SF('EF Table_detail'!L60),"")</f>
        <v>21.1</v>
      </c>
      <c r="J59" s="224" t="str" cm="1">
        <f t="array" aca="1" ref="J59" ca="1">IFERROR(print_SF('EF Table_detail'!H60),"")</f>
        <v>17.5</v>
      </c>
      <c r="K59" s="225" t="str" cm="1">
        <f t="array" aca="1" ref="K59" ca="1">IFERROR(print_SF('EF Table_detail'!I60),"")</f>
        <v>17.5</v>
      </c>
      <c r="L59" s="225" t="str" cm="1">
        <f t="array" aca="1" ref="L59" ca="1">IFERROR(print_SF('EF Table_detail'!J60),"")</f>
        <v>17.5</v>
      </c>
      <c r="M59" s="456" t="str" cm="1">
        <f t="array" aca="1" ref="M59" ca="1">IFERROR(print_SF('EF Table_detail'!Q60),"")</f>
        <v>21.1</v>
      </c>
      <c r="N59" s="218" t="str" cm="1">
        <f t="array" aca="1" ref="N59" ca="1">IFERROR(print_SF('EF Table_detail'!M60),"")</f>
        <v>17.5</v>
      </c>
      <c r="O59" s="219" t="str" cm="1">
        <f t="array" aca="1" ref="O59" ca="1">IFERROR(print_SF('EF Table_detail'!N60),"")</f>
        <v>17.5</v>
      </c>
      <c r="P59" s="219" t="str" cm="1">
        <f t="array" aca="1" ref="P59" ca="1">IFERROR(print_SF('EF Table_detail'!O60),"")</f>
        <v>17.5</v>
      </c>
      <c r="Q59" s="454" t="str" cm="1">
        <f t="array" aca="1" ref="Q59" ca="1">IFERROR(print_SF('EF Table_detail'!V60),"")</f>
        <v>0</v>
      </c>
      <c r="R59" s="218" t="str" cm="1">
        <f t="array" aca="1" ref="R59" ca="1">IFERROR(print_SF('EF Table_detail'!S60),"")</f>
        <v>0</v>
      </c>
      <c r="S59" s="219" t="str" cm="1">
        <f t="array" aca="1" ref="S59" ca="1">IFERROR(print_SF('EF Table_detail'!T60),"")</f>
        <v>0</v>
      </c>
      <c r="T59" s="456" t="str" cm="1">
        <f t="array" aca="1" ref="T59" ca="1">IFERROR(print_SF('EF Table_detail'!Z60),"")</f>
        <v>0</v>
      </c>
      <c r="U59" s="218" t="str" cm="1">
        <f t="array" aca="1" ref="U59" ca="1">IFERROR(print_SF('EF Table_detail'!W60),"")</f>
        <v>0</v>
      </c>
      <c r="V59" s="219" t="str" cm="1">
        <f t="array" aca="1" ref="V59" ca="1">IFERROR(print_SF('EF Table_detail'!X60),"")</f>
        <v>0</v>
      </c>
      <c r="W59" s="329" t="str" cm="1">
        <f t="array" aca="1" ref="W59" ca="1">IFERROR(print_SF('EF Table_detail'!AB60),"")</f>
        <v>1.00</v>
      </c>
      <c r="X59" s="330" t="str">
        <f t="shared" ca="1" si="1"/>
        <v>kg/kg</v>
      </c>
      <c r="Y59" s="213" t="str" cm="1">
        <f t="array" aca="1" ref="Y59" ca="1">IF(INDIRECT(""&amp;$E59&amp;"!R"&amp;Y$141&amp;"C"&amp;Y$142,FALSE)=0,"",INDIRECT(""&amp;$E59&amp;"!R"&amp;Y$141&amp;"C"&amp;Y$142,FALSE))</f>
        <v/>
      </c>
      <c r="Z59" s="277" t="str" cm="1">
        <f t="array" aca="1" ref="Z59" ca="1">IF(INDIRECT(""&amp;$E59&amp;"!R"&amp;Z$141&amp;"C"&amp;Z$142,FALSE)="Average (weighted)","Yes","No")</f>
        <v>No</v>
      </c>
      <c r="AA59" s="96"/>
    </row>
    <row r="60" spans="2:27" ht="45" customHeight="1" x14ac:dyDescent="0.25">
      <c r="B60" s="276" t="str">
        <f>'EF Table_detail'!A61</f>
        <v>Tiles - cladding/roofing</v>
      </c>
      <c r="C60" s="192" t="str">
        <f>'EF Table_detail'!B61</f>
        <v>Roof tiles (traditional clay)</v>
      </c>
      <c r="D60" s="193" t="str">
        <f ca="1">'EF Table_detail'!C61</f>
        <v>Clay roof tiles including terracotta</v>
      </c>
      <c r="E60" s="192" t="str">
        <f>'EF Table_detail'!D61</f>
        <v>Roof_Tiles_Clay</v>
      </c>
      <c r="F60" s="192" t="str">
        <f ca="1">'EF Table_detail'!E61</f>
        <v>tonne</v>
      </c>
      <c r="G60" s="192" t="str">
        <f ca="1">'EF Table_detail'!F61</f>
        <v>Tier 4</v>
      </c>
      <c r="H60" s="194">
        <f ca="1">'EF Table_detail'!G61</f>
        <v>1.2</v>
      </c>
      <c r="I60" s="454" t="str" cm="1">
        <f t="array" aca="1" ref="I60" ca="1">IFERROR(print_SF('EF Table_detail'!L61),"")</f>
        <v>682</v>
      </c>
      <c r="J60" s="222" t="str" cm="1">
        <f t="array" aca="1" ref="J60" ca="1">IFERROR(print_SF('EF Table_detail'!H61),"")</f>
        <v>568</v>
      </c>
      <c r="K60" s="223" t="str" cm="1">
        <f t="array" aca="1" ref="K60" ca="1">IFERROR(print_SF('EF Table_detail'!I61),"")</f>
        <v>47.8</v>
      </c>
      <c r="L60" s="223" t="str" cm="1">
        <f t="array" aca="1" ref="L60" ca="1">IFERROR(print_SF('EF Table_detail'!J61),"")</f>
        <v>282</v>
      </c>
      <c r="M60" s="456" t="str" cm="1">
        <f t="array" aca="1" ref="M60" ca="1">IFERROR(print_SF('EF Table_detail'!Q61),"")</f>
        <v>0.682</v>
      </c>
      <c r="N60" s="218" t="str" cm="1">
        <f t="array" aca="1" ref="N60" ca="1">IFERROR(print_SF('EF Table_detail'!M61),"")</f>
        <v>0.568</v>
      </c>
      <c r="O60" s="219" t="str" cm="1">
        <f t="array" aca="1" ref="O60" ca="1">IFERROR(print_SF('EF Table_detail'!N61),"")</f>
        <v>0.0478</v>
      </c>
      <c r="P60" s="219" t="str" cm="1">
        <f t="array" aca="1" ref="P60" ca="1">IFERROR(print_SF('EF Table_detail'!O61),"")</f>
        <v>0.282</v>
      </c>
      <c r="Q60" s="454" t="str" cm="1">
        <f t="array" aca="1" ref="Q60" ca="1">IFERROR(print_SF('EF Table_detail'!V61),"")</f>
        <v>0</v>
      </c>
      <c r="R60" s="218" t="str" cm="1">
        <f t="array" aca="1" ref="R60" ca="1">IFERROR(print_SF('EF Table_detail'!S61),"")</f>
        <v>0</v>
      </c>
      <c r="S60" s="219" t="str" cm="1">
        <f t="array" aca="1" ref="S60" ca="1">IFERROR(print_SF('EF Table_detail'!T61),"")</f>
        <v>0</v>
      </c>
      <c r="T60" s="456" t="str" cm="1">
        <f t="array" aca="1" ref="T60" ca="1">IFERROR(print_SF('EF Table_detail'!Z61),"")</f>
        <v>0</v>
      </c>
      <c r="U60" s="218" t="str" cm="1">
        <f t="array" aca="1" ref="U60" ca="1">IFERROR(print_SF('EF Table_detail'!W61),"")</f>
        <v>0</v>
      </c>
      <c r="V60" s="219" t="str" cm="1">
        <f t="array" aca="1" ref="V60" ca="1">IFERROR(print_SF('EF Table_detail'!X61),"")</f>
        <v>0</v>
      </c>
      <c r="W60" s="329" t="str" cm="1">
        <f t="array" aca="1" ref="W60" ca="1">IFERROR(print_SF('EF Table_detail'!AB61),"")</f>
        <v>1,000</v>
      </c>
      <c r="X60" s="330" t="str">
        <f t="shared" ca="1" si="1"/>
        <v>kg/tonne</v>
      </c>
      <c r="Y60" s="213" t="str" cm="1">
        <f t="array" aca="1" ref="Y60" ca="1">IF(INDIRECT(""&amp;$E60&amp;"!R"&amp;Y$141&amp;"C"&amp;Y$142,FALSE)=0,"",INDIRECT(""&amp;$E60&amp;"!R"&amp;Y$141&amp;"C"&amp;Y$142,FALSE))</f>
        <v/>
      </c>
      <c r="Z60" s="277" t="str" cm="1">
        <f t="array" aca="1" ref="Z60" ca="1">IF(INDIRECT(""&amp;$E60&amp;"!R"&amp;Z$141&amp;"C"&amp;Z$142,FALSE)="Average (weighted)","Yes","No")</f>
        <v>No</v>
      </c>
      <c r="AA60" s="96"/>
    </row>
    <row r="61" spans="2:27" ht="45" customHeight="1" x14ac:dyDescent="0.25">
      <c r="B61" s="276" t="str">
        <f>'EF Table_detail'!A62</f>
        <v>Tiles - cladding/roofing</v>
      </c>
      <c r="C61" s="192" t="str">
        <f>'EF Table_detail'!B62</f>
        <v>Terracotta roofing</v>
      </c>
      <c r="D61" s="193" t="str">
        <f ca="1">'EF Table_detail'!C62</f>
        <v>Clay roof tiles including terracotta</v>
      </c>
      <c r="E61" s="192" t="str">
        <f>'EF Table_detail'!D62</f>
        <v>Roof_Tiles_Clay</v>
      </c>
      <c r="F61" s="192" t="str">
        <f ca="1">'EF Table_detail'!E62</f>
        <v>tonne</v>
      </c>
      <c r="G61" s="192" t="str">
        <f ca="1">'EF Table_detail'!F62</f>
        <v>Tier 4</v>
      </c>
      <c r="H61" s="194">
        <f ca="1">'EF Table_detail'!G62</f>
        <v>1.2</v>
      </c>
      <c r="I61" s="454" t="str" cm="1">
        <f t="array" aca="1" ref="I61" ca="1">IFERROR(print_SF('EF Table_detail'!L62),"")</f>
        <v>682</v>
      </c>
      <c r="J61" s="222" t="str" cm="1">
        <f t="array" aca="1" ref="J61" ca="1">IFERROR(print_SF('EF Table_detail'!H62),"")</f>
        <v>568</v>
      </c>
      <c r="K61" s="223" t="str" cm="1">
        <f t="array" aca="1" ref="K61" ca="1">IFERROR(print_SF('EF Table_detail'!I62),"")</f>
        <v>47.8</v>
      </c>
      <c r="L61" s="223" t="str" cm="1">
        <f t="array" aca="1" ref="L61" ca="1">IFERROR(print_SF('EF Table_detail'!J62),"")</f>
        <v>282</v>
      </c>
      <c r="M61" s="456" t="str" cm="1">
        <f t="array" aca="1" ref="M61" ca="1">IFERROR(print_SF('EF Table_detail'!Q62),"")</f>
        <v>0.682</v>
      </c>
      <c r="N61" s="218" t="str" cm="1">
        <f t="array" aca="1" ref="N61" ca="1">IFERROR(print_SF('EF Table_detail'!M62),"")</f>
        <v>0.568</v>
      </c>
      <c r="O61" s="219" t="str" cm="1">
        <f t="array" aca="1" ref="O61" ca="1">IFERROR(print_SF('EF Table_detail'!N62),"")</f>
        <v>0.0478</v>
      </c>
      <c r="P61" s="219" t="str" cm="1">
        <f t="array" aca="1" ref="P61" ca="1">IFERROR(print_SF('EF Table_detail'!O62),"")</f>
        <v>0.282</v>
      </c>
      <c r="Q61" s="454" t="str" cm="1">
        <f t="array" aca="1" ref="Q61" ca="1">IFERROR(print_SF('EF Table_detail'!V62),"")</f>
        <v>0</v>
      </c>
      <c r="R61" s="218" t="str" cm="1">
        <f t="array" aca="1" ref="R61" ca="1">IFERROR(print_SF('EF Table_detail'!S62),"")</f>
        <v>0</v>
      </c>
      <c r="S61" s="219" t="str" cm="1">
        <f t="array" aca="1" ref="S61" ca="1">IFERROR(print_SF('EF Table_detail'!T62),"")</f>
        <v>0</v>
      </c>
      <c r="T61" s="456" t="str" cm="1">
        <f t="array" aca="1" ref="T61" ca="1">IFERROR(print_SF('EF Table_detail'!Z62),"")</f>
        <v>0</v>
      </c>
      <c r="U61" s="218" t="str" cm="1">
        <f t="array" aca="1" ref="U61" ca="1">IFERROR(print_SF('EF Table_detail'!W62),"")</f>
        <v>0</v>
      </c>
      <c r="V61" s="219" t="str" cm="1">
        <f t="array" aca="1" ref="V61" ca="1">IFERROR(print_SF('EF Table_detail'!X62),"")</f>
        <v>0</v>
      </c>
      <c r="W61" s="329" t="str" cm="1">
        <f t="array" aca="1" ref="W61" ca="1">IFERROR(print_SF('EF Table_detail'!AB62),"")</f>
        <v>1,000</v>
      </c>
      <c r="X61" s="330" t="str">
        <f t="shared" ca="1" si="1"/>
        <v>kg/tonne</v>
      </c>
      <c r="Y61" s="213" t="str" cm="1">
        <f t="array" aca="1" ref="Y61" ca="1">IF(INDIRECT(""&amp;$E61&amp;"!R"&amp;Y$141&amp;"C"&amp;Y$142,FALSE)=0,"",INDIRECT(""&amp;$E61&amp;"!R"&amp;Y$141&amp;"C"&amp;Y$142,FALSE))</f>
        <v/>
      </c>
      <c r="Z61" s="277" t="str" cm="1">
        <f t="array" aca="1" ref="Z61" ca="1">IF(INDIRECT(""&amp;$E61&amp;"!R"&amp;Z$141&amp;"C"&amp;Z$142,FALSE)="Average (weighted)","Yes","No")</f>
        <v>No</v>
      </c>
      <c r="AA61" s="96"/>
    </row>
    <row r="62" spans="2:27" ht="45" customHeight="1" x14ac:dyDescent="0.25">
      <c r="B62" s="276" t="str">
        <f>'EF Table_detail'!A63</f>
        <v>Tiles - cladding/roofing</v>
      </c>
      <c r="C62" s="192" t="str">
        <f>'EF Table_detail'!B63</f>
        <v>Concrete roof tiles</v>
      </c>
      <c r="D62" s="193" t="str">
        <f ca="1">'EF Table_detail'!C63</f>
        <v>Concrete brick or block i.e. cinder block or concrete finishing brick used in masonry. Not including any core fill material or reinforcing.</v>
      </c>
      <c r="E62" s="192" t="str">
        <f>'EF Table_detail'!D63</f>
        <v>Concrete_bricks</v>
      </c>
      <c r="F62" s="192" t="str">
        <f ca="1">'EF Table_detail'!E63</f>
        <v>tonne</v>
      </c>
      <c r="G62" s="192" t="str">
        <f ca="1">'EF Table_detail'!F63</f>
        <v>Tier 3</v>
      </c>
      <c r="H62" s="194">
        <f ca="1">'EF Table_detail'!G63</f>
        <v>1.1000000000000001</v>
      </c>
      <c r="I62" s="454" t="str" cm="1">
        <f t="array" aca="1" ref="I62" ca="1">IFERROR(print_SF('EF Table_detail'!L63),"")</f>
        <v>264</v>
      </c>
      <c r="J62" s="222" t="str" cm="1">
        <f t="array" aca="1" ref="J62" ca="1">IFERROR(print_SF('EF Table_detail'!H63),"")</f>
        <v>240</v>
      </c>
      <c r="K62" s="223" t="str" cm="1">
        <f t="array" aca="1" ref="K62" ca="1">IFERROR(print_SF('EF Table_detail'!I63),"")</f>
        <v>112</v>
      </c>
      <c r="L62" s="223" t="str" cm="1">
        <f t="array" aca="1" ref="L62" ca="1">IFERROR(print_SF('EF Table_detail'!J63),"")</f>
        <v>159</v>
      </c>
      <c r="M62" s="456" t="str" cm="1">
        <f t="array" aca="1" ref="M62" ca="1">IFERROR(print_SF('EF Table_detail'!Q63),"")</f>
        <v>0.264</v>
      </c>
      <c r="N62" s="218" t="str" cm="1">
        <f t="array" aca="1" ref="N62" ca="1">IFERROR(print_SF('EF Table_detail'!M63),"")</f>
        <v>0.240</v>
      </c>
      <c r="O62" s="219" t="str" cm="1">
        <f t="array" aca="1" ref="O62" ca="1">IFERROR(print_SF('EF Table_detail'!N63),"")</f>
        <v>0.112</v>
      </c>
      <c r="P62" s="219" t="str" cm="1">
        <f t="array" aca="1" ref="P62" ca="1">IFERROR(print_SF('EF Table_detail'!O63),"")</f>
        <v>0.159</v>
      </c>
      <c r="Q62" s="454" t="str" cm="1">
        <f t="array" aca="1" ref="Q62" ca="1">IFERROR(print_SF('EF Table_detail'!V63),"")</f>
        <v>0</v>
      </c>
      <c r="R62" s="218" t="str" cm="1">
        <f t="array" aca="1" ref="R62" ca="1">IFERROR(print_SF('EF Table_detail'!S63),"")</f>
        <v>0</v>
      </c>
      <c r="S62" s="219" t="str" cm="1">
        <f t="array" aca="1" ref="S62" ca="1">IFERROR(print_SF('EF Table_detail'!T63),"")</f>
        <v>0</v>
      </c>
      <c r="T62" s="456" t="str" cm="1">
        <f t="array" aca="1" ref="T62" ca="1">IFERROR(print_SF('EF Table_detail'!Z63),"")</f>
        <v>0</v>
      </c>
      <c r="U62" s="218" t="str" cm="1">
        <f t="array" aca="1" ref="U62" ca="1">IFERROR(print_SF('EF Table_detail'!W63),"")</f>
        <v>0</v>
      </c>
      <c r="V62" s="219" t="str" cm="1">
        <f t="array" aca="1" ref="V62" ca="1">IFERROR(print_SF('EF Table_detail'!X63),"")</f>
        <v>0</v>
      </c>
      <c r="W62" s="329" t="str" cm="1">
        <f t="array" aca="1" ref="W62" ca="1">IFERROR(print_SF('EF Table_detail'!AB63),"")</f>
        <v>1,000</v>
      </c>
      <c r="X62" s="330" t="str">
        <f t="shared" ca="1" si="1"/>
        <v>kg/tonne</v>
      </c>
      <c r="Y62" s="213" t="str" cm="1">
        <f t="array" aca="1" ref="Y62" ca="1">IF(INDIRECT(""&amp;$E62&amp;"!R"&amp;Y$141&amp;"C"&amp;Y$142,FALSE)=0,"",INDIRECT(""&amp;$E62&amp;"!R"&amp;Y$141&amp;"C"&amp;Y$142,FALSE))</f>
        <v>Not including any core fill material or reinforcing.</v>
      </c>
      <c r="Z62" s="277" t="str" cm="1">
        <f t="array" aca="1" ref="Z62" ca="1">IF(INDIRECT(""&amp;$E62&amp;"!R"&amp;Z$141&amp;"C"&amp;Z$142,FALSE)="Average (weighted)","Yes","No")</f>
        <v>No</v>
      </c>
      <c r="AA62" s="96"/>
    </row>
    <row r="63" spans="2:27" ht="45" customHeight="1" x14ac:dyDescent="0.25">
      <c r="B63" s="276" t="str">
        <f>'EF Table_detail'!A64</f>
        <v>Cement - cladding/roofing</v>
      </c>
      <c r="C63" s="192" t="str">
        <f>'EF Table_detail'!B64</f>
        <v>GRC cladding</v>
      </c>
      <c r="D63" s="193" t="str">
        <f ca="1">'EF Table_detail'!C64</f>
        <v xml:space="preserve">Glass reinforced concrete (GRC) or glass fibre reinforced concrete including all uses i.e. as cladding or as slab concrete </v>
      </c>
      <c r="E63" s="192" t="str">
        <f>'EF Table_detail'!D64</f>
        <v>GRC</v>
      </c>
      <c r="F63" s="192" t="str">
        <f ca="1">'EF Table_detail'!E64</f>
        <v>tonne</v>
      </c>
      <c r="G63" s="192" t="str">
        <f ca="1">'EF Table_detail'!F64</f>
        <v>Tier 4</v>
      </c>
      <c r="H63" s="194">
        <f ca="1">'EF Table_detail'!G64</f>
        <v>1.2</v>
      </c>
      <c r="I63" s="454" t="str" cm="1">
        <f t="array" aca="1" ref="I63" ca="1">IFERROR(print_SF('EF Table_detail'!L64),"")</f>
        <v>869</v>
      </c>
      <c r="J63" s="222" t="str" cm="1">
        <f t="array" aca="1" ref="J63" ca="1">IFERROR(print_SF('EF Table_detail'!H64),"")</f>
        <v>724</v>
      </c>
      <c r="K63" s="223" t="str" cm="1">
        <f t="array" aca="1" ref="K63" ca="1">IFERROR(print_SF('EF Table_detail'!I64),"")</f>
        <v>408</v>
      </c>
      <c r="L63" s="223" t="str" cm="1">
        <f t="array" aca="1" ref="L63" ca="1">IFERROR(print_SF('EF Table_detail'!J64),"")</f>
        <v>544</v>
      </c>
      <c r="M63" s="456" t="str" cm="1">
        <f t="array" aca="1" ref="M63" ca="1">IFERROR(print_SF('EF Table_detail'!Q64),"")</f>
        <v>0.869</v>
      </c>
      <c r="N63" s="218" t="str" cm="1">
        <f t="array" aca="1" ref="N63" ca="1">IFERROR(print_SF('EF Table_detail'!M64),"")</f>
        <v>0.724</v>
      </c>
      <c r="O63" s="219" t="str" cm="1">
        <f t="array" aca="1" ref="O63" ca="1">IFERROR(print_SF('EF Table_detail'!N64),"")</f>
        <v>0.408</v>
      </c>
      <c r="P63" s="219" t="str" cm="1">
        <f t="array" aca="1" ref="P63" ca="1">IFERROR(print_SF('EF Table_detail'!O64),"")</f>
        <v>0.544</v>
      </c>
      <c r="Q63" s="454" t="str" cm="1">
        <f t="array" aca="1" ref="Q63" ca="1">IFERROR(print_SF('EF Table_detail'!V64),"")</f>
        <v>0</v>
      </c>
      <c r="R63" s="218" t="str" cm="1">
        <f t="array" aca="1" ref="R63" ca="1">IFERROR(print_SF('EF Table_detail'!S64),"")</f>
        <v>0</v>
      </c>
      <c r="S63" s="219" t="str" cm="1">
        <f t="array" aca="1" ref="S63" ca="1">IFERROR(print_SF('EF Table_detail'!T64),"")</f>
        <v>0</v>
      </c>
      <c r="T63" s="456" t="str" cm="1">
        <f t="array" aca="1" ref="T63" ca="1">IFERROR(print_SF('EF Table_detail'!Z64),"")</f>
        <v>0</v>
      </c>
      <c r="U63" s="218" t="str" cm="1">
        <f t="array" aca="1" ref="U63" ca="1">IFERROR(print_SF('EF Table_detail'!W64),"")</f>
        <v>0</v>
      </c>
      <c r="V63" s="219" t="str" cm="1">
        <f t="array" aca="1" ref="V63" ca="1">IFERROR(print_SF('EF Table_detail'!X64),"")</f>
        <v>0</v>
      </c>
      <c r="W63" s="329" t="str" cm="1">
        <f t="array" aca="1" ref="W63" ca="1">IFERROR(print_SF('EF Table_detail'!AB64),"")</f>
        <v>1,000</v>
      </c>
      <c r="X63" s="330" t="str">
        <f t="shared" ca="1" si="1"/>
        <v>kg/tonne</v>
      </c>
      <c r="Y63" s="213" t="str" cm="1">
        <f t="array" aca="1" ref="Y63" ca="1">IF(INDIRECT(""&amp;$E63&amp;"!R"&amp;Y$141&amp;"C"&amp;Y$142,FALSE)=0,"",INDIRECT(""&amp;$E63&amp;"!R"&amp;Y$141&amp;"C"&amp;Y$142,FALSE))</f>
        <v/>
      </c>
      <c r="Z63" s="277" t="str" cm="1">
        <f t="array" aca="1" ref="Z63" ca="1">IF(INDIRECT(""&amp;$E63&amp;"!R"&amp;Z$141&amp;"C"&amp;Z$142,FALSE)="Average (weighted)","Yes","No")</f>
        <v>No</v>
      </c>
      <c r="AA63" s="96"/>
    </row>
    <row r="64" spans="2:27" ht="45" customHeight="1" x14ac:dyDescent="0.25">
      <c r="B64" s="276" t="str">
        <f>'EF Table_detail'!A65</f>
        <v>Cement - cladding/roofing</v>
      </c>
      <c r="C64" s="192" t="str">
        <f>'EF Table_detail'!B65</f>
        <v>Fibre cement board</v>
      </c>
      <c r="D64" s="193" t="str">
        <f ca="1">'EF Table_detail'!C65</f>
        <v>Board made from fibre cement including compressed sheet, flooring, cladding, lining and roofing boards. Thickness from 4 mm to 22 mm.</v>
      </c>
      <c r="E64" s="192" t="str">
        <f>'EF Table_detail'!D65</f>
        <v>Fibre_Cement</v>
      </c>
      <c r="F64" s="192" t="str">
        <f ca="1">'EF Table_detail'!E65</f>
        <v>m²</v>
      </c>
      <c r="G64" s="192" t="str">
        <f ca="1">'EF Table_detail'!F65</f>
        <v>Tier 2</v>
      </c>
      <c r="H64" s="194">
        <f ca="1">'EF Table_detail'!G65</f>
        <v>1.05</v>
      </c>
      <c r="I64" s="454" t="str" cm="1">
        <f t="array" aca="1" ref="I64" ca="1">IFERROR(print_SF('EF Table_detail'!L65),"")</f>
        <v>48.2</v>
      </c>
      <c r="J64" s="224" t="str" cm="1">
        <f t="array" aca="1" ref="J64" ca="1">IFERROR(print_SF('EF Table_detail'!H65),"")</f>
        <v>45.9</v>
      </c>
      <c r="K64" s="225" t="str" cm="1">
        <f t="array" aca="1" ref="K64" ca="1">IFERROR(print_SF('EF Table_detail'!I65),"")</f>
        <v>3.51</v>
      </c>
      <c r="L64" s="225" t="str" cm="1">
        <f t="array" aca="1" ref="L64" ca="1">IFERROR(print_SF('EF Table_detail'!J65),"")</f>
        <v>12.9</v>
      </c>
      <c r="M64" s="456" t="str" cm="1">
        <f t="array" aca="1" ref="M64" ca="1">IFERROR(print_SF('EF Table_detail'!Q65),"")</f>
        <v>1.39</v>
      </c>
      <c r="N64" s="218" t="str" cm="1">
        <f t="array" aca="1" ref="N64" ca="1">IFERROR(print_SF('EF Table_detail'!M65),"")</f>
        <v>1.32</v>
      </c>
      <c r="O64" s="219" t="str" cm="1">
        <f t="array" aca="1" ref="O64" ca="1">IFERROR(print_SF('EF Table_detail'!N65),"")</f>
        <v>0.307</v>
      </c>
      <c r="P64" s="219" t="str" cm="1">
        <f t="array" aca="1" ref="P64" ca="1">IFERROR(print_SF('EF Table_detail'!O65),"")</f>
        <v>0.853</v>
      </c>
      <c r="Q64" s="454" t="str" cm="1">
        <f t="array" aca="1" ref="Q64" ca="1">IFERROR(print_SF('EF Table_detail'!V65),"")</f>
        <v>0.0473</v>
      </c>
      <c r="R64" s="218" t="str" cm="1">
        <f t="array" aca="1" ref="R64" ca="1">IFERROR(print_SF('EF Table_detail'!S65),"")</f>
        <v>0.0450</v>
      </c>
      <c r="S64" s="219" t="str" cm="1">
        <f t="array" aca="1" ref="S64" ca="1">IFERROR(print_SF('EF Table_detail'!T65),"")</f>
        <v>0.0373</v>
      </c>
      <c r="T64" s="456" t="str" cm="1">
        <f t="array" aca="1" ref="T64" ca="1">IFERROR(print_SF('EF Table_detail'!Z65),"")</f>
        <v>0.00833</v>
      </c>
      <c r="U64" s="218" t="str" cm="1">
        <f t="array" aca="1" ref="U64" ca="1">IFERROR(print_SF('EF Table_detail'!W65),"")</f>
        <v>0.00833</v>
      </c>
      <c r="V64" s="219" t="str" cm="1">
        <f t="array" aca="1" ref="V64" ca="1">IFERROR(print_SF('EF Table_detail'!X65),"")</f>
        <v>0.00321</v>
      </c>
      <c r="W64" s="329" t="str" cm="1">
        <f t="array" aca="1" ref="W64" ca="1">IFERROR(print_SF('EF Table_detail'!AB65),"")</f>
        <v>15.1</v>
      </c>
      <c r="X64" s="330" t="str">
        <f t="shared" ca="1" si="1"/>
        <v>kg/m²</v>
      </c>
      <c r="Y64" s="213" t="str" cm="1">
        <f t="array" aca="1" ref="Y64" ca="1">IF(INDIRECT(""&amp;$E64&amp;"!R"&amp;Y$141&amp;"C"&amp;Y$142,FALSE)=0,"",INDIRECT(""&amp;$E64&amp;"!R"&amp;Y$141&amp;"C"&amp;Y$142,FALSE))</f>
        <v xml:space="preserve">Important to consider in the context of board thickness and size of sheet not cladding area (shape of sheet overlapping (i.e. when cladding) means area of sheet is more than area to be clad). Recommended to use kg CO2e/kg EF when thickness and mass is known. </v>
      </c>
      <c r="Z64" s="277" t="str" cm="1">
        <f t="array" aca="1" ref="Z64" ca="1">IF(INDIRECT(""&amp;$E64&amp;"!R"&amp;Z$141&amp;"C"&amp;Z$142,FALSE)="Average (weighted)","Yes","No")</f>
        <v>No</v>
      </c>
      <c r="AA64" s="96"/>
    </row>
    <row r="65" spans="2:27" ht="45" customHeight="1" x14ac:dyDescent="0.25">
      <c r="B65" s="276" t="str">
        <f>'EF Table_detail'!A66</f>
        <v>Cement - cladding/roofing</v>
      </c>
      <c r="C65" s="192" t="str">
        <f>'EF Table_detail'!B66</f>
        <v>Plasterboard</v>
      </c>
      <c r="D65" s="193" t="str">
        <f ca="1">'EF Table_detail'!C66</f>
        <v>Board made from plaster typically coated in paper. Thickness from 4 mm to 22 mm.</v>
      </c>
      <c r="E65" s="192" t="str">
        <f>'EF Table_detail'!D66</f>
        <v>Plasterboard</v>
      </c>
      <c r="F65" s="192" t="str">
        <f ca="1">'EF Table_detail'!E66</f>
        <v>m²</v>
      </c>
      <c r="G65" s="192" t="str">
        <f ca="1">'EF Table_detail'!F66</f>
        <v>Tier 4</v>
      </c>
      <c r="H65" s="194">
        <f ca="1">'EF Table_detail'!G66</f>
        <v>1.2</v>
      </c>
      <c r="I65" s="454" t="str" cm="1">
        <f t="array" aca="1" ref="I65" ca="1">IFERROR(print_SF('EF Table_detail'!L66),"")</f>
        <v>8.15</v>
      </c>
      <c r="J65" s="218" t="str" cm="1">
        <f t="array" aca="1" ref="J65" ca="1">IFERROR(print_SF('EF Table_detail'!H66),"")</f>
        <v>6.79</v>
      </c>
      <c r="K65" s="219" t="str" cm="1">
        <f t="array" aca="1" ref="K65" ca="1">IFERROR(print_SF('EF Table_detail'!I66),"")</f>
        <v>1.49</v>
      </c>
      <c r="L65" s="219" t="str" cm="1">
        <f t="array" aca="1" ref="L65" ca="1">IFERROR(print_SF('EF Table_detail'!J66),"")</f>
        <v>3.25</v>
      </c>
      <c r="M65" s="456" t="str" cm="1">
        <f t="array" aca="1" ref="M65" ca="1">IFERROR(print_SF('EF Table_detail'!Q66),"")</f>
        <v>0.473</v>
      </c>
      <c r="N65" s="218" t="str" cm="1">
        <f t="array" aca="1" ref="N65" ca="1">IFERROR(print_SF('EF Table_detail'!M66),"")</f>
        <v>0.394</v>
      </c>
      <c r="O65" s="219" t="str" cm="1">
        <f t="array" aca="1" ref="O65" ca="1">IFERROR(print_SF('EF Table_detail'!N66),"")</f>
        <v>0.175</v>
      </c>
      <c r="P65" s="219" t="str" cm="1">
        <f t="array" aca="1" ref="P65" ca="1">IFERROR(print_SF('EF Table_detail'!O66),"")</f>
        <v>0.298</v>
      </c>
      <c r="Q65" s="454" t="str" cm="1">
        <f t="array" aca="1" ref="Q65" ca="1">IFERROR(print_SF('EF Table_detail'!V66),"")</f>
        <v>1.28</v>
      </c>
      <c r="R65" s="218" t="str" cm="1">
        <f t="array" aca="1" ref="R65" ca="1">IFERROR(print_SF('EF Table_detail'!S66),"")</f>
        <v>1.07</v>
      </c>
      <c r="S65" s="219" t="str" cm="1">
        <f t="array" aca="1" ref="S65" ca="1">IFERROR(print_SF('EF Table_detail'!T66),"")</f>
        <v>0.597</v>
      </c>
      <c r="T65" s="456" t="str" cm="1">
        <f t="array" aca="1" ref="T65" ca="1">IFERROR(print_SF('EF Table_detail'!Z66),"")</f>
        <v>0.204</v>
      </c>
      <c r="U65" s="218" t="str" cm="1">
        <f t="array" aca="1" ref="U65" ca="1">IFERROR(print_SF('EF Table_detail'!W66),"")</f>
        <v>0.204</v>
      </c>
      <c r="V65" s="219" t="str" cm="1">
        <f t="array" aca="1" ref="V65" ca="1">IFERROR(print_SF('EF Table_detail'!X66),"")</f>
        <v>0.0608</v>
      </c>
      <c r="W65" s="329" t="str" cm="1">
        <f t="array" aca="1" ref="W65" ca="1">IFERROR(print_SF('EF Table_detail'!AB66),"")</f>
        <v>10.9</v>
      </c>
      <c r="X65" s="330" t="str">
        <f t="shared" ca="1" si="1"/>
        <v>kg/m²</v>
      </c>
      <c r="Y65" s="213" t="str" cm="1">
        <f t="array" aca="1" ref="Y65" ca="1">IF(INDIRECT(""&amp;$E65&amp;"!R"&amp;Y$141&amp;"C"&amp;Y$142,FALSE)=0,"",INDIRECT(""&amp;$E65&amp;"!R"&amp;Y$141&amp;"C"&amp;Y$142,FALSE))</f>
        <v xml:space="preserve">Important to consider board thickness. Recommended to use kg CO2e/kg EF when thickness and mass is known. </v>
      </c>
      <c r="Z65" s="277" t="str" cm="1">
        <f t="array" aca="1" ref="Z65" ca="1">IF(INDIRECT(""&amp;$E65&amp;"!R"&amp;Z$141&amp;"C"&amp;Z$142,FALSE)="Average (weighted)","Yes","No")</f>
        <v>No</v>
      </c>
      <c r="AA65" s="96"/>
    </row>
    <row r="66" spans="2:27" ht="45" customHeight="1" x14ac:dyDescent="0.25">
      <c r="B66" s="276" t="str">
        <f>'EF Table_detail'!A67</f>
        <v xml:space="preserve">Cladding - timber </v>
      </c>
      <c r="C66" s="192" t="str">
        <f>'EF Table_detail'!B67</f>
        <v>Timber weatherboards</v>
      </c>
      <c r="D66" s="193" t="str">
        <f ca="1">'EF Table_detail'!C67</f>
        <v>Based on softwood timber used for weatherboards includes finger jointed, thermally modified timber, treated, untreated, surfaced, and sawn products</v>
      </c>
      <c r="E66" s="192" t="str">
        <f>'EF Table_detail'!D67</f>
        <v>Timber_Weatherboard</v>
      </c>
      <c r="F66" s="192" t="str">
        <f ca="1">'EF Table_detail'!E67</f>
        <v>m³</v>
      </c>
      <c r="G66" s="192" t="str">
        <f ca="1">'EF Table_detail'!F67</f>
        <v>Tier 2</v>
      </c>
      <c r="H66" s="194">
        <f ca="1">'EF Table_detail'!G67</f>
        <v>1.05</v>
      </c>
      <c r="I66" s="454" t="str" cm="1">
        <f t="array" aca="1" ref="I66" ca="1">IFERROR(print_SF('EF Table_detail'!L67),"")</f>
        <v>349</v>
      </c>
      <c r="J66" s="222" t="str" cm="1">
        <f t="array" aca="1" ref="J66" ca="1">IFERROR(print_SF('EF Table_detail'!H67),"")</f>
        <v>332</v>
      </c>
      <c r="K66" s="223" t="str" cm="1">
        <f t="array" aca="1" ref="K66" ca="1">IFERROR(print_SF('EF Table_detail'!I67),"")</f>
        <v>100</v>
      </c>
      <c r="L66" s="223" t="str" cm="1">
        <f t="array" aca="1" ref="L66" ca="1">IFERROR(print_SF('EF Table_detail'!J67),"")</f>
        <v>195</v>
      </c>
      <c r="M66" s="456" t="str" cm="1">
        <f t="array" aca="1" ref="M66" ca="1">IFERROR(print_SF('EF Table_detail'!Q67),"")</f>
        <v>0.725</v>
      </c>
      <c r="N66" s="218" t="str" cm="1">
        <f t="array" aca="1" ref="N66" ca="1">IFERROR(print_SF('EF Table_detail'!M67),"")</f>
        <v>0.690</v>
      </c>
      <c r="O66" s="219" t="str" cm="1">
        <f t="array" aca="1" ref="O66" ca="1">IFERROR(print_SF('EF Table_detail'!N67),"")</f>
        <v>0.205</v>
      </c>
      <c r="P66" s="219" t="str" cm="1">
        <f t="array" aca="1" ref="P66" ca="1">IFERROR(print_SF('EF Table_detail'!O67),"")</f>
        <v>0.381</v>
      </c>
      <c r="Q66" s="454" t="str" cm="1">
        <f t="array" aca="1" ref="Q66" ca="1">IFERROR(print_SF('EF Table_detail'!V67),"")</f>
        <v>933</v>
      </c>
      <c r="R66" s="222" t="str" cm="1">
        <f t="array" aca="1" ref="R66" ca="1">IFERROR(print_SF('EF Table_detail'!S67),"")</f>
        <v>889</v>
      </c>
      <c r="S66" s="223" t="str" cm="1">
        <f t="array" aca="1" ref="S66" ca="1">IFERROR(print_SF('EF Table_detail'!T67),"")</f>
        <v>848</v>
      </c>
      <c r="T66" s="456" t="str" cm="1">
        <f t="array" aca="1" ref="T66" ca="1">IFERROR(print_SF('EF Table_detail'!Z67),"")</f>
        <v>1.61</v>
      </c>
      <c r="U66" s="218" t="str" cm="1">
        <f t="array" aca="1" ref="U66" ca="1">IFERROR(print_SF('EF Table_detail'!W67),"")</f>
        <v>1.61</v>
      </c>
      <c r="V66" s="219" t="str" cm="1">
        <f t="array" aca="1" ref="V66" ca="1">IFERROR(print_SF('EF Table_detail'!X67),"")</f>
        <v>1.63</v>
      </c>
      <c r="W66" s="329" t="str" cm="1">
        <f t="array" aca="1" ref="W66" ca="1">IFERROR(print_SF('EF Table_detail'!AB67),"")</f>
        <v>512</v>
      </c>
      <c r="X66" s="330" t="str">
        <f t="shared" ca="1" si="1"/>
        <v>kg/m³</v>
      </c>
      <c r="Y66" s="213" t="str" cm="1">
        <f t="array" aca="1" ref="Y66" ca="1">IF(INDIRECT(""&amp;$E66&amp;"!R"&amp;Y$141&amp;"C"&amp;Y$142,FALSE)=0,"",INDIRECT(""&amp;$E66&amp;"!R"&amp;Y$141&amp;"C"&amp;Y$142,FALSE))</f>
        <v/>
      </c>
      <c r="Z66" s="277" t="str" cm="1">
        <f t="array" aca="1" ref="Z66" ca="1">IF(INDIRECT(""&amp;$E66&amp;"!R"&amp;Z$141&amp;"C"&amp;Z$142,FALSE)="Average (weighted)","Yes","No")</f>
        <v>Yes</v>
      </c>
      <c r="AA66" s="96"/>
    </row>
    <row r="67" spans="2:27" ht="45" customHeight="1" x14ac:dyDescent="0.25">
      <c r="B67" s="276" t="str">
        <f>'EF Table_detail'!A68</f>
        <v xml:space="preserve">Cladding - timber </v>
      </c>
      <c r="C67" s="192" t="str">
        <f>'EF Table_detail'!B68</f>
        <v>Plywood</v>
      </c>
      <c r="D67" s="193" t="str">
        <f ca="1">'EF Table_detail'!C68</f>
        <v xml:space="preserve">Plywood timber for bracing, structural (walling, flooring), formwork purposes. </v>
      </c>
      <c r="E67" s="192" t="str">
        <f>'EF Table_detail'!D68</f>
        <v>Eng_Timber_Plywood</v>
      </c>
      <c r="F67" s="192" t="str">
        <f ca="1">'EF Table_detail'!E68</f>
        <v>m³</v>
      </c>
      <c r="G67" s="192" t="str">
        <f ca="1">'EF Table_detail'!F68</f>
        <v>Tier 2</v>
      </c>
      <c r="H67" s="194">
        <f ca="1">'EF Table_detail'!G68</f>
        <v>1.05</v>
      </c>
      <c r="I67" s="454" t="str" cm="1">
        <f t="array" aca="1" ref="I67" ca="1">IFERROR(print_SF('EF Table_detail'!L68),"")</f>
        <v>968</v>
      </c>
      <c r="J67" s="222" t="str" cm="1">
        <f t="array" aca="1" ref="J67" ca="1">IFERROR(print_SF('EF Table_detail'!H68),"")</f>
        <v>922</v>
      </c>
      <c r="K67" s="223" t="str" cm="1">
        <f t="array" aca="1" ref="K67" ca="1">IFERROR(print_SF('EF Table_detail'!I68),"")</f>
        <v>235</v>
      </c>
      <c r="L67" s="223" t="str" cm="1">
        <f t="array" aca="1" ref="L67" ca="1">IFERROR(print_SF('EF Table_detail'!J68),"")</f>
        <v>498</v>
      </c>
      <c r="M67" s="456" t="str" cm="1">
        <f t="array" aca="1" ref="M67" ca="1">IFERROR(print_SF('EF Table_detail'!Q68),"")</f>
        <v>1.77</v>
      </c>
      <c r="N67" s="218" t="str" cm="1">
        <f t="array" aca="1" ref="N67" ca="1">IFERROR(print_SF('EF Table_detail'!M68),"")</f>
        <v>1.69</v>
      </c>
      <c r="O67" s="219" t="str" cm="1">
        <f t="array" aca="1" ref="O67" ca="1">IFERROR(print_SF('EF Table_detail'!N68),"")</f>
        <v>0.396</v>
      </c>
      <c r="P67" s="219" t="str" cm="1">
        <f t="array" aca="1" ref="P67" ca="1">IFERROR(print_SF('EF Table_detail'!O68),"")</f>
        <v>0.978</v>
      </c>
      <c r="Q67" s="454" t="str" cm="1">
        <f t="array" aca="1" ref="Q67" ca="1">IFERROR(print_SF('EF Table_detail'!V68),"")</f>
        <v>967</v>
      </c>
      <c r="R67" s="222" t="str" cm="1">
        <f t="array" aca="1" ref="R67" ca="1">IFERROR(print_SF('EF Table_detail'!S68),"")</f>
        <v>921</v>
      </c>
      <c r="S67" s="223" t="str" cm="1">
        <f t="array" aca="1" ref="S67" ca="1">IFERROR(print_SF('EF Table_detail'!T68),"")</f>
        <v>841</v>
      </c>
      <c r="T67" s="456" t="str" cm="1">
        <f t="array" aca="1" ref="T67" ca="1">IFERROR(print_SF('EF Table_detail'!Z68),"")</f>
        <v>1.69</v>
      </c>
      <c r="U67" s="218" t="str" cm="1">
        <f t="array" aca="1" ref="U67" ca="1">IFERROR(print_SF('EF Table_detail'!W68),"")</f>
        <v>1.69</v>
      </c>
      <c r="V67" s="219" t="str" cm="1">
        <f t="array" aca="1" ref="V67" ca="1">IFERROR(print_SF('EF Table_detail'!X68),"")</f>
        <v>1.64</v>
      </c>
      <c r="W67" s="329" t="str" cm="1">
        <f t="array" aca="1" ref="W67" ca="1">IFERROR(print_SF('EF Table_detail'!AB68),"")</f>
        <v>509</v>
      </c>
      <c r="X67" s="330" t="str">
        <f t="shared" ca="1" si="1"/>
        <v>kg/m³</v>
      </c>
      <c r="Y67" s="213" t="str" cm="1">
        <f t="array" aca="1" ref="Y67" ca="1">IF(INDIRECT(""&amp;$E67&amp;"!R"&amp;Y$141&amp;"C"&amp;Y$142,FALSE)=0,"",INDIRECT(""&amp;$E67&amp;"!R"&amp;Y$141&amp;"C"&amp;Y$142,FALSE))</f>
        <v/>
      </c>
      <c r="Z67" s="277" t="str" cm="1">
        <f t="array" aca="1" ref="Z67" ca="1">IF(INDIRECT(""&amp;$E67&amp;"!R"&amp;Z$141&amp;"C"&amp;Z$142,FALSE)="Average (weighted)","Yes","No")</f>
        <v>Yes</v>
      </c>
      <c r="AA67" s="96"/>
    </row>
    <row r="68" spans="2:27" ht="45" customHeight="1" x14ac:dyDescent="0.25">
      <c r="B68" s="276" t="str">
        <f>'EF Table_detail'!A69</f>
        <v xml:space="preserve">Cladding - timber </v>
      </c>
      <c r="C68" s="192" t="str">
        <f>'EF Table_detail'!B69</f>
        <v>Particleboard</v>
      </c>
      <c r="D68" s="193" t="str">
        <f ca="1">'EF Table_detail'!C69</f>
        <v xml:space="preserve">Particleboard including walling and flooring applications </v>
      </c>
      <c r="E68" s="192" t="str">
        <f>'EF Table_detail'!D69</f>
        <v>Eng_Timber_Particleboard</v>
      </c>
      <c r="F68" s="192" t="str">
        <f ca="1">'EF Table_detail'!E69</f>
        <v>m³</v>
      </c>
      <c r="G68" s="192" t="str">
        <f ca="1">'EF Table_detail'!F69</f>
        <v>Tier 2</v>
      </c>
      <c r="H68" s="194">
        <f ca="1">'EF Table_detail'!G69</f>
        <v>1.05</v>
      </c>
      <c r="I68" s="454" t="str" cm="1">
        <f t="array" aca="1" ref="I68" ca="1">IFERROR(print_SF('EF Table_detail'!L69),"")</f>
        <v>880</v>
      </c>
      <c r="J68" s="222" t="str" cm="1">
        <f t="array" aca="1" ref="J68" ca="1">IFERROR(print_SF('EF Table_detail'!H69),"")</f>
        <v>838</v>
      </c>
      <c r="K68" s="223" t="str" cm="1">
        <f t="array" aca="1" ref="K68" ca="1">IFERROR(print_SF('EF Table_detail'!I69),"")</f>
        <v>322</v>
      </c>
      <c r="L68" s="223" t="str" cm="1">
        <f t="array" aca="1" ref="L68" ca="1">IFERROR(print_SF('EF Table_detail'!J69),"")</f>
        <v>650</v>
      </c>
      <c r="M68" s="456" t="str" cm="1">
        <f t="array" aca="1" ref="M68" ca="1">IFERROR(print_SF('EF Table_detail'!Q69),"")</f>
        <v>1.23</v>
      </c>
      <c r="N68" s="218" t="str" cm="1">
        <f t="array" aca="1" ref="N68" ca="1">IFERROR(print_SF('EF Table_detail'!M69),"")</f>
        <v>1.17</v>
      </c>
      <c r="O68" s="219" t="str" cm="1">
        <f t="array" aca="1" ref="O68" ca="1">IFERROR(print_SF('EF Table_detail'!N69),"")</f>
        <v>0.488</v>
      </c>
      <c r="P68" s="219" t="str" cm="1">
        <f t="array" aca="1" ref="P68" ca="1">IFERROR(print_SF('EF Table_detail'!O69),"")</f>
        <v>0.915</v>
      </c>
      <c r="Q68" s="454" t="str" cm="1">
        <f t="array" aca="1" ref="Q68" ca="1">IFERROR(print_SF('EF Table_detail'!V69),"")</f>
        <v>1,240</v>
      </c>
      <c r="R68" s="222" t="str" cm="1">
        <f t="array" aca="1" ref="R68" ca="1">IFERROR(print_SF('EF Table_detail'!S69),"")</f>
        <v>1,180</v>
      </c>
      <c r="S68" s="223" t="str" cm="1">
        <f t="array" aca="1" ref="S68" ca="1">IFERROR(print_SF('EF Table_detail'!T69),"")</f>
        <v>1,140</v>
      </c>
      <c r="T68" s="456" t="str" cm="1">
        <f t="array" aca="1" ref="T68" ca="1">IFERROR(print_SF('EF Table_detail'!Z69),"")</f>
        <v>1.65</v>
      </c>
      <c r="U68" s="218" t="str" cm="1">
        <f t="array" aca="1" ref="U68" ca="1">IFERROR(print_SF('EF Table_detail'!W69),"")</f>
        <v>1.65</v>
      </c>
      <c r="V68" s="219" t="str" cm="1">
        <f t="array" aca="1" ref="V68" ca="1">IFERROR(print_SF('EF Table_detail'!X69),"")</f>
        <v>1.62</v>
      </c>
      <c r="W68" s="329" t="str" cm="1">
        <f t="array" aca="1" ref="W68" ca="1">IFERROR(print_SF('EF Table_detail'!AB69),"")</f>
        <v>711</v>
      </c>
      <c r="X68" s="330" t="str">
        <f t="shared" ca="1" si="1"/>
        <v>kg/m³</v>
      </c>
      <c r="Y68" s="213" t="str" cm="1">
        <f t="array" aca="1" ref="Y68" ca="1">IF(INDIRECT(""&amp;$E68&amp;"!R"&amp;Y$141&amp;"C"&amp;Y$142,FALSE)=0,"",INDIRECT(""&amp;$E68&amp;"!R"&amp;Y$141&amp;"C"&amp;Y$142,FALSE))</f>
        <v/>
      </c>
      <c r="Z68" s="277" t="str" cm="1">
        <f t="array" aca="1" ref="Z68" ca="1">IF(INDIRECT(""&amp;$E68&amp;"!R"&amp;Z$141&amp;"C"&amp;Z$142,FALSE)="Average (weighted)","Yes","No")</f>
        <v>Yes</v>
      </c>
      <c r="AA68" s="96"/>
    </row>
    <row r="69" spans="2:27" ht="45" customHeight="1" x14ac:dyDescent="0.25">
      <c r="B69" s="276" t="str">
        <f>'EF Table_detail'!A70</f>
        <v>Roller doors</v>
      </c>
      <c r="C69" s="192" t="str">
        <f>'EF Table_detail'!B70</f>
        <v>Roller doors</v>
      </c>
      <c r="D69" s="193" t="str">
        <f ca="1">'EF Table_detail'!C70</f>
        <v>Roller door (i.e. sectional door or garage door) including all elements steel, electrical drives etc.</v>
      </c>
      <c r="E69" s="192" t="str">
        <f>'EF Table_detail'!D70</f>
        <v>Roller_Door</v>
      </c>
      <c r="F69" s="192" t="str">
        <f ca="1">'EF Table_detail'!E70</f>
        <v>m²</v>
      </c>
      <c r="G69" s="192" t="str">
        <f ca="1">'EF Table_detail'!F70</f>
        <v>Tier 4</v>
      </c>
      <c r="H69" s="194">
        <f ca="1">'EF Table_detail'!G70</f>
        <v>1.2</v>
      </c>
      <c r="I69" s="454" t="str" cm="1">
        <f t="array" aca="1" ref="I69" ca="1">IFERROR(print_SF('EF Table_detail'!L70),"")</f>
        <v>132</v>
      </c>
      <c r="J69" s="224" t="str" cm="1">
        <f t="array" aca="1" ref="J69" ca="1">IFERROR(print_SF('EF Table_detail'!H70),"")</f>
        <v>110</v>
      </c>
      <c r="K69" s="225" t="str" cm="1">
        <f t="array" aca="1" ref="K69" ca="1">IFERROR(print_SF('EF Table_detail'!I70),"")</f>
        <v>96.7</v>
      </c>
      <c r="L69" s="225" t="str" cm="1">
        <f t="array" aca="1" ref="L69" ca="1">IFERROR(print_SF('EF Table_detail'!J70),"")</f>
        <v>103</v>
      </c>
      <c r="M69" s="456" t="str" cm="1">
        <f t="array" aca="1" ref="M69" ca="1">IFERROR(print_SF('EF Table_detail'!Q70),"")</f>
        <v>5.67</v>
      </c>
      <c r="N69" s="218" t="str" cm="1">
        <f t="array" aca="1" ref="N69" ca="1">IFERROR(print_SF('EF Table_detail'!M70),"")</f>
        <v>4.72</v>
      </c>
      <c r="O69" s="219" t="str" cm="1">
        <f t="array" aca="1" ref="O69" ca="1">IFERROR(print_SF('EF Table_detail'!N70),"")</f>
        <v>3.26</v>
      </c>
      <c r="P69" s="219" t="str" cm="1">
        <f t="array" aca="1" ref="P69" ca="1">IFERROR(print_SF('EF Table_detail'!O70),"")</f>
        <v>3.99</v>
      </c>
      <c r="Q69" s="454" t="str" cm="1">
        <f t="array" aca="1" ref="Q69" ca="1">IFERROR(print_SF('EF Table_detail'!V70),"")</f>
        <v>0</v>
      </c>
      <c r="R69" s="218" t="str" cm="1">
        <f t="array" aca="1" ref="R69" ca="1">IFERROR(print_SF('EF Table_detail'!S70),"")</f>
        <v>0</v>
      </c>
      <c r="S69" s="219" t="str" cm="1">
        <f t="array" aca="1" ref="S69" ca="1">IFERROR(print_SF('EF Table_detail'!T70),"")</f>
        <v>0</v>
      </c>
      <c r="T69" s="456" t="str" cm="1">
        <f t="array" aca="1" ref="T69" ca="1">IFERROR(print_SF('EF Table_detail'!Z70),"")</f>
        <v>0</v>
      </c>
      <c r="U69" s="218" t="str" cm="1">
        <f t="array" aca="1" ref="U69" ca="1">IFERROR(print_SF('EF Table_detail'!W70),"")</f>
        <v>0</v>
      </c>
      <c r="V69" s="219" t="str" cm="1">
        <f t="array" aca="1" ref="V69" ca="1">IFERROR(print_SF('EF Table_detail'!X70),"")</f>
        <v>0</v>
      </c>
      <c r="W69" s="329" t="str" cm="1">
        <f t="array" aca="1" ref="W69" ca="1">IFERROR(print_SF('EF Table_detail'!AB70),"")</f>
        <v>25.9</v>
      </c>
      <c r="X69" s="330" t="str">
        <f t="shared" ca="1" si="1"/>
        <v>kg/m²</v>
      </c>
      <c r="Y69" s="213" t="str" cm="1">
        <f t="array" aca="1" ref="Y69" ca="1">IF(INDIRECT(""&amp;$E69&amp;"!R"&amp;Y$141&amp;"C"&amp;Y$142,FALSE)=0,"",INDIRECT(""&amp;$E69&amp;"!R"&amp;Y$141&amp;"C"&amp;Y$142,FALSE))</f>
        <v xml:space="preserve">Important to consider board thickness. Recommended to use kg CO2e/kg EF when thickness and mass is known. </v>
      </c>
      <c r="Z69" s="277" t="str" cm="1">
        <f t="array" aca="1" ref="Z69" ca="1">IF(INDIRECT(""&amp;$E69&amp;"!R"&amp;Z$141&amp;"C"&amp;Z$142,FALSE)="Average (weighted)","Yes","No")</f>
        <v>No</v>
      </c>
      <c r="AA69" s="96"/>
    </row>
    <row r="70" spans="2:27" ht="45" customHeight="1" x14ac:dyDescent="0.25">
      <c r="B70" s="276" t="str">
        <f>'EF Table_detail'!A71</f>
        <v>Stick-framed wall /ceiling system</v>
      </c>
      <c r="C70" s="192" t="str">
        <f>'EF Table_detail'!B71</f>
        <v>Stick wall - Aluminium frame</v>
      </c>
      <c r="D70" s="193" t="str">
        <f ca="1">'EF Table_detail'!C71</f>
        <v xml:space="preserve">Extruded aluminium for use in construction. </v>
      </c>
      <c r="E70" s="192" t="str">
        <f>'EF Table_detail'!D71</f>
        <v>Aluminium_extruded</v>
      </c>
      <c r="F70" s="192" t="str">
        <f ca="1">'EF Table_detail'!E71</f>
        <v>tonne</v>
      </c>
      <c r="G70" s="192" t="str">
        <f ca="1">'EF Table_detail'!F71</f>
        <v>Tier 2</v>
      </c>
      <c r="H70" s="194">
        <f ca="1">'EF Table_detail'!G71</f>
        <v>1.05</v>
      </c>
      <c r="I70" s="454" t="str" cm="1">
        <f t="array" aca="1" ref="I70" ca="1">IFERROR(print_SF('EF Table_detail'!L71),"")</f>
        <v>30,200</v>
      </c>
      <c r="J70" s="222" t="str" cm="1">
        <f t="array" aca="1" ref="J70" ca="1">IFERROR(print_SF('EF Table_detail'!H71),"")</f>
        <v>28,800</v>
      </c>
      <c r="K70" s="223" t="str" cm="1">
        <f t="array" aca="1" ref="K70" ca="1">IFERROR(print_SF('EF Table_detail'!I71),"")</f>
        <v>3,490</v>
      </c>
      <c r="L70" s="223" t="str" cm="1">
        <f t="array" aca="1" ref="L70" ca="1">IFERROR(print_SF('EF Table_detail'!J71),"")</f>
        <v>17,400</v>
      </c>
      <c r="M70" s="456" t="str" cm="1">
        <f t="array" aca="1" ref="M70" ca="1">IFERROR(print_SF('EF Table_detail'!Q71),"")</f>
        <v>30.2</v>
      </c>
      <c r="N70" s="218" t="str" cm="1">
        <f t="array" aca="1" ref="N70" ca="1">IFERROR(print_SF('EF Table_detail'!M71),"")</f>
        <v>28.8</v>
      </c>
      <c r="O70" s="219" t="str" cm="1">
        <f t="array" aca="1" ref="O70" ca="1">IFERROR(print_SF('EF Table_detail'!N71),"")</f>
        <v>3.49</v>
      </c>
      <c r="P70" s="219" t="str" cm="1">
        <f t="array" aca="1" ref="P70" ca="1">IFERROR(print_SF('EF Table_detail'!O71),"")</f>
        <v>17.4</v>
      </c>
      <c r="Q70" s="454" t="str" cm="1">
        <f t="array" aca="1" ref="Q70" ca="1">IFERROR(print_SF('EF Table_detail'!V71),"")</f>
        <v>0</v>
      </c>
      <c r="R70" s="218" t="str" cm="1">
        <f t="array" aca="1" ref="R70" ca="1">IFERROR(print_SF('EF Table_detail'!S71),"")</f>
        <v>0</v>
      </c>
      <c r="S70" s="219" t="str" cm="1">
        <f t="array" aca="1" ref="S70" ca="1">IFERROR(print_SF('EF Table_detail'!T71),"")</f>
        <v>0</v>
      </c>
      <c r="T70" s="456" t="str" cm="1">
        <f t="array" aca="1" ref="T70" ca="1">IFERROR(print_SF('EF Table_detail'!Z71),"")</f>
        <v>0</v>
      </c>
      <c r="U70" s="218" t="str" cm="1">
        <f t="array" aca="1" ref="U70" ca="1">IFERROR(print_SF('EF Table_detail'!W71),"")</f>
        <v>0</v>
      </c>
      <c r="V70" s="219" t="str" cm="1">
        <f t="array" aca="1" ref="V70" ca="1">IFERROR(print_SF('EF Table_detail'!X71),"")</f>
        <v>0</v>
      </c>
      <c r="W70" s="329" t="str" cm="1">
        <f t="array" aca="1" ref="W70" ca="1">IFERROR(print_SF('EF Table_detail'!AB71),"")</f>
        <v>1,000</v>
      </c>
      <c r="X70" s="330" t="str">
        <f t="shared" ref="X70:X94" ca="1" si="2">"kg/"&amp;F70</f>
        <v>kg/tonne</v>
      </c>
      <c r="Y70" s="213" t="str" cm="1">
        <f t="array" aca="1" ref="Y70" ca="1">IF(INDIRECT(""&amp;$E70&amp;"!R"&amp;Y$141&amp;"C"&amp;Y$142,FALSE)=0,"",INDIRECT(""&amp;$E70&amp;"!R"&amp;Y$141&amp;"C"&amp;Y$142,FALSE))</f>
        <v/>
      </c>
      <c r="Z70" s="277" t="str" cm="1">
        <f t="array" aca="1" ref="Z70" ca="1">IF(INDIRECT(""&amp;$E70&amp;"!R"&amp;Z$141&amp;"C"&amp;Z$142,FALSE)="Average (weighted)","Yes","No")</f>
        <v>Yes</v>
      </c>
      <c r="AA70" s="96"/>
    </row>
    <row r="71" spans="2:27" ht="45" customHeight="1" x14ac:dyDescent="0.25">
      <c r="B71" s="276" t="str">
        <f>'EF Table_detail'!A72</f>
        <v>Stick-framed wall /ceiling system</v>
      </c>
      <c r="C71" s="192" t="str">
        <f>'EF Table_detail'!B72</f>
        <v>Stick wall - Steel frame</v>
      </c>
      <c r="D71" s="193" t="str">
        <f ca="1">'EF Table_detail'!C72</f>
        <v>Steel (upainted, not galvanized) used for structural purposes that has undergone cold-rolled steel production route. Including purlins, girts, stick frames, wall framing, merchant bar.</v>
      </c>
      <c r="E71" s="192" t="str">
        <f>'EF Table_detail'!D72</f>
        <v>Structural_steel_cold</v>
      </c>
      <c r="F71" s="192" t="str">
        <f ca="1">'EF Table_detail'!E72</f>
        <v>tonne</v>
      </c>
      <c r="G71" s="192" t="str">
        <f ca="1">'EF Table_detail'!F72</f>
        <v>Tier 2</v>
      </c>
      <c r="H71" s="194">
        <f ca="1">'EF Table_detail'!G72</f>
        <v>1.05</v>
      </c>
      <c r="I71" s="454" t="str" cm="1">
        <f t="array" aca="1" ref="I71" ca="1">IFERROR(print_SF('EF Table_detail'!L72),"")</f>
        <v>4,050</v>
      </c>
      <c r="J71" s="222" t="str" cm="1">
        <f t="array" aca="1" ref="J71" ca="1">IFERROR(print_SF('EF Table_detail'!H72),"")</f>
        <v>3,860</v>
      </c>
      <c r="K71" s="223" t="str" cm="1">
        <f t="array" aca="1" ref="K71" ca="1">IFERROR(print_SF('EF Table_detail'!I72),"")</f>
        <v>1,240</v>
      </c>
      <c r="L71" s="223" t="str" cm="1">
        <f t="array" aca="1" ref="L71" ca="1">IFERROR(print_SF('EF Table_detail'!J72),"")</f>
        <v>2,430</v>
      </c>
      <c r="M71" s="456" t="str" cm="1">
        <f t="array" aca="1" ref="M71" ca="1">IFERROR(print_SF('EF Table_detail'!Q72),"")</f>
        <v>4.05</v>
      </c>
      <c r="N71" s="218" t="str" cm="1">
        <f t="array" aca="1" ref="N71" ca="1">IFERROR(print_SF('EF Table_detail'!M72),"")</f>
        <v>3.86</v>
      </c>
      <c r="O71" s="219" t="str" cm="1">
        <f t="array" aca="1" ref="O71" ca="1">IFERROR(print_SF('EF Table_detail'!N72),"")</f>
        <v>1.24</v>
      </c>
      <c r="P71" s="219" t="str" cm="1">
        <f t="array" aca="1" ref="P71" ca="1">IFERROR(print_SF('EF Table_detail'!O72),"")</f>
        <v>2.43</v>
      </c>
      <c r="Q71" s="454" t="str" cm="1">
        <f t="array" aca="1" ref="Q71" ca="1">IFERROR(print_SF('EF Table_detail'!V72),"")</f>
        <v>0</v>
      </c>
      <c r="R71" s="218" t="str" cm="1">
        <f t="array" aca="1" ref="R71" ca="1">IFERROR(print_SF('EF Table_detail'!S72),"")</f>
        <v>0</v>
      </c>
      <c r="S71" s="219" t="str" cm="1">
        <f t="array" aca="1" ref="S71" ca="1">IFERROR(print_SF('EF Table_detail'!T72),"")</f>
        <v>0</v>
      </c>
      <c r="T71" s="456" t="str" cm="1">
        <f t="array" aca="1" ref="T71" ca="1">IFERROR(print_SF('EF Table_detail'!Z72),"")</f>
        <v>0</v>
      </c>
      <c r="U71" s="218" t="str" cm="1">
        <f t="array" aca="1" ref="U71" ca="1">IFERROR(print_SF('EF Table_detail'!W72),"")</f>
        <v>0</v>
      </c>
      <c r="V71" s="219" t="str" cm="1">
        <f t="array" aca="1" ref="V71" ca="1">IFERROR(print_SF('EF Table_detail'!X72),"")</f>
        <v>0</v>
      </c>
      <c r="W71" s="329" t="str" cm="1">
        <f t="array" aca="1" ref="W71" ca="1">IFERROR(print_SF('EF Table_detail'!AB72),"")</f>
        <v>1,000</v>
      </c>
      <c r="X71" s="330" t="str">
        <f t="shared" ca="1" si="2"/>
        <v>kg/tonne</v>
      </c>
      <c r="Y71" s="213" t="str" cm="1">
        <f t="array" aca="1" ref="Y71" ca="1">IF(INDIRECT(""&amp;$E71&amp;"!R"&amp;Y$141&amp;"C"&amp;Y$142,FALSE)=0,"",INDIRECT(""&amp;$E71&amp;"!R"&amp;Y$141&amp;"C"&amp;Y$142,FALSE))</f>
        <v/>
      </c>
      <c r="Z71" s="277" t="str" cm="1">
        <f t="array" aca="1" ref="Z71" ca="1">IF(INDIRECT(""&amp;$E71&amp;"!R"&amp;Z$141&amp;"C"&amp;Z$142,FALSE)="Average (weighted)","Yes","No")</f>
        <v>Yes</v>
      </c>
      <c r="AA71" s="96"/>
    </row>
    <row r="72" spans="2:27" ht="45" customHeight="1" x14ac:dyDescent="0.25">
      <c r="B72" s="276" t="str">
        <f>'EF Table_detail'!A73</f>
        <v>Wall louvre system</v>
      </c>
      <c r="C72" s="192" t="str">
        <f>'EF Table_detail'!B73</f>
        <v xml:space="preserve">Aluminium louvre </v>
      </c>
      <c r="D72" s="193" t="str">
        <f ca="1">'EF Table_detail'!C73</f>
        <v>Extruded aluminium (powder coated) for use in construction</v>
      </c>
      <c r="E72" s="192" t="str">
        <f>'EF Table_detail'!D73</f>
        <v>Aluminium_extru_powdercoat</v>
      </c>
      <c r="F72" s="192" t="str">
        <f ca="1">'EF Table_detail'!E73</f>
        <v>tonne</v>
      </c>
      <c r="G72" s="192" t="str">
        <f ca="1">'EF Table_detail'!F73</f>
        <v>Tier 2</v>
      </c>
      <c r="H72" s="194">
        <f ca="1">'EF Table_detail'!G73</f>
        <v>1.05</v>
      </c>
      <c r="I72" s="454" t="str" cm="1">
        <f t="array" aca="1" ref="I72" ca="1">IFERROR(print_SF('EF Table_detail'!L73),"")</f>
        <v>32,000</v>
      </c>
      <c r="J72" s="222" t="str" cm="1">
        <f t="array" aca="1" ref="J72" ca="1">IFERROR(print_SF('EF Table_detail'!H73),"")</f>
        <v>30,500</v>
      </c>
      <c r="K72" s="223" t="str" cm="1">
        <f t="array" aca="1" ref="K72" ca="1">IFERROR(print_SF('EF Table_detail'!I73),"")</f>
        <v>5,150</v>
      </c>
      <c r="L72" s="223" t="str" cm="1">
        <f t="array" aca="1" ref="L72" ca="1">IFERROR(print_SF('EF Table_detail'!J73),"")</f>
        <v>18,200</v>
      </c>
      <c r="M72" s="456" t="str" cm="1">
        <f t="array" aca="1" ref="M72" ca="1">IFERROR(print_SF('EF Table_detail'!Q73),"")</f>
        <v>32.0</v>
      </c>
      <c r="N72" s="218" t="str" cm="1">
        <f t="array" aca="1" ref="N72" ca="1">IFERROR(print_SF('EF Table_detail'!M73),"")</f>
        <v>30.5</v>
      </c>
      <c r="O72" s="219" t="str" cm="1">
        <f t="array" aca="1" ref="O72" ca="1">IFERROR(print_SF('EF Table_detail'!N73),"")</f>
        <v>5.15</v>
      </c>
      <c r="P72" s="219" t="str" cm="1">
        <f t="array" aca="1" ref="P72" ca="1">IFERROR(print_SF('EF Table_detail'!O73),"")</f>
        <v>18.2</v>
      </c>
      <c r="Q72" s="454" t="str" cm="1">
        <f t="array" aca="1" ref="Q72" ca="1">IFERROR(print_SF('EF Table_detail'!V73),"")</f>
        <v>0</v>
      </c>
      <c r="R72" s="218" t="str" cm="1">
        <f t="array" aca="1" ref="R72" ca="1">IFERROR(print_SF('EF Table_detail'!S73),"")</f>
        <v>0</v>
      </c>
      <c r="S72" s="219" t="str" cm="1">
        <f t="array" aca="1" ref="S72" ca="1">IFERROR(print_SF('EF Table_detail'!T73),"")</f>
        <v>0</v>
      </c>
      <c r="T72" s="456" t="str" cm="1">
        <f t="array" aca="1" ref="T72" ca="1">IFERROR(print_SF('EF Table_detail'!Z73),"")</f>
        <v>0</v>
      </c>
      <c r="U72" s="218" t="str" cm="1">
        <f t="array" aca="1" ref="U72" ca="1">IFERROR(print_SF('EF Table_detail'!W73),"")</f>
        <v>0</v>
      </c>
      <c r="V72" s="219" t="str" cm="1">
        <f t="array" aca="1" ref="V72" ca="1">IFERROR(print_SF('EF Table_detail'!X73),"")</f>
        <v>0</v>
      </c>
      <c r="W72" s="329" t="str" cm="1">
        <f t="array" aca="1" ref="W72" ca="1">IFERROR(print_SF('EF Table_detail'!AB73),"")</f>
        <v>1,000</v>
      </c>
      <c r="X72" s="330" t="str">
        <f t="shared" ca="1" si="2"/>
        <v>kg/tonne</v>
      </c>
      <c r="Y72" s="213" t="str" cm="1">
        <f t="array" aca="1" ref="Y72" ca="1">IF(INDIRECT(""&amp;$E72&amp;"!R"&amp;Y$141&amp;"C"&amp;Y$142,FALSE)=0,"",INDIRECT(""&amp;$E72&amp;"!R"&amp;Y$141&amp;"C"&amp;Y$142,FALSE))</f>
        <v>Using EFs determined in aluminium_extruded than multiplying by a factor for powder coating as determined using additional data. Note this material category is to act as a proxy for polyvinylidene fluoride coating (PVDF coating).</v>
      </c>
      <c r="Z72" s="277" t="str" cm="1">
        <f t="array" aca="1" ref="Z72" ca="1">IF(INDIRECT(""&amp;$E72&amp;"!R"&amp;Z$141&amp;"C"&amp;Z$142,FALSE)="Average (weighted)","Yes","No")</f>
        <v>Yes</v>
      </c>
      <c r="AA72" s="96"/>
    </row>
    <row r="73" spans="2:27" ht="45" customHeight="1" x14ac:dyDescent="0.25">
      <c r="B73" s="276" t="str">
        <f>'EF Table_detail'!A74</f>
        <v>External shading system</v>
      </c>
      <c r="C73" s="192" t="str">
        <f>'EF Table_detail'!B74</f>
        <v>Aluminium frame shading system</v>
      </c>
      <c r="D73" s="193" t="str">
        <f ca="1">'EF Table_detail'!C74</f>
        <v>Extruded aluminium (powder coated) for use in construction</v>
      </c>
      <c r="E73" s="192" t="str">
        <f>'EF Table_detail'!D74</f>
        <v>Aluminium_extru_powdercoat</v>
      </c>
      <c r="F73" s="192" t="str">
        <f ca="1">'EF Table_detail'!E74</f>
        <v>tonne</v>
      </c>
      <c r="G73" s="192" t="str">
        <f ca="1">'EF Table_detail'!F74</f>
        <v>Tier 2</v>
      </c>
      <c r="H73" s="194">
        <f ca="1">'EF Table_detail'!G74</f>
        <v>1.05</v>
      </c>
      <c r="I73" s="454" t="str" cm="1">
        <f t="array" aca="1" ref="I73" ca="1">IFERROR(print_SF('EF Table_detail'!L74),"")</f>
        <v>32,000</v>
      </c>
      <c r="J73" s="222" t="str" cm="1">
        <f t="array" aca="1" ref="J73" ca="1">IFERROR(print_SF('EF Table_detail'!H74),"")</f>
        <v>30,500</v>
      </c>
      <c r="K73" s="223" t="str" cm="1">
        <f t="array" aca="1" ref="K73" ca="1">IFERROR(print_SF('EF Table_detail'!I74),"")</f>
        <v>5,150</v>
      </c>
      <c r="L73" s="223" t="str" cm="1">
        <f t="array" aca="1" ref="L73" ca="1">IFERROR(print_SF('EF Table_detail'!J74),"")</f>
        <v>18,200</v>
      </c>
      <c r="M73" s="456" t="str" cm="1">
        <f t="array" aca="1" ref="M73" ca="1">IFERROR(print_SF('EF Table_detail'!Q74),"")</f>
        <v>32.0</v>
      </c>
      <c r="N73" s="218" t="str" cm="1">
        <f t="array" aca="1" ref="N73" ca="1">IFERROR(print_SF('EF Table_detail'!M74),"")</f>
        <v>30.5</v>
      </c>
      <c r="O73" s="219" t="str" cm="1">
        <f t="array" aca="1" ref="O73" ca="1">IFERROR(print_SF('EF Table_detail'!N74),"")</f>
        <v>5.15</v>
      </c>
      <c r="P73" s="219" t="str" cm="1">
        <f t="array" aca="1" ref="P73" ca="1">IFERROR(print_SF('EF Table_detail'!O74),"")</f>
        <v>18.2</v>
      </c>
      <c r="Q73" s="454" t="str" cm="1">
        <f t="array" aca="1" ref="Q73" ca="1">IFERROR(print_SF('EF Table_detail'!V74),"")</f>
        <v>0</v>
      </c>
      <c r="R73" s="218" t="str" cm="1">
        <f t="array" aca="1" ref="R73" ca="1">IFERROR(print_SF('EF Table_detail'!S74),"")</f>
        <v>0</v>
      </c>
      <c r="S73" s="219" t="str" cm="1">
        <f t="array" aca="1" ref="S73" ca="1">IFERROR(print_SF('EF Table_detail'!T74),"")</f>
        <v>0</v>
      </c>
      <c r="T73" s="456" t="str" cm="1">
        <f t="array" aca="1" ref="T73" ca="1">IFERROR(print_SF('EF Table_detail'!Z74),"")</f>
        <v>0</v>
      </c>
      <c r="U73" s="218" t="str" cm="1">
        <f t="array" aca="1" ref="U73" ca="1">IFERROR(print_SF('EF Table_detail'!W74),"")</f>
        <v>0</v>
      </c>
      <c r="V73" s="219" t="str" cm="1">
        <f t="array" aca="1" ref="V73" ca="1">IFERROR(print_SF('EF Table_detail'!X74),"")</f>
        <v>0</v>
      </c>
      <c r="W73" s="329" t="str" cm="1">
        <f t="array" aca="1" ref="W73" ca="1">IFERROR(print_SF('EF Table_detail'!AB74),"")</f>
        <v>1,000</v>
      </c>
      <c r="X73" s="330" t="str">
        <f t="shared" ca="1" si="2"/>
        <v>kg/tonne</v>
      </c>
      <c r="Y73" s="213" t="str" cm="1">
        <f t="array" aca="1" ref="Y73" ca="1">IF(INDIRECT(""&amp;$E73&amp;"!R"&amp;Y$141&amp;"C"&amp;Y$142,FALSE)=0,"",INDIRECT(""&amp;$E73&amp;"!R"&amp;Y$141&amp;"C"&amp;Y$142,FALSE))</f>
        <v>Using EFs determined in aluminium_extruded than multiplying by a factor for powder coating as determined using additional data. Note this material category is to act as a proxy for polyvinylidene fluoride coating (PVDF coating).</v>
      </c>
      <c r="Z73" s="277" t="str" cm="1">
        <f t="array" aca="1" ref="Z73" ca="1">IF(INDIRECT(""&amp;$E73&amp;"!R"&amp;Z$141&amp;"C"&amp;Z$142,FALSE)="Average (weighted)","Yes","No")</f>
        <v>Yes</v>
      </c>
      <c r="AA73" s="96"/>
    </row>
    <row r="74" spans="2:27" ht="45" customHeight="1" x14ac:dyDescent="0.25">
      <c r="B74" s="276" t="str">
        <f>'EF Table_detail'!A75</f>
        <v>External shading system</v>
      </c>
      <c r="C74" s="192" t="str">
        <f>'EF Table_detail'!B75</f>
        <v>Steel frame shading system</v>
      </c>
      <c r="D74" s="193" t="str">
        <f ca="1">'EF Table_detail'!C75</f>
        <v>Steel (Painted) used for structural purposes that has undergone cold-rolled steel production route. Including purlins, girts, stick frames, wall framing, merchant bar.</v>
      </c>
      <c r="E74" s="192" t="str">
        <f>'EF Table_detail'!D75</f>
        <v>Structural_steel_cold_painted</v>
      </c>
      <c r="F74" s="192" t="str">
        <f ca="1">'EF Table_detail'!E75</f>
        <v>tonne</v>
      </c>
      <c r="G74" s="192" t="str">
        <f ca="1">'EF Table_detail'!F75</f>
        <v>Tier 2</v>
      </c>
      <c r="H74" s="194">
        <f ca="1">'EF Table_detail'!G75</f>
        <v>1.05</v>
      </c>
      <c r="I74" s="454" t="str" cm="1">
        <f t="array" aca="1" ref="I74" ca="1">IFERROR(print_SF('EF Table_detail'!L75),"")</f>
        <v>4,510</v>
      </c>
      <c r="J74" s="222" t="str" cm="1">
        <f t="array" aca="1" ref="J74" ca="1">IFERROR(print_SF('EF Table_detail'!H75),"")</f>
        <v>4,290</v>
      </c>
      <c r="K74" s="223" t="str" cm="1">
        <f t="array" aca="1" ref="K74" ca="1">IFERROR(print_SF('EF Table_detail'!I75),"")</f>
        <v>1,240</v>
      </c>
      <c r="L74" s="223" t="str" cm="1">
        <f t="array" aca="1" ref="L74" ca="1">IFERROR(print_SF('EF Table_detail'!J75),"")</f>
        <v>2,710</v>
      </c>
      <c r="M74" s="456" t="str" cm="1">
        <f t="array" aca="1" ref="M74" ca="1">IFERROR(print_SF('EF Table_detail'!Q75),"")</f>
        <v>4.51</v>
      </c>
      <c r="N74" s="218" t="str" cm="1">
        <f t="array" aca="1" ref="N74" ca="1">IFERROR(print_SF('EF Table_detail'!M75),"")</f>
        <v>4.29</v>
      </c>
      <c r="O74" s="219" t="str" cm="1">
        <f t="array" aca="1" ref="O74" ca="1">IFERROR(print_SF('EF Table_detail'!N75),"")</f>
        <v>1.24</v>
      </c>
      <c r="P74" s="219" t="str" cm="1">
        <f t="array" aca="1" ref="P74" ca="1">IFERROR(print_SF('EF Table_detail'!O75),"")</f>
        <v>2.71</v>
      </c>
      <c r="Q74" s="454" t="str" cm="1">
        <f t="array" aca="1" ref="Q74" ca="1">IFERROR(print_SF('EF Table_detail'!V75),"")</f>
        <v>0</v>
      </c>
      <c r="R74" s="218" t="str" cm="1">
        <f t="array" aca="1" ref="R74" ca="1">IFERROR(print_SF('EF Table_detail'!S75),"")</f>
        <v>0</v>
      </c>
      <c r="S74" s="219" t="str" cm="1">
        <f t="array" aca="1" ref="S74" ca="1">IFERROR(print_SF('EF Table_detail'!T75),"")</f>
        <v>0</v>
      </c>
      <c r="T74" s="456" t="str" cm="1">
        <f t="array" aca="1" ref="T74" ca="1">IFERROR(print_SF('EF Table_detail'!Z75),"")</f>
        <v>0</v>
      </c>
      <c r="U74" s="218" t="str" cm="1">
        <f t="array" aca="1" ref="U74" ca="1">IFERROR(print_SF('EF Table_detail'!W75),"")</f>
        <v>0</v>
      </c>
      <c r="V74" s="219" t="str" cm="1">
        <f t="array" aca="1" ref="V74" ca="1">IFERROR(print_SF('EF Table_detail'!X75),"")</f>
        <v>0</v>
      </c>
      <c r="W74" s="329" t="str" cm="1">
        <f t="array" aca="1" ref="W74" ca="1">IFERROR(print_SF('EF Table_detail'!AB75),"")</f>
        <v>1,000</v>
      </c>
      <c r="X74" s="330" t="str">
        <f t="shared" ca="1" si="2"/>
        <v>kg/tonne</v>
      </c>
      <c r="Y74" s="213" t="str" cm="1">
        <f t="array" aca="1" ref="Y74" ca="1">IF(INDIRECT(""&amp;$E74&amp;"!R"&amp;Y$141&amp;"C"&amp;Y$142,FALSE)=0,"",INDIRECT(""&amp;$E74&amp;"!R"&amp;Y$141&amp;"C"&amp;Y$142,FALSE))</f>
        <v>Using emission factors determined in structural steel hot rolled then multiplying by a factor for painting as determined using data found in additional data</v>
      </c>
      <c r="Z74" s="277" t="str" cm="1">
        <f t="array" aca="1" ref="Z74" ca="1">IF(INDIRECT(""&amp;$E74&amp;"!R"&amp;Z$141&amp;"C"&amp;Z$142,FALSE)="Average (weighted)","Yes","No")</f>
        <v>Yes</v>
      </c>
      <c r="AA74" s="96"/>
    </row>
    <row r="75" spans="2:27" ht="45" customHeight="1" x14ac:dyDescent="0.25">
      <c r="B75" s="276" t="str">
        <f>'EF Table_detail'!A76</f>
        <v>Interior wall (permanent)</v>
      </c>
      <c r="C75" s="192" t="str">
        <f>'EF Table_detail'!B76</f>
        <v>Steel (light framing)</v>
      </c>
      <c r="D75" s="193" t="str">
        <f ca="1">'EF Table_detail'!C76</f>
        <v>Steel (upainted, not galvanized) used for structural purposes that has undergone cold-rolled steel production route. Including purlins, girts, stick frames, wall framing, merchant bar.</v>
      </c>
      <c r="E75" s="192" t="str">
        <f>'EF Table_detail'!D76</f>
        <v>Structural_steel_cold</v>
      </c>
      <c r="F75" s="192" t="str">
        <f ca="1">'EF Table_detail'!E76</f>
        <v>tonne</v>
      </c>
      <c r="G75" s="192" t="str">
        <f ca="1">'EF Table_detail'!F76</f>
        <v>Tier 2</v>
      </c>
      <c r="H75" s="194">
        <f ca="1">'EF Table_detail'!G76</f>
        <v>1.05</v>
      </c>
      <c r="I75" s="454" t="str" cm="1">
        <f t="array" aca="1" ref="I75" ca="1">IFERROR(print_SF('EF Table_detail'!L76),"")</f>
        <v>4,050</v>
      </c>
      <c r="J75" s="222" t="str" cm="1">
        <f t="array" aca="1" ref="J75" ca="1">IFERROR(print_SF('EF Table_detail'!H76),"")</f>
        <v>3,860</v>
      </c>
      <c r="K75" s="223" t="str" cm="1">
        <f t="array" aca="1" ref="K75" ca="1">IFERROR(print_SF('EF Table_detail'!I76),"")</f>
        <v>1,240</v>
      </c>
      <c r="L75" s="223" t="str" cm="1">
        <f t="array" aca="1" ref="L75" ca="1">IFERROR(print_SF('EF Table_detail'!J76),"")</f>
        <v>2,430</v>
      </c>
      <c r="M75" s="456" t="str" cm="1">
        <f t="array" aca="1" ref="M75" ca="1">IFERROR(print_SF('EF Table_detail'!Q76),"")</f>
        <v>4.05</v>
      </c>
      <c r="N75" s="218" t="str" cm="1">
        <f t="array" aca="1" ref="N75" ca="1">IFERROR(print_SF('EF Table_detail'!M76),"")</f>
        <v>3.86</v>
      </c>
      <c r="O75" s="219" t="str" cm="1">
        <f t="array" aca="1" ref="O75" ca="1">IFERROR(print_SF('EF Table_detail'!N76),"")</f>
        <v>1.24</v>
      </c>
      <c r="P75" s="219" t="str" cm="1">
        <f t="array" aca="1" ref="P75" ca="1">IFERROR(print_SF('EF Table_detail'!O76),"")</f>
        <v>2.43</v>
      </c>
      <c r="Q75" s="454" t="str" cm="1">
        <f t="array" aca="1" ref="Q75" ca="1">IFERROR(print_SF('EF Table_detail'!V76),"")</f>
        <v>0</v>
      </c>
      <c r="R75" s="218" t="str" cm="1">
        <f t="array" aca="1" ref="R75" ca="1">IFERROR(print_SF('EF Table_detail'!S76),"")</f>
        <v>0</v>
      </c>
      <c r="S75" s="219" t="str" cm="1">
        <f t="array" aca="1" ref="S75" ca="1">IFERROR(print_SF('EF Table_detail'!T76),"")</f>
        <v>0</v>
      </c>
      <c r="T75" s="456" t="str" cm="1">
        <f t="array" aca="1" ref="T75" ca="1">IFERROR(print_SF('EF Table_detail'!Z76),"")</f>
        <v>0</v>
      </c>
      <c r="U75" s="218" t="str" cm="1">
        <f t="array" aca="1" ref="U75" ca="1">IFERROR(print_SF('EF Table_detail'!W76),"")</f>
        <v>0</v>
      </c>
      <c r="V75" s="219" t="str" cm="1">
        <f t="array" aca="1" ref="V75" ca="1">IFERROR(print_SF('EF Table_detail'!X76),"")</f>
        <v>0</v>
      </c>
      <c r="W75" s="329" t="str" cm="1">
        <f t="array" aca="1" ref="W75" ca="1">IFERROR(print_SF('EF Table_detail'!AB76),"")</f>
        <v>1,000</v>
      </c>
      <c r="X75" s="330" t="str">
        <f t="shared" ca="1" si="2"/>
        <v>kg/tonne</v>
      </c>
      <c r="Y75" s="213" t="str" cm="1">
        <f t="array" aca="1" ref="Y75" ca="1">IF(INDIRECT(""&amp;$E75&amp;"!R"&amp;Y$141&amp;"C"&amp;Y$142,FALSE)=0,"",INDIRECT(""&amp;$E75&amp;"!R"&amp;Y$141&amp;"C"&amp;Y$142,FALSE))</f>
        <v/>
      </c>
      <c r="Z75" s="277" t="str" cm="1">
        <f t="array" aca="1" ref="Z75" ca="1">IF(INDIRECT(""&amp;$E75&amp;"!R"&amp;Z$141&amp;"C"&amp;Z$142,FALSE)="Average (weighted)","Yes","No")</f>
        <v>Yes</v>
      </c>
      <c r="AA75" s="96"/>
    </row>
    <row r="76" spans="2:27" ht="45" customHeight="1" x14ac:dyDescent="0.25">
      <c r="B76" s="276" t="str">
        <f>'EF Table_detail'!A77</f>
        <v>Interior wall (permanent)</v>
      </c>
      <c r="C76" s="192" t="str">
        <f>'EF Table_detail'!B77</f>
        <v>Steel (light framing) - painted</v>
      </c>
      <c r="D76" s="193" t="str">
        <f ca="1">'EF Table_detail'!C77</f>
        <v>Steel (Painted) used for structural purposes that has undergone cold-rolled steel production route. Including purlins, girts, stick frames, wall framing, merchant bar.</v>
      </c>
      <c r="E76" s="192" t="str">
        <f>'EF Table_detail'!D77</f>
        <v>Structural_steel_cold_painted</v>
      </c>
      <c r="F76" s="192" t="str">
        <f ca="1">'EF Table_detail'!E77</f>
        <v>tonne</v>
      </c>
      <c r="G76" s="192" t="str">
        <f ca="1">'EF Table_detail'!F77</f>
        <v>Tier 2</v>
      </c>
      <c r="H76" s="194">
        <f ca="1">'EF Table_detail'!G77</f>
        <v>1.05</v>
      </c>
      <c r="I76" s="454" t="str" cm="1">
        <f t="array" aca="1" ref="I76" ca="1">IFERROR(print_SF('EF Table_detail'!L77),"")</f>
        <v>4,510</v>
      </c>
      <c r="J76" s="222" t="str" cm="1">
        <f t="array" aca="1" ref="J76" ca="1">IFERROR(print_SF('EF Table_detail'!H77),"")</f>
        <v>4,290</v>
      </c>
      <c r="K76" s="223" t="str" cm="1">
        <f t="array" aca="1" ref="K76" ca="1">IFERROR(print_SF('EF Table_detail'!I77),"")</f>
        <v>1,240</v>
      </c>
      <c r="L76" s="223" t="str" cm="1">
        <f t="array" aca="1" ref="L76" ca="1">IFERROR(print_SF('EF Table_detail'!J77),"")</f>
        <v>2,710</v>
      </c>
      <c r="M76" s="456" t="str" cm="1">
        <f t="array" aca="1" ref="M76" ca="1">IFERROR(print_SF('EF Table_detail'!Q77),"")</f>
        <v>4.51</v>
      </c>
      <c r="N76" s="218" t="str" cm="1">
        <f t="array" aca="1" ref="N76" ca="1">IFERROR(print_SF('EF Table_detail'!M77),"")</f>
        <v>4.29</v>
      </c>
      <c r="O76" s="219" t="str" cm="1">
        <f t="array" aca="1" ref="O76" ca="1">IFERROR(print_SF('EF Table_detail'!N77),"")</f>
        <v>1.24</v>
      </c>
      <c r="P76" s="219" t="str" cm="1">
        <f t="array" aca="1" ref="P76" ca="1">IFERROR(print_SF('EF Table_detail'!O77),"")</f>
        <v>2.71</v>
      </c>
      <c r="Q76" s="454" t="str" cm="1">
        <f t="array" aca="1" ref="Q76" ca="1">IFERROR(print_SF('EF Table_detail'!V77),"")</f>
        <v>0</v>
      </c>
      <c r="R76" s="218" t="str" cm="1">
        <f t="array" aca="1" ref="R76" ca="1">IFERROR(print_SF('EF Table_detail'!S77),"")</f>
        <v>0</v>
      </c>
      <c r="S76" s="219" t="str" cm="1">
        <f t="array" aca="1" ref="S76" ca="1">IFERROR(print_SF('EF Table_detail'!T77),"")</f>
        <v>0</v>
      </c>
      <c r="T76" s="456" t="str" cm="1">
        <f t="array" aca="1" ref="T76" ca="1">IFERROR(print_SF('EF Table_detail'!Z77),"")</f>
        <v>0</v>
      </c>
      <c r="U76" s="218" t="str" cm="1">
        <f t="array" aca="1" ref="U76" ca="1">IFERROR(print_SF('EF Table_detail'!W77),"")</f>
        <v>0</v>
      </c>
      <c r="V76" s="219" t="str" cm="1">
        <f t="array" aca="1" ref="V76" ca="1">IFERROR(print_SF('EF Table_detail'!X77),"")</f>
        <v>0</v>
      </c>
      <c r="W76" s="329" t="str" cm="1">
        <f t="array" aca="1" ref="W76" ca="1">IFERROR(print_SF('EF Table_detail'!AB77),"")</f>
        <v>1,000</v>
      </c>
      <c r="X76" s="330" t="str">
        <f t="shared" ca="1" si="2"/>
        <v>kg/tonne</v>
      </c>
      <c r="Y76" s="213" t="str" cm="1">
        <f t="array" aca="1" ref="Y76" ca="1">IF(INDIRECT(""&amp;$E76&amp;"!R"&amp;Y$141&amp;"C"&amp;Y$142,FALSE)=0,"",INDIRECT(""&amp;$E76&amp;"!R"&amp;Y$141&amp;"C"&amp;Y$142,FALSE))</f>
        <v>Using emission factors determined in structural steel hot rolled then multiplying by a factor for painting as determined using data found in additional data</v>
      </c>
      <c r="Z76" s="277" t="str" cm="1">
        <f t="array" aca="1" ref="Z76" ca="1">IF(INDIRECT(""&amp;$E76&amp;"!R"&amp;Z$141&amp;"C"&amp;Z$142,FALSE)="Average (weighted)","Yes","No")</f>
        <v>Yes</v>
      </c>
      <c r="AA76" s="96"/>
    </row>
    <row r="77" spans="2:27" ht="45" customHeight="1" x14ac:dyDescent="0.25">
      <c r="B77" s="276" t="str">
        <f>'EF Table_detail'!A78</f>
        <v>Interior wall (permanent)</v>
      </c>
      <c r="C77" s="192" t="str">
        <f>'EF Table_detail'!B78</f>
        <v>Steel (light framing) - galvanised</v>
      </c>
      <c r="D77" s="193" t="str">
        <f ca="1">'EF Table_detail'!C78</f>
        <v>Steel (Galvanized) used for structural purposes that has undergone cold-rolled steel production route. Including purlins, girts, stick frames, wall framing, merchant bar.</v>
      </c>
      <c r="E77" s="192" t="str">
        <f>'EF Table_detail'!D78</f>
        <v>Structural_steel_cold_gal</v>
      </c>
      <c r="F77" s="192" t="str">
        <f ca="1">'EF Table_detail'!E78</f>
        <v>tonne</v>
      </c>
      <c r="G77" s="192" t="str">
        <f ca="1">'EF Table_detail'!F78</f>
        <v>Tier 2</v>
      </c>
      <c r="H77" s="194">
        <f ca="1">'EF Table_detail'!G78</f>
        <v>1.05</v>
      </c>
      <c r="I77" s="454" t="str" cm="1">
        <f t="array" aca="1" ref="I77" ca="1">IFERROR(print_SF('EF Table_detail'!L78),"")</f>
        <v>4,240</v>
      </c>
      <c r="J77" s="222" t="str" cm="1">
        <f t="array" aca="1" ref="J77" ca="1">IFERROR(print_SF('EF Table_detail'!H78),"")</f>
        <v>4,040</v>
      </c>
      <c r="K77" s="223" t="str" cm="1">
        <f t="array" aca="1" ref="K77" ca="1">IFERROR(print_SF('EF Table_detail'!I78),"")</f>
        <v>1,240</v>
      </c>
      <c r="L77" s="223" t="str" cm="1">
        <f t="array" aca="1" ref="L77" ca="1">IFERROR(print_SF('EF Table_detail'!J78),"")</f>
        <v>2,550</v>
      </c>
      <c r="M77" s="456" t="str" cm="1">
        <f t="array" aca="1" ref="M77" ca="1">IFERROR(print_SF('EF Table_detail'!Q78),"")</f>
        <v>4.24</v>
      </c>
      <c r="N77" s="218" t="str" cm="1">
        <f t="array" aca="1" ref="N77" ca="1">IFERROR(print_SF('EF Table_detail'!M78),"")</f>
        <v>4.04</v>
      </c>
      <c r="O77" s="219" t="str" cm="1">
        <f t="array" aca="1" ref="O77" ca="1">IFERROR(print_SF('EF Table_detail'!N78),"")</f>
        <v>1.24</v>
      </c>
      <c r="P77" s="219" t="str" cm="1">
        <f t="array" aca="1" ref="P77" ca="1">IFERROR(print_SF('EF Table_detail'!O78),"")</f>
        <v>2.55</v>
      </c>
      <c r="Q77" s="454" t="str" cm="1">
        <f t="array" aca="1" ref="Q77" ca="1">IFERROR(print_SF('EF Table_detail'!V78),"")</f>
        <v>0</v>
      </c>
      <c r="R77" s="218" t="str" cm="1">
        <f t="array" aca="1" ref="R77" ca="1">IFERROR(print_SF('EF Table_detail'!S78),"")</f>
        <v>0</v>
      </c>
      <c r="S77" s="219" t="str" cm="1">
        <f t="array" aca="1" ref="S77" ca="1">IFERROR(print_SF('EF Table_detail'!T78),"")</f>
        <v>0</v>
      </c>
      <c r="T77" s="456" t="str" cm="1">
        <f t="array" aca="1" ref="T77" ca="1">IFERROR(print_SF('EF Table_detail'!Z78),"")</f>
        <v>0</v>
      </c>
      <c r="U77" s="218" t="str" cm="1">
        <f t="array" aca="1" ref="U77" ca="1">IFERROR(print_SF('EF Table_detail'!W78),"")</f>
        <v>0</v>
      </c>
      <c r="V77" s="219" t="str" cm="1">
        <f t="array" aca="1" ref="V77" ca="1">IFERROR(print_SF('EF Table_detail'!X78),"")</f>
        <v>0</v>
      </c>
      <c r="W77" s="329" t="str" cm="1">
        <f t="array" aca="1" ref="W77" ca="1">IFERROR(print_SF('EF Table_detail'!AB78),"")</f>
        <v>1,000</v>
      </c>
      <c r="X77" s="330" t="str">
        <f t="shared" ca="1" si="2"/>
        <v>kg/tonne</v>
      </c>
      <c r="Y77" s="213" t="str" cm="1">
        <f t="array" aca="1" ref="Y77" ca="1">IF(INDIRECT(""&amp;$E77&amp;"!R"&amp;Y$141&amp;"C"&amp;Y$142,FALSE)=0,"",INDIRECT(""&amp;$E77&amp;"!R"&amp;Y$141&amp;"C"&amp;Y$142,FALSE))</f>
        <v>Using emission factors determined in structural steel hot rolled then multiplying by a factor for galvanising as determined using data found in additional data</v>
      </c>
      <c r="Z77" s="277" t="str" cm="1">
        <f t="array" aca="1" ref="Z77" ca="1">IF(INDIRECT(""&amp;$E77&amp;"!R"&amp;Z$141&amp;"C"&amp;Z$142,FALSE)="Average (weighted)","Yes","No")</f>
        <v>Yes</v>
      </c>
      <c r="AA77" s="96"/>
    </row>
    <row r="78" spans="2:27" ht="45" customHeight="1" x14ac:dyDescent="0.25">
      <c r="B78" s="276" t="str">
        <f>'EF Table_detail'!A79</f>
        <v>Interior wall (permanent)</v>
      </c>
      <c r="C78" s="192" t="str">
        <f>'EF Table_detail'!B79</f>
        <v>Timber framing</v>
      </c>
      <c r="D78" s="193" t="str">
        <f ca="1">'EF Table_detail'!C79</f>
        <v>Softwood timber most common species raidata pine,and includes treated, untreated, surfaced, and sawn products</v>
      </c>
      <c r="E78" s="192" t="str">
        <f>'EF Table_detail'!D79</f>
        <v>Timber_softwood</v>
      </c>
      <c r="F78" s="192" t="str">
        <f ca="1">'EF Table_detail'!E79</f>
        <v>m³</v>
      </c>
      <c r="G78" s="192" t="str">
        <f ca="1">'EF Table_detail'!F79</f>
        <v>Tier 2</v>
      </c>
      <c r="H78" s="194">
        <f ca="1">'EF Table_detail'!G79</f>
        <v>1.05</v>
      </c>
      <c r="I78" s="454" t="str" cm="1">
        <f t="array" aca="1" ref="I78" ca="1">IFERROR(print_SF('EF Table_detail'!L79),"")</f>
        <v>349</v>
      </c>
      <c r="J78" s="222" t="str" cm="1">
        <f t="array" aca="1" ref="J78" ca="1">IFERROR(print_SF('EF Table_detail'!H79),"")</f>
        <v>332</v>
      </c>
      <c r="K78" s="223" t="str" cm="1">
        <f t="array" aca="1" ref="K78" ca="1">IFERROR(print_SF('EF Table_detail'!I79),"")</f>
        <v>113</v>
      </c>
      <c r="L78" s="223" t="str" cm="1">
        <f t="array" aca="1" ref="L78" ca="1">IFERROR(print_SF('EF Table_detail'!J79),"")</f>
        <v>188</v>
      </c>
      <c r="M78" s="456" t="str" cm="1">
        <f t="array" aca="1" ref="M78" ca="1">IFERROR(print_SF('EF Table_detail'!Q79),"")</f>
        <v>0.633</v>
      </c>
      <c r="N78" s="218" t="str" cm="1">
        <f t="array" aca="1" ref="N78" ca="1">IFERROR(print_SF('EF Table_detail'!M79),"")</f>
        <v>0.603</v>
      </c>
      <c r="O78" s="219" t="str" cm="1">
        <f t="array" aca="1" ref="O78" ca="1">IFERROR(print_SF('EF Table_detail'!N79),"")</f>
        <v>0.205</v>
      </c>
      <c r="P78" s="219" t="str" cm="1">
        <f t="array" aca="1" ref="P78" ca="1">IFERROR(print_SF('EF Table_detail'!O79),"")</f>
        <v>0.366</v>
      </c>
      <c r="Q78" s="454" t="str" cm="1">
        <f t="array" aca="1" ref="Q78" ca="1">IFERROR(print_SF('EF Table_detail'!V79),"")</f>
        <v>933</v>
      </c>
      <c r="R78" s="222" t="str" cm="1">
        <f t="array" aca="1" ref="R78" ca="1">IFERROR(print_SF('EF Table_detail'!S79),"")</f>
        <v>889</v>
      </c>
      <c r="S78" s="223" t="str" cm="1">
        <f t="array" aca="1" ref="S78" ca="1">IFERROR(print_SF('EF Table_detail'!T79),"")</f>
        <v>857</v>
      </c>
      <c r="T78" s="456" t="str" cm="1">
        <f t="array" aca="1" ref="T78" ca="1">IFERROR(print_SF('EF Table_detail'!Z79),"")</f>
        <v>1.61</v>
      </c>
      <c r="U78" s="218" t="str" cm="1">
        <f t="array" aca="1" ref="U78" ca="1">IFERROR(print_SF('EF Table_detail'!W79),"")</f>
        <v>1.61</v>
      </c>
      <c r="V78" s="219" t="str" cm="1">
        <f t="array" aca="1" ref="V78" ca="1">IFERROR(print_SF('EF Table_detail'!X79),"")</f>
        <v>1.64</v>
      </c>
      <c r="W78" s="329" t="str" cm="1">
        <f t="array" aca="1" ref="W78" ca="1">IFERROR(print_SF('EF Table_detail'!AB79),"")</f>
        <v>514</v>
      </c>
      <c r="X78" s="330" t="str">
        <f t="shared" ca="1" si="2"/>
        <v>kg/m³</v>
      </c>
      <c r="Y78" s="213" t="str" cm="1">
        <f t="array" aca="1" ref="Y78" ca="1">IF(INDIRECT(""&amp;$E78&amp;"!R"&amp;Y$141&amp;"C"&amp;Y$142,FALSE)=0,"",INDIRECT(""&amp;$E78&amp;"!R"&amp;Y$141&amp;"C"&amp;Y$142,FALSE))</f>
        <v/>
      </c>
      <c r="Z78" s="277" t="str" cm="1">
        <f t="array" aca="1" ref="Z78" ca="1">IF(INDIRECT(""&amp;$E78&amp;"!R"&amp;Z$141&amp;"C"&amp;Z$142,FALSE)="Average (weighted)","Yes","No")</f>
        <v>Yes</v>
      </c>
      <c r="AA78" s="96"/>
    </row>
    <row r="79" spans="2:27" ht="45" customHeight="1" x14ac:dyDescent="0.25">
      <c r="B79" s="276" t="str">
        <f>'EF Table_detail'!A80</f>
        <v>Interior wall (permanent)</v>
      </c>
      <c r="C79" s="192" t="str">
        <f>'EF Table_detail'!B80</f>
        <v>AAC panel (reinforced)</v>
      </c>
      <c r="D79" s="193" t="str">
        <f ca="1">'EF Table_detail'!C80</f>
        <v>Autoclaved Aerated Concrete (AAC) blocks/bricks</v>
      </c>
      <c r="E79" s="192" t="str">
        <f>'EF Table_detail'!D80</f>
        <v>AAC_block</v>
      </c>
      <c r="F79" s="192" t="str">
        <f ca="1">'EF Table_detail'!E80</f>
        <v>m³</v>
      </c>
      <c r="G79" s="192" t="str">
        <f ca="1">'EF Table_detail'!F80</f>
        <v>Tier 4</v>
      </c>
      <c r="H79" s="194">
        <f ca="1">'EF Table_detail'!G80</f>
        <v>1.2</v>
      </c>
      <c r="I79" s="454" t="str" cm="1">
        <f t="array" aca="1" ref="I79" ca="1">IFERROR(print_SF('EF Table_detail'!L80),"")</f>
        <v>278</v>
      </c>
      <c r="J79" s="222" t="str" cm="1">
        <f t="array" aca="1" ref="J79" ca="1">IFERROR(print_SF('EF Table_detail'!H80),"")</f>
        <v>232</v>
      </c>
      <c r="K79" s="223" t="str" cm="1">
        <f t="array" aca="1" ref="K79" ca="1">IFERROR(print_SF('EF Table_detail'!I80),"")</f>
        <v>150</v>
      </c>
      <c r="L79" s="223" t="str" cm="1">
        <f t="array" aca="1" ref="L79" ca="1">IFERROR(print_SF('EF Table_detail'!J80),"")</f>
        <v>190</v>
      </c>
      <c r="M79" s="456" t="str" cm="1">
        <f t="array" aca="1" ref="M79" ca="1">IFERROR(print_SF('EF Table_detail'!Q80),"")</f>
        <v>0.724</v>
      </c>
      <c r="N79" s="218" t="str" cm="1">
        <f t="array" aca="1" ref="N79" ca="1">IFERROR(print_SF('EF Table_detail'!M80),"")</f>
        <v>0.603</v>
      </c>
      <c r="O79" s="219" t="str" cm="1">
        <f t="array" aca="1" ref="O79" ca="1">IFERROR(print_SF('EF Table_detail'!N80),"")</f>
        <v>0.334</v>
      </c>
      <c r="P79" s="219" t="str" cm="1">
        <f t="array" aca="1" ref="P79" ca="1">IFERROR(print_SF('EF Table_detail'!O80),"")</f>
        <v>0.437</v>
      </c>
      <c r="Q79" s="454" t="str" cm="1">
        <f t="array" aca="1" ref="Q79" ca="1">IFERROR(print_SF('EF Table_detail'!V80),"")</f>
        <v>0</v>
      </c>
      <c r="R79" s="218" t="str" cm="1">
        <f t="array" aca="1" ref="R79" ca="1">IFERROR(print_SF('EF Table_detail'!S80),"")</f>
        <v>0</v>
      </c>
      <c r="S79" s="219" t="str" cm="1">
        <f t="array" aca="1" ref="S79" ca="1">IFERROR(print_SF('EF Table_detail'!T80),"")</f>
        <v>0</v>
      </c>
      <c r="T79" s="456" t="str" cm="1">
        <f t="array" aca="1" ref="T79" ca="1">IFERROR(print_SF('EF Table_detail'!Z80),"")</f>
        <v>0</v>
      </c>
      <c r="U79" s="218" t="str" cm="1">
        <f t="array" aca="1" ref="U79" ca="1">IFERROR(print_SF('EF Table_detail'!W80),"")</f>
        <v>0</v>
      </c>
      <c r="V79" s="219" t="str" cm="1">
        <f t="array" aca="1" ref="V79" ca="1">IFERROR(print_SF('EF Table_detail'!X80),"")</f>
        <v>0</v>
      </c>
      <c r="W79" s="329" t="str" cm="1">
        <f t="array" aca="1" ref="W79" ca="1">IFERROR(print_SF('EF Table_detail'!AB80),"")</f>
        <v>435</v>
      </c>
      <c r="X79" s="330" t="str">
        <f t="shared" ca="1" si="2"/>
        <v>kg/m³</v>
      </c>
      <c r="Y79" s="213" t="str" cm="1">
        <f t="array" aca="1" ref="Y79" ca="1">IF(INDIRECT(""&amp;$E79&amp;"!R"&amp;Y$141&amp;"C"&amp;Y$142,FALSE)=0,"",INDIRECT(""&amp;$E79&amp;"!R"&amp;Y$141&amp;"C"&amp;Y$142,FALSE))</f>
        <v/>
      </c>
      <c r="Z79" s="277" t="str" cm="1">
        <f t="array" aca="1" ref="Z79" ca="1">IF(INDIRECT(""&amp;$E79&amp;"!R"&amp;Z$141&amp;"C"&amp;Z$142,FALSE)="Average (weighted)","Yes","No")</f>
        <v>No</v>
      </c>
      <c r="AA79" s="96"/>
    </row>
    <row r="80" spans="2:27" ht="45" customHeight="1" x14ac:dyDescent="0.25">
      <c r="B80" s="276" t="str">
        <f>'EF Table_detail'!A81</f>
        <v>Interior wall (permanent)</v>
      </c>
      <c r="C80" s="192" t="str">
        <f>'EF Table_detail'!B81</f>
        <v>Plasterboard</v>
      </c>
      <c r="D80" s="193" t="str">
        <f ca="1">'EF Table_detail'!C81</f>
        <v>Board made from plaster typically coated in paper. Thickness from 4 mm to 22 mm.</v>
      </c>
      <c r="E80" s="192" t="str">
        <f>'EF Table_detail'!D81</f>
        <v>Plasterboard</v>
      </c>
      <c r="F80" s="192" t="str">
        <f ca="1">'EF Table_detail'!E81</f>
        <v>m²</v>
      </c>
      <c r="G80" s="192" t="str">
        <f ca="1">'EF Table_detail'!F81</f>
        <v>Tier 4</v>
      </c>
      <c r="H80" s="194">
        <f ca="1">'EF Table_detail'!G81</f>
        <v>1.2</v>
      </c>
      <c r="I80" s="454" t="str" cm="1">
        <f t="array" aca="1" ref="I80" ca="1">IFERROR(print_SF('EF Table_detail'!L81),"")</f>
        <v>8.15</v>
      </c>
      <c r="J80" s="218" t="str" cm="1">
        <f t="array" aca="1" ref="J80" ca="1">IFERROR(print_SF('EF Table_detail'!H81),"")</f>
        <v>6.79</v>
      </c>
      <c r="K80" s="219" t="str" cm="1">
        <f t="array" aca="1" ref="K80" ca="1">IFERROR(print_SF('EF Table_detail'!I81),"")</f>
        <v>1.49</v>
      </c>
      <c r="L80" s="219" t="str" cm="1">
        <f t="array" aca="1" ref="L80" ca="1">IFERROR(print_SF('EF Table_detail'!J81),"")</f>
        <v>3.25</v>
      </c>
      <c r="M80" s="456" t="str" cm="1">
        <f t="array" aca="1" ref="M80" ca="1">IFERROR(print_SF('EF Table_detail'!Q81),"")</f>
        <v>0.473</v>
      </c>
      <c r="N80" s="218" t="str" cm="1">
        <f t="array" aca="1" ref="N80" ca="1">IFERROR(print_SF('EF Table_detail'!M81),"")</f>
        <v>0.394</v>
      </c>
      <c r="O80" s="219" t="str" cm="1">
        <f t="array" aca="1" ref="O80" ca="1">IFERROR(print_SF('EF Table_detail'!N81),"")</f>
        <v>0.175</v>
      </c>
      <c r="P80" s="219" t="str" cm="1">
        <f t="array" aca="1" ref="P80" ca="1">IFERROR(print_SF('EF Table_detail'!O81),"")</f>
        <v>0.298</v>
      </c>
      <c r="Q80" s="454" t="str" cm="1">
        <f t="array" aca="1" ref="Q80" ca="1">IFERROR(print_SF('EF Table_detail'!V81),"")</f>
        <v>1.28</v>
      </c>
      <c r="R80" s="218" t="str" cm="1">
        <f t="array" aca="1" ref="R80" ca="1">IFERROR(print_SF('EF Table_detail'!S81),"")</f>
        <v>1.07</v>
      </c>
      <c r="S80" s="219" t="str" cm="1">
        <f t="array" aca="1" ref="S80" ca="1">IFERROR(print_SF('EF Table_detail'!T81),"")</f>
        <v>0.597</v>
      </c>
      <c r="T80" s="456" t="str" cm="1">
        <f t="array" aca="1" ref="T80" ca="1">IFERROR(print_SF('EF Table_detail'!Z81),"")</f>
        <v>0.204</v>
      </c>
      <c r="U80" s="218" t="str" cm="1">
        <f t="array" aca="1" ref="U80" ca="1">IFERROR(print_SF('EF Table_detail'!W81),"")</f>
        <v>0.204</v>
      </c>
      <c r="V80" s="219" t="str" cm="1">
        <f t="array" aca="1" ref="V80" ca="1">IFERROR(print_SF('EF Table_detail'!X81),"")</f>
        <v>0.0608</v>
      </c>
      <c r="W80" s="329" t="str" cm="1">
        <f t="array" aca="1" ref="W80" ca="1">IFERROR(print_SF('EF Table_detail'!AB81),"")</f>
        <v>10.9</v>
      </c>
      <c r="X80" s="330" t="str">
        <f t="shared" ca="1" si="2"/>
        <v>kg/m²</v>
      </c>
      <c r="Y80" s="213" t="str" cm="1">
        <f t="array" aca="1" ref="Y80" ca="1">IF(INDIRECT(""&amp;$E80&amp;"!R"&amp;Y$141&amp;"C"&amp;Y$142,FALSE)=0,"",INDIRECT(""&amp;$E80&amp;"!R"&amp;Y$141&amp;"C"&amp;Y$142,FALSE))</f>
        <v xml:space="preserve">Important to consider board thickness. Recommended to use kg CO2e/kg EF when thickness and mass is known. </v>
      </c>
      <c r="Z80" s="277" t="str" cm="1">
        <f t="array" aca="1" ref="Z80" ca="1">IF(INDIRECT(""&amp;$E80&amp;"!R"&amp;Z$141&amp;"C"&amp;Z$142,FALSE)="Average (weighted)","Yes","No")</f>
        <v>No</v>
      </c>
      <c r="AA80" s="96"/>
    </row>
    <row r="81" spans="2:27" ht="45" customHeight="1" x14ac:dyDescent="0.25">
      <c r="B81" s="276" t="str">
        <f>'EF Table_detail'!A82</f>
        <v>Interior wall (permanent)</v>
      </c>
      <c r="C81" s="192" t="str">
        <f>'EF Table_detail'!B82</f>
        <v>Decorative particleboard</v>
      </c>
      <c r="D81" s="193" t="str">
        <f ca="1">'EF Table_detail'!C82</f>
        <v xml:space="preserve">Particleboard for decorative purposes i.e. finished wall panel including coating </v>
      </c>
      <c r="E81" s="192" t="str">
        <f>'EF Table_detail'!D82</f>
        <v>Eng_Timber_Decorative_Pb</v>
      </c>
      <c r="F81" s="192" t="str">
        <f ca="1">'EF Table_detail'!E82</f>
        <v>m³</v>
      </c>
      <c r="G81" s="192" t="str">
        <f ca="1">'EF Table_detail'!F82</f>
        <v>Tier 2</v>
      </c>
      <c r="H81" s="194">
        <f ca="1">'EF Table_detail'!G82</f>
        <v>1.05</v>
      </c>
      <c r="I81" s="454" t="str" cm="1">
        <f t="array" aca="1" ref="I81" ca="1">IFERROR(print_SF('EF Table_detail'!L82),"")</f>
        <v>663</v>
      </c>
      <c r="J81" s="222" t="str" cm="1">
        <f t="array" aca="1" ref="J81" ca="1">IFERROR(print_SF('EF Table_detail'!H82),"")</f>
        <v>631</v>
      </c>
      <c r="K81" s="223" t="str" cm="1">
        <f t="array" aca="1" ref="K81" ca="1">IFERROR(print_SF('EF Table_detail'!I82),"")</f>
        <v>177</v>
      </c>
      <c r="L81" s="223" t="str" cm="1">
        <f t="array" aca="1" ref="L81" ca="1">IFERROR(print_SF('EF Table_detail'!J82),"")</f>
        <v>433</v>
      </c>
      <c r="M81" s="456" t="str" cm="1">
        <f t="array" aca="1" ref="M81" ca="1">IFERROR(print_SF('EF Table_detail'!Q82),"")</f>
        <v>1.01</v>
      </c>
      <c r="N81" s="218" t="str" cm="1">
        <f t="array" aca="1" ref="N81" ca="1">IFERROR(print_SF('EF Table_detail'!M82),"")</f>
        <v>0.959</v>
      </c>
      <c r="O81" s="219" t="str" cm="1">
        <f t="array" aca="1" ref="O81" ca="1">IFERROR(print_SF('EF Table_detail'!N82),"")</f>
        <v>0.286</v>
      </c>
      <c r="P81" s="219" t="str" cm="1">
        <f t="array" aca="1" ref="P81" ca="1">IFERROR(print_SF('EF Table_detail'!O82),"")</f>
        <v>0.662</v>
      </c>
      <c r="Q81" s="454" t="str" cm="1">
        <f t="array" aca="1" ref="Q81" ca="1">IFERROR(print_SF('EF Table_detail'!V82),"")</f>
        <v>1,170</v>
      </c>
      <c r="R81" s="222" t="str" cm="1">
        <f t="array" aca="1" ref="R81" ca="1">IFERROR(print_SF('EF Table_detail'!S82),"")</f>
        <v>1,110</v>
      </c>
      <c r="S81" s="223" t="str" cm="1">
        <f t="array" aca="1" ref="S81" ca="1">IFERROR(print_SF('EF Table_detail'!T82),"")</f>
        <v>1,080</v>
      </c>
      <c r="T81" s="456" t="str" cm="1">
        <f t="array" aca="1" ref="T81" ca="1">IFERROR(print_SF('EF Table_detail'!Z82),"")</f>
        <v>1.69</v>
      </c>
      <c r="U81" s="218" t="str" cm="1">
        <f t="array" aca="1" ref="U81" ca="1">IFERROR(print_SF('EF Table_detail'!W82),"")</f>
        <v>1.69</v>
      </c>
      <c r="V81" s="219" t="str" cm="1">
        <f t="array" aca="1" ref="V81" ca="1">IFERROR(print_SF('EF Table_detail'!X82),"")</f>
        <v>1.67</v>
      </c>
      <c r="W81" s="329" t="str" cm="1">
        <f t="array" aca="1" ref="W81" ca="1">IFERROR(print_SF('EF Table_detail'!AB82),"")</f>
        <v>654</v>
      </c>
      <c r="X81" s="330" t="str">
        <f t="shared" ca="1" si="2"/>
        <v>kg/m³</v>
      </c>
      <c r="Y81" s="213" t="str" cm="1">
        <f t="array" aca="1" ref="Y81" ca="1">IF(INDIRECT(""&amp;$E81&amp;"!R"&amp;Y$141&amp;"C"&amp;Y$142,FALSE)=0,"",INDIRECT(""&amp;$E81&amp;"!R"&amp;Y$141&amp;"C"&amp;Y$142,FALSE))</f>
        <v/>
      </c>
      <c r="Z81" s="277" t="str" cm="1">
        <f t="array" aca="1" ref="Z81" ca="1">IF(INDIRECT(""&amp;$E81&amp;"!R"&amp;Z$141&amp;"C"&amp;Z$142,FALSE)="Average (weighted)","Yes","No")</f>
        <v>Yes</v>
      </c>
      <c r="AA81" s="96"/>
    </row>
    <row r="82" spans="2:27" ht="45" customHeight="1" x14ac:dyDescent="0.25">
      <c r="B82" s="276" t="str">
        <f>'EF Table_detail'!A83</f>
        <v>Interior wall (permanent)</v>
      </c>
      <c r="C82" s="192" t="str">
        <f>'EF Table_detail'!B83</f>
        <v>MDF</v>
      </c>
      <c r="D82" s="193" t="str">
        <f ca="1">'EF Table_detail'!C83</f>
        <v xml:space="preserve">Medium density fibreboard (MDF) for decorative purposes i.e. finished wall panel including coating </v>
      </c>
      <c r="E82" s="192" t="str">
        <f>'EF Table_detail'!D83</f>
        <v>Eng_Timber_MDF</v>
      </c>
      <c r="F82" s="192" t="str">
        <f ca="1">'EF Table_detail'!E83</f>
        <v>m³</v>
      </c>
      <c r="G82" s="192" t="str">
        <f ca="1">'EF Table_detail'!F83</f>
        <v>Tier 2</v>
      </c>
      <c r="H82" s="194">
        <f ca="1">'EF Table_detail'!G83</f>
        <v>1.05</v>
      </c>
      <c r="I82" s="454" t="str" cm="1">
        <f t="array" aca="1" ref="I82" ca="1">IFERROR(print_SF('EF Table_detail'!L83),"")</f>
        <v>1,320</v>
      </c>
      <c r="J82" s="222" t="str" cm="1">
        <f t="array" aca="1" ref="J82" ca="1">IFERROR(print_SF('EF Table_detail'!H83),"")</f>
        <v>1,250</v>
      </c>
      <c r="K82" s="223" t="str" cm="1">
        <f t="array" aca="1" ref="K82" ca="1">IFERROR(print_SF('EF Table_detail'!I83),"")</f>
        <v>526</v>
      </c>
      <c r="L82" s="223" t="str" cm="1">
        <f t="array" aca="1" ref="L82" ca="1">IFERROR(print_SF('EF Table_detail'!J83),"")</f>
        <v>815</v>
      </c>
      <c r="M82" s="456" t="str" cm="1">
        <f t="array" aca="1" ref="M82" ca="1">IFERROR(print_SF('EF Table_detail'!Q83),"")</f>
        <v>1.83</v>
      </c>
      <c r="N82" s="218" t="str" cm="1">
        <f t="array" aca="1" ref="N82" ca="1">IFERROR(print_SF('EF Table_detail'!M83),"")</f>
        <v>1.74</v>
      </c>
      <c r="O82" s="219" t="str" cm="1">
        <f t="array" aca="1" ref="O82" ca="1">IFERROR(print_SF('EF Table_detail'!N83),"")</f>
        <v>0.714</v>
      </c>
      <c r="P82" s="219" t="str" cm="1">
        <f t="array" aca="1" ref="P82" ca="1">IFERROR(print_SF('EF Table_detail'!O83),"")</f>
        <v>1.13</v>
      </c>
      <c r="Q82" s="454" t="str" cm="1">
        <f t="array" aca="1" ref="Q82" ca="1">IFERROR(print_SF('EF Table_detail'!V83),"")</f>
        <v>1,290</v>
      </c>
      <c r="R82" s="222" t="str" cm="1">
        <f t="array" aca="1" ref="R82" ca="1">IFERROR(print_SF('EF Table_detail'!S83),"")</f>
        <v>1,230</v>
      </c>
      <c r="S82" s="223" t="str" cm="1">
        <f t="array" aca="1" ref="S82" ca="1">IFERROR(print_SF('EF Table_detail'!T83),"")</f>
        <v>1,230</v>
      </c>
      <c r="T82" s="456" t="str" cm="1">
        <f t="array" aca="1" ref="T82" ca="1">IFERROR(print_SF('EF Table_detail'!Z83),"")</f>
        <v>1.71</v>
      </c>
      <c r="U82" s="218" t="str" cm="1">
        <f t="array" aca="1" ref="U82" ca="1">IFERROR(print_SF('EF Table_detail'!W83),"")</f>
        <v>1.71</v>
      </c>
      <c r="V82" s="219" t="str" cm="1">
        <f t="array" aca="1" ref="V82" ca="1">IFERROR(print_SF('EF Table_detail'!X83),"")</f>
        <v>1.70</v>
      </c>
      <c r="W82" s="329" t="str" cm="1">
        <f t="array" aca="1" ref="W82" ca="1">IFERROR(print_SF('EF Table_detail'!AB83),"")</f>
        <v>722</v>
      </c>
      <c r="X82" s="330" t="str">
        <f t="shared" ca="1" si="2"/>
        <v>kg/m³</v>
      </c>
      <c r="Y82" s="213" t="str" cm="1">
        <f t="array" aca="1" ref="Y82" ca="1">IF(INDIRECT(""&amp;$E82&amp;"!R"&amp;Y$141&amp;"C"&amp;Y$142,FALSE)=0,"",INDIRECT(""&amp;$E82&amp;"!R"&amp;Y$141&amp;"C"&amp;Y$142,FALSE))</f>
        <v/>
      </c>
      <c r="Z82" s="277" t="str" cm="1">
        <f t="array" aca="1" ref="Z82" ca="1">IF(INDIRECT(""&amp;$E82&amp;"!R"&amp;Z$141&amp;"C"&amp;Z$142,FALSE)="Average (weighted)","Yes","No")</f>
        <v>Yes</v>
      </c>
      <c r="AA82" s="96"/>
    </row>
    <row r="83" spans="2:27" ht="45" customHeight="1" x14ac:dyDescent="0.25">
      <c r="B83" s="276" t="str">
        <f>'EF Table_detail'!A84</f>
        <v>Interior wall (permanent)</v>
      </c>
      <c r="C83" s="192" t="str">
        <f>'EF Table_detail'!B84</f>
        <v>Fibre cement sheet</v>
      </c>
      <c r="D83" s="193" t="str">
        <f ca="1">'EF Table_detail'!C84</f>
        <v>Board made from fibre cement including compressed sheet, flooring, cladding, lining and roofing boards. Thickness from 4 mm to 22 mm.</v>
      </c>
      <c r="E83" s="192" t="str">
        <f>'EF Table_detail'!D84</f>
        <v>Fibre_Cement</v>
      </c>
      <c r="F83" s="192" t="str">
        <f ca="1">'EF Table_detail'!E84</f>
        <v>m²</v>
      </c>
      <c r="G83" s="192" t="str">
        <f ca="1">'EF Table_detail'!F84</f>
        <v>Tier 2</v>
      </c>
      <c r="H83" s="194">
        <f ca="1">'EF Table_detail'!G84</f>
        <v>1.05</v>
      </c>
      <c r="I83" s="454" t="str" cm="1">
        <f t="array" aca="1" ref="I83" ca="1">IFERROR(print_SF('EF Table_detail'!L84),"")</f>
        <v>48.2</v>
      </c>
      <c r="J83" s="224" t="str" cm="1">
        <f t="array" aca="1" ref="J83" ca="1">IFERROR(print_SF('EF Table_detail'!H84),"")</f>
        <v>45.9</v>
      </c>
      <c r="K83" s="225" t="str" cm="1">
        <f t="array" aca="1" ref="K83" ca="1">IFERROR(print_SF('EF Table_detail'!I84),"")</f>
        <v>3.51</v>
      </c>
      <c r="L83" s="225" t="str" cm="1">
        <f t="array" aca="1" ref="L83" ca="1">IFERROR(print_SF('EF Table_detail'!J84),"")</f>
        <v>12.9</v>
      </c>
      <c r="M83" s="456" t="str" cm="1">
        <f t="array" aca="1" ref="M83" ca="1">IFERROR(print_SF('EF Table_detail'!Q84),"")</f>
        <v>1.39</v>
      </c>
      <c r="N83" s="218" t="str" cm="1">
        <f t="array" aca="1" ref="N83" ca="1">IFERROR(print_SF('EF Table_detail'!M84),"")</f>
        <v>1.32</v>
      </c>
      <c r="O83" s="219" t="str" cm="1">
        <f t="array" aca="1" ref="O83" ca="1">IFERROR(print_SF('EF Table_detail'!N84),"")</f>
        <v>0.307</v>
      </c>
      <c r="P83" s="219" t="str" cm="1">
        <f t="array" aca="1" ref="P83" ca="1">IFERROR(print_SF('EF Table_detail'!O84),"")</f>
        <v>0.853</v>
      </c>
      <c r="Q83" s="454" t="str" cm="1">
        <f t="array" aca="1" ref="Q83" ca="1">IFERROR(print_SF('EF Table_detail'!V84),"")</f>
        <v>0.0473</v>
      </c>
      <c r="R83" s="218" t="str" cm="1">
        <f t="array" aca="1" ref="R83" ca="1">IFERROR(print_SF('EF Table_detail'!S84),"")</f>
        <v>0.0450</v>
      </c>
      <c r="S83" s="219" t="str" cm="1">
        <f t="array" aca="1" ref="S83" ca="1">IFERROR(print_SF('EF Table_detail'!T84),"")</f>
        <v>0.0373</v>
      </c>
      <c r="T83" s="456" t="str" cm="1">
        <f t="array" aca="1" ref="T83" ca="1">IFERROR(print_SF('EF Table_detail'!Z84),"")</f>
        <v>0.00833</v>
      </c>
      <c r="U83" s="218" t="str" cm="1">
        <f t="array" aca="1" ref="U83" ca="1">IFERROR(print_SF('EF Table_detail'!W84),"")</f>
        <v>0.00833</v>
      </c>
      <c r="V83" s="219" t="str" cm="1">
        <f t="array" aca="1" ref="V83" ca="1">IFERROR(print_SF('EF Table_detail'!X84),"")</f>
        <v>0.00321</v>
      </c>
      <c r="W83" s="329" t="str" cm="1">
        <f t="array" aca="1" ref="W83" ca="1">IFERROR(print_SF('EF Table_detail'!AB84),"")</f>
        <v>15.1</v>
      </c>
      <c r="X83" s="330" t="str">
        <f t="shared" ca="1" si="2"/>
        <v>kg/m²</v>
      </c>
      <c r="Y83" s="213" t="str" cm="1">
        <f t="array" aca="1" ref="Y83" ca="1">IF(INDIRECT(""&amp;$E83&amp;"!R"&amp;Y$141&amp;"C"&amp;Y$142,FALSE)=0,"",INDIRECT(""&amp;$E83&amp;"!R"&amp;Y$141&amp;"C"&amp;Y$142,FALSE))</f>
        <v xml:space="preserve">Important to consider in the context of board thickness and size of sheet not cladding area (shape of sheet overlapping (i.e. when cladding) means area of sheet is more than area to be clad). Recommended to use kg CO2e/kg EF when thickness and mass is known. </v>
      </c>
      <c r="Z83" s="277" t="str" cm="1">
        <f t="array" aca="1" ref="Z83" ca="1">IF(INDIRECT(""&amp;$E83&amp;"!R"&amp;Z$141&amp;"C"&amp;Z$142,FALSE)="Average (weighted)","Yes","No")</f>
        <v>No</v>
      </c>
      <c r="AA83" s="96"/>
    </row>
    <row r="84" spans="2:27" ht="45" customHeight="1" x14ac:dyDescent="0.25">
      <c r="B84" s="276" t="str">
        <f>'EF Table_detail'!A85</f>
        <v>Interior wall (permanent)</v>
      </c>
      <c r="C84" s="192" t="str">
        <f>'EF Table_detail'!B85</f>
        <v>Glass</v>
      </c>
      <c r="D84" s="193" t="str">
        <f ca="1">'EF Table_detail'!C85</f>
        <v>Glass used in windows, doors, curtain wall purposes. Including single, double and triple glazing units.</v>
      </c>
      <c r="E84" s="192" t="str">
        <f>'EF Table_detail'!D85</f>
        <v>Glass</v>
      </c>
      <c r="F84" s="192" t="str">
        <f ca="1">'EF Table_detail'!E85</f>
        <v>kg</v>
      </c>
      <c r="G84" s="192" t="str">
        <f ca="1">'EF Table_detail'!F85</f>
        <v>Tier 4</v>
      </c>
      <c r="H84" s="194">
        <f ca="1">'EF Table_detail'!G85</f>
        <v>1.2</v>
      </c>
      <c r="I84" s="454" t="str" cm="1">
        <f t="array" aca="1" ref="I84" ca="1">IFERROR(print_SF('EF Table_detail'!L85),"")</f>
        <v>2.38</v>
      </c>
      <c r="J84" s="222" t="str" cm="1">
        <f t="array" aca="1" ref="J84" ca="1">IFERROR(print_SF('EF Table_detail'!H85),"")</f>
        <v>1.98</v>
      </c>
      <c r="K84" s="223" t="str" cm="1">
        <f t="array" aca="1" ref="K84" ca="1">IFERROR(print_SF('EF Table_detail'!I85),"")</f>
        <v>1.10</v>
      </c>
      <c r="L84" s="223" t="str" cm="1">
        <f t="array" aca="1" ref="L84" ca="1">IFERROR(print_SF('EF Table_detail'!J85),"")</f>
        <v>1.67</v>
      </c>
      <c r="M84" s="456" t="str" cm="1">
        <f t="array" aca="1" ref="M84" ca="1">IFERROR(print_SF('EF Table_detail'!Q85),"")</f>
        <v>2.38</v>
      </c>
      <c r="N84" s="218" t="str" cm="1">
        <f t="array" aca="1" ref="N84" ca="1">IFERROR(print_SF('EF Table_detail'!M85),"")</f>
        <v>1.98</v>
      </c>
      <c r="O84" s="219" t="str" cm="1">
        <f t="array" aca="1" ref="O84" ca="1">IFERROR(print_SF('EF Table_detail'!N85),"")</f>
        <v>1.10</v>
      </c>
      <c r="P84" s="219" t="str" cm="1">
        <f t="array" aca="1" ref="P84" ca="1">IFERROR(print_SF('EF Table_detail'!O85),"")</f>
        <v>1.67</v>
      </c>
      <c r="Q84" s="454" t="str" cm="1">
        <f t="array" aca="1" ref="Q84" ca="1">IFERROR(print_SF('EF Table_detail'!V85),"")</f>
        <v>0</v>
      </c>
      <c r="R84" s="218" t="str" cm="1">
        <f t="array" aca="1" ref="R84" ca="1">IFERROR(print_SF('EF Table_detail'!S85),"")</f>
        <v>0</v>
      </c>
      <c r="S84" s="219" t="str" cm="1">
        <f t="array" aca="1" ref="S84" ca="1">IFERROR(print_SF('EF Table_detail'!T85),"")</f>
        <v>0</v>
      </c>
      <c r="T84" s="456" t="str" cm="1">
        <f t="array" aca="1" ref="T84" ca="1">IFERROR(print_SF('EF Table_detail'!Z85),"")</f>
        <v>0</v>
      </c>
      <c r="U84" s="218" t="str" cm="1">
        <f t="array" aca="1" ref="U84" ca="1">IFERROR(print_SF('EF Table_detail'!W85),"")</f>
        <v>0</v>
      </c>
      <c r="V84" s="219" t="str" cm="1">
        <f t="array" aca="1" ref="V84" ca="1">IFERROR(print_SF('EF Table_detail'!X85),"")</f>
        <v>0</v>
      </c>
      <c r="W84" s="329" t="str" cm="1">
        <f t="array" aca="1" ref="W84" ca="1">IFERROR(print_SF('EF Table_detail'!AB85),"")</f>
        <v>1.00</v>
      </c>
      <c r="X84" s="330" t="str">
        <f t="shared" ca="1" si="2"/>
        <v>kg/kg</v>
      </c>
      <c r="Y84" s="213" t="str" cm="1">
        <f t="array" aca="1" ref="Y84" ca="1">IF(INDIRECT(""&amp;$E84&amp;"!R"&amp;Y$141&amp;"C"&amp;Y$142,FALSE)=0,"",INDIRECT(""&amp;$E84&amp;"!R"&amp;Y$141&amp;"C"&amp;Y$142,FALSE))</f>
        <v/>
      </c>
      <c r="Z84" s="277" t="str" cm="1">
        <f t="array" aca="1" ref="Z84" ca="1">IF(INDIRECT(""&amp;$E84&amp;"!R"&amp;Z$141&amp;"C"&amp;Z$142,FALSE)="Average (weighted)","Yes","No")</f>
        <v>No</v>
      </c>
      <c r="AA84" s="96"/>
    </row>
    <row r="85" spans="2:27" ht="45" customHeight="1" x14ac:dyDescent="0.25">
      <c r="B85" s="276" t="str">
        <f>'EF Table_detail'!A86</f>
        <v>Windows &amp; doors</v>
      </c>
      <c r="C85" s="192" t="str">
        <f>'EF Table_detail'!B86</f>
        <v>Glass (treated or untreated)</v>
      </c>
      <c r="D85" s="193" t="str">
        <f ca="1">'EF Table_detail'!C86</f>
        <v>Glass used in windows, doors, curtain wall purposes. Including single, double and triple glazing units.</v>
      </c>
      <c r="E85" s="192" t="str">
        <f>'EF Table_detail'!D86</f>
        <v>Glass</v>
      </c>
      <c r="F85" s="192" t="str">
        <f ca="1">'EF Table_detail'!E86</f>
        <v>kg</v>
      </c>
      <c r="G85" s="192" t="str">
        <f ca="1">'EF Table_detail'!F86</f>
        <v>Tier 4</v>
      </c>
      <c r="H85" s="194">
        <f ca="1">'EF Table_detail'!G86</f>
        <v>1.2</v>
      </c>
      <c r="I85" s="454" t="str" cm="1">
        <f t="array" aca="1" ref="I85" ca="1">IFERROR(print_SF('EF Table_detail'!L86),"")</f>
        <v>2.38</v>
      </c>
      <c r="J85" s="222" t="str" cm="1">
        <f t="array" aca="1" ref="J85" ca="1">IFERROR(print_SF('EF Table_detail'!H86),"")</f>
        <v>1.98</v>
      </c>
      <c r="K85" s="223" t="str" cm="1">
        <f t="array" aca="1" ref="K85" ca="1">IFERROR(print_SF('EF Table_detail'!I86),"")</f>
        <v>1.10</v>
      </c>
      <c r="L85" s="223" t="str" cm="1">
        <f t="array" aca="1" ref="L85" ca="1">IFERROR(print_SF('EF Table_detail'!J86),"")</f>
        <v>1.67</v>
      </c>
      <c r="M85" s="456" t="str" cm="1">
        <f t="array" aca="1" ref="M85" ca="1">IFERROR(print_SF('EF Table_detail'!Q86),"")</f>
        <v>2.38</v>
      </c>
      <c r="N85" s="218" t="str" cm="1">
        <f t="array" aca="1" ref="N85" ca="1">IFERROR(print_SF('EF Table_detail'!M86),"")</f>
        <v>1.98</v>
      </c>
      <c r="O85" s="219" t="str" cm="1">
        <f t="array" aca="1" ref="O85" ca="1">IFERROR(print_SF('EF Table_detail'!N86),"")</f>
        <v>1.10</v>
      </c>
      <c r="P85" s="219" t="str" cm="1">
        <f t="array" aca="1" ref="P85" ca="1">IFERROR(print_SF('EF Table_detail'!O86),"")</f>
        <v>1.67</v>
      </c>
      <c r="Q85" s="454" t="str" cm="1">
        <f t="array" aca="1" ref="Q85" ca="1">IFERROR(print_SF('EF Table_detail'!V86),"")</f>
        <v>0</v>
      </c>
      <c r="R85" s="218" t="str" cm="1">
        <f t="array" aca="1" ref="R85" ca="1">IFERROR(print_SF('EF Table_detail'!S86),"")</f>
        <v>0</v>
      </c>
      <c r="S85" s="219" t="str" cm="1">
        <f t="array" aca="1" ref="S85" ca="1">IFERROR(print_SF('EF Table_detail'!T86),"")</f>
        <v>0</v>
      </c>
      <c r="T85" s="456" t="str" cm="1">
        <f t="array" aca="1" ref="T85" ca="1">IFERROR(print_SF('EF Table_detail'!Z86),"")</f>
        <v>0</v>
      </c>
      <c r="U85" s="218" t="str" cm="1">
        <f t="array" aca="1" ref="U85" ca="1">IFERROR(print_SF('EF Table_detail'!W86),"")</f>
        <v>0</v>
      </c>
      <c r="V85" s="219" t="str" cm="1">
        <f t="array" aca="1" ref="V85" ca="1">IFERROR(print_SF('EF Table_detail'!X86),"")</f>
        <v>0</v>
      </c>
      <c r="W85" s="329" t="str" cm="1">
        <f t="array" aca="1" ref="W85" ca="1">IFERROR(print_SF('EF Table_detail'!AB86),"")</f>
        <v>1.00</v>
      </c>
      <c r="X85" s="330" t="str">
        <f t="shared" ca="1" si="2"/>
        <v>kg/kg</v>
      </c>
      <c r="Y85" s="213" t="str" cm="1">
        <f t="array" aca="1" ref="Y85" ca="1">IF(INDIRECT(""&amp;$E85&amp;"!R"&amp;Y$141&amp;"C"&amp;Y$142,FALSE)=0,"",INDIRECT(""&amp;$E85&amp;"!R"&amp;Y$141&amp;"C"&amp;Y$142,FALSE))</f>
        <v/>
      </c>
      <c r="Z85" s="277" t="str" cm="1">
        <f t="array" aca="1" ref="Z85" ca="1">IF(INDIRECT(""&amp;$E85&amp;"!R"&amp;Z$141&amp;"C"&amp;Z$142,FALSE)="Average (weighted)","Yes","No")</f>
        <v>No</v>
      </c>
      <c r="AA85" s="96"/>
    </row>
    <row r="86" spans="2:27" ht="45" customHeight="1" x14ac:dyDescent="0.25">
      <c r="B86" s="276" t="str">
        <f>'EF Table_detail'!A87</f>
        <v>Extruded aluminium</v>
      </c>
      <c r="C86" s="192" t="str">
        <f>'EF Table_detail'!B87</f>
        <v>Aluminium extruded uncoated</v>
      </c>
      <c r="D86" s="193" t="str">
        <f ca="1">'EF Table_detail'!C87</f>
        <v xml:space="preserve">Extruded aluminium for use in construction. </v>
      </c>
      <c r="E86" s="192" t="str">
        <f>'EF Table_detail'!D87</f>
        <v>Aluminium_extruded</v>
      </c>
      <c r="F86" s="192" t="str">
        <f ca="1">'EF Table_detail'!E87</f>
        <v>tonne</v>
      </c>
      <c r="G86" s="192" t="str">
        <f ca="1">'EF Table_detail'!F87</f>
        <v>Tier 2</v>
      </c>
      <c r="H86" s="194">
        <f ca="1">'EF Table_detail'!G87</f>
        <v>1.05</v>
      </c>
      <c r="I86" s="454" t="str" cm="1">
        <f t="array" aca="1" ref="I86" ca="1">IFERROR(print_SF('EF Table_detail'!L87),"")</f>
        <v>30,200</v>
      </c>
      <c r="J86" s="222" t="str" cm="1">
        <f t="array" aca="1" ref="J86" ca="1">IFERROR(print_SF('EF Table_detail'!H87),"")</f>
        <v>28,800</v>
      </c>
      <c r="K86" s="223" t="str" cm="1">
        <f t="array" aca="1" ref="K86" ca="1">IFERROR(print_SF('EF Table_detail'!I87),"")</f>
        <v>3,490</v>
      </c>
      <c r="L86" s="223" t="str" cm="1">
        <f t="array" aca="1" ref="L86" ca="1">IFERROR(print_SF('EF Table_detail'!J87),"")</f>
        <v>17,400</v>
      </c>
      <c r="M86" s="456" t="str" cm="1">
        <f t="array" aca="1" ref="M86" ca="1">IFERROR(print_SF('EF Table_detail'!Q87),"")</f>
        <v>30.2</v>
      </c>
      <c r="N86" s="218" t="str" cm="1">
        <f t="array" aca="1" ref="N86" ca="1">IFERROR(print_SF('EF Table_detail'!M87),"")</f>
        <v>28.8</v>
      </c>
      <c r="O86" s="219" t="str" cm="1">
        <f t="array" aca="1" ref="O86" ca="1">IFERROR(print_SF('EF Table_detail'!N87),"")</f>
        <v>3.49</v>
      </c>
      <c r="P86" s="219" t="str" cm="1">
        <f t="array" aca="1" ref="P86" ca="1">IFERROR(print_SF('EF Table_detail'!O87),"")</f>
        <v>17.4</v>
      </c>
      <c r="Q86" s="454" t="str" cm="1">
        <f t="array" aca="1" ref="Q86" ca="1">IFERROR(print_SF('EF Table_detail'!V87),"")</f>
        <v>0</v>
      </c>
      <c r="R86" s="218" t="str" cm="1">
        <f t="array" aca="1" ref="R86" ca="1">IFERROR(print_SF('EF Table_detail'!S87),"")</f>
        <v>0</v>
      </c>
      <c r="S86" s="219" t="str" cm="1">
        <f t="array" aca="1" ref="S86" ca="1">IFERROR(print_SF('EF Table_detail'!T87),"")</f>
        <v>0</v>
      </c>
      <c r="T86" s="456" t="str" cm="1">
        <f t="array" aca="1" ref="T86" ca="1">IFERROR(print_SF('EF Table_detail'!Z87),"")</f>
        <v>0</v>
      </c>
      <c r="U86" s="218" t="str" cm="1">
        <f t="array" aca="1" ref="U86" ca="1">IFERROR(print_SF('EF Table_detail'!W87),"")</f>
        <v>0</v>
      </c>
      <c r="V86" s="219" t="str" cm="1">
        <f t="array" aca="1" ref="V86" ca="1">IFERROR(print_SF('EF Table_detail'!X87),"")</f>
        <v>0</v>
      </c>
      <c r="W86" s="329" t="str" cm="1">
        <f t="array" aca="1" ref="W86" ca="1">IFERROR(print_SF('EF Table_detail'!AB87),"")</f>
        <v>1,000</v>
      </c>
      <c r="X86" s="330" t="str">
        <f t="shared" ca="1" si="2"/>
        <v>kg/tonne</v>
      </c>
      <c r="Y86" s="213" t="str" cm="1">
        <f t="array" aca="1" ref="Y86" ca="1">IF(INDIRECT(""&amp;$E86&amp;"!R"&amp;Y$141&amp;"C"&amp;Y$142,FALSE)=0,"",INDIRECT(""&amp;$E86&amp;"!R"&amp;Y$141&amp;"C"&amp;Y$142,FALSE))</f>
        <v/>
      </c>
      <c r="Z86" s="277" t="str" cm="1">
        <f t="array" aca="1" ref="Z86" ca="1">IF(INDIRECT(""&amp;$E86&amp;"!R"&amp;Z$141&amp;"C"&amp;Z$142,FALSE)="Average (weighted)","Yes","No")</f>
        <v>Yes</v>
      </c>
      <c r="AA86" s="96"/>
    </row>
    <row r="87" spans="2:27" ht="45" customHeight="1" x14ac:dyDescent="0.25">
      <c r="B87" s="276" t="str">
        <f>'EF Table_detail'!A88</f>
        <v>Extruded aluminium</v>
      </c>
      <c r="C87" s="192" t="str">
        <f>'EF Table_detail'!B88</f>
        <v>Aluminium extruded powder coated</v>
      </c>
      <c r="D87" s="193" t="str">
        <f ca="1">'EF Table_detail'!C88</f>
        <v>Extruded aluminium (powder coated) for use in construction</v>
      </c>
      <c r="E87" s="192" t="str">
        <f>'EF Table_detail'!D88</f>
        <v>Aluminium_extru_powdercoat</v>
      </c>
      <c r="F87" s="192" t="str">
        <f ca="1">'EF Table_detail'!E88</f>
        <v>tonne</v>
      </c>
      <c r="G87" s="192" t="str">
        <f ca="1">'EF Table_detail'!F88</f>
        <v>Tier 2</v>
      </c>
      <c r="H87" s="194">
        <f ca="1">'EF Table_detail'!G88</f>
        <v>1.05</v>
      </c>
      <c r="I87" s="454" t="str" cm="1">
        <f t="array" aca="1" ref="I87" ca="1">IFERROR(print_SF('EF Table_detail'!L88),"")</f>
        <v>32,000</v>
      </c>
      <c r="J87" s="222" t="str" cm="1">
        <f t="array" aca="1" ref="J87" ca="1">IFERROR(print_SF('EF Table_detail'!H88),"")</f>
        <v>30,500</v>
      </c>
      <c r="K87" s="223" t="str" cm="1">
        <f t="array" aca="1" ref="K87" ca="1">IFERROR(print_SF('EF Table_detail'!I88),"")</f>
        <v>5,150</v>
      </c>
      <c r="L87" s="223" t="str" cm="1">
        <f t="array" aca="1" ref="L87" ca="1">IFERROR(print_SF('EF Table_detail'!J88),"")</f>
        <v>18,200</v>
      </c>
      <c r="M87" s="456" t="str" cm="1">
        <f t="array" aca="1" ref="M87" ca="1">IFERROR(print_SF('EF Table_detail'!Q88),"")</f>
        <v>32.0</v>
      </c>
      <c r="N87" s="218" t="str" cm="1">
        <f t="array" aca="1" ref="N87" ca="1">IFERROR(print_SF('EF Table_detail'!M88),"")</f>
        <v>30.5</v>
      </c>
      <c r="O87" s="219" t="str" cm="1">
        <f t="array" aca="1" ref="O87" ca="1">IFERROR(print_SF('EF Table_detail'!N88),"")</f>
        <v>5.15</v>
      </c>
      <c r="P87" s="219" t="str" cm="1">
        <f t="array" aca="1" ref="P87" ca="1">IFERROR(print_SF('EF Table_detail'!O88),"")</f>
        <v>18.2</v>
      </c>
      <c r="Q87" s="454" t="str" cm="1">
        <f t="array" aca="1" ref="Q87" ca="1">IFERROR(print_SF('EF Table_detail'!V88),"")</f>
        <v>0</v>
      </c>
      <c r="R87" s="218" t="str" cm="1">
        <f t="array" aca="1" ref="R87" ca="1">IFERROR(print_SF('EF Table_detail'!S88),"")</f>
        <v>0</v>
      </c>
      <c r="S87" s="219" t="str" cm="1">
        <f t="array" aca="1" ref="S87" ca="1">IFERROR(print_SF('EF Table_detail'!T88),"")</f>
        <v>0</v>
      </c>
      <c r="T87" s="456" t="str" cm="1">
        <f t="array" aca="1" ref="T87" ca="1">IFERROR(print_SF('EF Table_detail'!Z88),"")</f>
        <v>0</v>
      </c>
      <c r="U87" s="218" t="str" cm="1">
        <f t="array" aca="1" ref="U87" ca="1">IFERROR(print_SF('EF Table_detail'!W88),"")</f>
        <v>0</v>
      </c>
      <c r="V87" s="219" t="str" cm="1">
        <f t="array" aca="1" ref="V87" ca="1">IFERROR(print_SF('EF Table_detail'!X88),"")</f>
        <v>0</v>
      </c>
      <c r="W87" s="329" t="str" cm="1">
        <f t="array" aca="1" ref="W87" ca="1">IFERROR(print_SF('EF Table_detail'!AB88),"")</f>
        <v>1,000</v>
      </c>
      <c r="X87" s="330" t="str">
        <f t="shared" ca="1" si="2"/>
        <v>kg/tonne</v>
      </c>
      <c r="Y87" s="213" t="str" cm="1">
        <f t="array" aca="1" ref="Y87" ca="1">IF(INDIRECT(""&amp;$E87&amp;"!R"&amp;Y$141&amp;"C"&amp;Y$142,FALSE)=0,"",INDIRECT(""&amp;$E87&amp;"!R"&amp;Y$141&amp;"C"&amp;Y$142,FALSE))</f>
        <v>Using EFs determined in aluminium_extruded than multiplying by a factor for powder coating as determined using additional data. Note this material category is to act as a proxy for polyvinylidene fluoride coating (PVDF coating).</v>
      </c>
      <c r="Z87" s="277" t="str" cm="1">
        <f t="array" aca="1" ref="Z87" ca="1">IF(INDIRECT(""&amp;$E87&amp;"!R"&amp;Z$141&amp;"C"&amp;Z$142,FALSE)="Average (weighted)","Yes","No")</f>
        <v>Yes</v>
      </c>
      <c r="AA87" s="96"/>
    </row>
    <row r="88" spans="2:27" ht="45" customHeight="1" x14ac:dyDescent="0.25">
      <c r="B88" s="276" t="str">
        <f>'EF Table_detail'!A89</f>
        <v>Extruded aluminium</v>
      </c>
      <c r="C88" s="192" t="str">
        <f>'EF Table_detail'!B89</f>
        <v>Aluminium extruded anodised</v>
      </c>
      <c r="D88" s="193" t="str">
        <f ca="1">'EF Table_detail'!C89</f>
        <v>Extruded aluminium (anodised) for use in construction</v>
      </c>
      <c r="E88" s="192" t="str">
        <f>'EF Table_detail'!D89</f>
        <v>Aluminium_extru_anodised</v>
      </c>
      <c r="F88" s="192" t="str">
        <f ca="1">'EF Table_detail'!E89</f>
        <v>tonne</v>
      </c>
      <c r="G88" s="192" t="str">
        <f ca="1">'EF Table_detail'!F89</f>
        <v>Tier 2</v>
      </c>
      <c r="H88" s="194">
        <f ca="1">'EF Table_detail'!G89</f>
        <v>1.05</v>
      </c>
      <c r="I88" s="454" t="str" cm="1">
        <f t="array" aca="1" ref="I88" ca="1">IFERROR(print_SF('EF Table_detail'!L89),"")</f>
        <v>34,200</v>
      </c>
      <c r="J88" s="222" t="str" cm="1">
        <f t="array" aca="1" ref="J88" ca="1">IFERROR(print_SF('EF Table_detail'!H89),"")</f>
        <v>32,600</v>
      </c>
      <c r="K88" s="223" t="str" cm="1">
        <f t="array" aca="1" ref="K88" ca="1">IFERROR(print_SF('EF Table_detail'!I89),"")</f>
        <v>7,290</v>
      </c>
      <c r="L88" s="223" t="str" cm="1">
        <f t="array" aca="1" ref="L88" ca="1">IFERROR(print_SF('EF Table_detail'!J89),"")</f>
        <v>19,300</v>
      </c>
      <c r="M88" s="456" t="str" cm="1">
        <f t="array" aca="1" ref="M88" ca="1">IFERROR(print_SF('EF Table_detail'!Q89),"")</f>
        <v>34.2</v>
      </c>
      <c r="N88" s="218" t="str" cm="1">
        <f t="array" aca="1" ref="N88" ca="1">IFERROR(print_SF('EF Table_detail'!M89),"")</f>
        <v>32.6</v>
      </c>
      <c r="O88" s="219" t="str" cm="1">
        <f t="array" aca="1" ref="O88" ca="1">IFERROR(print_SF('EF Table_detail'!N89),"")</f>
        <v>7.29</v>
      </c>
      <c r="P88" s="219" t="str" cm="1">
        <f t="array" aca="1" ref="P88" ca="1">IFERROR(print_SF('EF Table_detail'!O89),"")</f>
        <v>19.3</v>
      </c>
      <c r="Q88" s="454" t="str" cm="1">
        <f t="array" aca="1" ref="Q88" ca="1">IFERROR(print_SF('EF Table_detail'!V89),"")</f>
        <v>0</v>
      </c>
      <c r="R88" s="218" t="str" cm="1">
        <f t="array" aca="1" ref="R88" ca="1">IFERROR(print_SF('EF Table_detail'!S89),"")</f>
        <v>0</v>
      </c>
      <c r="S88" s="219" t="str" cm="1">
        <f t="array" aca="1" ref="S88" ca="1">IFERROR(print_SF('EF Table_detail'!T89),"")</f>
        <v>0</v>
      </c>
      <c r="T88" s="456" t="str" cm="1">
        <f t="array" aca="1" ref="T88" ca="1">IFERROR(print_SF('EF Table_detail'!Z89),"")</f>
        <v>0</v>
      </c>
      <c r="U88" s="218" t="str" cm="1">
        <f t="array" aca="1" ref="U88" ca="1">IFERROR(print_SF('EF Table_detail'!W89),"")</f>
        <v>0</v>
      </c>
      <c r="V88" s="219" t="str" cm="1">
        <f t="array" aca="1" ref="V88" ca="1">IFERROR(print_SF('EF Table_detail'!X89),"")</f>
        <v>0</v>
      </c>
      <c r="W88" s="329" t="str" cm="1">
        <f t="array" aca="1" ref="W88" ca="1">IFERROR(print_SF('EF Table_detail'!AB89),"")</f>
        <v>1,000</v>
      </c>
      <c r="X88" s="330" t="str">
        <f t="shared" ca="1" si="2"/>
        <v>kg/tonne</v>
      </c>
      <c r="Y88" s="213" t="str" cm="1">
        <f t="array" aca="1" ref="Y88" ca="1">IF(INDIRECT(""&amp;$E88&amp;"!R"&amp;Y$141&amp;"C"&amp;Y$142,FALSE)=0,"",INDIRECT(""&amp;$E88&amp;"!R"&amp;Y$141&amp;"C"&amp;Y$142,FALSE))</f>
        <v>Using EFs determined in aluminium_extruded than multiplying by a factor for powder coating as determined using additional data.</v>
      </c>
      <c r="Z88" s="277" t="str" cm="1">
        <f t="array" aca="1" ref="Z88" ca="1">IF(INDIRECT(""&amp;$E88&amp;"!R"&amp;Z$141&amp;"C"&amp;Z$142,FALSE)="Average (weighted)","Yes","No")</f>
        <v>Yes</v>
      </c>
      <c r="AA88" s="96"/>
    </row>
    <row r="89" spans="2:27" ht="45" customHeight="1" x14ac:dyDescent="0.25">
      <c r="B89" s="276" t="str">
        <f>'EF Table_detail'!A90</f>
        <v>Pavers/tiles</v>
      </c>
      <c r="C89" s="192" t="str">
        <f>'EF Table_detail'!B90</f>
        <v xml:space="preserve">Pavers Concrete </v>
      </c>
      <c r="D89" s="193" t="str">
        <f ca="1">'EF Table_detail'!C90</f>
        <v>Concrete brick or block i.e. cinder block or concrete finishing brick used in masonry. Not including any core fill material or reinforcing.</v>
      </c>
      <c r="E89" s="192" t="str">
        <f>'EF Table_detail'!D90</f>
        <v>Concrete_bricks</v>
      </c>
      <c r="F89" s="192" t="str">
        <f ca="1">'EF Table_detail'!E90</f>
        <v>tonne</v>
      </c>
      <c r="G89" s="192" t="str">
        <f ca="1">'EF Table_detail'!F90</f>
        <v>Tier 3</v>
      </c>
      <c r="H89" s="194">
        <f ca="1">'EF Table_detail'!G90</f>
        <v>1.1000000000000001</v>
      </c>
      <c r="I89" s="454" t="str" cm="1">
        <f t="array" aca="1" ref="I89" ca="1">IFERROR(print_SF('EF Table_detail'!L90),"")</f>
        <v>264</v>
      </c>
      <c r="J89" s="222" t="str" cm="1">
        <f t="array" aca="1" ref="J89" ca="1">IFERROR(print_SF('EF Table_detail'!H90),"")</f>
        <v>240</v>
      </c>
      <c r="K89" s="223" t="str" cm="1">
        <f t="array" aca="1" ref="K89" ca="1">IFERROR(print_SF('EF Table_detail'!I90),"")</f>
        <v>112</v>
      </c>
      <c r="L89" s="223" t="str" cm="1">
        <f t="array" aca="1" ref="L89" ca="1">IFERROR(print_SF('EF Table_detail'!J90),"")</f>
        <v>159</v>
      </c>
      <c r="M89" s="456" t="str" cm="1">
        <f t="array" aca="1" ref="M89" ca="1">IFERROR(print_SF('EF Table_detail'!Q90),"")</f>
        <v>0.264</v>
      </c>
      <c r="N89" s="218" t="str" cm="1">
        <f t="array" aca="1" ref="N89" ca="1">IFERROR(print_SF('EF Table_detail'!M90),"")</f>
        <v>0.240</v>
      </c>
      <c r="O89" s="219" t="str" cm="1">
        <f t="array" aca="1" ref="O89" ca="1">IFERROR(print_SF('EF Table_detail'!N90),"")</f>
        <v>0.112</v>
      </c>
      <c r="P89" s="219" t="str" cm="1">
        <f t="array" aca="1" ref="P89" ca="1">IFERROR(print_SF('EF Table_detail'!O90),"")</f>
        <v>0.159</v>
      </c>
      <c r="Q89" s="454" t="str" cm="1">
        <f t="array" aca="1" ref="Q89" ca="1">IFERROR(print_SF('EF Table_detail'!V90),"")</f>
        <v>0</v>
      </c>
      <c r="R89" s="218" t="str" cm="1">
        <f t="array" aca="1" ref="R89" ca="1">IFERROR(print_SF('EF Table_detail'!S90),"")</f>
        <v>0</v>
      </c>
      <c r="S89" s="219" t="str" cm="1">
        <f t="array" aca="1" ref="S89" ca="1">IFERROR(print_SF('EF Table_detail'!T90),"")</f>
        <v>0</v>
      </c>
      <c r="T89" s="456" t="str" cm="1">
        <f t="array" aca="1" ref="T89" ca="1">IFERROR(print_SF('EF Table_detail'!Z90),"")</f>
        <v>0</v>
      </c>
      <c r="U89" s="218" t="str" cm="1">
        <f t="array" aca="1" ref="U89" ca="1">IFERROR(print_SF('EF Table_detail'!W90),"")</f>
        <v>0</v>
      </c>
      <c r="V89" s="219" t="str" cm="1">
        <f t="array" aca="1" ref="V89" ca="1">IFERROR(print_SF('EF Table_detail'!X90),"")</f>
        <v>0</v>
      </c>
      <c r="W89" s="329" t="str" cm="1">
        <f t="array" aca="1" ref="W89" ca="1">IFERROR(print_SF('EF Table_detail'!AB90),"")</f>
        <v>1,000</v>
      </c>
      <c r="X89" s="330" t="str">
        <f t="shared" ca="1" si="2"/>
        <v>kg/tonne</v>
      </c>
      <c r="Y89" s="213" t="str" cm="1">
        <f t="array" aca="1" ref="Y89" ca="1">IF(INDIRECT(""&amp;$E89&amp;"!R"&amp;Y$141&amp;"C"&amp;Y$142,FALSE)=0,"",INDIRECT(""&amp;$E89&amp;"!R"&amp;Y$141&amp;"C"&amp;Y$142,FALSE))</f>
        <v>Not including any core fill material or reinforcing.</v>
      </c>
      <c r="Z89" s="277" t="str" cm="1">
        <f t="array" aca="1" ref="Z89" ca="1">IF(INDIRECT(""&amp;$E89&amp;"!R"&amp;Z$141&amp;"C"&amp;Z$142,FALSE)="Average (weighted)","Yes","No")</f>
        <v>No</v>
      </c>
      <c r="AA89" s="96"/>
    </row>
    <row r="90" spans="2:27" ht="45" customHeight="1" x14ac:dyDescent="0.25">
      <c r="B90" s="276" t="str">
        <f>'EF Table_detail'!A91</f>
        <v>Pavers/tiles</v>
      </c>
      <c r="C90" s="192" t="str">
        <f>'EF Table_detail'!B91</f>
        <v>Pavers Ceramic</v>
      </c>
      <c r="D90" s="193" t="str">
        <f ca="1">'EF Table_detail'!C91</f>
        <v xml:space="preserve">Ceramic tiles (wall and floor) and pavers including porcelain tiles </v>
      </c>
      <c r="E90" s="192" t="str">
        <f>'EF Table_detail'!D91</f>
        <v>Pavers_ceramic</v>
      </c>
      <c r="F90" s="192" t="str">
        <f ca="1">'EF Table_detail'!E91</f>
        <v>kg</v>
      </c>
      <c r="G90" s="192" t="str">
        <f ca="1">'EF Table_detail'!F91</f>
        <v>Tier 4</v>
      </c>
      <c r="H90" s="194">
        <f ca="1">'EF Table_detail'!G91</f>
        <v>1.2</v>
      </c>
      <c r="I90" s="454" t="str" cm="1">
        <f t="array" aca="1" ref="I90" ca="1">IFERROR(print_SF('EF Table_detail'!L91),"")</f>
        <v>0.984</v>
      </c>
      <c r="J90" s="218" t="str" cm="1">
        <f t="array" aca="1" ref="J90" ca="1">IFERROR(print_SF('EF Table_detail'!H91),"")</f>
        <v>0.820</v>
      </c>
      <c r="K90" s="219" t="str" cm="1">
        <f t="array" aca="1" ref="K90" ca="1">IFERROR(print_SF('EF Table_detail'!I91),"")</f>
        <v>0.308</v>
      </c>
      <c r="L90" s="219" t="str" cm="1">
        <f t="array" aca="1" ref="L90" ca="1">IFERROR(print_SF('EF Table_detail'!J91),"")</f>
        <v>0.581</v>
      </c>
      <c r="M90" s="456" t="str" cm="1">
        <f t="array" aca="1" ref="M90" ca="1">IFERROR(print_SF('EF Table_detail'!Q91),"")</f>
        <v>0.984</v>
      </c>
      <c r="N90" s="218" t="str" cm="1">
        <f t="array" aca="1" ref="N90" ca="1">IFERROR(print_SF('EF Table_detail'!M91),"")</f>
        <v>0.820</v>
      </c>
      <c r="O90" s="219" t="str" cm="1">
        <f t="array" aca="1" ref="O90" ca="1">IFERROR(print_SF('EF Table_detail'!N91),"")</f>
        <v>0.308</v>
      </c>
      <c r="P90" s="219" t="str" cm="1">
        <f t="array" aca="1" ref="P90" ca="1">IFERROR(print_SF('EF Table_detail'!O91),"")</f>
        <v>0.581</v>
      </c>
      <c r="Q90" s="454" t="str" cm="1">
        <f t="array" aca="1" ref="Q90" ca="1">IFERROR(print_SF('EF Table_detail'!V91),"")</f>
        <v>0</v>
      </c>
      <c r="R90" s="218" t="str" cm="1">
        <f t="array" aca="1" ref="R90" ca="1">IFERROR(print_SF('EF Table_detail'!S91),"")</f>
        <v>0</v>
      </c>
      <c r="S90" s="219" t="str" cm="1">
        <f t="array" aca="1" ref="S90" ca="1">IFERROR(print_SF('EF Table_detail'!T91),"")</f>
        <v>0</v>
      </c>
      <c r="T90" s="456" t="str" cm="1">
        <f t="array" aca="1" ref="T90" ca="1">IFERROR(print_SF('EF Table_detail'!Z91),"")</f>
        <v>0</v>
      </c>
      <c r="U90" s="218" t="str" cm="1">
        <f t="array" aca="1" ref="U90" ca="1">IFERROR(print_SF('EF Table_detail'!W91),"")</f>
        <v>0</v>
      </c>
      <c r="V90" s="219" t="str" cm="1">
        <f t="array" aca="1" ref="V90" ca="1">IFERROR(print_SF('EF Table_detail'!X91),"")</f>
        <v>0</v>
      </c>
      <c r="W90" s="329" t="str" cm="1">
        <f t="array" aca="1" ref="W90" ca="1">IFERROR(print_SF('EF Table_detail'!AB91),"")</f>
        <v>1.00</v>
      </c>
      <c r="X90" s="330" t="str">
        <f t="shared" ca="1" si="2"/>
        <v>kg/kg</v>
      </c>
      <c r="Y90" s="213" t="str" cm="1">
        <f t="array" aca="1" ref="Y90" ca="1">IF(INDIRECT(""&amp;$E90&amp;"!R"&amp;Y$141&amp;"C"&amp;Y$142,FALSE)=0,"",INDIRECT(""&amp;$E90&amp;"!R"&amp;Y$141&amp;"C"&amp;Y$142,FALSE))</f>
        <v/>
      </c>
      <c r="Z90" s="277" t="str" cm="1">
        <f t="array" aca="1" ref="Z90" ca="1">IF(INDIRECT(""&amp;$E90&amp;"!R"&amp;Z$141&amp;"C"&amp;Z$142,FALSE)="Average (weighted)","Yes","No")</f>
        <v>No</v>
      </c>
      <c r="AA90" s="96"/>
    </row>
    <row r="91" spans="2:27" ht="45" customHeight="1" x14ac:dyDescent="0.25">
      <c r="B91" s="276" t="str">
        <f>'EF Table_detail'!A92</f>
        <v>Pavers/tiles</v>
      </c>
      <c r="C91" s="192" t="str">
        <f>'EF Table_detail'!B92</f>
        <v>Pavers Stone</v>
      </c>
      <c r="D91" s="193" t="str">
        <f ca="1">'EF Table_detail'!C92</f>
        <v>Stone tiles (wall and floor) and pavers including porcelain tiles, represented by granite and limestone quarry operations and surface preparation with stabilisation as needed.</v>
      </c>
      <c r="E91" s="192" t="str">
        <f>'EF Table_detail'!D92</f>
        <v>Pavers_Stone</v>
      </c>
      <c r="F91" s="192" t="str">
        <f ca="1">'EF Table_detail'!E92</f>
        <v>tonne</v>
      </c>
      <c r="G91" s="192" t="str">
        <f ca="1">'EF Table_detail'!F92</f>
        <v>Tier 4</v>
      </c>
      <c r="H91" s="194">
        <f ca="1">'EF Table_detail'!G92</f>
        <v>1.2</v>
      </c>
      <c r="I91" s="454" t="str" cm="1">
        <f t="array" aca="1" ref="I91" ca="1">IFERROR(print_SF('EF Table_detail'!L92),"")</f>
        <v>542</v>
      </c>
      <c r="J91" s="222" t="str" cm="1">
        <f t="array" aca="1" ref="J91" ca="1">IFERROR(print_SF('EF Table_detail'!H92),"")</f>
        <v>452</v>
      </c>
      <c r="K91" s="223" t="str" cm="1">
        <f t="array" aca="1" ref="K91" ca="1">IFERROR(print_SF('EF Table_detail'!I92),"")</f>
        <v>75.7</v>
      </c>
      <c r="L91" s="223" t="str" cm="1">
        <f t="array" aca="1" ref="L91" ca="1">IFERROR(print_SF('EF Table_detail'!J92),"")</f>
        <v>256</v>
      </c>
      <c r="M91" s="456" t="str" cm="1">
        <f t="array" aca="1" ref="M91" ca="1">IFERROR(print_SF('EF Table_detail'!Q92),"")</f>
        <v>0.542</v>
      </c>
      <c r="N91" s="218" t="str" cm="1">
        <f t="array" aca="1" ref="N91" ca="1">IFERROR(print_SF('EF Table_detail'!M92),"")</f>
        <v>0.452</v>
      </c>
      <c r="O91" s="219" t="str" cm="1">
        <f t="array" aca="1" ref="O91" ca="1">IFERROR(print_SF('EF Table_detail'!N92),"")</f>
        <v>0.0757</v>
      </c>
      <c r="P91" s="219" t="str" cm="1">
        <f t="array" aca="1" ref="P91" ca="1">IFERROR(print_SF('EF Table_detail'!O92),"")</f>
        <v>0.256</v>
      </c>
      <c r="Q91" s="454" t="str" cm="1">
        <f t="array" aca="1" ref="Q91" ca="1">IFERROR(print_SF('EF Table_detail'!V92),"")</f>
        <v>0</v>
      </c>
      <c r="R91" s="218" t="str" cm="1">
        <f t="array" aca="1" ref="R91" ca="1">IFERROR(print_SF('EF Table_detail'!S92),"")</f>
        <v>0</v>
      </c>
      <c r="S91" s="219" t="str" cm="1">
        <f t="array" aca="1" ref="S91" ca="1">IFERROR(print_SF('EF Table_detail'!T92),"")</f>
        <v>0</v>
      </c>
      <c r="T91" s="456" t="str" cm="1">
        <f t="array" aca="1" ref="T91" ca="1">IFERROR(print_SF('EF Table_detail'!Z92),"")</f>
        <v>0</v>
      </c>
      <c r="U91" s="218" t="str" cm="1">
        <f t="array" aca="1" ref="U91" ca="1">IFERROR(print_SF('EF Table_detail'!W92),"")</f>
        <v>0</v>
      </c>
      <c r="V91" s="219" t="str" cm="1">
        <f t="array" aca="1" ref="V91" ca="1">IFERROR(print_SF('EF Table_detail'!X92),"")</f>
        <v>0</v>
      </c>
      <c r="W91" s="329" t="str" cm="1">
        <f t="array" aca="1" ref="W91" ca="1">IFERROR(print_SF('EF Table_detail'!AB92),"")</f>
        <v>1,000</v>
      </c>
      <c r="X91" s="330" t="str">
        <f t="shared" ca="1" si="2"/>
        <v>kg/tonne</v>
      </c>
      <c r="Y91" s="213" t="str" cm="1">
        <f t="array" aca="1" ref="Y91" ca="1">IF(INDIRECT(""&amp;$E91&amp;"!R"&amp;Y$141&amp;"C"&amp;Y$142,FALSE)=0,"",INDIRECT(""&amp;$E91&amp;"!R"&amp;Y$141&amp;"C"&amp;Y$142,FALSE))</f>
        <v/>
      </c>
      <c r="Z91" s="277" t="str" cm="1">
        <f t="array" aca="1" ref="Z91" ca="1">IF(INDIRECT(""&amp;$E91&amp;"!R"&amp;Z$141&amp;"C"&amp;Z$142,FALSE)="Average (weighted)","Yes","No")</f>
        <v>No</v>
      </c>
      <c r="AA91" s="96"/>
    </row>
    <row r="92" spans="2:27" ht="45" customHeight="1" x14ac:dyDescent="0.25">
      <c r="B92" s="276" t="str">
        <f>'EF Table_detail'!A93</f>
        <v>Lifts</v>
      </c>
      <c r="C92" s="192" t="str">
        <f>'EF Table_detail'!B93</f>
        <v>Lift_High_rise_hospital_shopcentre_Usage Cat_5_6</v>
      </c>
      <c r="D92" s="193" t="str">
        <f ca="1">'EF Table_detail'!C93</f>
        <v>Lift (elevator) classified as category 5 and 6 from ISO 25745. Typically used in high use environments, shopping centres, high-rise commercial.residential (10+ floors). Includes all elements of a lift installation i.e. lift cars, fittings, finishes, drive elements, electronics, guide rails, counterweights, ropes etc.</v>
      </c>
      <c r="E92" s="192" t="str">
        <f>'EF Table_detail'!D93</f>
        <v>Lift_Cat5_6</v>
      </c>
      <c r="F92" s="192" t="str">
        <f ca="1">'EF Table_detail'!E93</f>
        <v>Unit</v>
      </c>
      <c r="G92" s="192" t="str">
        <f ca="1">'EF Table_detail'!F93</f>
        <v>Tier 4</v>
      </c>
      <c r="H92" s="194">
        <f ca="1">'EF Table_detail'!G93</f>
        <v>1.2</v>
      </c>
      <c r="I92" s="454" t="str" cm="1">
        <f t="array" aca="1" ref="I92" ca="1">IFERROR(print_SF('EF Table_detail'!L93),"")</f>
        <v>3.11E+05</v>
      </c>
      <c r="J92" s="222" t="str" cm="1">
        <f t="array" aca="1" ref="J92" ca="1">IFERROR(print_SF('EF Table_detail'!H93),"")</f>
        <v>2.59E+05</v>
      </c>
      <c r="K92" s="223" t="str" cm="1">
        <f t="array" aca="1" ref="K92" ca="1">IFERROR(print_SF('EF Table_detail'!I93),"")</f>
        <v>1.40E+05</v>
      </c>
      <c r="L92" s="223" t="str" cm="1">
        <f t="array" aca="1" ref="L92" ca="1">IFERROR(print_SF('EF Table_detail'!J93),"")</f>
        <v>2.00E+05</v>
      </c>
      <c r="M92" s="456" t="str" cm="1">
        <f t="array" aca="1" ref="M92" ca="1">IFERROR(print_SF('EF Table_detail'!Q93),"")</f>
        <v>6.72</v>
      </c>
      <c r="N92" s="218" t="str" cm="1">
        <f t="array" aca="1" ref="N92" ca="1">IFERROR(print_SF('EF Table_detail'!M93),"")</f>
        <v>5.60</v>
      </c>
      <c r="O92" s="219" t="str" cm="1">
        <f t="array" aca="1" ref="O92" ca="1">IFERROR(print_SF('EF Table_detail'!N93),"")</f>
        <v>2.20</v>
      </c>
      <c r="P92" s="219" t="str" cm="1">
        <f t="array" aca="1" ref="P92" ca="1">IFERROR(print_SF('EF Table_detail'!O93),"")</f>
        <v>3.90</v>
      </c>
      <c r="Q92" s="454" t="str" cm="1">
        <f t="array" aca="1" ref="Q92" ca="1">IFERROR(print_SF('EF Table_detail'!V93),"")</f>
        <v>0</v>
      </c>
      <c r="R92" s="218" t="str" cm="1">
        <f t="array" aca="1" ref="R92" ca="1">IFERROR(print_SF('EF Table_detail'!S93),"")</f>
        <v>0</v>
      </c>
      <c r="S92" s="219" t="str" cm="1">
        <f t="array" aca="1" ref="S92" ca="1">IFERROR(print_SF('EF Table_detail'!T93),"")</f>
        <v>0</v>
      </c>
      <c r="T92" s="456" t="str" cm="1">
        <f t="array" aca="1" ref="T92" ca="1">IFERROR(print_SF('EF Table_detail'!Z93),"")</f>
        <v>0</v>
      </c>
      <c r="U92" s="218" t="str" cm="1">
        <f t="array" aca="1" ref="U92" ca="1">IFERROR(print_SF('EF Table_detail'!W93),"")</f>
        <v>0</v>
      </c>
      <c r="V92" s="219" t="str" cm="1">
        <f t="array" aca="1" ref="V92" ca="1">IFERROR(print_SF('EF Table_detail'!X93),"")</f>
        <v>0</v>
      </c>
      <c r="W92" s="329" t="str" cm="1">
        <f t="array" aca="1" ref="W92" ca="1">IFERROR(print_SF('EF Table_detail'!AB93),"")</f>
        <v>51,300</v>
      </c>
      <c r="X92" s="330" t="str">
        <f t="shared" ca="1" si="2"/>
        <v>kg/Unit</v>
      </c>
      <c r="Y92" s="213" t="str" cm="1">
        <f t="array" aca="1" ref="Y92" ca="1">IF(INDIRECT(""&amp;$E92&amp;"!R"&amp;Y$141&amp;"C"&amp;Y$142,FALSE)=0,"",INDIRECT(""&amp;$E92&amp;"!R"&amp;Y$141&amp;"C"&amp;Y$142,FALSE))</f>
        <v/>
      </c>
      <c r="Z92" s="277" t="str" cm="1">
        <f t="array" aca="1" ref="Z92" ca="1">IF(INDIRECT(""&amp;$E92&amp;"!R"&amp;Z$141&amp;"C"&amp;Z$142,FALSE)="Average (weighted)","Yes","No")</f>
        <v>No</v>
      </c>
      <c r="AA92" s="96"/>
    </row>
    <row r="93" spans="2:27" ht="45" customHeight="1" x14ac:dyDescent="0.25">
      <c r="B93" s="276" t="str">
        <f>'EF Table_detail'!A94</f>
        <v>Lifts</v>
      </c>
      <c r="C93" s="192" t="str">
        <f>'EF Table_detail'!B94</f>
        <v>Lift_Residential_commercial_less7500sqm_Usage Cat_3_4</v>
      </c>
      <c r="D93" s="193" t="str">
        <f ca="1">'EF Table_detail'!C94</f>
        <v>Lift (elevator) classified as category 3 and 4 from ISO 25745. Typically used in medium rise (4-10 floor). Includes all elements of a lift installation i.e. lift cars, fittings, finishes, drive elements, electronics, guide rails, counterweights, ropes etc.</v>
      </c>
      <c r="E93" s="192" t="str">
        <f>'EF Table_detail'!D94</f>
        <v>Lift_Cat3_4</v>
      </c>
      <c r="F93" s="192" t="str">
        <f ca="1">'EF Table_detail'!E94</f>
        <v>Unit</v>
      </c>
      <c r="G93" s="192" t="str">
        <f ca="1">'EF Table_detail'!F94</f>
        <v>Tier 4</v>
      </c>
      <c r="H93" s="194">
        <f ca="1">'EF Table_detail'!G94</f>
        <v>1.2</v>
      </c>
      <c r="I93" s="454" t="str" cm="1">
        <f t="array" aca="1" ref="I93" ca="1">IFERROR(print_SF('EF Table_detail'!L94),"")</f>
        <v>1.41E+05</v>
      </c>
      <c r="J93" s="222" t="str" cm="1">
        <f t="array" aca="1" ref="J93" ca="1">IFERROR(print_SF('EF Table_detail'!H94),"")</f>
        <v>1.17E+05</v>
      </c>
      <c r="K93" s="223" t="str" cm="1">
        <f t="array" aca="1" ref="K93" ca="1">IFERROR(print_SF('EF Table_detail'!I94),"")</f>
        <v>4,490</v>
      </c>
      <c r="L93" s="223" t="str" cm="1">
        <f t="array" aca="1" ref="L93" ca="1">IFERROR(print_SF('EF Table_detail'!J94),"")</f>
        <v>47,300</v>
      </c>
      <c r="M93" s="456" t="str" cm="1">
        <f t="array" aca="1" ref="M93" ca="1">IFERROR(print_SF('EF Table_detail'!Q94),"")</f>
        <v>6.03</v>
      </c>
      <c r="N93" s="218" t="str" cm="1">
        <f t="array" aca="1" ref="N93" ca="1">IFERROR(print_SF('EF Table_detail'!M94),"")</f>
        <v>5.02</v>
      </c>
      <c r="O93" s="219" t="str" cm="1">
        <f t="array" aca="1" ref="O93" ca="1">IFERROR(print_SF('EF Table_detail'!N94),"")</f>
        <v>1.92</v>
      </c>
      <c r="P93" s="219" t="str" cm="1">
        <f t="array" aca="1" ref="P93" ca="1">IFERROR(print_SF('EF Table_detail'!O94),"")</f>
        <v>3.04</v>
      </c>
      <c r="Q93" s="454" t="str" cm="1">
        <f t="array" aca="1" ref="Q93" ca="1">IFERROR(print_SF('EF Table_detail'!V94),"")</f>
        <v>0</v>
      </c>
      <c r="R93" s="218" t="str" cm="1">
        <f t="array" aca="1" ref="R93" ca="1">IFERROR(print_SF('EF Table_detail'!S94),"")</f>
        <v>0</v>
      </c>
      <c r="S93" s="219" t="str" cm="1">
        <f t="array" aca="1" ref="S93" ca="1">IFERROR(print_SF('EF Table_detail'!T94),"")</f>
        <v>0</v>
      </c>
      <c r="T93" s="456" t="str" cm="1">
        <f t="array" aca="1" ref="T93" ca="1">IFERROR(print_SF('EF Table_detail'!Z94),"")</f>
        <v>0</v>
      </c>
      <c r="U93" s="218" t="str" cm="1">
        <f t="array" aca="1" ref="U93" ca="1">IFERROR(print_SF('EF Table_detail'!W94),"")</f>
        <v>0</v>
      </c>
      <c r="V93" s="219" t="str" cm="1">
        <f t="array" aca="1" ref="V93" ca="1">IFERROR(print_SF('EF Table_detail'!X94),"")</f>
        <v>0</v>
      </c>
      <c r="W93" s="329" t="str" cm="1">
        <f t="array" aca="1" ref="W93" ca="1">IFERROR(print_SF('EF Table_detail'!AB94),"")</f>
        <v>15,500</v>
      </c>
      <c r="X93" s="330" t="str">
        <f t="shared" ca="1" si="2"/>
        <v>kg/Unit</v>
      </c>
      <c r="Y93" s="213" t="str" cm="1">
        <f t="array" aca="1" ref="Y93" ca="1">IF(INDIRECT(""&amp;$E93&amp;"!R"&amp;Y$141&amp;"C"&amp;Y$142,FALSE)=0,"",INDIRECT(""&amp;$E93&amp;"!R"&amp;Y$141&amp;"C"&amp;Y$142,FALSE))</f>
        <v/>
      </c>
      <c r="Z93" s="277" t="str" cm="1">
        <f t="array" aca="1" ref="Z93" ca="1">IF(INDIRECT(""&amp;$E93&amp;"!R"&amp;Z$141&amp;"C"&amp;Z$142,FALSE)="Average (weighted)","Yes","No")</f>
        <v>No</v>
      </c>
      <c r="AA93" s="96"/>
    </row>
    <row r="94" spans="2:27" ht="45" customHeight="1" x14ac:dyDescent="0.25">
      <c r="B94" s="276" t="str">
        <f>'EF Table_detail'!A95</f>
        <v>Lifts</v>
      </c>
      <c r="C94" s="192" t="str">
        <f>'EF Table_detail'!B95</f>
        <v>Lift_warehouse_residential_commercial_less7500sqm_Usage Cat_1_2</v>
      </c>
      <c r="D94" s="193" t="str">
        <f ca="1">'EF Table_detail'!C95</f>
        <v>Lift (elevator) classified as category 1 and 2 from ISO 25745. Typically used in low rise (less 4 floors) building. Includes all elements of a lift installation i.e. lift cars, fittings, finishes, drive elements, electronics, guide rails, counterweights, ropes etc.</v>
      </c>
      <c r="E94" s="192" t="str">
        <f>'EF Table_detail'!D95</f>
        <v>Lift_Cat1_2</v>
      </c>
      <c r="F94" s="192" t="str">
        <f ca="1">'EF Table_detail'!E95</f>
        <v>Unit</v>
      </c>
      <c r="G94" s="192" t="str">
        <f ca="1">'EF Table_detail'!F95</f>
        <v>Tier 4</v>
      </c>
      <c r="H94" s="194">
        <f ca="1">'EF Table_detail'!G95</f>
        <v>1.2</v>
      </c>
      <c r="I94" s="454" t="str" cm="1">
        <f t="array" aca="1" ref="I94" ca="1">IFERROR(print_SF('EF Table_detail'!L95),"")</f>
        <v>34,600</v>
      </c>
      <c r="J94" s="222" t="str" cm="1">
        <f t="array" aca="1" ref="J94" ca="1">IFERROR(print_SF('EF Table_detail'!H95),"")</f>
        <v>28,800</v>
      </c>
      <c r="K94" s="223" t="str" cm="1">
        <f t="array" aca="1" ref="K94" ca="1">IFERROR(print_SF('EF Table_detail'!I95),"")</f>
        <v>4,500</v>
      </c>
      <c r="L94" s="223" t="str" cm="1">
        <f t="array" aca="1" ref="L94" ca="1">IFERROR(print_SF('EF Table_detail'!J95),"")</f>
        <v>14,200</v>
      </c>
      <c r="M94" s="456" t="str" cm="1">
        <f t="array" aca="1" ref="M94" ca="1">IFERROR(print_SF('EF Table_detail'!Q95),"")</f>
        <v>4.67</v>
      </c>
      <c r="N94" s="218" t="str" cm="1">
        <f t="array" aca="1" ref="N94" ca="1">IFERROR(print_SF('EF Table_detail'!M95),"")</f>
        <v>3.89</v>
      </c>
      <c r="O94" s="219" t="str" cm="1">
        <f t="array" aca="1" ref="O94" ca="1">IFERROR(print_SF('EF Table_detail'!N95),"")</f>
        <v>1.93</v>
      </c>
      <c r="P94" s="219" t="str" cm="1">
        <f t="array" aca="1" ref="P94" ca="1">IFERROR(print_SF('EF Table_detail'!O95),"")</f>
        <v>2.99</v>
      </c>
      <c r="Q94" s="454" t="str" cm="1">
        <f t="array" aca="1" ref="Q94" ca="1">IFERROR(print_SF('EF Table_detail'!V95),"")</f>
        <v>0</v>
      </c>
      <c r="R94" s="218" t="str" cm="1">
        <f t="array" aca="1" ref="R94" ca="1">IFERROR(print_SF('EF Table_detail'!S95),"")</f>
        <v>0</v>
      </c>
      <c r="S94" s="219" t="str" cm="1">
        <f t="array" aca="1" ref="S94" ca="1">IFERROR(print_SF('EF Table_detail'!T95),"")</f>
        <v>0</v>
      </c>
      <c r="T94" s="456" t="str" cm="1">
        <f t="array" aca="1" ref="T94" ca="1">IFERROR(print_SF('EF Table_detail'!Z95),"")</f>
        <v>0</v>
      </c>
      <c r="U94" s="218" t="str" cm="1">
        <f t="array" aca="1" ref="U94" ca="1">IFERROR(print_SF('EF Table_detail'!W95),"")</f>
        <v>0</v>
      </c>
      <c r="V94" s="219" t="str" cm="1">
        <f t="array" aca="1" ref="V94" ca="1">IFERROR(print_SF('EF Table_detail'!X95),"")</f>
        <v>0</v>
      </c>
      <c r="W94" s="329" t="str" cm="1">
        <f t="array" aca="1" ref="W94" ca="1">IFERROR(print_SF('EF Table_detail'!AB95),"")</f>
        <v>4,740</v>
      </c>
      <c r="X94" s="330" t="str">
        <f t="shared" ca="1" si="2"/>
        <v>kg/Unit</v>
      </c>
      <c r="Y94" s="213" t="str" cm="1">
        <f t="array" aca="1" ref="Y94" ca="1">IF(INDIRECT(""&amp;$E94&amp;"!R"&amp;Y$141&amp;"C"&amp;Y$142,FALSE)=0,"",INDIRECT(""&amp;$E94&amp;"!R"&amp;Y$141&amp;"C"&amp;Y$142,FALSE))</f>
        <v/>
      </c>
      <c r="Z94" s="277" t="str" cm="1">
        <f t="array" aca="1" ref="Z94" ca="1">IF(INDIRECT(""&amp;$E94&amp;"!R"&amp;Z$141&amp;"C"&amp;Z$142,FALSE)="Average (weighted)","Yes","No")</f>
        <v>No</v>
      </c>
      <c r="AA94" s="96"/>
    </row>
    <row r="95" spans="2:27" ht="45" customHeight="1" x14ac:dyDescent="0.25">
      <c r="B95" s="276" t="str">
        <f>'EF Table_detail'!A96</f>
        <v>Escalator</v>
      </c>
      <c r="C95" s="192" t="str">
        <f>'EF Table_detail'!B96</f>
        <v>Escalator</v>
      </c>
      <c r="D95" s="193" t="str">
        <f ca="1">'EF Table_detail'!C96</f>
        <v xml:space="preserve">Escalator/travelator. Including all componentry (i.e. truss, stairs, rails and balustrade, drive train etc. </v>
      </c>
      <c r="E95" s="192" t="str">
        <f>'EF Table_detail'!D96</f>
        <v>Escalator</v>
      </c>
      <c r="F95" s="192" t="str">
        <f ca="1">'EF Table_detail'!E96</f>
        <v>Unit</v>
      </c>
      <c r="G95" s="192" t="str">
        <f ca="1">'EF Table_detail'!F96</f>
        <v>Tier 4</v>
      </c>
      <c r="H95" s="194">
        <f ca="1">'EF Table_detail'!G96</f>
        <v>1.2</v>
      </c>
      <c r="I95" s="454" t="str" cm="1">
        <f t="array" aca="1" ref="I95" ca="1">IFERROR(print_SF('EF Table_detail'!L96),"")</f>
        <v>1.42E+05</v>
      </c>
      <c r="J95" s="222" t="str" cm="1">
        <f t="array" aca="1" ref="J95" ca="1">IFERROR(print_SF('EF Table_detail'!H96),"")</f>
        <v>1.18E+05</v>
      </c>
      <c r="K95" s="223" t="str" cm="1">
        <f t="array" aca="1" ref="K95" ca="1">IFERROR(print_SF('EF Table_detail'!I96),"")</f>
        <v>20,300</v>
      </c>
      <c r="L95" s="223" t="str" cm="1">
        <f t="array" aca="1" ref="L95" ca="1">IFERROR(print_SF('EF Table_detail'!J96),"")</f>
        <v>50,500</v>
      </c>
      <c r="M95" s="456" t="str" cm="1">
        <f t="array" aca="1" ref="M95" ca="1">IFERROR(print_SF('EF Table_detail'!Q96),"")</f>
        <v>0</v>
      </c>
      <c r="N95" s="218" t="str" cm="1">
        <f t="array" aca="1" ref="N95" ca="1">IFERROR(print_SF('EF Table_detail'!M96),"")</f>
        <v>0</v>
      </c>
      <c r="O95" s="219" t="str" cm="1">
        <f t="array" aca="1" ref="O95" ca="1">IFERROR(print_SF('EF Table_detail'!N96),"")</f>
        <v>0</v>
      </c>
      <c r="P95" s="219" t="str" cm="1">
        <f t="array" aca="1" ref="P95" ca="1">IFERROR(print_SF('EF Table_detail'!O96),"")</f>
        <v>0</v>
      </c>
      <c r="Q95" s="454" t="str" cm="1">
        <f t="array" aca="1" ref="Q95" ca="1">IFERROR(print_SF('EF Table_detail'!V96),"")</f>
        <v>0</v>
      </c>
      <c r="R95" s="218" t="str" cm="1">
        <f t="array" aca="1" ref="R95" ca="1">IFERROR(print_SF('EF Table_detail'!S96),"")</f>
        <v>0</v>
      </c>
      <c r="S95" s="219" t="str" cm="1">
        <f t="array" aca="1" ref="S95" ca="1">IFERROR(print_SF('EF Table_detail'!T96),"")</f>
        <v>0</v>
      </c>
      <c r="T95" s="456" t="str" cm="1">
        <f t="array" aca="1" ref="T95" ca="1">IFERROR(print_SF('EF Table_detail'!Z96),"")</f>
        <v>0</v>
      </c>
      <c r="U95" s="218" t="str" cm="1">
        <f t="array" aca="1" ref="U95" ca="1">IFERROR(print_SF('EF Table_detail'!W96),"")</f>
        <v>0</v>
      </c>
      <c r="V95" s="219" t="str" cm="1">
        <f t="array" aca="1" ref="V95" ca="1">IFERROR(print_SF('EF Table_detail'!X96),"")</f>
        <v>0</v>
      </c>
      <c r="W95" s="329" t="str" cm="1">
        <f t="array" aca="1" ref="W95" ca="1">IFERROR(print_SF('EF Table_detail'!AB96),"")</f>
        <v/>
      </c>
      <c r="X95" s="330"/>
      <c r="Y95" s="213" t="str" cm="1">
        <f t="array" aca="1" ref="Y95" ca="1">IF(INDIRECT(""&amp;$E95&amp;"!R"&amp;Y$141&amp;"C"&amp;Y$142,FALSE)=0,"",INDIRECT(""&amp;$E95&amp;"!R"&amp;Y$141&amp;"C"&amp;Y$142,FALSE))</f>
        <v/>
      </c>
      <c r="Z95" s="277" t="str" cm="1">
        <f t="array" aca="1" ref="Z95" ca="1">IF(INDIRECT(""&amp;$E95&amp;"!R"&amp;Z$141&amp;"C"&amp;Z$142,FALSE)="Average (weighted)","Yes","No")</f>
        <v>No</v>
      </c>
      <c r="AA95" s="96"/>
    </row>
    <row r="96" spans="2:27" ht="45" customHeight="1" x14ac:dyDescent="0.25">
      <c r="B96" s="276" t="str">
        <f>'EF Table_detail'!A97</f>
        <v>Asphalt</v>
      </c>
      <c r="C96" s="192" t="str">
        <f>'EF Table_detail'!B97</f>
        <v>Asphalt</v>
      </c>
      <c r="D96" s="193" t="str">
        <f ca="1">'EF Table_detail'!C97</f>
        <v>Any asphalt mix</v>
      </c>
      <c r="E96" s="192" t="str">
        <f>'EF Table_detail'!D97</f>
        <v>Asphalt</v>
      </c>
      <c r="F96" s="192" t="str">
        <f ca="1">'EF Table_detail'!E97</f>
        <v>tonne</v>
      </c>
      <c r="G96" s="192" t="str">
        <f ca="1">'EF Table_detail'!F97</f>
        <v>Tier 2</v>
      </c>
      <c r="H96" s="194">
        <f ca="1">'EF Table_detail'!G97</f>
        <v>1.05</v>
      </c>
      <c r="I96" s="454" t="str" cm="1">
        <f t="array" aca="1" ref="I96" ca="1">IFERROR(print_SF('EF Table_detail'!L97),"")</f>
        <v>141</v>
      </c>
      <c r="J96" s="222" t="str" cm="1">
        <f t="array" aca="1" ref="J96" ca="1">IFERROR(print_SF('EF Table_detail'!H97),"")</f>
        <v>134</v>
      </c>
      <c r="K96" s="223" t="str" cm="1">
        <f t="array" aca="1" ref="K96" ca="1">IFERROR(print_SF('EF Table_detail'!I97),"")</f>
        <v>11.3</v>
      </c>
      <c r="L96" s="225" t="str" cm="1">
        <f t="array" aca="1" ref="L96" ca="1">IFERROR(print_SF('EF Table_detail'!J97),"")</f>
        <v>72.4</v>
      </c>
      <c r="M96" s="456" t="str" cm="1">
        <f t="array" aca="1" ref="M96" ca="1">IFERROR(print_SF('EF Table_detail'!Q97),"")</f>
        <v>0.141</v>
      </c>
      <c r="N96" s="218" t="str" cm="1">
        <f t="array" aca="1" ref="N96" ca="1">IFERROR(print_SF('EF Table_detail'!M97),"")</f>
        <v>0.134</v>
      </c>
      <c r="O96" s="219" t="str" cm="1">
        <f t="array" aca="1" ref="O96" ca="1">IFERROR(print_SF('EF Table_detail'!N97),"")</f>
        <v>0.0113</v>
      </c>
      <c r="P96" s="219" t="str" cm="1">
        <f t="array" aca="1" ref="P96" ca="1">IFERROR(print_SF('EF Table_detail'!O97),"")</f>
        <v>0.0724</v>
      </c>
      <c r="Q96" s="454" t="str" cm="1">
        <f t="array" aca="1" ref="Q96" ca="1">IFERROR(print_SF('EF Table_detail'!V97),"")</f>
        <v>0</v>
      </c>
      <c r="R96" s="218" t="str" cm="1">
        <f t="array" aca="1" ref="R96" ca="1">IFERROR(print_SF('EF Table_detail'!S97),"")</f>
        <v>0</v>
      </c>
      <c r="S96" s="219" t="str" cm="1">
        <f t="array" aca="1" ref="S96" ca="1">IFERROR(print_SF('EF Table_detail'!T97),"")</f>
        <v>0</v>
      </c>
      <c r="T96" s="456" t="str" cm="1">
        <f t="array" aca="1" ref="T96" ca="1">IFERROR(print_SF('EF Table_detail'!Z97),"")</f>
        <v>0</v>
      </c>
      <c r="U96" s="218" t="str" cm="1">
        <f t="array" aca="1" ref="U96" ca="1">IFERROR(print_SF('EF Table_detail'!W97),"")</f>
        <v>0</v>
      </c>
      <c r="V96" s="219" t="str" cm="1">
        <f t="array" aca="1" ref="V96" ca="1">IFERROR(print_SF('EF Table_detail'!X97),"")</f>
        <v>0</v>
      </c>
      <c r="W96" s="329" t="str" cm="1">
        <f t="array" aca="1" ref="W96" ca="1">IFERROR(print_SF('EF Table_detail'!AB97),"")</f>
        <v>1,000</v>
      </c>
      <c r="X96" s="330" t="str">
        <f t="shared" ref="X96:X103" ca="1" si="3">"kg/"&amp;F96</f>
        <v>kg/tonne</v>
      </c>
      <c r="Y96" s="213" t="str" cm="1">
        <f t="array" aca="1" ref="Y96" ca="1">IF(INDIRECT(""&amp;$E96&amp;"!R"&amp;Y$141&amp;"C"&amp;Y$142,FALSE)=0,"",INDIRECT(""&amp;$E96&amp;"!R"&amp;Y$141&amp;"C"&amp;Y$142,FALSE))</f>
        <v/>
      </c>
      <c r="Z96" s="277" t="str" cm="1">
        <f t="array" aca="1" ref="Z96" ca="1">IF(INDIRECT(""&amp;$E96&amp;"!R"&amp;Z$141&amp;"C"&amp;Z$142,FALSE)="Average (weighted)","Yes","No")</f>
        <v>No</v>
      </c>
      <c r="AA96" s="96"/>
    </row>
    <row r="97" spans="2:27" ht="45" customHeight="1" x14ac:dyDescent="0.25">
      <c r="B97" s="276" t="str">
        <f>'EF Table_detail'!A98</f>
        <v>Concrete in-situ</v>
      </c>
      <c r="C97" s="192" t="str">
        <f>'EF Table_detail'!B98</f>
        <v>Kerb</v>
      </c>
      <c r="D97" s="193" t="str">
        <f ca="1">'EF Table_detail'!C98</f>
        <v>Any concrete mix with a strength rating of 32 MPa or lower and greater than 25 MPa</v>
      </c>
      <c r="E97" s="192" t="str">
        <f>'EF Table_detail'!D98</f>
        <v>Concrete_32MPa</v>
      </c>
      <c r="F97" s="192" t="str">
        <f ca="1">'EF Table_detail'!E98</f>
        <v>m³</v>
      </c>
      <c r="G97" s="192" t="str">
        <f ca="1">'EF Table_detail'!F98</f>
        <v>Tier 1</v>
      </c>
      <c r="H97" s="194">
        <f ca="1">'EF Table_detail'!G98</f>
        <v>1.02</v>
      </c>
      <c r="I97" s="454" t="str" cm="1">
        <f t="array" aca="1" ref="I97" ca="1">IFERROR(print_SF('EF Table_detail'!L98),"")</f>
        <v>468</v>
      </c>
      <c r="J97" s="222" t="str" cm="1">
        <f t="array" aca="1" ref="J97" ca="1">IFERROR(print_SF('EF Table_detail'!H98),"")</f>
        <v>459</v>
      </c>
      <c r="K97" s="223" t="str" cm="1">
        <f t="array" aca="1" ref="K97" ca="1">IFERROR(print_SF('EF Table_detail'!I98),"")</f>
        <v>167</v>
      </c>
      <c r="L97" s="223" t="str" cm="1">
        <f t="array" aca="1" ref="L97" ca="1">IFERROR(print_SF('EF Table_detail'!J98),"")</f>
        <v>249</v>
      </c>
      <c r="M97" s="456" t="str" cm="1">
        <f t="array" aca="1" ref="M97" ca="1">IFERROR(print_SF('EF Table_detail'!Q98),"")</f>
        <v>0.195</v>
      </c>
      <c r="N97" s="218" t="str" cm="1">
        <f t="array" aca="1" ref="N97" ca="1">IFERROR(print_SF('EF Table_detail'!M98),"")</f>
        <v>0.191</v>
      </c>
      <c r="O97" s="219" t="str" cm="1">
        <f t="array" aca="1" ref="O97" ca="1">IFERROR(print_SF('EF Table_detail'!N98),"")</f>
        <v>0.0696</v>
      </c>
      <c r="P97" s="219" t="str" cm="1">
        <f t="array" aca="1" ref="P97" ca="1">IFERROR(print_SF('EF Table_detail'!O98),"")</f>
        <v>0.104</v>
      </c>
      <c r="Q97" s="454" t="str" cm="1">
        <f t="array" aca="1" ref="Q97" ca="1">IFERROR(print_SF('EF Table_detail'!V98),"")</f>
        <v>0</v>
      </c>
      <c r="R97" s="218" t="str" cm="1">
        <f t="array" aca="1" ref="R97" ca="1">IFERROR(print_SF('EF Table_detail'!S98),"")</f>
        <v>0</v>
      </c>
      <c r="S97" s="219" t="str" cm="1">
        <f t="array" aca="1" ref="S97" ca="1">IFERROR(print_SF('EF Table_detail'!T98),"")</f>
        <v>0</v>
      </c>
      <c r="T97" s="456" t="str" cm="1">
        <f t="array" aca="1" ref="T97" ca="1">IFERROR(print_SF('EF Table_detail'!Z98),"")</f>
        <v>0</v>
      </c>
      <c r="U97" s="218" t="str" cm="1">
        <f t="array" aca="1" ref="U97" ca="1">IFERROR(print_SF('EF Table_detail'!W98),"")</f>
        <v>0</v>
      </c>
      <c r="V97" s="219" t="str" cm="1">
        <f t="array" aca="1" ref="V97" ca="1">IFERROR(print_SF('EF Table_detail'!X98),"")</f>
        <v>0</v>
      </c>
      <c r="W97" s="329" t="str" cm="1">
        <f t="array" aca="1" ref="W97" ca="1">IFERROR(print_SF('EF Table_detail'!AB98),"")</f>
        <v>2,400</v>
      </c>
      <c r="X97" s="330" t="str">
        <f t="shared" ca="1" si="3"/>
        <v>kg/m³</v>
      </c>
      <c r="Y97" s="213" t="str" cm="1">
        <f t="array" aca="1" ref="Y97" ca="1">IF(INDIRECT(""&amp;$E97&amp;"!R"&amp;Y$141&amp;"C"&amp;Y$142,FALSE)=0,"",INDIRECT(""&amp;$E97&amp;"!R"&amp;Y$141&amp;"C"&amp;Y$142,FALSE))</f>
        <v xml:space="preserve">The material category is based on the strength of concrete.  Concrete mixes from all states and territories and with or without supplementary cementious materials are included in this dataset.  This provides a conservative default value for the material category. Promoting the use of specific published EFs based on the concrete product used. </v>
      </c>
      <c r="Z97" s="277" t="str" cm="1">
        <f t="array" aca="1" ref="Z97" ca="1">IF(INDIRECT(""&amp;$E97&amp;"!R"&amp;Z$141&amp;"C"&amp;Z$142,FALSE)="Average (weighted)","Yes","No")</f>
        <v>No</v>
      </c>
      <c r="AA97" s="96"/>
    </row>
    <row r="98" spans="2:27" ht="45" customHeight="1" x14ac:dyDescent="0.25">
      <c r="B98" s="276" t="str">
        <f>'EF Table_detail'!A99</f>
        <v>Floors</v>
      </c>
      <c r="C98" s="192" t="str">
        <f>'EF Table_detail'!B99</f>
        <v>Access flooring</v>
      </c>
      <c r="D98" s="193" t="str">
        <f ca="1">'EF Table_detail'!C99</f>
        <v>Access floor (raised floor) including pedestal, base, componentry. Excluding finish top layer.</v>
      </c>
      <c r="E98" s="192" t="str">
        <f>'EF Table_detail'!D99</f>
        <v>Access_floor</v>
      </c>
      <c r="F98" s="192" t="str">
        <f ca="1">'EF Table_detail'!E99</f>
        <v>m²</v>
      </c>
      <c r="G98" s="192" t="str">
        <f ca="1">'EF Table_detail'!F99</f>
        <v>Tier 3</v>
      </c>
      <c r="H98" s="194">
        <f ca="1">'EF Table_detail'!G99</f>
        <v>1.1000000000000001</v>
      </c>
      <c r="I98" s="454" t="str" cm="1">
        <f t="array" aca="1" ref="I98" ca="1">IFERROR(print_SF('EF Table_detail'!L99),"")</f>
        <v>83.6</v>
      </c>
      <c r="J98" s="224" t="str" cm="1">
        <f t="array" aca="1" ref="J98" ca="1">IFERROR(print_SF('EF Table_detail'!H99),"")</f>
        <v>76.0</v>
      </c>
      <c r="K98" s="225" t="str" cm="1">
        <f t="array" aca="1" ref="K98" ca="1">IFERROR(print_SF('EF Table_detail'!I99),"")</f>
        <v>19.0</v>
      </c>
      <c r="L98" s="225" t="str" cm="1">
        <f t="array" aca="1" ref="L98" ca="1">IFERROR(print_SF('EF Table_detail'!J99),"")</f>
        <v>38.4</v>
      </c>
      <c r="M98" s="456" t="str" cm="1">
        <f t="array" aca="1" ref="M98" ca="1">IFERROR(print_SF('EF Table_detail'!Q99),"")</f>
        <v>1.42</v>
      </c>
      <c r="N98" s="218" t="str" cm="1">
        <f t="array" aca="1" ref="N98" ca="1">IFERROR(print_SF('EF Table_detail'!M99),"")</f>
        <v>1.29</v>
      </c>
      <c r="O98" s="219" t="str" cm="1">
        <f t="array" aca="1" ref="O98" ca="1">IFERROR(print_SF('EF Table_detail'!N99),"")</f>
        <v>0.306</v>
      </c>
      <c r="P98" s="219" t="str" cm="1">
        <f t="array" aca="1" ref="P98" ca="1">IFERROR(print_SF('EF Table_detail'!O99),"")</f>
        <v>0.822</v>
      </c>
      <c r="Q98" s="454" t="str" cm="1">
        <f t="array" aca="1" ref="Q98" ca="1">IFERROR(print_SF('EF Table_detail'!V99),"")</f>
        <v>0</v>
      </c>
      <c r="R98" s="218" t="str" cm="1">
        <f t="array" aca="1" ref="R98" ca="1">IFERROR(print_SF('EF Table_detail'!S99),"")</f>
        <v>0</v>
      </c>
      <c r="S98" s="219" t="str" cm="1">
        <f t="array" aca="1" ref="S98" ca="1">IFERROR(print_SF('EF Table_detail'!T99),"")</f>
        <v>0</v>
      </c>
      <c r="T98" s="456" t="str" cm="1">
        <f t="array" aca="1" ref="T98" ca="1">IFERROR(print_SF('EF Table_detail'!Z99),"")</f>
        <v>0</v>
      </c>
      <c r="U98" s="218" t="str" cm="1">
        <f t="array" aca="1" ref="U98" ca="1">IFERROR(print_SF('EF Table_detail'!W99),"")</f>
        <v>0</v>
      </c>
      <c r="V98" s="219" t="str" cm="1">
        <f t="array" aca="1" ref="V98" ca="1">IFERROR(print_SF('EF Table_detail'!X99),"")</f>
        <v>0</v>
      </c>
      <c r="W98" s="329" t="str" cm="1">
        <f t="array" aca="1" ref="W98" ca="1">IFERROR(print_SF('EF Table_detail'!AB99),"")</f>
        <v>46.7</v>
      </c>
      <c r="X98" s="330" t="str">
        <f t="shared" ca="1" si="3"/>
        <v>kg/m²</v>
      </c>
      <c r="Y98" s="213" t="str" cm="1">
        <f t="array" aca="1" ref="Y98" ca="1">IF(INDIRECT(""&amp;$E98&amp;"!R"&amp;Y$141&amp;"C"&amp;Y$142,FALSE)=0,"",INDIRECT(""&amp;$E98&amp;"!R"&amp;Y$141&amp;"C"&amp;Y$142,FALSE))</f>
        <v xml:space="preserve">Recommended to use kg CO2e/kg EF when thickness and mass is known. </v>
      </c>
      <c r="Z98" s="277" t="str" cm="1">
        <f t="array" aca="1" ref="Z98" ca="1">IF(INDIRECT(""&amp;$E98&amp;"!R"&amp;Z$141&amp;"C"&amp;Z$142,FALSE)="Average (weighted)","Yes","No")</f>
        <v>No</v>
      </c>
      <c r="AA98" s="96"/>
    </row>
    <row r="99" spans="2:27" ht="45" customHeight="1" x14ac:dyDescent="0.25">
      <c r="B99" s="276" t="str">
        <f>'EF Table_detail'!A100</f>
        <v>Floors</v>
      </c>
      <c r="C99" s="192" t="str">
        <f>'EF Table_detail'!B100</f>
        <v>Carpet flooring</v>
      </c>
      <c r="D99" s="193" t="str">
        <f ca="1">'EF Table_detail'!C100</f>
        <v>Carpet for flooring inc. carpet tiles.</v>
      </c>
      <c r="E99" s="192" t="str">
        <f>'EF Table_detail'!D100</f>
        <v>Carpet_flooring</v>
      </c>
      <c r="F99" s="192" t="str">
        <f ca="1">'EF Table_detail'!E100</f>
        <v>m²</v>
      </c>
      <c r="G99" s="192" t="str">
        <f ca="1">'EF Table_detail'!F100</f>
        <v>Tier 4</v>
      </c>
      <c r="H99" s="194">
        <f ca="1">'EF Table_detail'!G100</f>
        <v>1.2</v>
      </c>
      <c r="I99" s="454" t="str" cm="1">
        <f t="array" aca="1" ref="I99" ca="1">IFERROR(print_SF('EF Table_detail'!L100),"")</f>
        <v>34.2</v>
      </c>
      <c r="J99" s="224" t="str" cm="1">
        <f t="array" aca="1" ref="J99" ca="1">IFERROR(print_SF('EF Table_detail'!H100),"")</f>
        <v>28.5</v>
      </c>
      <c r="K99" s="225" t="str" cm="1">
        <f t="array" aca="1" ref="K99" ca="1">IFERROR(print_SF('EF Table_detail'!I100),"")</f>
        <v>8.53</v>
      </c>
      <c r="L99" s="225" t="str" cm="1">
        <f t="array" aca="1" ref="L99" ca="1">IFERROR(print_SF('EF Table_detail'!J100),"")</f>
        <v>15.7</v>
      </c>
      <c r="M99" s="456" t="str" cm="1">
        <f t="array" aca="1" ref="M99" ca="1">IFERROR(print_SF('EF Table_detail'!Q100),"")</f>
        <v>13.3</v>
      </c>
      <c r="N99" s="222" t="str" cm="1">
        <f t="array" aca="1" ref="N99" ca="1">IFERROR(print_SF('EF Table_detail'!M100),"")</f>
        <v>11.1</v>
      </c>
      <c r="O99" s="223" t="str" cm="1">
        <f t="array" aca="1" ref="O99" ca="1">IFERROR(print_SF('EF Table_detail'!N100),"")</f>
        <v>2.26</v>
      </c>
      <c r="P99" s="219" t="str" cm="1">
        <f t="array" aca="1" ref="P99" ca="1">IFERROR(print_SF('EF Table_detail'!O100),"")</f>
        <v>4.90</v>
      </c>
      <c r="Q99" s="454" t="str" cm="1">
        <f t="array" aca="1" ref="Q99" ca="1">IFERROR(print_SF('EF Table_detail'!V100),"")</f>
        <v>0</v>
      </c>
      <c r="R99" s="218" t="str" cm="1">
        <f t="array" aca="1" ref="R99" ca="1">IFERROR(print_SF('EF Table_detail'!S100),"")</f>
        <v>0</v>
      </c>
      <c r="S99" s="219" t="str" cm="1">
        <f t="array" aca="1" ref="S99" ca="1">IFERROR(print_SF('EF Table_detail'!T100),"")</f>
        <v>0</v>
      </c>
      <c r="T99" s="456" t="str" cm="1">
        <f t="array" aca="1" ref="T99" ca="1">IFERROR(print_SF('EF Table_detail'!Z100),"")</f>
        <v>0</v>
      </c>
      <c r="U99" s="218" t="str" cm="1">
        <f t="array" aca="1" ref="U99" ca="1">IFERROR(print_SF('EF Table_detail'!W100),"")</f>
        <v>0</v>
      </c>
      <c r="V99" s="219" t="str" cm="1">
        <f t="array" aca="1" ref="V99" ca="1">IFERROR(print_SF('EF Table_detail'!X100),"")</f>
        <v>0</v>
      </c>
      <c r="W99" s="329" t="str" cm="1">
        <f t="array" aca="1" ref="W99" ca="1">IFERROR(print_SF('EF Table_detail'!AB100),"")</f>
        <v>3.22</v>
      </c>
      <c r="X99" s="330" t="str">
        <f t="shared" ca="1" si="3"/>
        <v>kg/m²</v>
      </c>
      <c r="Y99" s="213" t="str" cm="1">
        <f t="array" aca="1" ref="Y99" ca="1">IF(INDIRECT(""&amp;$E99&amp;"!R"&amp;Y$141&amp;"C"&amp;Y$142,FALSE)=0,"",INDIRECT(""&amp;$E99&amp;"!R"&amp;Y$141&amp;"C"&amp;Y$142,FALSE))</f>
        <v xml:space="preserve">Recommended to use kg CO2e/kg EF when thickness and mass is known. </v>
      </c>
      <c r="Z99" s="277" t="str" cm="1">
        <f t="array" aca="1" ref="Z99" ca="1">IF(INDIRECT(""&amp;$E99&amp;"!R"&amp;Z$141&amp;"C"&amp;Z$142,FALSE)="Average (weighted)","Yes","No")</f>
        <v>No</v>
      </c>
      <c r="AA99" s="96"/>
    </row>
    <row r="100" spans="2:27" ht="45" customHeight="1" x14ac:dyDescent="0.25">
      <c r="B100" s="276" t="str">
        <f>'EF Table_detail'!A101</f>
        <v>Floors</v>
      </c>
      <c r="C100" s="192" t="str">
        <f>'EF Table_detail'!B101</f>
        <v>Vinyl flooring</v>
      </c>
      <c r="D100" s="193" t="str">
        <f ca="1">'EF Table_detail'!C101</f>
        <v xml:space="preserve">Vinyl flooring </v>
      </c>
      <c r="E100" s="192" t="str">
        <f>'EF Table_detail'!D101</f>
        <v>Vinyl_flooring</v>
      </c>
      <c r="F100" s="192" t="str">
        <f ca="1">'EF Table_detail'!E101</f>
        <v>m²</v>
      </c>
      <c r="G100" s="192" t="str">
        <f ca="1">'EF Table_detail'!F101</f>
        <v>Tier 3</v>
      </c>
      <c r="H100" s="194">
        <f ca="1">'EF Table_detail'!G101</f>
        <v>1.1000000000000001</v>
      </c>
      <c r="I100" s="454" t="str" cm="1">
        <f t="array" aca="1" ref="I100" ca="1">IFERROR(print_SF('EF Table_detail'!L101),"")</f>
        <v>37.8</v>
      </c>
      <c r="J100" s="224" t="str" cm="1">
        <f t="array" aca="1" ref="J100" ca="1">IFERROR(print_SF('EF Table_detail'!H101),"")</f>
        <v>34.4</v>
      </c>
      <c r="K100" s="225" t="str" cm="1">
        <f t="array" aca="1" ref="K100" ca="1">IFERROR(print_SF('EF Table_detail'!I101),"")</f>
        <v>9.11</v>
      </c>
      <c r="L100" s="225" t="str" cm="1">
        <f t="array" aca="1" ref="L100" ca="1">IFERROR(print_SF('EF Table_detail'!J101),"")</f>
        <v>21.4</v>
      </c>
      <c r="M100" s="456" t="str" cm="1">
        <f t="array" aca="1" ref="M100" ca="1">IFERROR(print_SF('EF Table_detail'!Q101),"")</f>
        <v>2.53</v>
      </c>
      <c r="N100" s="218" t="str" cm="1">
        <f t="array" aca="1" ref="N100" ca="1">IFERROR(print_SF('EF Table_detail'!M101),"")</f>
        <v>2.30</v>
      </c>
      <c r="O100" s="219" t="str" cm="1">
        <f t="array" aca="1" ref="O100" ca="1">IFERROR(print_SF('EF Table_detail'!N101),"")</f>
        <v>0.868</v>
      </c>
      <c r="P100" s="219" t="str" cm="1">
        <f t="array" aca="1" ref="P100" ca="1">IFERROR(print_SF('EF Table_detail'!O101),"")</f>
        <v>1.84</v>
      </c>
      <c r="Q100" s="454" t="str" cm="1">
        <f t="array" aca="1" ref="Q100" ca="1">IFERROR(print_SF('EF Table_detail'!V101),"")</f>
        <v>0</v>
      </c>
      <c r="R100" s="218" t="str" cm="1">
        <f t="array" aca="1" ref="R100" ca="1">IFERROR(print_SF('EF Table_detail'!S101),"")</f>
        <v>0</v>
      </c>
      <c r="S100" s="219" t="str" cm="1">
        <f t="array" aca="1" ref="S100" ca="1">IFERROR(print_SF('EF Table_detail'!T101),"")</f>
        <v>0</v>
      </c>
      <c r="T100" s="456" t="str" cm="1">
        <f t="array" aca="1" ref="T100" ca="1">IFERROR(print_SF('EF Table_detail'!Z101),"")</f>
        <v>0</v>
      </c>
      <c r="U100" s="218" t="str" cm="1">
        <f t="array" aca="1" ref="U100" ca="1">IFERROR(print_SF('EF Table_detail'!W101),"")</f>
        <v>0</v>
      </c>
      <c r="V100" s="219" t="str" cm="1">
        <f t="array" aca="1" ref="V100" ca="1">IFERROR(print_SF('EF Table_detail'!X101),"")</f>
        <v>0</v>
      </c>
      <c r="W100" s="329" t="str" cm="1">
        <f t="array" aca="1" ref="W100" ca="1">IFERROR(print_SF('EF Table_detail'!AB101),"")</f>
        <v>11.6</v>
      </c>
      <c r="X100" s="330" t="str">
        <f t="shared" ca="1" si="3"/>
        <v>kg/m²</v>
      </c>
      <c r="Y100" s="213" t="str" cm="1">
        <f t="array" aca="1" ref="Y100" ca="1">IF(INDIRECT(""&amp;$E100&amp;"!R"&amp;Y$141&amp;"C"&amp;Y$142,FALSE)=0,"",INDIRECT(""&amp;$E100&amp;"!R"&amp;Y$141&amp;"C"&amp;Y$142,FALSE))</f>
        <v xml:space="preserve">Recommended to use kg CO2e/kg EF when thickness and mass is known. </v>
      </c>
      <c r="Z100" s="277" t="str" cm="1">
        <f t="array" aca="1" ref="Z100" ca="1">IF(INDIRECT(""&amp;$E100&amp;"!R"&amp;Z$141&amp;"C"&amp;Z$142,FALSE)="Average (weighted)","Yes","No")</f>
        <v>No</v>
      </c>
      <c r="AA100" s="96"/>
    </row>
    <row r="101" spans="2:27" ht="45" customHeight="1" x14ac:dyDescent="0.25">
      <c r="B101" s="276" t="str">
        <f>'EF Table_detail'!A102</f>
        <v>Floors</v>
      </c>
      <c r="C101" s="192" t="str">
        <f>'EF Table_detail'!B102</f>
        <v>Rubber flooring</v>
      </c>
      <c r="D101" s="193" t="str">
        <f ca="1">'EF Table_detail'!C102</f>
        <v>Rubber flooring</v>
      </c>
      <c r="E101" s="192" t="str">
        <f>'EF Table_detail'!D102</f>
        <v>Rubber_flooring</v>
      </c>
      <c r="F101" s="192" t="str">
        <f ca="1">'EF Table_detail'!E102</f>
        <v>m²</v>
      </c>
      <c r="G101" s="192" t="str">
        <f ca="1">'EF Table_detail'!F102</f>
        <v>Tier 4</v>
      </c>
      <c r="H101" s="194">
        <f ca="1">'EF Table_detail'!G102</f>
        <v>1.2</v>
      </c>
      <c r="I101" s="454" t="str" cm="1">
        <f t="array" aca="1" ref="I101" ca="1">IFERROR(print_SF('EF Table_detail'!L102),"")</f>
        <v>19.5</v>
      </c>
      <c r="J101" s="224" t="str" cm="1">
        <f t="array" aca="1" ref="J101" ca="1">IFERROR(print_SF('EF Table_detail'!H102),"")</f>
        <v>16.2</v>
      </c>
      <c r="K101" s="225" t="str" cm="1">
        <f t="array" aca="1" ref="K101" ca="1">IFERROR(print_SF('EF Table_detail'!I102),"")</f>
        <v>16.2</v>
      </c>
      <c r="L101" s="225" t="str" cm="1">
        <f t="array" aca="1" ref="L101" ca="1">IFERROR(print_SF('EF Table_detail'!J102),"")</f>
        <v>16.2</v>
      </c>
      <c r="M101" s="456" t="str" cm="1">
        <f t="array" aca="1" ref="M101" ca="1">IFERROR(print_SF('EF Table_detail'!Q102),"")</f>
        <v>10.2</v>
      </c>
      <c r="N101" s="218" t="str" cm="1">
        <f t="array" aca="1" ref="N101" ca="1">IFERROR(print_SF('EF Table_detail'!M102),"")</f>
        <v>8.54</v>
      </c>
      <c r="O101" s="219" t="str" cm="1">
        <f t="array" aca="1" ref="O101" ca="1">IFERROR(print_SF('EF Table_detail'!N102),"")</f>
        <v>8.54</v>
      </c>
      <c r="P101" s="219" t="str" cm="1">
        <f t="array" aca="1" ref="P101" ca="1">IFERROR(print_SF('EF Table_detail'!O102),"")</f>
        <v>8.54</v>
      </c>
      <c r="Q101" s="454" t="str" cm="1">
        <f t="array" aca="1" ref="Q101" ca="1">IFERROR(print_SF('EF Table_detail'!V102),"")</f>
        <v>0</v>
      </c>
      <c r="R101" s="218" t="str" cm="1">
        <f t="array" aca="1" ref="R101" ca="1">IFERROR(print_SF('EF Table_detail'!S102),"")</f>
        <v>0</v>
      </c>
      <c r="S101" s="219" t="str" cm="1">
        <f t="array" aca="1" ref="S101" ca="1">IFERROR(print_SF('EF Table_detail'!T102),"")</f>
        <v>0</v>
      </c>
      <c r="T101" s="456" t="str" cm="1">
        <f t="array" aca="1" ref="T101" ca="1">IFERROR(print_SF('EF Table_detail'!Z102),"")</f>
        <v>0</v>
      </c>
      <c r="U101" s="218" t="str" cm="1">
        <f t="array" aca="1" ref="U101" ca="1">IFERROR(print_SF('EF Table_detail'!W102),"")</f>
        <v>0</v>
      </c>
      <c r="V101" s="219" t="str" cm="1">
        <f t="array" aca="1" ref="V101" ca="1">IFERROR(print_SF('EF Table_detail'!X102),"")</f>
        <v>0</v>
      </c>
      <c r="W101" s="329" t="str" cm="1">
        <f t="array" aca="1" ref="W101" ca="1">IFERROR(print_SF('EF Table_detail'!AB102),"")</f>
        <v>1.90</v>
      </c>
      <c r="X101" s="330" t="str">
        <f t="shared" ca="1" si="3"/>
        <v>kg/m²</v>
      </c>
      <c r="Y101" s="213" t="str" cm="1">
        <f t="array" aca="1" ref="Y101" ca="1">IF(INDIRECT(""&amp;$E101&amp;"!R"&amp;Y$141&amp;"C"&amp;Y$142,FALSE)=0,"",INDIRECT(""&amp;$E101&amp;"!R"&amp;Y$141&amp;"C"&amp;Y$142,FALSE))</f>
        <v xml:space="preserve">Recommended to use kg CO2e/kg EF when thickness and mass is known. </v>
      </c>
      <c r="Z101" s="277" t="str" cm="1">
        <f t="array" aca="1" ref="Z101" ca="1">IF(INDIRECT(""&amp;$E101&amp;"!R"&amp;Z$141&amp;"C"&amp;Z$142,FALSE)="Average (weighted)","Yes","No")</f>
        <v>No</v>
      </c>
      <c r="AA101" s="96"/>
    </row>
    <row r="102" spans="2:27" ht="45" customHeight="1" x14ac:dyDescent="0.25">
      <c r="B102" s="276" t="str">
        <f>'EF Table_detail'!A103</f>
        <v>Floors</v>
      </c>
      <c r="C102" s="192" t="str">
        <f>'EF Table_detail'!B103</f>
        <v>Laminate flooring</v>
      </c>
      <c r="D102" s="193" t="str">
        <f ca="1">'EF Table_detail'!C103</f>
        <v>Laminate flooring</v>
      </c>
      <c r="E102" s="192" t="str">
        <f>'EF Table_detail'!D103</f>
        <v>Laminate_flooring</v>
      </c>
      <c r="F102" s="192" t="str">
        <f ca="1">'EF Table_detail'!E103</f>
        <v>m²</v>
      </c>
      <c r="G102" s="192" t="str">
        <f ca="1">'EF Table_detail'!F103</f>
        <v>Tier 4</v>
      </c>
      <c r="H102" s="194">
        <f ca="1">'EF Table_detail'!G103</f>
        <v>1.2</v>
      </c>
      <c r="I102" s="454" t="str" cm="1">
        <f t="array" aca="1" ref="I102" ca="1">IFERROR(print_SF('EF Table_detail'!L103),"")</f>
        <v>5.69</v>
      </c>
      <c r="J102" s="224" t="str" cm="1">
        <f t="array" aca="1" ref="J102" ca="1">IFERROR(print_SF('EF Table_detail'!H103),"")</f>
        <v>4.74</v>
      </c>
      <c r="K102" s="225" t="str" cm="1">
        <f t="array" aca="1" ref="K102" ca="1">IFERROR(print_SF('EF Table_detail'!I103),"")</f>
        <v>2.67</v>
      </c>
      <c r="L102" s="225" t="str" cm="1">
        <f t="array" aca="1" ref="L102" ca="1">IFERROR(print_SF('EF Table_detail'!J103),"")</f>
        <v>3.71</v>
      </c>
      <c r="M102" s="456" t="str" cm="1">
        <f t="array" aca="1" ref="M102" ca="1">IFERROR(print_SF('EF Table_detail'!Q103),"")</f>
        <v>0.814</v>
      </c>
      <c r="N102" s="218" t="str" cm="1">
        <f t="array" aca="1" ref="N102" ca="1">IFERROR(print_SF('EF Table_detail'!M103),"")</f>
        <v>0.679</v>
      </c>
      <c r="O102" s="219" t="str" cm="1">
        <f t="array" aca="1" ref="O102" ca="1">IFERROR(print_SF('EF Table_detail'!N103),"")</f>
        <v>0.384</v>
      </c>
      <c r="P102" s="219" t="str" cm="1">
        <f t="array" aca="1" ref="P102" ca="1">IFERROR(print_SF('EF Table_detail'!O103),"")</f>
        <v>0.531</v>
      </c>
      <c r="Q102" s="454" t="str" cm="1">
        <f t="array" aca="1" ref="Q102" ca="1">IFERROR(print_SF('EF Table_detail'!V103),"")</f>
        <v>0</v>
      </c>
      <c r="R102" s="218" t="str" cm="1">
        <f t="array" aca="1" ref="R102" ca="1">IFERROR(print_SF('EF Table_detail'!S103),"")</f>
        <v>0</v>
      </c>
      <c r="S102" s="219" t="str" cm="1">
        <f t="array" aca="1" ref="S102" ca="1">IFERROR(print_SF('EF Table_detail'!T103),"")</f>
        <v>0</v>
      </c>
      <c r="T102" s="456" t="str" cm="1">
        <f t="array" aca="1" ref="T102" ca="1">IFERROR(print_SF('EF Table_detail'!Z103),"")</f>
        <v>0</v>
      </c>
      <c r="U102" s="218" t="str" cm="1">
        <f t="array" aca="1" ref="U102" ca="1">IFERROR(print_SF('EF Table_detail'!W103),"")</f>
        <v>0</v>
      </c>
      <c r="V102" s="219" t="str" cm="1">
        <f t="array" aca="1" ref="V102" ca="1">IFERROR(print_SF('EF Table_detail'!X103),"")</f>
        <v>0</v>
      </c>
      <c r="W102" s="329" t="str" cm="1">
        <f t="array" aca="1" ref="W102" ca="1">IFERROR(print_SF('EF Table_detail'!AB103),"")</f>
        <v>6.98</v>
      </c>
      <c r="X102" s="330" t="str">
        <f t="shared" ca="1" si="3"/>
        <v>kg/m²</v>
      </c>
      <c r="Y102" s="213" t="str" cm="1">
        <f t="array" aca="1" ref="Y102" ca="1">IF(INDIRECT(""&amp;$E102&amp;"!R"&amp;Y$141&amp;"C"&amp;Y$142,FALSE)=0,"",INDIRECT(""&amp;$E102&amp;"!R"&amp;Y$141&amp;"C"&amp;Y$142,FALSE))</f>
        <v xml:space="preserve">Recommended to use kg CO2e/kg EF when thickness and mass is known. </v>
      </c>
      <c r="Z102" s="277" t="str" cm="1">
        <f t="array" aca="1" ref="Z102" ca="1">IF(INDIRECT(""&amp;$E102&amp;"!R"&amp;Z$141&amp;"C"&amp;Z$142,FALSE)="Average (weighted)","Yes","No")</f>
        <v>No</v>
      </c>
      <c r="AA102" s="96"/>
    </row>
    <row r="103" spans="2:27" ht="45" customHeight="1" x14ac:dyDescent="0.25">
      <c r="B103" s="276" t="str">
        <f>'EF Table_detail'!A104</f>
        <v>Floors</v>
      </c>
      <c r="C103" s="192" t="str">
        <f>'EF Table_detail'!B104</f>
        <v>Hybrid flooring</v>
      </c>
      <c r="D103" s="193" t="str">
        <f ca="1">'EF Table_detail'!C104</f>
        <v>Hybrid flooring</v>
      </c>
      <c r="E103" s="192" t="str">
        <f>'EF Table_detail'!D104</f>
        <v>Hybrid_flooring</v>
      </c>
      <c r="F103" s="192" t="str">
        <f ca="1">'EF Table_detail'!E104</f>
        <v>m²</v>
      </c>
      <c r="G103" s="192" t="str">
        <f ca="1">'EF Table_detail'!F104</f>
        <v>Tier 4</v>
      </c>
      <c r="H103" s="194">
        <f ca="1">'EF Table_detail'!G104</f>
        <v>1.2</v>
      </c>
      <c r="I103" s="454" t="str" cm="1">
        <f t="array" aca="1" ref="I103" ca="1">IFERROR(print_SF('EF Table_detail'!L104),"")</f>
        <v>15.6</v>
      </c>
      <c r="J103" s="224" t="str" cm="1">
        <f t="array" aca="1" ref="J103" ca="1">IFERROR(print_SF('EF Table_detail'!H104),"")</f>
        <v>13.0</v>
      </c>
      <c r="K103" s="225" t="str" cm="1">
        <f t="array" aca="1" ref="K103" ca="1">IFERROR(print_SF('EF Table_detail'!I104),"")</f>
        <v>13.0</v>
      </c>
      <c r="L103" s="225" t="str" cm="1">
        <f t="array" aca="1" ref="L103" ca="1">IFERROR(print_SF('EF Table_detail'!J104),"")</f>
        <v>13.0</v>
      </c>
      <c r="M103" s="456" t="str" cm="1">
        <f t="array" aca="1" ref="M103" ca="1">IFERROR(print_SF('EF Table_detail'!Q104),"")</f>
        <v>1.82</v>
      </c>
      <c r="N103" s="218" t="str" cm="1">
        <f t="array" aca="1" ref="N103" ca="1">IFERROR(print_SF('EF Table_detail'!M104),"")</f>
        <v>1.52</v>
      </c>
      <c r="O103" s="219" t="str" cm="1">
        <f t="array" aca="1" ref="O103" ca="1">IFERROR(print_SF('EF Table_detail'!N104),"")</f>
        <v>1.52</v>
      </c>
      <c r="P103" s="219" t="str" cm="1">
        <f t="array" aca="1" ref="P103" ca="1">IFERROR(print_SF('EF Table_detail'!O104),"")</f>
        <v>1.52</v>
      </c>
      <c r="Q103" s="454" t="str" cm="1">
        <f t="array" aca="1" ref="Q103" ca="1">IFERROR(print_SF('EF Table_detail'!V104),"")</f>
        <v>10.9</v>
      </c>
      <c r="R103" s="218" t="str" cm="1">
        <f t="array" aca="1" ref="R103" ca="1">IFERROR(print_SF('EF Table_detail'!S104),"")</f>
        <v>9.09</v>
      </c>
      <c r="S103" s="219" t="str" cm="1">
        <f t="array" aca="1" ref="S103" ca="1">IFERROR(print_SF('EF Table_detail'!T104),"")</f>
        <v>9.09</v>
      </c>
      <c r="T103" s="456" t="str" cm="1">
        <f t="array" aca="1" ref="T103" ca="1">IFERROR(print_SF('EF Table_detail'!Z104),"")</f>
        <v>1.06</v>
      </c>
      <c r="U103" s="218" t="str" cm="1">
        <f t="array" aca="1" ref="U103" ca="1">IFERROR(print_SF('EF Table_detail'!W104),"")</f>
        <v>1.06</v>
      </c>
      <c r="V103" s="219" t="str" cm="1">
        <f t="array" aca="1" ref="V103" ca="1">IFERROR(print_SF('EF Table_detail'!X104),"")</f>
        <v>1.06</v>
      </c>
      <c r="W103" s="329" t="str" cm="1">
        <f t="array" aca="1" ref="W103" ca="1">IFERROR(print_SF('EF Table_detail'!AB104),"")</f>
        <v>8.60</v>
      </c>
      <c r="X103" s="330" t="str">
        <f t="shared" ca="1" si="3"/>
        <v>kg/m²</v>
      </c>
      <c r="Y103" s="213" t="str" cm="1">
        <f t="array" aca="1" ref="Y103" ca="1">IF(INDIRECT(""&amp;$E103&amp;"!R"&amp;Y$141&amp;"C"&amp;Y$142,FALSE)=0,"",INDIRECT(""&amp;$E103&amp;"!R"&amp;Y$141&amp;"C"&amp;Y$142,FALSE))</f>
        <v xml:space="preserve">Recommended to use kg CO2e/kg EF when thickness and mass is known. </v>
      </c>
      <c r="Z103" s="277" t="str" cm="1">
        <f t="array" aca="1" ref="Z103" ca="1">IF(INDIRECT(""&amp;$E103&amp;"!R"&amp;Z$141&amp;"C"&amp;Z$142,FALSE)="Average (weighted)","Yes","No")</f>
        <v>No</v>
      </c>
      <c r="AA103" s="96"/>
    </row>
    <row r="104" spans="2:27" ht="45" customHeight="1" x14ac:dyDescent="0.25">
      <c r="B104" s="276" t="str">
        <f>'EF Table_detail'!A105</f>
        <v>Windows &amp; doors</v>
      </c>
      <c r="C104" s="192" t="str">
        <f>'EF Table_detail'!B105</f>
        <v>Window - Aluminium frame  - Generic</v>
      </c>
      <c r="D104" s="193" t="str">
        <f ca="1">'EF Table_detail'!C105</f>
        <v>Determination of a generic window and door as described in material category column. Includes glass, framing, thermal breaks, spandrel/cladding material and key componentry in one sqm rate.</v>
      </c>
      <c r="E104" s="192" t="str">
        <f>'EF Table_detail'!D105</f>
        <v>Window_doors_generic</v>
      </c>
      <c r="F104" s="192" t="str">
        <f>'EF Table_detail'!E105</f>
        <v>m²</v>
      </c>
      <c r="G104" s="192" t="str">
        <f>'EF Table_detail'!F105</f>
        <v>Untiered</v>
      </c>
      <c r="H104" s="194">
        <f>'EF Table_detail'!G105</f>
        <v>1</v>
      </c>
      <c r="I104" s="454" t="str" cm="1">
        <f t="array" aca="1" ref="I104" ca="1">IFERROR(print_SF('EF Table_detail'!L105),"")</f>
        <v>257</v>
      </c>
      <c r="J104" s="226" t="str" cm="1">
        <f t="array" ref="J104">IFERROR(print_SF('EF Table_detail'!H105),"")</f>
        <v/>
      </c>
      <c r="K104" s="206" t="str" cm="1">
        <f t="array" aca="1" ref="K104" ca="1">IFERROR(print_SF('EF Table_detail'!I105),"")</f>
        <v>46.3</v>
      </c>
      <c r="L104" s="206" t="str" cm="1">
        <f t="array" aca="1" ref="L104" ca="1">IFERROR(print_SF('EF Table_detail'!J105),"")</f>
        <v>153</v>
      </c>
      <c r="M104" s="456" t="str" cm="1">
        <f t="array" aca="1" ref="M104" ca="1">IFERROR(print_SF('EF Table_detail'!Q105),"")</f>
        <v>11.2</v>
      </c>
      <c r="N104" s="204" t="str" cm="1">
        <f t="array" ref="N104">IFERROR(print_SF('EF Table_detail'!M105),"")</f>
        <v/>
      </c>
      <c r="O104" s="205" t="str" cm="1">
        <f t="array" aca="1" ref="O104" ca="1">IFERROR(print_SF('EF Table_detail'!N105),"")</f>
        <v>2.01</v>
      </c>
      <c r="P104" s="206" t="str" cm="1">
        <f t="array" aca="1" ref="P104" ca="1">IFERROR(print_SF('EF Table_detail'!O105),"")</f>
        <v>6.65</v>
      </c>
      <c r="Q104" s="454" t="str" cm="1">
        <f t="array" aca="1" ref="Q104" ca="1">IFERROR(print_SF('EF Table_detail'!V105),"")</f>
        <v>0</v>
      </c>
      <c r="R104" s="204" t="str" cm="1">
        <f t="array" ref="R104">IFERROR(print_SF('EF Table_detail'!S105),"")</f>
        <v/>
      </c>
      <c r="S104" s="205" t="str" cm="1">
        <f t="array" aca="1" ref="S104" ca="1">IFERROR(print_SF('EF Table_detail'!T105),"")</f>
        <v>0</v>
      </c>
      <c r="T104" s="456" t="str" cm="1">
        <f t="array" aca="1" ref="T104" ca="1">IFERROR(print_SF('EF Table_detail'!Z105),"")</f>
        <v>0</v>
      </c>
      <c r="U104" s="204" t="str" cm="1">
        <f t="array" ref="U104">IFERROR(print_SF('EF Table_detail'!W105),"")</f>
        <v/>
      </c>
      <c r="V104" s="205" t="str" cm="1">
        <f t="array" aca="1" ref="V104" ca="1">IFERROR(print_SF('EF Table_detail'!X105),"")</f>
        <v>0</v>
      </c>
      <c r="W104" s="329" t="str" cm="1">
        <f t="array" aca="1" ref="W104" ca="1">IFERROR(print_SF('EF Table_detail'!AB105),"")</f>
        <v>23.0</v>
      </c>
      <c r="X104" s="330" t="str">
        <f t="shared" ref="X104:X112" si="4">"kg/"&amp;F104</f>
        <v>kg/m²</v>
      </c>
      <c r="Y104" s="213" t="str" cm="1">
        <f t="array" aca="1" ref="Y104" ca="1">IF(INDIRECT(""&amp;$E104&amp;"!R"&amp;Y$141&amp;"C"&amp;Y$142,FALSE)=0,"",INDIRECT(""&amp;$E104&amp;"!R"&amp;Y$141&amp;"C"&amp;Y$142,FALSE))</f>
        <v>A number of generic windows and doors can still be selected. Calculated using referenced material quantities and multiplied by the relevant maximum EF to get the default maximum EF or the Average EF to get the average EF overall.</v>
      </c>
      <c r="Z104" s="277" t="str" cm="1">
        <f t="array" aca="1" ref="Z104" ca="1">IF(INDIRECT(""&amp;$E104&amp;"!R"&amp;Z$141&amp;"C"&amp;Z$142,FALSE)="Average (weighted)","Yes","No")</f>
        <v>No</v>
      </c>
    </row>
    <row r="105" spans="2:27" ht="45" customHeight="1" x14ac:dyDescent="0.25">
      <c r="B105" s="276" t="str">
        <f>'EF Table_detail'!A106</f>
        <v>Windows &amp; doors</v>
      </c>
      <c r="C105" s="192" t="str">
        <f>'EF Table_detail'!B106</f>
        <v>Door - glazed - Timber/Aluminium  - Generic</v>
      </c>
      <c r="D105" s="193" t="str">
        <f ca="1">'EF Table_detail'!C106</f>
        <v>Determination of a generic window and door as described in material category column. Includes glass, framing, thermal breaks, spandrel/cladding material and key componentry in one sqm rate.</v>
      </c>
      <c r="E105" s="192" t="str">
        <f>'EF Table_detail'!D106</f>
        <v>Window_doors_generic</v>
      </c>
      <c r="F105" s="192" t="str">
        <f>'EF Table_detail'!E106</f>
        <v>m²</v>
      </c>
      <c r="G105" s="192" t="str">
        <f>'EF Table_detail'!F106</f>
        <v>Untiered</v>
      </c>
      <c r="H105" s="194">
        <f>'EF Table_detail'!G106</f>
        <v>1</v>
      </c>
      <c r="I105" s="454" t="str" cm="1">
        <f t="array" aca="1" ref="I105" ca="1">IFERROR(print_SF('EF Table_detail'!L106),"")</f>
        <v>291</v>
      </c>
      <c r="J105" s="226" t="str" cm="1">
        <f t="array" ref="J105">IFERROR(print_SF('EF Table_detail'!H106),"")</f>
        <v/>
      </c>
      <c r="K105" s="206" t="str" cm="1">
        <f t="array" aca="1" ref="K105" ca="1">IFERROR(print_SF('EF Table_detail'!I106),"")</f>
        <v>51.5</v>
      </c>
      <c r="L105" s="206" t="str" cm="1">
        <f t="array" aca="1" ref="L105" ca="1">IFERROR(print_SF('EF Table_detail'!J106),"")</f>
        <v>173</v>
      </c>
      <c r="M105" s="456" t="str" cm="1">
        <f t="array" aca="1" ref="M105" ca="1">IFERROR(print_SF('EF Table_detail'!Q106),"")</f>
        <v>10.3</v>
      </c>
      <c r="N105" s="204" t="str" cm="1">
        <f t="array" ref="N105">IFERROR(print_SF('EF Table_detail'!M106),"")</f>
        <v/>
      </c>
      <c r="O105" s="205" t="str" cm="1">
        <f t="array" aca="1" ref="O105" ca="1">IFERROR(print_SF('EF Table_detail'!N106),"")</f>
        <v>1.83</v>
      </c>
      <c r="P105" s="206" t="str" cm="1">
        <f t="array" aca="1" ref="P105" ca="1">IFERROR(print_SF('EF Table_detail'!O106),"")</f>
        <v>6.15</v>
      </c>
      <c r="Q105" s="454" t="str" cm="1">
        <f t="array" aca="1" ref="Q105" ca="1">IFERROR(print_SF('EF Table_detail'!V106),"")</f>
        <v>5.72</v>
      </c>
      <c r="R105" s="204" t="str" cm="1">
        <f t="array" ref="R105">IFERROR(print_SF('EF Table_detail'!S106),"")</f>
        <v/>
      </c>
      <c r="S105" s="205" t="str" cm="1">
        <f t="array" aca="1" ref="S105" ca="1">IFERROR(print_SF('EF Table_detail'!T106),"")</f>
        <v>5.61</v>
      </c>
      <c r="T105" s="456" t="str" cm="1">
        <f t="array" aca="1" ref="T105" ca="1">IFERROR(print_SF('EF Table_detail'!Z106),"")</f>
        <v>0.203</v>
      </c>
      <c r="U105" s="204" t="str" cm="1">
        <f t="array" ref="U105">IFERROR(print_SF('EF Table_detail'!W106),"")</f>
        <v/>
      </c>
      <c r="V105" s="205" t="str" cm="1">
        <f t="array" aca="1" ref="V105" ca="1">IFERROR(print_SF('EF Table_detail'!X106),"")</f>
        <v>0.199</v>
      </c>
      <c r="W105" s="329" t="str" cm="1">
        <f t="array" aca="1" ref="W105" ca="1">IFERROR(print_SF('EF Table_detail'!AB106),"")</f>
        <v>28.2</v>
      </c>
      <c r="X105" s="330" t="str">
        <f t="shared" si="4"/>
        <v>kg/m²</v>
      </c>
      <c r="Y105" s="213" t="str" cm="1">
        <f t="array" aca="1" ref="Y105" ca="1">IF(INDIRECT(""&amp;$E105&amp;"!R"&amp;Y$141&amp;"C"&amp;Y$142,FALSE)=0,"",INDIRECT(""&amp;$E105&amp;"!R"&amp;Y$141&amp;"C"&amp;Y$142,FALSE))</f>
        <v>A number of generic windows and doors can still be selected. Calculated using referenced material quantities and multiplied by the relevant maximum EF to get the default maximum EF or the Average EF to get the average EF overall.</v>
      </c>
      <c r="Z105" s="277" t="str" cm="1">
        <f t="array" aca="1" ref="Z105" ca="1">IF(INDIRECT(""&amp;$E105&amp;"!R"&amp;Z$141&amp;"C"&amp;Z$142,FALSE)="Average (weighted)","Yes","No")</f>
        <v>No</v>
      </c>
    </row>
    <row r="106" spans="2:27" ht="45" customHeight="1" x14ac:dyDescent="0.25">
      <c r="B106" s="276" t="str">
        <f>'EF Table_detail'!A107</f>
        <v>Windows &amp; doors</v>
      </c>
      <c r="C106" s="192" t="str">
        <f>'EF Table_detail'!B107</f>
        <v>Door - glazed - Steel  - Generic</v>
      </c>
      <c r="D106" s="193" t="str">
        <f ca="1">'EF Table_detail'!C107</f>
        <v>Determination of a generic window and door as described in material category column. Includes glass, framing, thermal breaks, spandrel/cladding material and key componentry in one sqm rate.</v>
      </c>
      <c r="E106" s="192" t="str">
        <f>'EF Table_detail'!D107</f>
        <v>Window_doors_generic</v>
      </c>
      <c r="F106" s="192" t="str">
        <f>'EF Table_detail'!E107</f>
        <v>m²</v>
      </c>
      <c r="G106" s="192" t="str">
        <f>'EF Table_detail'!F107</f>
        <v>Untiered</v>
      </c>
      <c r="H106" s="194">
        <f>'EF Table_detail'!G107</f>
        <v>1</v>
      </c>
      <c r="I106" s="454" t="str" cm="1">
        <f t="array" aca="1" ref="I106" ca="1">IFERROR(print_SF('EF Table_detail'!L107),"")</f>
        <v>181</v>
      </c>
      <c r="J106" s="226" t="str" cm="1">
        <f t="array" ref="J106">IFERROR(print_SF('EF Table_detail'!H107),"")</f>
        <v/>
      </c>
      <c r="K106" s="206" t="str" cm="1">
        <f t="array" aca="1" ref="K106" ca="1">IFERROR(print_SF('EF Table_detail'!I107),"")</f>
        <v>68.0</v>
      </c>
      <c r="L106" s="206" t="str" cm="1">
        <f t="array" aca="1" ref="L106" ca="1">IFERROR(print_SF('EF Table_detail'!J107),"")</f>
        <v>115</v>
      </c>
      <c r="M106" s="456" t="str" cm="1">
        <f t="array" aca="1" ref="M106" ca="1">IFERROR(print_SF('EF Table_detail'!Q107),"")</f>
        <v>3.49</v>
      </c>
      <c r="N106" s="204" t="str" cm="1">
        <f t="array" ref="N106">IFERROR(print_SF('EF Table_detail'!M107),"")</f>
        <v/>
      </c>
      <c r="O106" s="205" t="str" cm="1">
        <f t="array" aca="1" ref="O106" ca="1">IFERROR(print_SF('EF Table_detail'!N107),"")</f>
        <v>1.31</v>
      </c>
      <c r="P106" s="205" t="str" cm="1">
        <f t="array" aca="1" ref="P106" ca="1">IFERROR(print_SF('EF Table_detail'!O107),"")</f>
        <v>2.22</v>
      </c>
      <c r="Q106" s="454" t="str" cm="1">
        <f t="array" aca="1" ref="Q106" ca="1">IFERROR(print_SF('EF Table_detail'!V107),"")</f>
        <v>0</v>
      </c>
      <c r="R106" s="204" t="str" cm="1">
        <f t="array" ref="R106">IFERROR(print_SF('EF Table_detail'!S107),"")</f>
        <v/>
      </c>
      <c r="S106" s="205" t="str" cm="1">
        <f t="array" aca="1" ref="S106" ca="1">IFERROR(print_SF('EF Table_detail'!T107),"")</f>
        <v>0</v>
      </c>
      <c r="T106" s="456" t="str" cm="1">
        <f t="array" aca="1" ref="T106" ca="1">IFERROR(print_SF('EF Table_detail'!Z107),"")</f>
        <v>0</v>
      </c>
      <c r="U106" s="204" t="str" cm="1">
        <f t="array" ref="U106">IFERROR(print_SF('EF Table_detail'!W107),"")</f>
        <v/>
      </c>
      <c r="V106" s="205" t="str" cm="1">
        <f t="array" aca="1" ref="V106" ca="1">IFERROR(print_SF('EF Table_detail'!X107),"")</f>
        <v>0</v>
      </c>
      <c r="W106" s="329" t="str" cm="1">
        <f t="array" aca="1" ref="W106" ca="1">IFERROR(print_SF('EF Table_detail'!AB107),"")</f>
        <v>51.7</v>
      </c>
      <c r="X106" s="330" t="str">
        <f t="shared" si="4"/>
        <v>kg/m²</v>
      </c>
      <c r="Y106" s="213" t="str" cm="1">
        <f t="array" aca="1" ref="Y106" ca="1">IF(INDIRECT(""&amp;$E106&amp;"!R"&amp;Y$141&amp;"C"&amp;Y$142,FALSE)=0,"",INDIRECT(""&amp;$E106&amp;"!R"&amp;Y$141&amp;"C"&amp;Y$142,FALSE))</f>
        <v>A number of generic windows and doors can still be selected. Calculated using referenced material quantities and multiplied by the relevant maximum EF to get the default maximum EF or the Average EF to get the average EF overall.</v>
      </c>
      <c r="Z106" s="277" t="str" cm="1">
        <f t="array" aca="1" ref="Z106" ca="1">IF(INDIRECT(""&amp;$E106&amp;"!R"&amp;Z$141&amp;"C"&amp;Z$142,FALSE)="Average (weighted)","Yes","No")</f>
        <v>No</v>
      </c>
    </row>
    <row r="107" spans="2:27" ht="45" customHeight="1" x14ac:dyDescent="0.25">
      <c r="B107" s="276" t="str">
        <f>'EF Table_detail'!A108</f>
        <v>Windows &amp; doors</v>
      </c>
      <c r="C107" s="192" t="str">
        <f>'EF Table_detail'!B108</f>
        <v>Door - glazed - minimal frame - Generic</v>
      </c>
      <c r="D107" s="193" t="str">
        <f ca="1">'EF Table_detail'!C108</f>
        <v>Determination of a generic window and door as described in material category column. Includes glass, framing, thermal breaks, spandrel/cladding material and key componentry in one sqm rate.</v>
      </c>
      <c r="E107" s="192" t="str">
        <f>'EF Table_detail'!D108</f>
        <v>Window_doors_generic</v>
      </c>
      <c r="F107" s="192" t="str">
        <f>'EF Table_detail'!E108</f>
        <v>m²</v>
      </c>
      <c r="G107" s="192" t="str">
        <f>'EF Table_detail'!F108</f>
        <v>Untiered</v>
      </c>
      <c r="H107" s="194">
        <f>'EF Table_detail'!G108</f>
        <v>1</v>
      </c>
      <c r="I107" s="454" t="str" cm="1">
        <f t="array" aca="1" ref="I107" ca="1">IFERROR(print_SF('EF Table_detail'!L108),"")</f>
        <v>307</v>
      </c>
      <c r="J107" s="226" t="str" cm="1">
        <f t="array" ref="J107">IFERROR(print_SF('EF Table_detail'!H108),"")</f>
        <v/>
      </c>
      <c r="K107" s="206" t="str" cm="1">
        <f t="array" aca="1" ref="K107" ca="1">IFERROR(print_SF('EF Table_detail'!I108),"")</f>
        <v>70.7</v>
      </c>
      <c r="L107" s="206" t="str" cm="1">
        <f t="array" aca="1" ref="L107" ca="1">IFERROR(print_SF('EF Table_detail'!J108),"")</f>
        <v>189</v>
      </c>
      <c r="M107" s="456" t="str" cm="1">
        <f t="array" aca="1" ref="M107" ca="1">IFERROR(print_SF('EF Table_detail'!Q108),"")</f>
        <v>6.97</v>
      </c>
      <c r="N107" s="204" t="str" cm="1">
        <f t="array" ref="N107">IFERROR(print_SF('EF Table_detail'!M108),"")</f>
        <v/>
      </c>
      <c r="O107" s="205" t="str" cm="1">
        <f t="array" aca="1" ref="O107" ca="1">IFERROR(print_SF('EF Table_detail'!N108),"")</f>
        <v>1.61</v>
      </c>
      <c r="P107" s="205" t="str" cm="1">
        <f t="array" aca="1" ref="P107" ca="1">IFERROR(print_SF('EF Table_detail'!O108),"")</f>
        <v>4.30</v>
      </c>
      <c r="Q107" s="454" t="str" cm="1">
        <f t="array" aca="1" ref="Q107" ca="1">IFERROR(print_SF('EF Table_detail'!V108),"")</f>
        <v>0</v>
      </c>
      <c r="R107" s="204" t="str" cm="1">
        <f t="array" ref="R107">IFERROR(print_SF('EF Table_detail'!S108),"")</f>
        <v/>
      </c>
      <c r="S107" s="205" t="str" cm="1">
        <f t="array" aca="1" ref="S107" ca="1">IFERROR(print_SF('EF Table_detail'!T108),"")</f>
        <v>0</v>
      </c>
      <c r="T107" s="456" t="str" cm="1">
        <f t="array" aca="1" ref="T107" ca="1">IFERROR(print_SF('EF Table_detail'!Z108),"")</f>
        <v>0</v>
      </c>
      <c r="U107" s="204" t="str" cm="1">
        <f t="array" ref="U107">IFERROR(print_SF('EF Table_detail'!W108),"")</f>
        <v/>
      </c>
      <c r="V107" s="205" t="str" cm="1">
        <f t="array" aca="1" ref="V107" ca="1">IFERROR(print_SF('EF Table_detail'!X108),"")</f>
        <v>0</v>
      </c>
      <c r="W107" s="329" t="str" cm="1">
        <f t="array" aca="1" ref="W107" ca="1">IFERROR(print_SF('EF Table_detail'!AB108),"")</f>
        <v>44.0</v>
      </c>
      <c r="X107" s="330" t="str">
        <f t="shared" si="4"/>
        <v>kg/m²</v>
      </c>
      <c r="Y107" s="213" t="str" cm="1">
        <f t="array" aca="1" ref="Y107" ca="1">IF(INDIRECT(""&amp;$E107&amp;"!R"&amp;Y$141&amp;"C"&amp;Y$142,FALSE)=0,"",INDIRECT(""&amp;$E107&amp;"!R"&amp;Y$141&amp;"C"&amp;Y$142,FALSE))</f>
        <v>A number of generic windows and doors can still be selected. Calculated using referenced material quantities and multiplied by the relevant maximum EF to get the default maximum EF or the Average EF to get the average EF overall.</v>
      </c>
      <c r="Z107" s="277" t="str" cm="1">
        <f t="array" aca="1" ref="Z107" ca="1">IF(INDIRECT(""&amp;$E107&amp;"!R"&amp;Z$141&amp;"C"&amp;Z$142,FALSE)="Average (weighted)","Yes","No")</f>
        <v>No</v>
      </c>
    </row>
    <row r="108" spans="2:27" ht="45" customHeight="1" x14ac:dyDescent="0.25">
      <c r="B108" s="276" t="str">
        <f>'EF Table_detail'!A109</f>
        <v>Windows &amp; doors</v>
      </c>
      <c r="C108" s="192" t="str">
        <f>'EF Table_detail'!B109</f>
        <v>Door - glazed - Aluminium frame - Generic</v>
      </c>
      <c r="D108" s="193" t="str">
        <f ca="1">'EF Table_detail'!C109</f>
        <v>Determination of a generic window and door as described in material category column. Includes glass, framing, thermal breaks, spandrel/cladding material and key componentry in one sqm rate.</v>
      </c>
      <c r="E108" s="192" t="str">
        <f>'EF Table_detail'!D109</f>
        <v>Window_doors_generic</v>
      </c>
      <c r="F108" s="192" t="str">
        <f>'EF Table_detail'!E109</f>
        <v>m²</v>
      </c>
      <c r="G108" s="192" t="str">
        <f>'EF Table_detail'!F109</f>
        <v>Untiered</v>
      </c>
      <c r="H108" s="194">
        <f>'EF Table_detail'!G109</f>
        <v>1</v>
      </c>
      <c r="I108" s="454" t="str" cm="1">
        <f t="array" aca="1" ref="I108" ca="1">IFERROR(print_SF('EF Table_detail'!L109),"")</f>
        <v>313</v>
      </c>
      <c r="J108" s="226" t="str" cm="1">
        <f t="array" ref="J108">IFERROR(print_SF('EF Table_detail'!H109),"")</f>
        <v/>
      </c>
      <c r="K108" s="206" t="str" cm="1">
        <f t="array" aca="1" ref="K108" ca="1">IFERROR(print_SF('EF Table_detail'!I109),"")</f>
        <v>51.7</v>
      </c>
      <c r="L108" s="206" t="str" cm="1">
        <f t="array" aca="1" ref="L108" ca="1">IFERROR(print_SF('EF Table_detail'!J109),"")</f>
        <v>185</v>
      </c>
      <c r="M108" s="456" t="str" cm="1">
        <f t="array" aca="1" ref="M108" ca="1">IFERROR(print_SF('EF Table_detail'!Q109),"")</f>
        <v>10.7</v>
      </c>
      <c r="N108" s="204" t="str" cm="1">
        <f t="array" ref="N108">IFERROR(print_SF('EF Table_detail'!M109),"")</f>
        <v/>
      </c>
      <c r="O108" s="205" t="str" cm="1">
        <f t="array" aca="1" ref="O108" ca="1">IFERROR(print_SF('EF Table_detail'!N109),"")</f>
        <v>1.78</v>
      </c>
      <c r="P108" s="205" t="str" cm="1">
        <f t="array" aca="1" ref="P108" ca="1">IFERROR(print_SF('EF Table_detail'!O109),"")</f>
        <v>6.34</v>
      </c>
      <c r="Q108" s="454" t="str" cm="1">
        <f t="array" aca="1" ref="Q108" ca="1">IFERROR(print_SF('EF Table_detail'!V109),"")</f>
        <v>0</v>
      </c>
      <c r="R108" s="204" t="str" cm="1">
        <f t="array" ref="R108">IFERROR(print_SF('EF Table_detail'!S109),"")</f>
        <v/>
      </c>
      <c r="S108" s="205" t="str" cm="1">
        <f t="array" aca="1" ref="S108" ca="1">IFERROR(print_SF('EF Table_detail'!T109),"")</f>
        <v>0</v>
      </c>
      <c r="T108" s="456" t="str" cm="1">
        <f t="array" aca="1" ref="T108" ca="1">IFERROR(print_SF('EF Table_detail'!Z109),"")</f>
        <v>0</v>
      </c>
      <c r="U108" s="204" t="str" cm="1">
        <f t="array" ref="U108">IFERROR(print_SF('EF Table_detail'!W109),"")</f>
        <v/>
      </c>
      <c r="V108" s="205" t="str" cm="1">
        <f t="array" aca="1" ref="V108" ca="1">IFERROR(print_SF('EF Table_detail'!X109),"")</f>
        <v>0</v>
      </c>
      <c r="W108" s="329" t="str" cm="1">
        <f t="array" aca="1" ref="W108" ca="1">IFERROR(print_SF('EF Table_detail'!AB109),"")</f>
        <v>29.1</v>
      </c>
      <c r="X108" s="330" t="str">
        <f t="shared" si="4"/>
        <v>kg/m²</v>
      </c>
      <c r="Y108" s="213" t="str" cm="1">
        <f t="array" aca="1" ref="Y108" ca="1">IF(INDIRECT(""&amp;$E108&amp;"!R"&amp;Y$141&amp;"C"&amp;Y$142,FALSE)=0,"",INDIRECT(""&amp;$E108&amp;"!R"&amp;Y$141&amp;"C"&amp;Y$142,FALSE))</f>
        <v>A number of generic windows and doors can still be selected. Calculated using referenced material quantities and multiplied by the relevant maximum EF to get the default maximum EF or the Average EF to get the average EF overall.</v>
      </c>
      <c r="Z108" s="277" t="str" cm="1">
        <f t="array" aca="1" ref="Z108" ca="1">IF(INDIRECT(""&amp;$E108&amp;"!R"&amp;Z$141&amp;"C"&amp;Z$142,FALSE)="Average (weighted)","Yes","No")</f>
        <v>No</v>
      </c>
    </row>
    <row r="109" spans="2:27" ht="45" customHeight="1" x14ac:dyDescent="0.25">
      <c r="B109" s="276" t="str">
        <f>'EF Table_detail'!A110</f>
        <v>Windows &amp; doors</v>
      </c>
      <c r="C109" s="192" t="str">
        <f>'EF Table_detail'!B110</f>
        <v>Window Timber frame - Generic</v>
      </c>
      <c r="D109" s="193" t="str">
        <f ca="1">'EF Table_detail'!C110</f>
        <v>Determination of a generic window and door as described in material category column. Includes glass, framing, thermal breaks, spandrel/cladding material and key componentry in one sqm rate.</v>
      </c>
      <c r="E109" s="192" t="str">
        <f>'EF Table_detail'!D110</f>
        <v>Window_doors_generic</v>
      </c>
      <c r="F109" s="192" t="str">
        <f>'EF Table_detail'!E110</f>
        <v>m²</v>
      </c>
      <c r="G109" s="192" t="str">
        <f>'EF Table_detail'!F110</f>
        <v>Untiered</v>
      </c>
      <c r="H109" s="194">
        <f>'EF Table_detail'!G110</f>
        <v>1</v>
      </c>
      <c r="I109" s="454" t="str" cm="1">
        <f t="array" aca="1" ref="I109" ca="1">IFERROR(print_SF('EF Table_detail'!L110),"")</f>
        <v>311</v>
      </c>
      <c r="J109" s="226" t="str" cm="1">
        <f t="array" ref="J109">IFERROR(print_SF('EF Table_detail'!H110),"")</f>
        <v/>
      </c>
      <c r="K109" s="206" t="str" cm="1">
        <f t="array" aca="1" ref="K109" ca="1">IFERROR(print_SF('EF Table_detail'!I110),"")</f>
        <v>55.0</v>
      </c>
      <c r="L109" s="206" t="str" cm="1">
        <f t="array" aca="1" ref="L109" ca="1">IFERROR(print_SF('EF Table_detail'!J110),"")</f>
        <v>185</v>
      </c>
      <c r="M109" s="456" t="str" cm="1">
        <f t="array" aca="1" ref="M109" ca="1">IFERROR(print_SF('EF Table_detail'!Q110),"")</f>
        <v>10.3</v>
      </c>
      <c r="N109" s="204" t="str" cm="1">
        <f t="array" ref="N109">IFERROR(print_SF('EF Table_detail'!M110),"")</f>
        <v/>
      </c>
      <c r="O109" s="205" t="str" cm="1">
        <f t="array" aca="1" ref="O109" ca="1">IFERROR(print_SF('EF Table_detail'!N110),"")</f>
        <v>1.83</v>
      </c>
      <c r="P109" s="205" t="str" cm="1">
        <f t="array" aca="1" ref="P109" ca="1">IFERROR(print_SF('EF Table_detail'!O110),"")</f>
        <v>6.15</v>
      </c>
      <c r="Q109" s="454" t="str" cm="1">
        <f t="array" aca="1" ref="Q109" ca="1">IFERROR(print_SF('EF Table_detail'!V110),"")</f>
        <v>6.10</v>
      </c>
      <c r="R109" s="204" t="str" cm="1">
        <f t="array" ref="R109">IFERROR(print_SF('EF Table_detail'!S110),"")</f>
        <v/>
      </c>
      <c r="S109" s="205" t="str" cm="1">
        <f t="array" aca="1" ref="S109" ca="1">IFERROR(print_SF('EF Table_detail'!T110),"")</f>
        <v>5.99</v>
      </c>
      <c r="T109" s="456" t="str" cm="1">
        <f t="array" aca="1" ref="T109" ca="1">IFERROR(print_SF('EF Table_detail'!Z110),"")</f>
        <v>0.203</v>
      </c>
      <c r="U109" s="204" t="str" cm="1">
        <f t="array" ref="U109">IFERROR(print_SF('EF Table_detail'!W110),"")</f>
        <v/>
      </c>
      <c r="V109" s="205" t="str" cm="1">
        <f t="array" aca="1" ref="V109" ca="1">IFERROR(print_SF('EF Table_detail'!X110),"")</f>
        <v>0.199</v>
      </c>
      <c r="W109" s="329" t="str" cm="1">
        <f t="array" aca="1" ref="W109" ca="1">IFERROR(print_SF('EF Table_detail'!AB110),"")</f>
        <v>30.1</v>
      </c>
      <c r="X109" s="330" t="str">
        <f t="shared" si="4"/>
        <v>kg/m²</v>
      </c>
      <c r="Y109" s="213" t="str" cm="1">
        <f t="array" aca="1" ref="Y109" ca="1">IF(INDIRECT(""&amp;$E109&amp;"!R"&amp;Y$141&amp;"C"&amp;Y$142,FALSE)=0,"",INDIRECT(""&amp;$E109&amp;"!R"&amp;Y$141&amp;"C"&amp;Y$142,FALSE))</f>
        <v>A number of generic windows and doors can still be selected. Calculated using referenced material quantities and multiplied by the relevant maximum EF to get the default maximum EF or the Average EF to get the average EF overall.</v>
      </c>
      <c r="Z109" s="277" t="str" cm="1">
        <f t="array" aca="1" ref="Z109" ca="1">IF(INDIRECT(""&amp;$E109&amp;"!R"&amp;Z$141&amp;"C"&amp;Z$142,FALSE)="Average (weighted)","Yes","No")</f>
        <v>No</v>
      </c>
    </row>
    <row r="110" spans="2:27" ht="45" customHeight="1" x14ac:dyDescent="0.25">
      <c r="B110" s="276" t="str">
        <f>'EF Table_detail'!A111</f>
        <v>Windows &amp; doors</v>
      </c>
      <c r="C110" s="192" t="str">
        <f>'EF Table_detail'!B111</f>
        <v>Door timber no glazing - Generic</v>
      </c>
      <c r="D110" s="193" t="str">
        <f ca="1">'EF Table_detail'!C111</f>
        <v>Determination of a generic window and door as described in material category column. Includes glass, framing, thermal breaks, spandrel/cladding material and key componentry in one sqm rate.</v>
      </c>
      <c r="E110" s="192" t="str">
        <f>'EF Table_detail'!D111</f>
        <v>Window_doors_generic</v>
      </c>
      <c r="F110" s="192" t="str">
        <f>'EF Table_detail'!E111</f>
        <v>m²</v>
      </c>
      <c r="G110" s="192" t="str">
        <f>'EF Table_detail'!F111</f>
        <v>Untiered</v>
      </c>
      <c r="H110" s="194">
        <f>'EF Table_detail'!G111</f>
        <v>1</v>
      </c>
      <c r="I110" s="454" t="str" cm="1">
        <f t="array" aca="1" ref="I110" ca="1">IFERROR(print_SF('EF Table_detail'!L111),"")</f>
        <v>111</v>
      </c>
      <c r="J110" s="226" t="str" cm="1">
        <f t="array" ref="J110">IFERROR(print_SF('EF Table_detail'!H111),"")</f>
        <v/>
      </c>
      <c r="K110" s="206" t="str" cm="1">
        <f t="array" aca="1" ref="K110" ca="1">IFERROR(print_SF('EF Table_detail'!I111),"")</f>
        <v>32.7</v>
      </c>
      <c r="L110" s="206" t="str" cm="1">
        <f t="array" aca="1" ref="L110" ca="1">IFERROR(print_SF('EF Table_detail'!J111),"")</f>
        <v>68.3</v>
      </c>
      <c r="M110" s="456" t="str" cm="1">
        <f t="array" aca="1" ref="M110" ca="1">IFERROR(print_SF('EF Table_detail'!Q111),"")</f>
        <v>1.80</v>
      </c>
      <c r="N110" s="204" t="str" cm="1">
        <f t="array" ref="N110">IFERROR(print_SF('EF Table_detail'!M111),"")</f>
        <v/>
      </c>
      <c r="O110" s="205" t="str" cm="1">
        <f t="array" aca="1" ref="O110" ca="1">IFERROR(print_SF('EF Table_detail'!N111),"")</f>
        <v>0.527</v>
      </c>
      <c r="P110" s="205" t="str" cm="1">
        <f t="array" aca="1" ref="P110" ca="1">IFERROR(print_SF('EF Table_detail'!O111),"")</f>
        <v>1.10</v>
      </c>
      <c r="Q110" s="454" t="str" cm="1">
        <f t="array" aca="1" ref="Q110" ca="1">IFERROR(print_SF('EF Table_detail'!V111),"")</f>
        <v>70.0</v>
      </c>
      <c r="R110" s="204" t="str" cm="1">
        <f t="array" ref="R110">IFERROR(print_SF('EF Table_detail'!S111),"")</f>
        <v/>
      </c>
      <c r="S110" s="206" t="str" cm="1">
        <f t="array" aca="1" ref="S110" ca="1">IFERROR(print_SF('EF Table_detail'!T111),"")</f>
        <v>68.8</v>
      </c>
      <c r="T110" s="456" t="str" cm="1">
        <f t="array" aca="1" ref="T110" ca="1">IFERROR(print_SF('EF Table_detail'!Z111),"")</f>
        <v>1.13</v>
      </c>
      <c r="U110" s="204" t="str" cm="1">
        <f t="array" ref="U110">IFERROR(print_SF('EF Table_detail'!W111),"")</f>
        <v/>
      </c>
      <c r="V110" s="205" t="str" cm="1">
        <f t="array" aca="1" ref="V110" ca="1">IFERROR(print_SF('EF Table_detail'!X111),"")</f>
        <v>1.11</v>
      </c>
      <c r="W110" s="329" t="str" cm="1">
        <f t="array" aca="1" ref="W110" ca="1">IFERROR(print_SF('EF Table_detail'!AB111),"")</f>
        <v>62.0</v>
      </c>
      <c r="X110" s="330" t="str">
        <f t="shared" si="4"/>
        <v>kg/m²</v>
      </c>
      <c r="Y110" s="213" t="str" cm="1">
        <f t="array" aca="1" ref="Y110" ca="1">IF(INDIRECT(""&amp;$E110&amp;"!R"&amp;Y$141&amp;"C"&amp;Y$142,FALSE)=0,"",INDIRECT(""&amp;$E110&amp;"!R"&amp;Y$141&amp;"C"&amp;Y$142,FALSE))</f>
        <v>A number of generic windows and doors can still be selected. Calculated using referenced material quantities and multiplied by the relevant maximum EF to get the default maximum EF or the Average EF to get the average EF overall.</v>
      </c>
      <c r="Z110" s="277" t="str" cm="1">
        <f t="array" aca="1" ref="Z110" ca="1">IF(INDIRECT(""&amp;$E110&amp;"!R"&amp;Z$141&amp;"C"&amp;Z$142,FALSE)="Average (weighted)","Yes","No")</f>
        <v>No</v>
      </c>
    </row>
    <row r="111" spans="2:27" ht="45" customHeight="1" x14ac:dyDescent="0.25">
      <c r="B111" s="276" t="str">
        <f>'EF Table_detail'!A112</f>
        <v>Windows &amp; doors</v>
      </c>
      <c r="C111" s="192" t="str">
        <f>'EF Table_detail'!B112</f>
        <v>Door steel no glazing - Generic</v>
      </c>
      <c r="D111" s="193" t="str">
        <f ca="1">'EF Table_detail'!C112</f>
        <v>Determination of a generic window and door as described in material category column. Includes glass, framing, thermal breaks, spandrel/cladding material and key componentry in one sqm rate.</v>
      </c>
      <c r="E111" s="192" t="str">
        <f>'EF Table_detail'!D112</f>
        <v>Window_doors_generic</v>
      </c>
      <c r="F111" s="192" t="str">
        <f>'EF Table_detail'!E112</f>
        <v>m²</v>
      </c>
      <c r="G111" s="192" t="str">
        <f>'EF Table_detail'!F112</f>
        <v>Untiered</v>
      </c>
      <c r="H111" s="194">
        <f>'EF Table_detail'!G112</f>
        <v>1</v>
      </c>
      <c r="I111" s="454" t="str" cm="1">
        <f t="array" aca="1" ref="I111" ca="1">IFERROR(print_SF('EF Table_detail'!L112),"")</f>
        <v>380</v>
      </c>
      <c r="J111" s="226" t="str" cm="1">
        <f t="array" ref="J111">IFERROR(print_SF('EF Table_detail'!H112),"")</f>
        <v/>
      </c>
      <c r="K111" s="206" t="str" cm="1">
        <f t="array" aca="1" ref="K111" ca="1">IFERROR(print_SF('EF Table_detail'!I112),"")</f>
        <v>122</v>
      </c>
      <c r="L111" s="206" t="str" cm="1">
        <f t="array" aca="1" ref="L111" ca="1">IFERROR(print_SF('EF Table_detail'!J112),"")</f>
        <v>231</v>
      </c>
      <c r="M111" s="456" t="str" cm="1">
        <f t="array" aca="1" ref="M111" ca="1">IFERROR(print_SF('EF Table_detail'!Q112),"")</f>
        <v>3.87</v>
      </c>
      <c r="N111" s="204" t="str" cm="1">
        <f t="array" ref="N111">IFERROR(print_SF('EF Table_detail'!M112),"")</f>
        <v/>
      </c>
      <c r="O111" s="205" t="str" cm="1">
        <f t="array" aca="1" ref="O111" ca="1">IFERROR(print_SF('EF Table_detail'!N112),"")</f>
        <v>1.24</v>
      </c>
      <c r="P111" s="206" t="str" cm="1">
        <f t="array" aca="1" ref="P111" ca="1">IFERROR(print_SF('EF Table_detail'!O112),"")</f>
        <v>2.36</v>
      </c>
      <c r="Q111" s="454" t="str" cm="1">
        <f t="array" aca="1" ref="Q111" ca="1">IFERROR(print_SF('EF Table_detail'!V112),"")</f>
        <v>0</v>
      </c>
      <c r="R111" s="204" t="str" cm="1">
        <f t="array" ref="R111">IFERROR(print_SF('EF Table_detail'!S112),"")</f>
        <v/>
      </c>
      <c r="S111" s="205" t="str" cm="1">
        <f t="array" aca="1" ref="S111" ca="1">IFERROR(print_SF('EF Table_detail'!T112),"")</f>
        <v>0</v>
      </c>
      <c r="T111" s="456" t="str" cm="1">
        <f t="array" aca="1" ref="T111" ca="1">IFERROR(print_SF('EF Table_detail'!Z112),"")</f>
        <v>0</v>
      </c>
      <c r="U111" s="204" t="str" cm="1">
        <f t="array" ref="U111">IFERROR(print_SF('EF Table_detail'!W112),"")</f>
        <v/>
      </c>
      <c r="V111" s="205" t="str" cm="1">
        <f t="array" aca="1" ref="V111" ca="1">IFERROR(print_SF('EF Table_detail'!X112),"")</f>
        <v>0</v>
      </c>
      <c r="W111" s="329" t="str" cm="1">
        <f t="array" aca="1" ref="W111" ca="1">IFERROR(print_SF('EF Table_detail'!AB112),"")</f>
        <v>98.0</v>
      </c>
      <c r="X111" s="330" t="str">
        <f t="shared" si="4"/>
        <v>kg/m²</v>
      </c>
      <c r="Y111" s="213" t="str" cm="1">
        <f t="array" aca="1" ref="Y111" ca="1">IF(INDIRECT(""&amp;$E111&amp;"!R"&amp;Y$141&amp;"C"&amp;Y$142,FALSE)=0,"",INDIRECT(""&amp;$E111&amp;"!R"&amp;Y$141&amp;"C"&amp;Y$142,FALSE))</f>
        <v>A number of generic windows and doors can still be selected. Calculated using referenced material quantities and multiplied by the relevant maximum EF to get the default maximum EF or the Average EF to get the average EF overall.</v>
      </c>
      <c r="Z111" s="277" t="str" cm="1">
        <f t="array" aca="1" ref="Z111" ca="1">IF(INDIRECT(""&amp;$E111&amp;"!R"&amp;Z$141&amp;"C"&amp;Z$142,FALSE)="Average (weighted)","Yes","No")</f>
        <v>No</v>
      </c>
    </row>
    <row r="112" spans="2:27" ht="45" customHeight="1" x14ac:dyDescent="0.25">
      <c r="B112" s="276" t="str">
        <f>'EF Table_detail'!A113</f>
        <v>Windows &amp; doors</v>
      </c>
      <c r="C112" s="192" t="str">
        <f>'EF Table_detail'!B113</f>
        <v>Revolving door Glass_aluminium_steel - Generic</v>
      </c>
      <c r="D112" s="193" t="str">
        <f ca="1">'EF Table_detail'!C113</f>
        <v>Determination of a generic window and door as described in material category column. Includes glass, framing, thermal breaks, spandrel/cladding material and key componentry in one sqm rate.</v>
      </c>
      <c r="E112" s="192" t="str">
        <f>'EF Table_detail'!D113</f>
        <v>Window_doors_generic</v>
      </c>
      <c r="F112" s="192" t="str">
        <f>'EF Table_detail'!E113</f>
        <v>m²</v>
      </c>
      <c r="G112" s="192" t="str">
        <f>'EF Table_detail'!F113</f>
        <v>Untiered</v>
      </c>
      <c r="H112" s="194">
        <f>'EF Table_detail'!G113</f>
        <v>1</v>
      </c>
      <c r="I112" s="454" t="str" cm="1">
        <f t="array" aca="1" ref="I112" ca="1">IFERROR(print_SF('EF Table_detail'!L113),"")</f>
        <v>1,590</v>
      </c>
      <c r="J112" s="226" t="str" cm="1">
        <f t="array" ref="J112">IFERROR(print_SF('EF Table_detail'!H113),"")</f>
        <v/>
      </c>
      <c r="K112" s="206" t="str" cm="1">
        <f t="array" aca="1" ref="K112" ca="1">IFERROR(print_SF('EF Table_detail'!I113),"")</f>
        <v>283</v>
      </c>
      <c r="L112" s="206" t="str" cm="1">
        <f t="array" aca="1" ref="L112" ca="1">IFERROR(print_SF('EF Table_detail'!J113),"")</f>
        <v>943</v>
      </c>
      <c r="M112" s="456" t="str" cm="1">
        <f t="array" aca="1" ref="M112" ca="1">IFERROR(print_SF('EF Table_detail'!Q113),"")</f>
        <v>9.71</v>
      </c>
      <c r="N112" s="204" t="str" cm="1">
        <f t="array" ref="N112">IFERROR(print_SF('EF Table_detail'!M113),"")</f>
        <v/>
      </c>
      <c r="O112" s="205" t="str" cm="1">
        <f t="array" aca="1" ref="O112" ca="1">IFERROR(print_SF('EF Table_detail'!N113),"")</f>
        <v>1.72</v>
      </c>
      <c r="P112" s="206" t="str" cm="1">
        <f t="array" aca="1" ref="P112" ca="1">IFERROR(print_SF('EF Table_detail'!O113),"")</f>
        <v>5.75</v>
      </c>
      <c r="Q112" s="454" t="str" cm="1">
        <f t="array" aca="1" ref="Q112" ca="1">IFERROR(print_SF('EF Table_detail'!V113),"")</f>
        <v>26.8</v>
      </c>
      <c r="R112" s="204" t="str" cm="1">
        <f t="array" ref="R112">IFERROR(print_SF('EF Table_detail'!S113),"")</f>
        <v/>
      </c>
      <c r="S112" s="206" t="str" cm="1">
        <f t="array" aca="1" ref="S112" ca="1">IFERROR(print_SF('EF Table_detail'!T113),"")</f>
        <v>26.3</v>
      </c>
      <c r="T112" s="456" t="str" cm="1">
        <f t="array" aca="1" ref="T112" ca="1">IFERROR(print_SF('EF Table_detail'!Z113),"")</f>
        <v>0.163</v>
      </c>
      <c r="U112" s="204" t="str" cm="1">
        <f t="array" ref="U112">IFERROR(print_SF('EF Table_detail'!W113),"")</f>
        <v/>
      </c>
      <c r="V112" s="205" t="str" cm="1">
        <f t="array" aca="1" ref="V112" ca="1">IFERROR(print_SF('EF Table_detail'!X113),"")</f>
        <v>0.160</v>
      </c>
      <c r="W112" s="329" t="str" cm="1">
        <f t="array" aca="1" ref="W112" ca="1">IFERROR(print_SF('EF Table_detail'!AB113),"")</f>
        <v>164</v>
      </c>
      <c r="X112" s="330" t="str">
        <f t="shared" si="4"/>
        <v>kg/m²</v>
      </c>
      <c r="Y112" s="213" t="str" cm="1">
        <f t="array" aca="1" ref="Y112" ca="1">IF(INDIRECT(""&amp;$E112&amp;"!R"&amp;Y$141&amp;"C"&amp;Y$142,FALSE)=0,"",INDIRECT(""&amp;$E112&amp;"!R"&amp;Y$141&amp;"C"&amp;Y$142,FALSE))</f>
        <v>A number of generic windows and doors can still be selected. Calculated using referenced material quantities and multiplied by the relevant maximum EF to get the default maximum EF or the Average EF to get the average EF overall.</v>
      </c>
      <c r="Z112" s="277" t="str" cm="1">
        <f t="array" aca="1" ref="Z112" ca="1">IF(INDIRECT(""&amp;$E112&amp;"!R"&amp;Z$141&amp;"C"&amp;Z$142,FALSE)="Average (weighted)","Yes","No")</f>
        <v>No</v>
      </c>
    </row>
    <row r="113" spans="2:26" ht="45" customHeight="1" x14ac:dyDescent="0.25">
      <c r="B113" s="276" t="str">
        <f>'EF Table_detail'!A114</f>
        <v>Curtain wall</v>
      </c>
      <c r="C113" s="192" t="str">
        <f>'EF Table_detail'!B114</f>
        <v xml:space="preserve">Curtain wall - Generic - Curtain wall, aluminium unitised, 100% DGU 8T-16-44.2 </v>
      </c>
      <c r="D113" s="193" t="str">
        <f ca="1">'EF Table_detail'!C114</f>
        <v>Determination of a generic curtain wall as described in material category column. Includes glass, framing, thermal breaks, spandrel/cladding material and insulation in one sqm rate.</v>
      </c>
      <c r="E113" s="192" t="str">
        <f>'EF Table_detail'!D114</f>
        <v>Curtain_wall</v>
      </c>
      <c r="F113" s="192" t="str">
        <f>'EF Table_detail'!E114</f>
        <v>m²</v>
      </c>
      <c r="G113" s="192" t="str">
        <f>'EF Table_detail'!F114</f>
        <v>Untiered</v>
      </c>
      <c r="H113" s="194">
        <f>'EF Table_detail'!G114</f>
        <v>1</v>
      </c>
      <c r="I113" s="454" t="str" cm="1">
        <f t="array" aca="1" ref="I113" ca="1">IFERROR(print_SF('EF Table_detail'!L114),"")</f>
        <v>435</v>
      </c>
      <c r="J113" s="226" t="str" cm="1">
        <f t="array" ref="J113">IFERROR(print_SF('EF Table_detail'!H114),"")</f>
        <v/>
      </c>
      <c r="K113" s="206" t="str" cm="1">
        <f t="array" aca="1" ref="K113" ca="1">IFERROR(print_SF('EF Table_detail'!I114),"")</f>
        <v>115</v>
      </c>
      <c r="L113" s="206" t="str" cm="1">
        <f t="array" aca="1" ref="L113" ca="1">IFERROR(print_SF('EF Table_detail'!J114),"")</f>
        <v>267</v>
      </c>
      <c r="M113" s="456" t="str" cm="1">
        <f t="array" aca="1" ref="M113" ca="1">IFERROR(print_SF('EF Table_detail'!Q114),"")</f>
        <v>7.84</v>
      </c>
      <c r="N113" s="204" t="str" cm="1">
        <f t="array" ref="N113">IFERROR(print_SF('EF Table_detail'!M114),"")</f>
        <v/>
      </c>
      <c r="O113" s="205" t="str" cm="1">
        <f t="array" aca="1" ref="O113" ca="1">IFERROR(print_SF('EF Table_detail'!N114),"")</f>
        <v>2.07</v>
      </c>
      <c r="P113" s="205" t="str" cm="1">
        <f t="array" aca="1" ref="P113" ca="1">IFERROR(print_SF('EF Table_detail'!O114),"")</f>
        <v>4.82</v>
      </c>
      <c r="Q113" s="454" t="str" cm="1">
        <f t="array" aca="1" ref="Q113" ca="1">IFERROR(print_SF('EF Table_detail'!V114),"")</f>
        <v>0</v>
      </c>
      <c r="R113" s="204" t="str" cm="1">
        <f t="array" ref="R113">IFERROR(print_SF('EF Table_detail'!S114),"")</f>
        <v/>
      </c>
      <c r="S113" s="205" t="str" cm="1">
        <f t="array" aca="1" ref="S113" ca="1">IFERROR(print_SF('EF Table_detail'!T114),"")</f>
        <v>0</v>
      </c>
      <c r="T113" s="456" t="str" cm="1">
        <f t="array" aca="1" ref="T113" ca="1">IFERROR(print_SF('EF Table_detail'!Z114),"")</f>
        <v>0</v>
      </c>
      <c r="U113" s="204" t="str" cm="1">
        <f t="array" ref="U113">IFERROR(print_SF('EF Table_detail'!W114),"")</f>
        <v/>
      </c>
      <c r="V113" s="205" t="str" cm="1">
        <f t="array" aca="1" ref="V113" ca="1">IFERROR(print_SF('EF Table_detail'!X114),"")</f>
        <v>0</v>
      </c>
      <c r="W113" s="329" t="str" cm="1">
        <f t="array" aca="1" ref="W113" ca="1">IFERROR(print_SF('EF Table_detail'!AB114),"")</f>
        <v>55.4</v>
      </c>
      <c r="X113" s="330" t="str">
        <f t="shared" ref="X113:X133" si="5">"kg/"&amp;F113</f>
        <v>kg/m²</v>
      </c>
      <c r="Y113" s="213" t="str" cm="1">
        <f t="array" aca="1" ref="Y113" ca="1">IF(INDIRECT(""&amp;$E113&amp;"!R"&amp;Y$141&amp;"C"&amp;Y$142,FALSE)=0,"",INDIRECT(""&amp;$E113&amp;"!R"&amp;Y$141&amp;"C"&amp;Y$142,FALSE))</f>
        <v>A number of generic Curtain Wall systems are presented for cases when Curtain Wall information is not available. Calculated using referenced material quantities and multiplied by the relevant maximum EF to get the default maximum EF or the Average EF to get the average EF overall. Reference material quantites based on generic designs for a european context. More information see material tab.</v>
      </c>
      <c r="Z113" s="277" t="str" cm="1">
        <f t="array" aca="1" ref="Z113" ca="1">IF(INDIRECT(""&amp;$E113&amp;"!R"&amp;Z$141&amp;"C"&amp;Z$142,FALSE)="Average (weighted)","Yes","No")</f>
        <v>No</v>
      </c>
    </row>
    <row r="114" spans="2:26" ht="45" customHeight="1" x14ac:dyDescent="0.25">
      <c r="B114" s="276" t="str">
        <f>'EF Table_detail'!A115</f>
        <v>Curtain wall</v>
      </c>
      <c r="C114" s="192" t="str">
        <f>'EF Table_detail'!B115</f>
        <v xml:space="preserve">Curtain wall - Generic - Curtain wall, aluminium unitised, aluminium cladding, 50% DGU 8T-16-44.2 </v>
      </c>
      <c r="D114" s="193" t="str">
        <f ca="1">'EF Table_detail'!C115</f>
        <v>Determination of a generic curtain wall as described in material category column. Includes glass, framing, thermal breaks, spandrel/cladding material and insulation in one sqm rate.</v>
      </c>
      <c r="E114" s="192" t="str">
        <f>'EF Table_detail'!D115</f>
        <v>Curtain_wall</v>
      </c>
      <c r="F114" s="192" t="str">
        <f>'EF Table_detail'!E115</f>
        <v>m²</v>
      </c>
      <c r="G114" s="192" t="str">
        <f>'EF Table_detail'!F115</f>
        <v>Untiered</v>
      </c>
      <c r="H114" s="194">
        <f>'EF Table_detail'!G115</f>
        <v>1</v>
      </c>
      <c r="I114" s="454" t="str" cm="1">
        <f t="array" aca="1" ref="I114" ca="1">IFERROR(print_SF('EF Table_detail'!L115),"")</f>
        <v>655</v>
      </c>
      <c r="J114" s="226" t="str" cm="1">
        <f t="array" ref="J114">IFERROR(print_SF('EF Table_detail'!H115),"")</f>
        <v/>
      </c>
      <c r="K114" s="206" t="str" cm="1">
        <f t="array" aca="1" ref="K114" ca="1">IFERROR(print_SF('EF Table_detail'!I115),"")</f>
        <v>138</v>
      </c>
      <c r="L114" s="206" t="str" cm="1">
        <f t="array" aca="1" ref="L114" ca="1">IFERROR(print_SF('EF Table_detail'!J115),"")</f>
        <v>386</v>
      </c>
      <c r="M114" s="456" t="str" cm="1">
        <f t="array" aca="1" ref="M114" ca="1">IFERROR(print_SF('EF Table_detail'!Q115),"")</f>
        <v>14.4</v>
      </c>
      <c r="N114" s="204" t="str" cm="1">
        <f t="array" ref="N114">IFERROR(print_SF('EF Table_detail'!M115),"")</f>
        <v/>
      </c>
      <c r="O114" s="205" t="str" cm="1">
        <f t="array" aca="1" ref="O114" ca="1">IFERROR(print_SF('EF Table_detail'!N115),"")</f>
        <v>3.03</v>
      </c>
      <c r="P114" s="206" t="str" cm="1">
        <f t="array" aca="1" ref="P114" ca="1">IFERROR(print_SF('EF Table_detail'!O115),"")</f>
        <v>8.50</v>
      </c>
      <c r="Q114" s="454" t="str" cm="1">
        <f t="array" aca="1" ref="Q114" ca="1">IFERROR(print_SF('EF Table_detail'!V115),"")</f>
        <v>0</v>
      </c>
      <c r="R114" s="204" t="str" cm="1">
        <f t="array" ref="R114">IFERROR(print_SF('EF Table_detail'!S115),"")</f>
        <v/>
      </c>
      <c r="S114" s="205" t="str" cm="1">
        <f t="array" aca="1" ref="S114" ca="1">IFERROR(print_SF('EF Table_detail'!T115),"")</f>
        <v>0</v>
      </c>
      <c r="T114" s="456" t="str" cm="1">
        <f t="array" aca="1" ref="T114" ca="1">IFERROR(print_SF('EF Table_detail'!Z115),"")</f>
        <v>0</v>
      </c>
      <c r="U114" s="204" t="str" cm="1">
        <f t="array" ref="U114">IFERROR(print_SF('EF Table_detail'!W115),"")</f>
        <v/>
      </c>
      <c r="V114" s="205" t="str" cm="1">
        <f t="array" aca="1" ref="V114" ca="1">IFERROR(print_SF('EF Table_detail'!X115),"")</f>
        <v>0</v>
      </c>
      <c r="W114" s="329" t="str" cm="1">
        <f t="array" aca="1" ref="W114" ca="1">IFERROR(print_SF('EF Table_detail'!AB115),"")</f>
        <v>45.5</v>
      </c>
      <c r="X114" s="330" t="str">
        <f t="shared" si="5"/>
        <v>kg/m²</v>
      </c>
      <c r="Y114" s="213" t="str" cm="1">
        <f t="array" aca="1" ref="Y114" ca="1">IF(INDIRECT(""&amp;$E114&amp;"!R"&amp;Y$141&amp;"C"&amp;Y$142,FALSE)=0,"",INDIRECT(""&amp;$E114&amp;"!R"&amp;Y$141&amp;"C"&amp;Y$142,FALSE))</f>
        <v>A number of generic Curtain Wall systems are presented for cases when Curtain Wall information is not available. Calculated using referenced material quantities and multiplied by the relevant maximum EF to get the default maximum EF or the Average EF to get the average EF overall. Reference material quantites based on generic designs for a european context. More information see material tab.</v>
      </c>
      <c r="Z114" s="277" t="str" cm="1">
        <f t="array" aca="1" ref="Z114" ca="1">IF(INDIRECT(""&amp;$E114&amp;"!R"&amp;Z$141&amp;"C"&amp;Z$142,FALSE)="Average (weighted)","Yes","No")</f>
        <v>No</v>
      </c>
    </row>
    <row r="115" spans="2:26" ht="45" customHeight="1" x14ac:dyDescent="0.25">
      <c r="B115" s="276" t="str">
        <f>'EF Table_detail'!A116</f>
        <v>Curtain wall</v>
      </c>
      <c r="C115" s="192" t="str">
        <f>'EF Table_detail'!B116</f>
        <v xml:space="preserve">Curtain wall - Generic - Curtain wall, aluminium unitised, aluminium cladding with vertical fins, 50% DGU 8T-16-44.2 </v>
      </c>
      <c r="D115" s="193" t="str">
        <f ca="1">'EF Table_detail'!C116</f>
        <v>Determination of a generic curtain wall as described in material category column. Includes glass, framing, thermal breaks, spandrel/cladding material and insulation in one sqm rate.</v>
      </c>
      <c r="E115" s="192" t="str">
        <f>'EF Table_detail'!D116</f>
        <v>Curtain_wall</v>
      </c>
      <c r="F115" s="192" t="str">
        <f>'EF Table_detail'!E116</f>
        <v>m²</v>
      </c>
      <c r="G115" s="192" t="str">
        <f>'EF Table_detail'!F116</f>
        <v>Untiered</v>
      </c>
      <c r="H115" s="194">
        <f>'EF Table_detail'!G116</f>
        <v>1</v>
      </c>
      <c r="I115" s="454" t="str" cm="1">
        <f t="array" aca="1" ref="I115" ca="1">IFERROR(print_SF('EF Table_detail'!L116),"")</f>
        <v>866</v>
      </c>
      <c r="J115" s="226" t="str" cm="1">
        <f t="array" ref="J115">IFERROR(print_SF('EF Table_detail'!H116),"")</f>
        <v/>
      </c>
      <c r="K115" s="206" t="str" cm="1">
        <f t="array" aca="1" ref="K115" ca="1">IFERROR(print_SF('EF Table_detail'!I116),"")</f>
        <v>174</v>
      </c>
      <c r="L115" s="206" t="str" cm="1">
        <f t="array" aca="1" ref="L115" ca="1">IFERROR(print_SF('EF Table_detail'!J116),"")</f>
        <v>507</v>
      </c>
      <c r="M115" s="456" t="str" cm="1">
        <f t="array" aca="1" ref="M115" ca="1">IFERROR(print_SF('EF Table_detail'!Q116),"")</f>
        <v>16.5</v>
      </c>
      <c r="N115" s="204" t="str" cm="1">
        <f t="array" ref="N115">IFERROR(print_SF('EF Table_detail'!M116),"")</f>
        <v/>
      </c>
      <c r="O115" s="205" t="str" cm="1">
        <f t="array" aca="1" ref="O115" ca="1">IFERROR(print_SF('EF Table_detail'!N116),"")</f>
        <v>3.32</v>
      </c>
      <c r="P115" s="206" t="str" cm="1">
        <f t="array" aca="1" ref="P115" ca="1">IFERROR(print_SF('EF Table_detail'!O116),"")</f>
        <v>9.66</v>
      </c>
      <c r="Q115" s="454" t="str" cm="1">
        <f t="array" aca="1" ref="Q115" ca="1">IFERROR(print_SF('EF Table_detail'!V116),"")</f>
        <v>0</v>
      </c>
      <c r="R115" s="204" t="str" cm="1">
        <f t="array" ref="R115">IFERROR(print_SF('EF Table_detail'!S116),"")</f>
        <v/>
      </c>
      <c r="S115" s="205" t="str" cm="1">
        <f t="array" aca="1" ref="S115" ca="1">IFERROR(print_SF('EF Table_detail'!T116),"")</f>
        <v>0</v>
      </c>
      <c r="T115" s="456" t="str" cm="1">
        <f t="array" aca="1" ref="T115" ca="1">IFERROR(print_SF('EF Table_detail'!Z116),"")</f>
        <v>0</v>
      </c>
      <c r="U115" s="204" t="str" cm="1">
        <f t="array" ref="U115">IFERROR(print_SF('EF Table_detail'!W116),"")</f>
        <v/>
      </c>
      <c r="V115" s="205" t="str" cm="1">
        <f t="array" aca="1" ref="V115" ca="1">IFERROR(print_SF('EF Table_detail'!X116),"")</f>
        <v>0</v>
      </c>
      <c r="W115" s="329" t="str" cm="1">
        <f t="array" aca="1" ref="W115" ca="1">IFERROR(print_SF('EF Table_detail'!AB116),"")</f>
        <v>52.5</v>
      </c>
      <c r="X115" s="330" t="str">
        <f t="shared" si="5"/>
        <v>kg/m²</v>
      </c>
      <c r="Y115" s="213" t="str" cm="1">
        <f t="array" aca="1" ref="Y115" ca="1">IF(INDIRECT(""&amp;$E115&amp;"!R"&amp;Y$141&amp;"C"&amp;Y$142,FALSE)=0,"",INDIRECT(""&amp;$E115&amp;"!R"&amp;Y$141&amp;"C"&amp;Y$142,FALSE))</f>
        <v>A number of generic Curtain Wall systems are presented for cases when Curtain Wall information is not available. Calculated using referenced material quantities and multiplied by the relevant maximum EF to get the default maximum EF or the Average EF to get the average EF overall. Reference material quantites based on generic designs for a european context. More information see material tab.</v>
      </c>
      <c r="Z115" s="277" t="str" cm="1">
        <f t="array" aca="1" ref="Z115" ca="1">IF(INDIRECT(""&amp;$E115&amp;"!R"&amp;Z$141&amp;"C"&amp;Z$142,FALSE)="Average (weighted)","Yes","No")</f>
        <v>No</v>
      </c>
    </row>
    <row r="116" spans="2:26" ht="45" customHeight="1" x14ac:dyDescent="0.25">
      <c r="B116" s="276" t="str">
        <f>'EF Table_detail'!A117</f>
        <v>Curtain wall</v>
      </c>
      <c r="C116" s="192" t="str">
        <f>'EF Table_detail'!B117</f>
        <v xml:space="preserve">Curtain wall - Generic - Curtain wall, aluminium unitised, aluminium cladding, 50% TGU 8T-16-6-16-44.2 </v>
      </c>
      <c r="D116" s="193" t="str">
        <f ca="1">'EF Table_detail'!C117</f>
        <v>Determination of a generic curtain wall as described in material category column. Includes glass, framing, thermal breaks, spandrel/cladding material and insulation in one sqm rate.</v>
      </c>
      <c r="E116" s="192" t="str">
        <f>'EF Table_detail'!D117</f>
        <v>Curtain_wall</v>
      </c>
      <c r="F116" s="192" t="str">
        <f>'EF Table_detail'!E117</f>
        <v>m²</v>
      </c>
      <c r="G116" s="192" t="str">
        <f>'EF Table_detail'!F117</f>
        <v>Untiered</v>
      </c>
      <c r="H116" s="194">
        <f>'EF Table_detail'!G117</f>
        <v>1</v>
      </c>
      <c r="I116" s="454" t="str" cm="1">
        <f t="array" aca="1" ref="I116" ca="1">IFERROR(print_SF('EF Table_detail'!L117),"")</f>
        <v>665</v>
      </c>
      <c r="J116" s="226" t="str" cm="1">
        <f t="array" ref="J116">IFERROR(print_SF('EF Table_detail'!H117),"")</f>
        <v/>
      </c>
      <c r="K116" s="206" t="str" cm="1">
        <f t="array" aca="1" ref="K116" ca="1">IFERROR(print_SF('EF Table_detail'!I117),"")</f>
        <v>148</v>
      </c>
      <c r="L116" s="206" t="str" cm="1">
        <f t="array" aca="1" ref="L116" ca="1">IFERROR(print_SF('EF Table_detail'!J117),"")</f>
        <v>395</v>
      </c>
      <c r="M116" s="456" t="str" cm="1">
        <f t="array" aca="1" ref="M116" ca="1">IFERROR(print_SF('EF Table_detail'!Q117),"")</f>
        <v>12.4</v>
      </c>
      <c r="N116" s="204" t="str" cm="1">
        <f t="array" ref="N116">IFERROR(print_SF('EF Table_detail'!M117),"")</f>
        <v/>
      </c>
      <c r="O116" s="205" t="str" cm="1">
        <f t="array" aca="1" ref="O116" ca="1">IFERROR(print_SF('EF Table_detail'!N117),"")</f>
        <v>2.75</v>
      </c>
      <c r="P116" s="205" t="str" cm="1">
        <f t="array" aca="1" ref="P116" ca="1">IFERROR(print_SF('EF Table_detail'!O117),"")</f>
        <v>7.36</v>
      </c>
      <c r="Q116" s="454" t="str" cm="1">
        <f t="array" aca="1" ref="Q116" ca="1">IFERROR(print_SF('EF Table_detail'!V117),"")</f>
        <v>0</v>
      </c>
      <c r="R116" s="204" t="str" cm="1">
        <f t="array" ref="R116">IFERROR(print_SF('EF Table_detail'!S117),"")</f>
        <v/>
      </c>
      <c r="S116" s="205" t="str" cm="1">
        <f t="array" aca="1" ref="S116" ca="1">IFERROR(print_SF('EF Table_detail'!T117),"")</f>
        <v>0</v>
      </c>
      <c r="T116" s="456" t="str" cm="1">
        <f t="array" aca="1" ref="T116" ca="1">IFERROR(print_SF('EF Table_detail'!Z117),"")</f>
        <v>0</v>
      </c>
      <c r="U116" s="204" t="str" cm="1">
        <f t="array" ref="U116">IFERROR(print_SF('EF Table_detail'!W117),"")</f>
        <v/>
      </c>
      <c r="V116" s="205" t="str" cm="1">
        <f t="array" aca="1" ref="V116" ca="1">IFERROR(print_SF('EF Table_detail'!X117),"")</f>
        <v>0</v>
      </c>
      <c r="W116" s="329" t="str" cm="1">
        <f t="array" aca="1" ref="W116" ca="1">IFERROR(print_SF('EF Table_detail'!AB117),"")</f>
        <v>53.7</v>
      </c>
      <c r="X116" s="330" t="str">
        <f t="shared" si="5"/>
        <v>kg/m²</v>
      </c>
      <c r="Y116" s="213" t="str" cm="1">
        <f t="array" aca="1" ref="Y116" ca="1">IF(INDIRECT(""&amp;$E116&amp;"!R"&amp;Y$141&amp;"C"&amp;Y$142,FALSE)=0,"",INDIRECT(""&amp;$E116&amp;"!R"&amp;Y$141&amp;"C"&amp;Y$142,FALSE))</f>
        <v>A number of generic Curtain Wall systems are presented for cases when Curtain Wall information is not available. Calculated using referenced material quantities and multiplied by the relevant maximum EF to get the default maximum EF or the Average EF to get the average EF overall. Reference material quantites based on generic designs for a european context. More information see material tab.</v>
      </c>
      <c r="Z116" s="277" t="str" cm="1">
        <f t="array" aca="1" ref="Z116" ca="1">IF(INDIRECT(""&amp;$E116&amp;"!R"&amp;Z$141&amp;"C"&amp;Z$142,FALSE)="Average (weighted)","Yes","No")</f>
        <v>No</v>
      </c>
    </row>
    <row r="117" spans="2:26" ht="45" customHeight="1" x14ac:dyDescent="0.25">
      <c r="B117" s="276" t="str">
        <f>'EF Table_detail'!A118</f>
        <v>Curtain wall</v>
      </c>
      <c r="C117" s="192" t="str">
        <f>'EF Table_detail'!B118</f>
        <v xml:space="preserve">Curtain wall - Generic - Curtain wall, aluminium unitised, insulated shadow box, 50% DGU 8T-16-44.2 </v>
      </c>
      <c r="D117" s="193" t="str">
        <f ca="1">'EF Table_detail'!C118</f>
        <v>Determination of a generic curtain wall as described in material category column. Includes glass, framing, thermal breaks, spandrel/cladding material and insulation in one sqm rate.</v>
      </c>
      <c r="E117" s="192" t="str">
        <f>'EF Table_detail'!D118</f>
        <v>Curtain_wall</v>
      </c>
      <c r="F117" s="192" t="str">
        <f>'EF Table_detail'!E118</f>
        <v>m²</v>
      </c>
      <c r="G117" s="192" t="str">
        <f>'EF Table_detail'!F118</f>
        <v>Untiered</v>
      </c>
      <c r="H117" s="194">
        <f>'EF Table_detail'!G118</f>
        <v>1</v>
      </c>
      <c r="I117" s="454" t="str" cm="1">
        <f t="array" aca="1" ref="I117" ca="1">IFERROR(print_SF('EF Table_detail'!L118),"")</f>
        <v>575</v>
      </c>
      <c r="J117" s="226" t="str" cm="1">
        <f t="array" ref="J117">IFERROR(print_SF('EF Table_detail'!H118),"")</f>
        <v/>
      </c>
      <c r="K117" s="206" t="str" cm="1">
        <f t="array" aca="1" ref="K117" ca="1">IFERROR(print_SF('EF Table_detail'!I118),"")</f>
        <v>142</v>
      </c>
      <c r="L117" s="206" t="str" cm="1">
        <f t="array" aca="1" ref="L117" ca="1">IFERROR(print_SF('EF Table_detail'!J118),"")</f>
        <v>349</v>
      </c>
      <c r="M117" s="456" t="str" cm="1">
        <f t="array" aca="1" ref="M117" ca="1">IFERROR(print_SF('EF Table_detail'!Q118),"")</f>
        <v>9.33</v>
      </c>
      <c r="N117" s="204" t="str" cm="1">
        <f t="array" ref="N117">IFERROR(print_SF('EF Table_detail'!M118),"")</f>
        <v/>
      </c>
      <c r="O117" s="205" t="str" cm="1">
        <f t="array" aca="1" ref="O117" ca="1">IFERROR(print_SF('EF Table_detail'!N118),"")</f>
        <v>2.29</v>
      </c>
      <c r="P117" s="205" t="str" cm="1">
        <f t="array" aca="1" ref="P117" ca="1">IFERROR(print_SF('EF Table_detail'!O118),"")</f>
        <v>5.65</v>
      </c>
      <c r="Q117" s="454" t="str" cm="1">
        <f t="array" aca="1" ref="Q117" ca="1">IFERROR(print_SF('EF Table_detail'!V118),"")</f>
        <v>0</v>
      </c>
      <c r="R117" s="204" t="str" cm="1">
        <f t="array" ref="R117">IFERROR(print_SF('EF Table_detail'!S118),"")</f>
        <v/>
      </c>
      <c r="S117" s="205" t="str" cm="1">
        <f t="array" aca="1" ref="S117" ca="1">IFERROR(print_SF('EF Table_detail'!T118),"")</f>
        <v>0</v>
      </c>
      <c r="T117" s="456" t="str" cm="1">
        <f t="array" aca="1" ref="T117" ca="1">IFERROR(print_SF('EF Table_detail'!Z118),"")</f>
        <v>0</v>
      </c>
      <c r="U117" s="204" t="str" cm="1">
        <f t="array" ref="U117">IFERROR(print_SF('EF Table_detail'!W118),"")</f>
        <v/>
      </c>
      <c r="V117" s="205" t="str" cm="1">
        <f t="array" aca="1" ref="V117" ca="1">IFERROR(print_SF('EF Table_detail'!X118),"")</f>
        <v>0</v>
      </c>
      <c r="W117" s="329" t="str" cm="1">
        <f t="array" aca="1" ref="W117" ca="1">IFERROR(print_SF('EF Table_detail'!AB118),"")</f>
        <v>61.7</v>
      </c>
      <c r="X117" s="330" t="str">
        <f t="shared" si="5"/>
        <v>kg/m²</v>
      </c>
      <c r="Y117" s="213" t="str" cm="1">
        <f t="array" aca="1" ref="Y117" ca="1">IF(INDIRECT(""&amp;$E117&amp;"!R"&amp;Y$141&amp;"C"&amp;Y$142,FALSE)=0,"",INDIRECT(""&amp;$E117&amp;"!R"&amp;Y$141&amp;"C"&amp;Y$142,FALSE))</f>
        <v>A number of generic Curtain Wall systems are presented for cases when Curtain Wall information is not available. Calculated using referenced material quantities and multiplied by the relevant maximum EF to get the default maximum EF or the Average EF to get the average EF overall. Reference material quantites based on generic designs for a european context. More information see material tab.</v>
      </c>
      <c r="Z117" s="277" t="str" cm="1">
        <f t="array" aca="1" ref="Z117" ca="1">IF(INDIRECT(""&amp;$E117&amp;"!R"&amp;Z$141&amp;"C"&amp;Z$142,FALSE)="Average (weighted)","Yes","No")</f>
        <v>No</v>
      </c>
    </row>
    <row r="118" spans="2:26" ht="45" customHeight="1" x14ac:dyDescent="0.25">
      <c r="B118" s="276" t="str">
        <f>'EF Table_detail'!A119</f>
        <v>Curtain wall</v>
      </c>
      <c r="C118" s="192" t="str">
        <f>'EF Table_detail'!B119</f>
        <v xml:space="preserve">Curtain wall - Generic - Curtain wall, aluminium unitised, GRC cladding, 50% DGU 8T-16-44.2 </v>
      </c>
      <c r="D118" s="193" t="str">
        <f ca="1">'EF Table_detail'!C119</f>
        <v>Determination of a generic curtain wall as described in material category column. Includes glass, framing, thermal breaks, spandrel/cladding material and insulation in one sqm rate.</v>
      </c>
      <c r="E118" s="192" t="str">
        <f>'EF Table_detail'!D119</f>
        <v>Curtain_wall</v>
      </c>
      <c r="F118" s="192" t="str">
        <f>'EF Table_detail'!E119</f>
        <v>m²</v>
      </c>
      <c r="G118" s="192" t="str">
        <f>'EF Table_detail'!F119</f>
        <v>Untiered</v>
      </c>
      <c r="H118" s="194">
        <f>'EF Table_detail'!G119</f>
        <v>1</v>
      </c>
      <c r="I118" s="454" t="str" cm="1">
        <f t="array" aca="1" ref="I118" ca="1">IFERROR(print_SF('EF Table_detail'!L119),"")</f>
        <v>765</v>
      </c>
      <c r="J118" s="226" t="str" cm="1">
        <f t="array" ref="J118">IFERROR(print_SF('EF Table_detail'!H119),"")</f>
        <v/>
      </c>
      <c r="K118" s="206" t="str" cm="1">
        <f t="array" aca="1" ref="K118" ca="1">IFERROR(print_SF('EF Table_detail'!I119),"")</f>
        <v>167</v>
      </c>
      <c r="L118" s="206" t="str" cm="1">
        <f t="array" aca="1" ref="L118" ca="1">IFERROR(print_SF('EF Table_detail'!J119),"")</f>
        <v>452</v>
      </c>
      <c r="M118" s="456" t="str" cm="1">
        <f t="array" aca="1" ref="M118" ca="1">IFERROR(print_SF('EF Table_detail'!Q119),"")</f>
        <v>10.1</v>
      </c>
      <c r="N118" s="204" t="str" cm="1">
        <f t="array" ref="N118">IFERROR(print_SF('EF Table_detail'!M119),"")</f>
        <v/>
      </c>
      <c r="O118" s="205" t="str" cm="1">
        <f t="array" aca="1" ref="O118" ca="1">IFERROR(print_SF('EF Table_detail'!N119),"")</f>
        <v>2.20</v>
      </c>
      <c r="P118" s="206" t="str" cm="1">
        <f t="array" aca="1" ref="P118" ca="1">IFERROR(print_SF('EF Table_detail'!O119),"")</f>
        <v>5.95</v>
      </c>
      <c r="Q118" s="454" t="str" cm="1">
        <f t="array" aca="1" ref="Q118" ca="1">IFERROR(print_SF('EF Table_detail'!V119),"")</f>
        <v>0</v>
      </c>
      <c r="R118" s="204" t="str" cm="1">
        <f t="array" ref="R118">IFERROR(print_SF('EF Table_detail'!S119),"")</f>
        <v/>
      </c>
      <c r="S118" s="205" t="str" cm="1">
        <f t="array" aca="1" ref="S118" ca="1">IFERROR(print_SF('EF Table_detail'!T119),"")</f>
        <v>0</v>
      </c>
      <c r="T118" s="456" t="str" cm="1">
        <f t="array" aca="1" ref="T118" ca="1">IFERROR(print_SF('EF Table_detail'!Z119),"")</f>
        <v>0</v>
      </c>
      <c r="U118" s="204" t="str" cm="1">
        <f t="array" ref="U118">IFERROR(print_SF('EF Table_detail'!W119),"")</f>
        <v/>
      </c>
      <c r="V118" s="205" t="str" cm="1">
        <f t="array" aca="1" ref="V118" ca="1">IFERROR(print_SF('EF Table_detail'!X119),"")</f>
        <v>0</v>
      </c>
      <c r="W118" s="329" t="str" cm="1">
        <f t="array" aca="1" ref="W118" ca="1">IFERROR(print_SF('EF Table_detail'!AB119),"")</f>
        <v>75.9</v>
      </c>
      <c r="X118" s="330" t="str">
        <f t="shared" si="5"/>
        <v>kg/m²</v>
      </c>
      <c r="Y118" s="213" t="str" cm="1">
        <f t="array" aca="1" ref="Y118" ca="1">IF(INDIRECT(""&amp;$E118&amp;"!R"&amp;Y$141&amp;"C"&amp;Y$142,FALSE)=0,"",INDIRECT(""&amp;$E118&amp;"!R"&amp;Y$141&amp;"C"&amp;Y$142,FALSE))</f>
        <v>A number of generic Curtain Wall systems are presented for cases when Curtain Wall information is not available. Calculated using referenced material quantities and multiplied by the relevant maximum EF to get the default maximum EF or the Average EF to get the average EF overall. Reference material quantites based on generic designs for a european context. More information see material tab.</v>
      </c>
      <c r="Z118" s="277" t="str" cm="1">
        <f t="array" aca="1" ref="Z118" ca="1">IF(INDIRECT(""&amp;$E118&amp;"!R"&amp;Z$141&amp;"C"&amp;Z$142,FALSE)="Average (weighted)","Yes","No")</f>
        <v>No</v>
      </c>
    </row>
    <row r="119" spans="2:26" ht="45" customHeight="1" x14ac:dyDescent="0.25">
      <c r="B119" s="276" t="str">
        <f>'EF Table_detail'!A120</f>
        <v>Curtain wall</v>
      </c>
      <c r="C119" s="192" t="str">
        <f>'EF Table_detail'!B120</f>
        <v xml:space="preserve">Curtain wall - Generic - Curtain wall, aluminium stick, aluminium cladding, 50% DGU 8T-16-44.2 </v>
      </c>
      <c r="D119" s="193" t="str">
        <f ca="1">'EF Table_detail'!C120</f>
        <v>Determination of a generic curtain wall as described in material category column. Includes glass, framing, thermal breaks, spandrel/cladding material and insulation in one sqm rate.</v>
      </c>
      <c r="E119" s="192" t="str">
        <f>'EF Table_detail'!D120</f>
        <v>Curtain_wall</v>
      </c>
      <c r="F119" s="192" t="str">
        <f>'EF Table_detail'!E120</f>
        <v>m²</v>
      </c>
      <c r="G119" s="192" t="str">
        <f>'EF Table_detail'!F120</f>
        <v>Untiered</v>
      </c>
      <c r="H119" s="194">
        <f>'EF Table_detail'!G120</f>
        <v>1</v>
      </c>
      <c r="I119" s="454" t="str" cm="1">
        <f t="array" aca="1" ref="I119" ca="1">IFERROR(print_SF('EF Table_detail'!L120),"")</f>
        <v>476</v>
      </c>
      <c r="J119" s="226" t="str" cm="1">
        <f t="array" ref="J119">IFERROR(print_SF('EF Table_detail'!H120),"")</f>
        <v/>
      </c>
      <c r="K119" s="206" t="str" cm="1">
        <f t="array" aca="1" ref="K119" ca="1">IFERROR(print_SF('EF Table_detail'!I120),"")</f>
        <v>105</v>
      </c>
      <c r="L119" s="206" t="str" cm="1">
        <f t="array" aca="1" ref="L119" ca="1">IFERROR(print_SF('EF Table_detail'!J120),"")</f>
        <v>282</v>
      </c>
      <c r="M119" s="456" t="str" cm="1">
        <f t="array" aca="1" ref="M119" ca="1">IFERROR(print_SF('EF Table_detail'!Q120),"")</f>
        <v>12.1</v>
      </c>
      <c r="N119" s="204" t="str" cm="1">
        <f t="array" ref="N119">IFERROR(print_SF('EF Table_detail'!M120),"")</f>
        <v/>
      </c>
      <c r="O119" s="205" t="str" cm="1">
        <f t="array" aca="1" ref="O119" ca="1">IFERROR(print_SF('EF Table_detail'!N120),"")</f>
        <v>2.67</v>
      </c>
      <c r="P119" s="205" t="str" cm="1">
        <f t="array" aca="1" ref="P119" ca="1">IFERROR(print_SF('EF Table_detail'!O120),"")</f>
        <v>7.17</v>
      </c>
      <c r="Q119" s="454" t="str" cm="1">
        <f t="array" aca="1" ref="Q119" ca="1">IFERROR(print_SF('EF Table_detail'!V120),"")</f>
        <v>0</v>
      </c>
      <c r="R119" s="204" t="str" cm="1">
        <f t="array" ref="R119">IFERROR(print_SF('EF Table_detail'!S120),"")</f>
        <v/>
      </c>
      <c r="S119" s="205" t="str" cm="1">
        <f t="array" aca="1" ref="S119" ca="1">IFERROR(print_SF('EF Table_detail'!T120),"")</f>
        <v>0</v>
      </c>
      <c r="T119" s="456" t="str" cm="1">
        <f t="array" aca="1" ref="T119" ca="1">IFERROR(print_SF('EF Table_detail'!Z120),"")</f>
        <v>0</v>
      </c>
      <c r="U119" s="204" t="str" cm="1">
        <f t="array" ref="U119">IFERROR(print_SF('EF Table_detail'!W120),"")</f>
        <v/>
      </c>
      <c r="V119" s="205" t="str" cm="1">
        <f t="array" aca="1" ref="V119" ca="1">IFERROR(print_SF('EF Table_detail'!X120),"")</f>
        <v>0</v>
      </c>
      <c r="W119" s="329" t="str" cm="1">
        <f t="array" aca="1" ref="W119" ca="1">IFERROR(print_SF('EF Table_detail'!AB120),"")</f>
        <v>39.4</v>
      </c>
      <c r="X119" s="330" t="str">
        <f t="shared" si="5"/>
        <v>kg/m²</v>
      </c>
      <c r="Y119" s="213" t="str" cm="1">
        <f t="array" aca="1" ref="Y119" ca="1">IF(INDIRECT(""&amp;$E119&amp;"!R"&amp;Y$141&amp;"C"&amp;Y$142,FALSE)=0,"",INDIRECT(""&amp;$E119&amp;"!R"&amp;Y$141&amp;"C"&amp;Y$142,FALSE))</f>
        <v>A number of generic Curtain Wall systems are presented for cases when Curtain Wall information is not available. Calculated using referenced material quantities and multiplied by the relevant maximum EF to get the default maximum EF or the Average EF to get the average EF overall. Reference material quantites based on generic designs for a european context. More information see material tab.</v>
      </c>
      <c r="Z119" s="277" t="str" cm="1">
        <f t="array" aca="1" ref="Z119" ca="1">IF(INDIRECT(""&amp;$E119&amp;"!R"&amp;Z$141&amp;"C"&amp;Z$142,FALSE)="Average (weighted)","Yes","No")</f>
        <v>No</v>
      </c>
    </row>
    <row r="120" spans="2:26" ht="45" customHeight="1" x14ac:dyDescent="0.25">
      <c r="B120" s="276" t="str">
        <f>'EF Table_detail'!A121</f>
        <v>Curtain wall</v>
      </c>
      <c r="C120" s="192" t="str">
        <f>'EF Table_detail'!B121</f>
        <v xml:space="preserve">Curtain wall - Generic - Curtain wall, steel stick, aluminium cladding, 50% DGU 8T-16-44.2 </v>
      </c>
      <c r="D120" s="193" t="str">
        <f ca="1">'EF Table_detail'!C121</f>
        <v>Determination of a generic curtain wall as described in material category column. Includes glass, framing, thermal breaks, spandrel/cladding material and insulation in one sqm rate.</v>
      </c>
      <c r="E120" s="192" t="str">
        <f>'EF Table_detail'!D121</f>
        <v>Curtain_wall</v>
      </c>
      <c r="F120" s="192" t="str">
        <f>'EF Table_detail'!E121</f>
        <v>m²</v>
      </c>
      <c r="G120" s="192" t="str">
        <f>'EF Table_detail'!F121</f>
        <v>Untiered</v>
      </c>
      <c r="H120" s="194">
        <f>'EF Table_detail'!G121</f>
        <v>1</v>
      </c>
      <c r="I120" s="454" t="str" cm="1">
        <f t="array" aca="1" ref="I120" ca="1">IFERROR(print_SF('EF Table_detail'!L121),"")</f>
        <v>405</v>
      </c>
      <c r="J120" s="226" t="str" cm="1">
        <f t="array" ref="J120">IFERROR(print_SF('EF Table_detail'!H121),"")</f>
        <v/>
      </c>
      <c r="K120" s="206" t="str" cm="1">
        <f t="array" aca="1" ref="K120" ca="1">IFERROR(print_SF('EF Table_detail'!I121),"")</f>
        <v>119</v>
      </c>
      <c r="L120" s="206" t="str" cm="1">
        <f t="array" aca="1" ref="L120" ca="1">IFERROR(print_SF('EF Table_detail'!J121),"")</f>
        <v>248</v>
      </c>
      <c r="M120" s="456" t="str" cm="1">
        <f t="array" aca="1" ref="M120" ca="1">IFERROR(print_SF('EF Table_detail'!Q121),"")</f>
        <v>5.61</v>
      </c>
      <c r="N120" s="204" t="str" cm="1">
        <f t="array" ref="N120">IFERROR(print_SF('EF Table_detail'!M121),"")</f>
        <v/>
      </c>
      <c r="O120" s="205" t="str" cm="1">
        <f t="array" aca="1" ref="O120" ca="1">IFERROR(print_SF('EF Table_detail'!N121),"")</f>
        <v>1.65</v>
      </c>
      <c r="P120" s="205" t="str" cm="1">
        <f t="array" aca="1" ref="P120" ca="1">IFERROR(print_SF('EF Table_detail'!O121),"")</f>
        <v>3.43</v>
      </c>
      <c r="Q120" s="454" t="str" cm="1">
        <f t="array" aca="1" ref="Q120" ca="1">IFERROR(print_SF('EF Table_detail'!V121),"")</f>
        <v>0</v>
      </c>
      <c r="R120" s="204" t="str" cm="1">
        <f t="array" ref="R120">IFERROR(print_SF('EF Table_detail'!S121),"")</f>
        <v/>
      </c>
      <c r="S120" s="205" t="str" cm="1">
        <f t="array" aca="1" ref="S120" ca="1">IFERROR(print_SF('EF Table_detail'!T121),"")</f>
        <v>0</v>
      </c>
      <c r="T120" s="456" t="str" cm="1">
        <f t="array" aca="1" ref="T120" ca="1">IFERROR(print_SF('EF Table_detail'!Z121),"")</f>
        <v>0</v>
      </c>
      <c r="U120" s="204" t="str" cm="1">
        <f t="array" ref="U120">IFERROR(print_SF('EF Table_detail'!W121),"")</f>
        <v/>
      </c>
      <c r="V120" s="205" t="str" cm="1">
        <f t="array" aca="1" ref="V120" ca="1">IFERROR(print_SF('EF Table_detail'!X121),"")</f>
        <v>0</v>
      </c>
      <c r="W120" s="329" t="str" cm="1">
        <f t="array" aca="1" ref="W120" ca="1">IFERROR(print_SF('EF Table_detail'!AB121),"")</f>
        <v>72.1</v>
      </c>
      <c r="X120" s="330" t="str">
        <f t="shared" si="5"/>
        <v>kg/m²</v>
      </c>
      <c r="Y120" s="213" t="str" cm="1">
        <f t="array" aca="1" ref="Y120" ca="1">IF(INDIRECT(""&amp;$E120&amp;"!R"&amp;Y$141&amp;"C"&amp;Y$142,FALSE)=0,"",INDIRECT(""&amp;$E120&amp;"!R"&amp;Y$141&amp;"C"&amp;Y$142,FALSE))</f>
        <v>A number of generic Curtain Wall systems are presented for cases when Curtain Wall information is not available. Calculated using referenced material quantities and multiplied by the relevant maximum EF to get the default maximum EF or the Average EF to get the average EF overall. Reference material quantites based on generic designs for a european context. More information see material tab.</v>
      </c>
      <c r="Z120" s="277" t="str" cm="1">
        <f t="array" aca="1" ref="Z120" ca="1">IF(INDIRECT(""&amp;$E120&amp;"!R"&amp;Z$141&amp;"C"&amp;Z$142,FALSE)="Average (weighted)","Yes","No")</f>
        <v>No</v>
      </c>
    </row>
    <row r="121" spans="2:26" ht="45" customHeight="1" x14ac:dyDescent="0.25">
      <c r="B121" s="276" t="str">
        <f>'EF Table_detail'!A122</f>
        <v>Curtain wall</v>
      </c>
      <c r="C121" s="192" t="str">
        <f>'EF Table_detail'!B122</f>
        <v xml:space="preserve">Curtain wall - Generic - Curtain wall, timber stick, aluminium cladding, 50% DGU 8T-16-44.2 </v>
      </c>
      <c r="D121" s="193" t="str">
        <f ca="1">'EF Table_detail'!C122</f>
        <v>Determination of a generic curtain wall as described in material category column. Includes glass, framing, thermal breaks, spandrel/cladding material and insulation in one sqm rate.</v>
      </c>
      <c r="E121" s="192" t="str">
        <f>'EF Table_detail'!D122</f>
        <v>Curtain_wall</v>
      </c>
      <c r="F121" s="192" t="str">
        <f>'EF Table_detail'!E122</f>
        <v>m²</v>
      </c>
      <c r="G121" s="192" t="str">
        <f>'EF Table_detail'!F122</f>
        <v>Untiered</v>
      </c>
      <c r="H121" s="194">
        <f>'EF Table_detail'!G122</f>
        <v>1</v>
      </c>
      <c r="I121" s="454" t="str" cm="1">
        <f t="array" aca="1" ref="I121" ca="1">IFERROR(print_SF('EF Table_detail'!L122),"")</f>
        <v>350</v>
      </c>
      <c r="J121" s="226" t="str" cm="1">
        <f t="array" ref="J121">IFERROR(print_SF('EF Table_detail'!H122),"")</f>
        <v/>
      </c>
      <c r="K121" s="206" t="str" cm="1">
        <f t="array" aca="1" ref="K121" ca="1">IFERROR(print_SF('EF Table_detail'!I122),"")</f>
        <v>85.9</v>
      </c>
      <c r="L121" s="206" t="str" cm="1">
        <f t="array" aca="1" ref="L121" ca="1">IFERROR(print_SF('EF Table_detail'!J122),"")</f>
        <v>211</v>
      </c>
      <c r="M121" s="456" t="str" cm="1">
        <f t="array" aca="1" ref="M121" ca="1">IFERROR(print_SF('EF Table_detail'!Q122),"")</f>
        <v>7.47</v>
      </c>
      <c r="N121" s="204" t="str" cm="1">
        <f t="array" ref="N121">IFERROR(print_SF('EF Table_detail'!M122),"")</f>
        <v/>
      </c>
      <c r="O121" s="205" t="str" cm="1">
        <f t="array" aca="1" ref="O121" ca="1">IFERROR(print_SF('EF Table_detail'!N122),"")</f>
        <v>1.83</v>
      </c>
      <c r="P121" s="205" t="str" cm="1">
        <f t="array" aca="1" ref="P121" ca="1">IFERROR(print_SF('EF Table_detail'!O122),"")</f>
        <v>4.51</v>
      </c>
      <c r="Q121" s="454" t="str" cm="1">
        <f t="array" aca="1" ref="Q121" ca="1">IFERROR(print_SF('EF Table_detail'!V122),"")</f>
        <v>20.1</v>
      </c>
      <c r="R121" s="204" t="str" cm="1">
        <f t="array" ref="R121">IFERROR(print_SF('EF Table_detail'!S122),"")</f>
        <v/>
      </c>
      <c r="S121" s="205" t="str" cm="1">
        <f t="array" aca="1" ref="S121" ca="1">IFERROR(print_SF('EF Table_detail'!T122),"")</f>
        <v>18.8</v>
      </c>
      <c r="T121" s="456" t="str" cm="1">
        <f t="array" aca="1" ref="T121" ca="1">IFERROR(print_SF('EF Table_detail'!Z122),"")</f>
        <v>0.429</v>
      </c>
      <c r="U121" s="204" t="str" cm="1">
        <f t="array" ref="U121">IFERROR(print_SF('EF Table_detail'!W122),"")</f>
        <v/>
      </c>
      <c r="V121" s="205" t="str" cm="1">
        <f t="array" aca="1" ref="V121" ca="1">IFERROR(print_SF('EF Table_detail'!X122),"")</f>
        <v>0.401</v>
      </c>
      <c r="W121" s="329" t="str" cm="1">
        <f t="array" aca="1" ref="W121" ca="1">IFERROR(print_SF('EF Table_detail'!AB122),"")</f>
        <v>46.8</v>
      </c>
      <c r="X121" s="330" t="str">
        <f t="shared" si="5"/>
        <v>kg/m²</v>
      </c>
      <c r="Y121" s="213" t="str" cm="1">
        <f t="array" aca="1" ref="Y121" ca="1">IF(INDIRECT(""&amp;$E121&amp;"!R"&amp;Y$141&amp;"C"&amp;Y$142,FALSE)=0,"",INDIRECT(""&amp;$E121&amp;"!R"&amp;Y$141&amp;"C"&amp;Y$142,FALSE))</f>
        <v>A number of generic Curtain Wall systems are presented for cases when Curtain Wall information is not available. Calculated using referenced material quantities and multiplied by the relevant maximum EF to get the default maximum EF or the Average EF to get the average EF overall. Reference material quantites based on generic designs for a european context. More information see material tab.</v>
      </c>
      <c r="Z121" s="277" t="str" cm="1">
        <f t="array" aca="1" ref="Z121" ca="1">IF(INDIRECT(""&amp;$E121&amp;"!R"&amp;Z$141&amp;"C"&amp;Z$142,FALSE)="Average (weighted)","Yes","No")</f>
        <v>No</v>
      </c>
    </row>
    <row r="122" spans="2:26" ht="45" customHeight="1" x14ac:dyDescent="0.25">
      <c r="B122" s="276" t="str">
        <f>'EF Table_detail'!A123</f>
        <v>Curtain wall</v>
      </c>
      <c r="C122" s="192" t="str">
        <f>'EF Table_detail'!B123</f>
        <v xml:space="preserve">Curtain wall - Generic - Curtain wall, double skin, deep cavity aluminium façade, 100% single + DGU 66.2 + 8T-16-44.2 </v>
      </c>
      <c r="D122" s="193" t="str">
        <f ca="1">'EF Table_detail'!C123</f>
        <v>Determination of a generic curtain wall as described in material category column. Includes glass, framing, thermal breaks, spandrel/cladding material and insulation in one sqm rate.</v>
      </c>
      <c r="E122" s="192" t="str">
        <f>'EF Table_detail'!D123</f>
        <v>Curtain_wall</v>
      </c>
      <c r="F122" s="192" t="str">
        <f>'EF Table_detail'!E123</f>
        <v>m²</v>
      </c>
      <c r="G122" s="192" t="str">
        <f>'EF Table_detail'!F123</f>
        <v>Untiered</v>
      </c>
      <c r="H122" s="194">
        <f>'EF Table_detail'!G123</f>
        <v>1</v>
      </c>
      <c r="I122" s="454" t="str" cm="1">
        <f t="array" aca="1" ref="I122" ca="1">IFERROR(print_SF('EF Table_detail'!L123),"")</f>
        <v>1,260</v>
      </c>
      <c r="J122" s="226" t="str" cm="1">
        <f t="array" ref="J122">IFERROR(print_SF('EF Table_detail'!H123),"")</f>
        <v/>
      </c>
      <c r="K122" s="206" t="str" cm="1">
        <f t="array" aca="1" ref="K122" ca="1">IFERROR(print_SF('EF Table_detail'!I123),"")</f>
        <v>293</v>
      </c>
      <c r="L122" s="206" t="str" cm="1">
        <f t="array" aca="1" ref="L122" ca="1">IFERROR(print_SF('EF Table_detail'!J123),"")</f>
        <v>753</v>
      </c>
      <c r="M122" s="456" t="str" cm="1">
        <f t="array" aca="1" ref="M122" ca="1">IFERROR(print_SF('EF Table_detail'!Q123),"")</f>
        <v>9.13</v>
      </c>
      <c r="N122" s="204" t="str" cm="1">
        <f t="array" ref="N122">IFERROR(print_SF('EF Table_detail'!M123),"")</f>
        <v/>
      </c>
      <c r="O122" s="205" t="str" cm="1">
        <f t="array" aca="1" ref="O122" ca="1">IFERROR(print_SF('EF Table_detail'!N123),"")</f>
        <v>2.13</v>
      </c>
      <c r="P122" s="205" t="str" cm="1">
        <f t="array" aca="1" ref="P122" ca="1">IFERROR(print_SF('EF Table_detail'!O123),"")</f>
        <v>5.46</v>
      </c>
      <c r="Q122" s="454" t="str" cm="1">
        <f t="array" aca="1" ref="Q122" ca="1">IFERROR(print_SF('EF Table_detail'!V123),"")</f>
        <v>0</v>
      </c>
      <c r="R122" s="204" t="str" cm="1">
        <f t="array" ref="R122">IFERROR(print_SF('EF Table_detail'!S123),"")</f>
        <v/>
      </c>
      <c r="S122" s="205" t="str" cm="1">
        <f t="array" aca="1" ref="S122" ca="1">IFERROR(print_SF('EF Table_detail'!T123),"")</f>
        <v>0</v>
      </c>
      <c r="T122" s="456" t="str" cm="1">
        <f t="array" aca="1" ref="T122" ca="1">IFERROR(print_SF('EF Table_detail'!Z123),"")</f>
        <v>0</v>
      </c>
      <c r="U122" s="204" t="str" cm="1">
        <f t="array" ref="U122">IFERROR(print_SF('EF Table_detail'!W123),"")</f>
        <v/>
      </c>
      <c r="V122" s="205" t="str" cm="1">
        <f t="array" aca="1" ref="V122" ca="1">IFERROR(print_SF('EF Table_detail'!X123),"")</f>
        <v>0</v>
      </c>
      <c r="W122" s="329" t="str" cm="1">
        <f t="array" aca="1" ref="W122" ca="1">IFERROR(print_SF('EF Table_detail'!AB123),"")</f>
        <v>138</v>
      </c>
      <c r="X122" s="330" t="str">
        <f t="shared" si="5"/>
        <v>kg/m²</v>
      </c>
      <c r="Y122" s="213" t="str" cm="1">
        <f t="array" aca="1" ref="Y122" ca="1">IF(INDIRECT(""&amp;$E122&amp;"!R"&amp;Y$141&amp;"C"&amp;Y$142,FALSE)=0,"",INDIRECT(""&amp;$E122&amp;"!R"&amp;Y$141&amp;"C"&amp;Y$142,FALSE))</f>
        <v>A number of generic Curtain Wall systems are presented for cases when Curtain Wall information is not available. Calculated using referenced material quantities and multiplied by the relevant maximum EF to get the default maximum EF or the Average EF to get the average EF overall. Reference material quantites based on generic designs for a european context. More information see material tab.</v>
      </c>
      <c r="Z122" s="277" t="str" cm="1">
        <f t="array" aca="1" ref="Z122" ca="1">IF(INDIRECT(""&amp;$E122&amp;"!R"&amp;Z$141&amp;"C"&amp;Z$142,FALSE)="Average (weighted)","Yes","No")</f>
        <v>No</v>
      </c>
    </row>
    <row r="123" spans="2:26" ht="45" customHeight="1" x14ac:dyDescent="0.25">
      <c r="B123" s="276" t="str">
        <f>'EF Table_detail'!A124</f>
        <v>Curtain wall</v>
      </c>
      <c r="C123" s="192" t="str">
        <f>'EF Table_detail'!B124</f>
        <v xml:space="preserve">Curtain wall - Generic - Curtain wall, double skin, narrow cavity aluminium façade, 100% single + DGU 66.2 + 8T-16-44.2 </v>
      </c>
      <c r="D123" s="193" t="str">
        <f ca="1">'EF Table_detail'!C124</f>
        <v>Determination of a generic curtain wall as described in material category column. Includes glass, framing, thermal breaks, spandrel/cladding material and insulation in one sqm rate.</v>
      </c>
      <c r="E123" s="192" t="str">
        <f>'EF Table_detail'!D124</f>
        <v>Curtain_wall</v>
      </c>
      <c r="F123" s="192" t="str">
        <f>'EF Table_detail'!E124</f>
        <v>m²</v>
      </c>
      <c r="G123" s="192" t="str">
        <f>'EF Table_detail'!F124</f>
        <v>Untiered</v>
      </c>
      <c r="H123" s="194">
        <f>'EF Table_detail'!G124</f>
        <v>1</v>
      </c>
      <c r="I123" s="454" t="str" cm="1">
        <f t="array" aca="1" ref="I123" ca="1">IFERROR(print_SF('EF Table_detail'!L124),"")</f>
        <v>668</v>
      </c>
      <c r="J123" s="226" t="str" cm="1">
        <f t="array" ref="J123">IFERROR(print_SF('EF Table_detail'!H124),"")</f>
        <v/>
      </c>
      <c r="K123" s="206" t="str" cm="1">
        <f t="array" aca="1" ref="K123" ca="1">IFERROR(print_SF('EF Table_detail'!I124),"")</f>
        <v>183</v>
      </c>
      <c r="L123" s="206" t="str" cm="1">
        <f t="array" aca="1" ref="L123" ca="1">IFERROR(print_SF('EF Table_detail'!J124),"")</f>
        <v>412</v>
      </c>
      <c r="M123" s="456" t="str" cm="1">
        <f t="array" aca="1" ref="M123" ca="1">IFERROR(print_SF('EF Table_detail'!Q124),"")</f>
        <v>7.17</v>
      </c>
      <c r="N123" s="204" t="str" cm="1">
        <f t="array" ref="N123">IFERROR(print_SF('EF Table_detail'!M124),"")</f>
        <v/>
      </c>
      <c r="O123" s="205" t="str" cm="1">
        <f t="array" aca="1" ref="O123" ca="1">IFERROR(print_SF('EF Table_detail'!N124),"")</f>
        <v>1.97</v>
      </c>
      <c r="P123" s="205" t="str" cm="1">
        <f t="array" aca="1" ref="P123" ca="1">IFERROR(print_SF('EF Table_detail'!O124),"")</f>
        <v>4.42</v>
      </c>
      <c r="Q123" s="454" t="str" cm="1">
        <f t="array" aca="1" ref="Q123" ca="1">IFERROR(print_SF('EF Table_detail'!V124),"")</f>
        <v>0</v>
      </c>
      <c r="R123" s="204" t="str" cm="1">
        <f t="array" ref="R123">IFERROR(print_SF('EF Table_detail'!S124),"")</f>
        <v/>
      </c>
      <c r="S123" s="205" t="str" cm="1">
        <f t="array" aca="1" ref="S123" ca="1">IFERROR(print_SF('EF Table_detail'!T124),"")</f>
        <v>0</v>
      </c>
      <c r="T123" s="456" t="str" cm="1">
        <f t="array" aca="1" ref="T123" ca="1">IFERROR(print_SF('EF Table_detail'!Z124),"")</f>
        <v>0</v>
      </c>
      <c r="U123" s="204" t="str" cm="1">
        <f t="array" ref="U123">IFERROR(print_SF('EF Table_detail'!W124),"")</f>
        <v/>
      </c>
      <c r="V123" s="205" t="str" cm="1">
        <f t="array" aca="1" ref="V123" ca="1">IFERROR(print_SF('EF Table_detail'!X124),"")</f>
        <v>0</v>
      </c>
      <c r="W123" s="329" t="str" cm="1">
        <f t="array" aca="1" ref="W123" ca="1">IFERROR(print_SF('EF Table_detail'!AB124),"")</f>
        <v>93.1</v>
      </c>
      <c r="X123" s="330" t="str">
        <f t="shared" si="5"/>
        <v>kg/m²</v>
      </c>
      <c r="Y123" s="213" t="str" cm="1">
        <f t="array" aca="1" ref="Y123" ca="1">IF(INDIRECT(""&amp;$E123&amp;"!R"&amp;Y$141&amp;"C"&amp;Y$142,FALSE)=0,"",INDIRECT(""&amp;$E123&amp;"!R"&amp;Y$141&amp;"C"&amp;Y$142,FALSE))</f>
        <v>A number of generic Curtain Wall systems are presented for cases when Curtain Wall information is not available. Calculated using referenced material quantities and multiplied by the relevant maximum EF to get the default maximum EF or the Average EF to get the average EF overall. Reference material quantites based on generic designs for a european context. More information see material tab.</v>
      </c>
      <c r="Z123" s="277" t="str" cm="1">
        <f t="array" aca="1" ref="Z123" ca="1">IF(INDIRECT(""&amp;$E123&amp;"!R"&amp;Z$141&amp;"C"&amp;Z$142,FALSE)="Average (weighted)","Yes","No")</f>
        <v>No</v>
      </c>
    </row>
    <row r="124" spans="2:26" ht="45" customHeight="1" x14ac:dyDescent="0.25">
      <c r="B124" s="276" t="str">
        <f>'EF Table_detail'!A125</f>
        <v>Curtain wall</v>
      </c>
      <c r="C124" s="192" t="str">
        <f>'EF Table_detail'!B125</f>
        <v>Curtain wall - Generic - Wall system, precast concrete, 50% DGU 8T-16-44.2</v>
      </c>
      <c r="D124" s="193" t="str">
        <f ca="1">'EF Table_detail'!C125</f>
        <v>Determination of a generic curtain wall as described in material category column. Includes glass, framing, thermal breaks, spandrel/cladding material and insulation in one sqm rate.</v>
      </c>
      <c r="E124" s="192" t="str">
        <f>'EF Table_detail'!D125</f>
        <v>Curtain_wall</v>
      </c>
      <c r="F124" s="192" t="str">
        <f>'EF Table_detail'!E125</f>
        <v>m²</v>
      </c>
      <c r="G124" s="192" t="str">
        <f>'EF Table_detail'!F125</f>
        <v>Untiered</v>
      </c>
      <c r="H124" s="194">
        <f>'EF Table_detail'!G125</f>
        <v>1</v>
      </c>
      <c r="I124" s="454" t="str" cm="1">
        <f t="array" aca="1" ref="I124" ca="1">IFERROR(print_SF('EF Table_detail'!L125),"")</f>
        <v>375</v>
      </c>
      <c r="J124" s="226" t="str" cm="1">
        <f t="array" ref="J124">IFERROR(print_SF('EF Table_detail'!H125),"")</f>
        <v/>
      </c>
      <c r="K124" s="206" t="str" cm="1">
        <f t="array" aca="1" ref="K124" ca="1">IFERROR(print_SF('EF Table_detail'!I125),"")</f>
        <v>159</v>
      </c>
      <c r="L124" s="206" t="str" cm="1">
        <f t="array" aca="1" ref="L124" ca="1">IFERROR(print_SF('EF Table_detail'!J125),"")</f>
        <v>251</v>
      </c>
      <c r="M124" s="456" t="str" cm="1">
        <f t="array" aca="1" ref="M124" ca="1">IFERROR(print_SF('EF Table_detail'!Q125),"")</f>
        <v>1.14</v>
      </c>
      <c r="N124" s="204" t="str" cm="1">
        <f t="array" ref="N124">IFERROR(print_SF('EF Table_detail'!M125),"")</f>
        <v/>
      </c>
      <c r="O124" s="205" t="str" cm="1">
        <f t="array" aca="1" ref="O124" ca="1">IFERROR(print_SF('EF Table_detail'!N125),"")</f>
        <v>0.484</v>
      </c>
      <c r="P124" s="205" t="str" cm="1">
        <f t="array" aca="1" ref="P124" ca="1">IFERROR(print_SF('EF Table_detail'!O125),"")</f>
        <v>0.764</v>
      </c>
      <c r="Q124" s="454" t="str" cm="1">
        <f t="array" aca="1" ref="Q124" ca="1">IFERROR(print_SF('EF Table_detail'!V125),"")</f>
        <v>1.48</v>
      </c>
      <c r="R124" s="204" t="str" cm="1">
        <f t="array" ref="R124">IFERROR(print_SF('EF Table_detail'!S125),"")</f>
        <v/>
      </c>
      <c r="S124" s="205" t="str" cm="1">
        <f t="array" aca="1" ref="S124" ca="1">IFERROR(print_SF('EF Table_detail'!T125),"")</f>
        <v>0.440</v>
      </c>
      <c r="T124" s="456" t="str" cm="1">
        <f t="array" aca="1" ref="T124" ca="1">IFERROR(print_SF('EF Table_detail'!Z125),"")</f>
        <v>0.00450</v>
      </c>
      <c r="U124" s="204" t="str" cm="1">
        <f t="array" ref="U124">IFERROR(print_SF('EF Table_detail'!W125),"")</f>
        <v/>
      </c>
      <c r="V124" s="205" t="str" cm="1">
        <f t="array" aca="1" ref="V124" ca="1">IFERROR(print_SF('EF Table_detail'!X125),"")</f>
        <v>0.00134</v>
      </c>
      <c r="W124" s="329" t="str" cm="1">
        <f t="array" aca="1" ref="W124" ca="1">IFERROR(print_SF('EF Table_detail'!AB125),"")</f>
        <v>329</v>
      </c>
      <c r="X124" s="330" t="str">
        <f t="shared" si="5"/>
        <v>kg/m²</v>
      </c>
      <c r="Y124" s="213" t="str" cm="1">
        <f t="array" aca="1" ref="Y124" ca="1">IF(INDIRECT(""&amp;$E124&amp;"!R"&amp;Y$141&amp;"C"&amp;Y$142,FALSE)=0,"",INDIRECT(""&amp;$E124&amp;"!R"&amp;Y$141&amp;"C"&amp;Y$142,FALSE))</f>
        <v>A number of generic Curtain Wall systems are presented for cases when Curtain Wall information is not available. Calculated using referenced material quantities and multiplied by the relevant maximum EF to get the default maximum EF or the Average EF to get the average EF overall. Reference material quantites based on generic designs for a european context. More information see material tab.</v>
      </c>
      <c r="Z124" s="277" t="str" cm="1">
        <f t="array" aca="1" ref="Z124" ca="1">IF(INDIRECT(""&amp;$E124&amp;"!R"&amp;Z$141&amp;"C"&amp;Z$142,FALSE)="Average (weighted)","Yes","No")</f>
        <v>No</v>
      </c>
    </row>
    <row r="125" spans="2:26" ht="45" customHeight="1" x14ac:dyDescent="0.25">
      <c r="B125" s="276" t="str">
        <f>'EF Table_detail'!A126</f>
        <v>Curtain wall</v>
      </c>
      <c r="C125" s="192" t="str">
        <f>'EF Table_detail'!B126</f>
        <v>Curtain wall - Generic - Wall system, steel frame, aluminium rainscreen, 50% DGU 8T-16-44.2</v>
      </c>
      <c r="D125" s="193" t="str">
        <f ca="1">'EF Table_detail'!C126</f>
        <v>Determination of a generic curtain wall as described in material category column. Includes glass, framing, thermal breaks, spandrel/cladding material and insulation in one sqm rate.</v>
      </c>
      <c r="E125" s="192" t="str">
        <f>'EF Table_detail'!D126</f>
        <v>Curtain_wall</v>
      </c>
      <c r="F125" s="192" t="str">
        <f>'EF Table_detail'!E126</f>
        <v>m²</v>
      </c>
      <c r="G125" s="192" t="str">
        <f>'EF Table_detail'!F126</f>
        <v>Untiered</v>
      </c>
      <c r="H125" s="194">
        <f>'EF Table_detail'!G126</f>
        <v>1</v>
      </c>
      <c r="I125" s="454" t="str" cm="1">
        <f t="array" aca="1" ref="I125" ca="1">IFERROR(print_SF('EF Table_detail'!L126),"")</f>
        <v>379</v>
      </c>
      <c r="J125" s="226" t="str" cm="1">
        <f t="array" ref="J125">IFERROR(print_SF('EF Table_detail'!H126),"")</f>
        <v/>
      </c>
      <c r="K125" s="206" t="str" cm="1">
        <f t="array" aca="1" ref="K125" ca="1">IFERROR(print_SF('EF Table_detail'!I126),"")</f>
        <v>92.0</v>
      </c>
      <c r="L125" s="206" t="str" cm="1">
        <f t="array" aca="1" ref="L125" ca="1">IFERROR(print_SF('EF Table_detail'!J126),"")</f>
        <v>226</v>
      </c>
      <c r="M125" s="456" t="str" cm="1">
        <f t="array" aca="1" ref="M125" ca="1">IFERROR(print_SF('EF Table_detail'!Q126),"")</f>
        <v>7.60</v>
      </c>
      <c r="N125" s="204" t="str" cm="1">
        <f t="array" ref="N125">IFERROR(print_SF('EF Table_detail'!M126),"")</f>
        <v/>
      </c>
      <c r="O125" s="205" t="str" cm="1">
        <f t="array" aca="1" ref="O125" ca="1">IFERROR(print_SF('EF Table_detail'!N126),"")</f>
        <v>1.85</v>
      </c>
      <c r="P125" s="205" t="str" cm="1">
        <f t="array" aca="1" ref="P125" ca="1">IFERROR(print_SF('EF Table_detail'!O126),"")</f>
        <v>4.53</v>
      </c>
      <c r="Q125" s="454" t="str" cm="1">
        <f t="array" aca="1" ref="Q125" ca="1">IFERROR(print_SF('EF Table_detail'!V126),"")</f>
        <v>1.29</v>
      </c>
      <c r="R125" s="204" t="str" cm="1">
        <f t="array" ref="R125">IFERROR(print_SF('EF Table_detail'!S126),"")</f>
        <v/>
      </c>
      <c r="S125" s="205" t="str" cm="1">
        <f t="array" aca="1" ref="S125" ca="1">IFERROR(print_SF('EF Table_detail'!T126),"")</f>
        <v>0.388</v>
      </c>
      <c r="T125" s="456" t="str" cm="1">
        <f t="array" aca="1" ref="T125" ca="1">IFERROR(print_SF('EF Table_detail'!Z126),"")</f>
        <v>0.0259</v>
      </c>
      <c r="U125" s="204" t="str" cm="1">
        <f t="array" ref="U125">IFERROR(print_SF('EF Table_detail'!W126),"")</f>
        <v/>
      </c>
      <c r="V125" s="205" t="str" cm="1">
        <f t="array" aca="1" ref="V125" ca="1">IFERROR(print_SF('EF Table_detail'!X126),"")</f>
        <v>0.00778</v>
      </c>
      <c r="W125" s="329" t="str" cm="1">
        <f t="array" aca="1" ref="W125" ca="1">IFERROR(print_SF('EF Table_detail'!AB126),"")</f>
        <v>49.9</v>
      </c>
      <c r="X125" s="330" t="str">
        <f t="shared" si="5"/>
        <v>kg/m²</v>
      </c>
      <c r="Y125" s="213" t="str" cm="1">
        <f t="array" aca="1" ref="Y125" ca="1">IF(INDIRECT(""&amp;$E125&amp;"!R"&amp;Y$141&amp;"C"&amp;Y$142,FALSE)=0,"",INDIRECT(""&amp;$E125&amp;"!R"&amp;Y$141&amp;"C"&amp;Y$142,FALSE))</f>
        <v>A number of generic Curtain Wall systems are presented for cases when Curtain Wall information is not available. Calculated using referenced material quantities and multiplied by the relevant maximum EF to get the default maximum EF or the Average EF to get the average EF overall. Reference material quantites based on generic designs for a european context. More information see material tab.</v>
      </c>
      <c r="Z125" s="277" t="str" cm="1">
        <f t="array" aca="1" ref="Z125" ca="1">IF(INDIRECT(""&amp;$E125&amp;"!R"&amp;Z$141&amp;"C"&amp;Z$142,FALSE)="Average (weighted)","Yes","No")</f>
        <v>No</v>
      </c>
    </row>
    <row r="126" spans="2:26" ht="45" customHeight="1" x14ac:dyDescent="0.25">
      <c r="B126" s="276" t="str">
        <f>'EF Table_detail'!A127</f>
        <v>Curtain wall</v>
      </c>
      <c r="C126" s="192" t="str">
        <f>'EF Table_detail'!B127</f>
        <v>Curtain wall - Generic - Wall system, steel frame, stone cladding, 50% DGU 8T-16-44.2</v>
      </c>
      <c r="D126" s="193" t="str">
        <f ca="1">'EF Table_detail'!C127</f>
        <v>Determination of a generic curtain wall as described in material category column. Includes glass, framing, thermal breaks, spandrel/cladding material and insulation in one sqm rate.</v>
      </c>
      <c r="E126" s="192" t="str">
        <f>'EF Table_detail'!D127</f>
        <v>Curtain_wall</v>
      </c>
      <c r="F126" s="192" t="str">
        <f>'EF Table_detail'!E127</f>
        <v>m²</v>
      </c>
      <c r="G126" s="192" t="str">
        <f>'EF Table_detail'!F127</f>
        <v>Untiered</v>
      </c>
      <c r="H126" s="194">
        <f>'EF Table_detail'!G127</f>
        <v>1</v>
      </c>
      <c r="I126" s="454" t="str" cm="1">
        <f t="array" aca="1" ref="I126" ca="1">IFERROR(print_SF('EF Table_detail'!L127),"")</f>
        <v>264</v>
      </c>
      <c r="J126" s="226" t="str" cm="1">
        <f t="array" ref="J126">IFERROR(print_SF('EF Table_detail'!H127),"")</f>
        <v/>
      </c>
      <c r="K126" s="206" t="str" cm="1">
        <f t="array" aca="1" ref="K126" ca="1">IFERROR(print_SF('EF Table_detail'!I127),"")</f>
        <v>79.6</v>
      </c>
      <c r="L126" s="206" t="str" cm="1">
        <f t="array" aca="1" ref="L126" ca="1">IFERROR(print_SF('EF Table_detail'!J127),"")</f>
        <v>161</v>
      </c>
      <c r="M126" s="456" t="str" cm="1">
        <f t="array" aca="1" ref="M126" ca="1">IFERROR(print_SF('EF Table_detail'!Q127),"")</f>
        <v>5.26</v>
      </c>
      <c r="N126" s="204" t="str" cm="1">
        <f t="array" ref="N126">IFERROR(print_SF('EF Table_detail'!M127),"")</f>
        <v/>
      </c>
      <c r="O126" s="205" t="str" cm="1">
        <f t="array" aca="1" ref="O126" ca="1">IFERROR(print_SF('EF Table_detail'!N127),"")</f>
        <v>1.58</v>
      </c>
      <c r="P126" s="205" t="str" cm="1">
        <f t="array" aca="1" ref="P126" ca="1">IFERROR(print_SF('EF Table_detail'!O127),"")</f>
        <v>3.20</v>
      </c>
      <c r="Q126" s="454" t="str" cm="1">
        <f t="array" aca="1" ref="Q126" ca="1">IFERROR(print_SF('EF Table_detail'!V127),"")</f>
        <v>1.31</v>
      </c>
      <c r="R126" s="204" t="str" cm="1">
        <f t="array" ref="R126">IFERROR(print_SF('EF Table_detail'!S127),"")</f>
        <v/>
      </c>
      <c r="S126" s="205" t="str" cm="1">
        <f t="array" aca="1" ref="S126" ca="1">IFERROR(print_SF('EF Table_detail'!T127),"")</f>
        <v>0.397</v>
      </c>
      <c r="T126" s="456" t="str" cm="1">
        <f t="array" aca="1" ref="T126" ca="1">IFERROR(print_SF('EF Table_detail'!Z127),"")</f>
        <v>0.0261</v>
      </c>
      <c r="U126" s="204" t="str" cm="1">
        <f t="array" ref="U126">IFERROR(print_SF('EF Table_detail'!W127),"")</f>
        <v/>
      </c>
      <c r="V126" s="205" t="str" cm="1">
        <f t="array" aca="1" ref="V126" ca="1">IFERROR(print_SF('EF Table_detail'!X127),"")</f>
        <v>0.00789</v>
      </c>
      <c r="W126" s="329" t="str" cm="1">
        <f t="array" aca="1" ref="W126" ca="1">IFERROR(print_SF('EF Table_detail'!AB127),"")</f>
        <v>50.3</v>
      </c>
      <c r="X126" s="330" t="str">
        <f t="shared" si="5"/>
        <v>kg/m²</v>
      </c>
      <c r="Y126" s="213" t="str" cm="1">
        <f t="array" aca="1" ref="Y126" ca="1">IF(INDIRECT(""&amp;$E126&amp;"!R"&amp;Y$141&amp;"C"&amp;Y$142,FALSE)=0,"",INDIRECT(""&amp;$E126&amp;"!R"&amp;Y$141&amp;"C"&amp;Y$142,FALSE))</f>
        <v>A number of generic Curtain Wall systems are presented for cases when Curtain Wall information is not available. Calculated using referenced material quantities and multiplied by the relevant maximum EF to get the default maximum EF or the Average EF to get the average EF overall. Reference material quantites based on generic designs for a european context. More information see material tab.</v>
      </c>
      <c r="Z126" s="277" t="str" cm="1">
        <f t="array" aca="1" ref="Z126" ca="1">IF(INDIRECT(""&amp;$E126&amp;"!R"&amp;Z$141&amp;"C"&amp;Z$142,FALSE)="Average (weighted)","Yes","No")</f>
        <v>No</v>
      </c>
    </row>
    <row r="127" spans="2:26" ht="45" customHeight="1" x14ac:dyDescent="0.25">
      <c r="B127" s="276" t="str">
        <f>'EF Table_detail'!A128</f>
        <v>Curtain wall</v>
      </c>
      <c r="C127" s="192" t="str">
        <f>'EF Table_detail'!B128</f>
        <v>Curtain wall - Generic - Wall system, steel frame, brick cladding, 50% DGU 8T-16-44.2</v>
      </c>
      <c r="D127" s="193" t="str">
        <f ca="1">'EF Table_detail'!C128</f>
        <v>Determination of a generic curtain wall as described in material category column. Includes glass, framing, thermal breaks, spandrel/cladding material and insulation in one sqm rate.</v>
      </c>
      <c r="E127" s="192" t="str">
        <f>'EF Table_detail'!D128</f>
        <v>Curtain_wall</v>
      </c>
      <c r="F127" s="192" t="str">
        <f>'EF Table_detail'!E128</f>
        <v>m²</v>
      </c>
      <c r="G127" s="192" t="str">
        <f>'EF Table_detail'!F128</f>
        <v>Untiered</v>
      </c>
      <c r="H127" s="194">
        <f>'EF Table_detail'!G128</f>
        <v>1</v>
      </c>
      <c r="I127" s="454" t="str" cm="1">
        <f t="array" aca="1" ref="I127" ca="1">IFERROR(print_SF('EF Table_detail'!L128),"")</f>
        <v>308</v>
      </c>
      <c r="J127" s="226" t="str" cm="1">
        <f t="array" ref="J127">IFERROR(print_SF('EF Table_detail'!H128),"")</f>
        <v/>
      </c>
      <c r="K127" s="206" t="str" cm="1">
        <f t="array" aca="1" ref="K127" ca="1">IFERROR(print_SF('EF Table_detail'!I128),"")</f>
        <v>89.1</v>
      </c>
      <c r="L127" s="206" t="str" cm="1">
        <f t="array" aca="1" ref="L127" ca="1">IFERROR(print_SF('EF Table_detail'!J128),"")</f>
        <v>182</v>
      </c>
      <c r="M127" s="456" t="str" cm="1">
        <f t="array" aca="1" ref="M127" ca="1">IFERROR(print_SF('EF Table_detail'!Q128),"")</f>
        <v>2.18</v>
      </c>
      <c r="N127" s="204" t="str" cm="1">
        <f t="array" ref="N127">IFERROR(print_SF('EF Table_detail'!M128),"")</f>
        <v/>
      </c>
      <c r="O127" s="205" t="str" cm="1">
        <f t="array" aca="1" ref="O127" ca="1">IFERROR(print_SF('EF Table_detail'!N128),"")</f>
        <v>0.629</v>
      </c>
      <c r="P127" s="205" t="str" cm="1">
        <f t="array" aca="1" ref="P127" ca="1">IFERROR(print_SF('EF Table_detail'!O128),"")</f>
        <v>1.28</v>
      </c>
      <c r="Q127" s="454" t="str" cm="1">
        <f t="array" aca="1" ref="Q127" ca="1">IFERROR(print_SF('EF Table_detail'!V128),"")</f>
        <v>0.922</v>
      </c>
      <c r="R127" s="204" t="str" cm="1">
        <f t="array" ref="R127">IFERROR(print_SF('EF Table_detail'!S128),"")</f>
        <v/>
      </c>
      <c r="S127" s="205" t="str" cm="1">
        <f t="array" aca="1" ref="S127" ca="1">IFERROR(print_SF('EF Table_detail'!T128),"")</f>
        <v>0.277</v>
      </c>
      <c r="T127" s="456" t="str" cm="1">
        <f t="array" aca="1" ref="T127" ca="1">IFERROR(print_SF('EF Table_detail'!Z128),"")</f>
        <v>0.00651</v>
      </c>
      <c r="U127" s="204" t="str" cm="1">
        <f t="array" ref="U127">IFERROR(print_SF('EF Table_detail'!W128),"")</f>
        <v/>
      </c>
      <c r="V127" s="205" t="str" cm="1">
        <f t="array" aca="1" ref="V127" ca="1">IFERROR(print_SF('EF Table_detail'!X128),"")</f>
        <v>0.00196</v>
      </c>
      <c r="W127" s="329" t="str" cm="1">
        <f t="array" aca="1" ref="W127" ca="1">IFERROR(print_SF('EF Table_detail'!AB128),"")</f>
        <v>142</v>
      </c>
      <c r="X127" s="330" t="str">
        <f t="shared" si="5"/>
        <v>kg/m²</v>
      </c>
      <c r="Y127" s="213" t="str" cm="1">
        <f t="array" aca="1" ref="Y127" ca="1">IF(INDIRECT(""&amp;$E127&amp;"!R"&amp;Y$141&amp;"C"&amp;Y$142,FALSE)=0,"",INDIRECT(""&amp;$E127&amp;"!R"&amp;Y$141&amp;"C"&amp;Y$142,FALSE))</f>
        <v>A number of generic Curtain Wall systems are presented for cases when Curtain Wall information is not available. Calculated using referenced material quantities and multiplied by the relevant maximum EF to get the default maximum EF or the Average EF to get the average EF overall. Reference material quantites based on generic designs for a european context. More information see material tab.</v>
      </c>
      <c r="Z127" s="277" t="str" cm="1">
        <f t="array" aca="1" ref="Z127" ca="1">IF(INDIRECT(""&amp;$E127&amp;"!R"&amp;Z$141&amp;"C"&amp;Z$142,FALSE)="Average (weighted)","Yes","No")</f>
        <v>No</v>
      </c>
    </row>
    <row r="128" spans="2:26" ht="45" customHeight="1" x14ac:dyDescent="0.25">
      <c r="B128" s="276" t="str">
        <f>'EF Table_detail'!A129</f>
        <v>Curtain wall</v>
      </c>
      <c r="C128" s="192" t="str">
        <f>'EF Table_detail'!B129</f>
        <v>Curtain wall - Generic - Wall system, cross laminated timber backing, brick cladding, 50% DGU 8T-16-44.2</v>
      </c>
      <c r="D128" s="193" t="str">
        <f ca="1">'EF Table_detail'!C129</f>
        <v>Determination of a generic curtain wall as described in material category column. Includes glass, framing, thermal breaks, spandrel/cladding material and insulation in one sqm rate.</v>
      </c>
      <c r="E128" s="192" t="str">
        <f>'EF Table_detail'!D129</f>
        <v>Curtain_wall</v>
      </c>
      <c r="F128" s="192" t="str">
        <f>'EF Table_detail'!E129</f>
        <v>m²</v>
      </c>
      <c r="G128" s="192" t="str">
        <f>'EF Table_detail'!F129</f>
        <v>Untiered</v>
      </c>
      <c r="H128" s="194">
        <f>'EF Table_detail'!G129</f>
        <v>1</v>
      </c>
      <c r="I128" s="454" t="str" cm="1">
        <f t="array" aca="1" ref="I128" ca="1">IFERROR(print_SF('EF Table_detail'!L129),"")</f>
        <v>294</v>
      </c>
      <c r="J128" s="226" t="str" cm="1">
        <f t="array" ref="J128">IFERROR(print_SF('EF Table_detail'!H129),"")</f>
        <v/>
      </c>
      <c r="K128" s="206" t="str" cm="1">
        <f t="array" aca="1" ref="K128" ca="1">IFERROR(print_SF('EF Table_detail'!I129),"")</f>
        <v>87.3</v>
      </c>
      <c r="L128" s="206" t="str" cm="1">
        <f t="array" aca="1" ref="L128" ca="1">IFERROR(print_SF('EF Table_detail'!J129),"")</f>
        <v>174</v>
      </c>
      <c r="M128" s="456" t="str" cm="1">
        <f t="array" aca="1" ref="M128" ca="1">IFERROR(print_SF('EF Table_detail'!Q129),"")</f>
        <v>2.08</v>
      </c>
      <c r="N128" s="204" t="str" cm="1">
        <f t="array" ref="N128">IFERROR(print_SF('EF Table_detail'!M129),"")</f>
        <v/>
      </c>
      <c r="O128" s="205" t="str" cm="1">
        <f t="array" aca="1" ref="O128" ca="1">IFERROR(print_SF('EF Table_detail'!N129),"")</f>
        <v>0.620</v>
      </c>
      <c r="P128" s="205" t="str" cm="1">
        <f t="array" aca="1" ref="P128" ca="1">IFERROR(print_SF('EF Table_detail'!O129),"")</f>
        <v>1.24</v>
      </c>
      <c r="Q128" s="454" t="str" cm="1">
        <f t="array" aca="1" ref="Q128" ca="1">IFERROR(print_SF('EF Table_detail'!V129),"")</f>
        <v>10.1</v>
      </c>
      <c r="R128" s="204" t="str" cm="1">
        <f t="array" ref="R128">IFERROR(print_SF('EF Table_detail'!S129),"")</f>
        <v/>
      </c>
      <c r="S128" s="205" t="str" cm="1">
        <f t="array" aca="1" ref="S128" ca="1">IFERROR(print_SF('EF Table_detail'!T129),"")</f>
        <v>10.1</v>
      </c>
      <c r="T128" s="456" t="str" cm="1">
        <f t="array" aca="1" ref="T128" ca="1">IFERROR(print_SF('EF Table_detail'!Z129),"")</f>
        <v>0.0719</v>
      </c>
      <c r="U128" s="204" t="str" cm="1">
        <f t="array" ref="U128">IFERROR(print_SF('EF Table_detail'!W129),"")</f>
        <v/>
      </c>
      <c r="V128" s="205" t="str" cm="1">
        <f t="array" aca="1" ref="V128" ca="1">IFERROR(print_SF('EF Table_detail'!X129),"")</f>
        <v>0.0719</v>
      </c>
      <c r="W128" s="329" t="str" cm="1">
        <f t="array" aca="1" ref="W128" ca="1">IFERROR(print_SF('EF Table_detail'!AB129),"")</f>
        <v>141</v>
      </c>
      <c r="X128" s="330" t="str">
        <f t="shared" si="5"/>
        <v>kg/m²</v>
      </c>
      <c r="Y128" s="213" t="str" cm="1">
        <f t="array" aca="1" ref="Y128" ca="1">IF(INDIRECT(""&amp;$E128&amp;"!R"&amp;Y$141&amp;"C"&amp;Y$142,FALSE)=0,"",INDIRECT(""&amp;$E128&amp;"!R"&amp;Y$141&amp;"C"&amp;Y$142,FALSE))</f>
        <v>A number of generic Curtain Wall systems are presented for cases when Curtain Wall information is not available. Calculated using referenced material quantities and multiplied by the relevant maximum EF to get the default maximum EF or the Average EF to get the average EF overall. Reference material quantites based on generic designs for a european context. More information see material tab.</v>
      </c>
      <c r="Z128" s="277" t="str" cm="1">
        <f t="array" aca="1" ref="Z128" ca="1">IF(INDIRECT(""&amp;$E128&amp;"!R"&amp;Z$141&amp;"C"&amp;Z$142,FALSE)="Average (weighted)","Yes","No")</f>
        <v>No</v>
      </c>
    </row>
    <row r="129" spans="2:27" ht="133.5" customHeight="1" x14ac:dyDescent="0.25">
      <c r="B129" s="276" t="str">
        <f>'EF Table_detail'!A130</f>
        <v>Warehouse/Residential</v>
      </c>
      <c r="C129" s="192" t="str">
        <f>'EF Table_detail'!B130</f>
        <v>Building_services_MEP_warehouse_residential_HVAC</v>
      </c>
      <c r="D129" s="193" t="str">
        <f ca="1">'EF Table_detail'!C130</f>
        <v xml:space="preserve">Determination of a generic buildings services rate according to the description in material category column. Includes mechanical, electrical and heating, ventilation and air conditioning. </v>
      </c>
      <c r="E129" s="192" t="str">
        <f>'EF Table_detail'!D130</f>
        <v>Building_services</v>
      </c>
      <c r="F129" s="192" t="str">
        <f>'EF Table_detail'!E130</f>
        <v>m²</v>
      </c>
      <c r="G129" s="192" t="str">
        <f>'EF Table_detail'!F130</f>
        <v>Untiered</v>
      </c>
      <c r="H129" s="194">
        <f>'EF Table_detail'!G130</f>
        <v>1</v>
      </c>
      <c r="I129" s="454" t="str" cm="1">
        <f t="array" ref="I129">IFERROR(print_SF('EF Table_detail'!L130),"")</f>
        <v>57.4</v>
      </c>
      <c r="J129" s="227" t="str" cm="1">
        <f t="array" ref="J129">IFERROR(print_SF('EF Table_detail'!H130),"")</f>
        <v/>
      </c>
      <c r="K129" s="228" t="str" cm="1">
        <f t="array" ref="K129">IFERROR(print_SF('EF Table_detail'!I130),"")</f>
        <v>41.2</v>
      </c>
      <c r="L129" s="228" t="str" cm="1">
        <f t="array" ref="L129">IFERROR(print_SF('EF Table_detail'!J130),"")</f>
        <v>46.8</v>
      </c>
      <c r="M129" s="456" t="str" cm="1">
        <f t="array" ref="M129">IFERROR(print_SF('EF Table_detail'!Q130),"")</f>
        <v>2.69</v>
      </c>
      <c r="N129" s="204" t="str" cm="1">
        <f t="array" ref="N129">IFERROR(print_SF('EF Table_detail'!M130),"")</f>
        <v/>
      </c>
      <c r="O129" s="205" t="str" cm="1">
        <f t="array" ref="O129">IFERROR(print_SF('EF Table_detail'!N130),"")</f>
        <v>2.26</v>
      </c>
      <c r="P129" s="205" t="str" cm="1">
        <f t="array" ref="P129">IFERROR(print_SF('EF Table_detail'!O130),"")</f>
        <v>2.26</v>
      </c>
      <c r="Q129" s="454" t="str" cm="1">
        <f t="array" ref="Q129">IFERROR(print_SF('EF Table_detail'!V130),"")</f>
        <v>0</v>
      </c>
      <c r="R129" s="204" t="str" cm="1">
        <f t="array" ref="R129">IFERROR(print_SF('EF Table_detail'!S130),"")</f>
        <v/>
      </c>
      <c r="S129" s="205" t="str" cm="1">
        <f t="array" ref="S129">IFERROR(print_SF('EF Table_detail'!T130),"")</f>
        <v>0</v>
      </c>
      <c r="T129" s="456" t="str" cm="1">
        <f t="array" ref="T129">IFERROR(print_SF('EF Table_detail'!Z130),"")</f>
        <v/>
      </c>
      <c r="U129" s="204" t="str" cm="1">
        <f t="array" ref="U129">IFERROR(print_SF('EF Table_detail'!W130),"")</f>
        <v/>
      </c>
      <c r="V129" s="205" t="str" cm="1">
        <f t="array" ref="V129">IFERROR(print_SF('EF Table_detail'!X130),"")</f>
        <v/>
      </c>
      <c r="W129" s="329" t="str" cm="1">
        <f t="array" ref="W129">IFERROR(print_SF('EF Table_detail'!AB130),"")</f>
        <v>20.7</v>
      </c>
      <c r="X129" s="330" t="str">
        <f t="shared" si="5"/>
        <v>kg/m²</v>
      </c>
      <c r="Y129" s="213" t="str" cm="1">
        <f t="array" aca="1" ref="Y129" ca="1">IF(INDIRECT(""&amp;$E129&amp;"!R"&amp;Y$141&amp;"C"&amp;Y$142,FALSE)=0,"",INDIRECT(""&amp;$E129&amp;"!R"&amp;Y$141&amp;"C"&amp;Y$142,FALSE))</f>
        <v>Building services includes electrical, mechanical and plumbing services in a building. It excludes transportation services i.e. lifts and escalators. 
It does not include use phase of these services i.e. electricity consumption of lighting of the building or leakage of refrigerants. 
Categories were defined during industry consultation. 
EFs are based on detailed study conducted by Carbon Leadership Forum. 
The study is limited to expert agreed commercial buildings in America's north west. This may mean some items are oversized for the Australian context i.e. ducting due to predominantly cooler climates in the studies' buildings.</v>
      </c>
      <c r="Z129" s="277" t="str" cm="1">
        <f t="array" aca="1" ref="Z129" ca="1">IF(INDIRECT(""&amp;$E129&amp;"!R"&amp;Z$141&amp;"C"&amp;Z$142,FALSE)="Average (weighted)","Yes","No")</f>
        <v>No</v>
      </c>
    </row>
    <row r="130" spans="2:27" ht="133.5" customHeight="1" x14ac:dyDescent="0.25">
      <c r="B130" s="276" t="str">
        <f>'EF Table_detail'!A131</f>
        <v>Warehouse (no HVAC)</v>
      </c>
      <c r="C130" s="192" t="str">
        <f>'EF Table_detail'!B131</f>
        <v>Building_services_MEP_warehouse_none_HVAC</v>
      </c>
      <c r="D130" s="193" t="str">
        <f ca="1">'EF Table_detail'!C131</f>
        <v xml:space="preserve">Determination of a generic buildings services rate according to the description in material category column. Includes mechanical, electrical and heating, ventilation and air conditioning. </v>
      </c>
      <c r="E130" s="192" t="str">
        <f>'EF Table_detail'!D131</f>
        <v>Building_services</v>
      </c>
      <c r="F130" s="192" t="str">
        <f>'EF Table_detail'!E131</f>
        <v>m²</v>
      </c>
      <c r="G130" s="192" t="str">
        <f>'EF Table_detail'!F131</f>
        <v>Untiered</v>
      </c>
      <c r="H130" s="194">
        <f>'EF Table_detail'!G131</f>
        <v>1</v>
      </c>
      <c r="I130" s="454" t="str" cm="1">
        <f t="array" ref="I130">IFERROR(print_SF('EF Table_detail'!L131),"")</f>
        <v>13.4</v>
      </c>
      <c r="J130" s="227" t="str" cm="1">
        <f t="array" ref="J130">IFERROR(print_SF('EF Table_detail'!H131),"")</f>
        <v/>
      </c>
      <c r="K130" s="228" t="str" cm="1">
        <f t="array" ref="K130">IFERROR(print_SF('EF Table_detail'!I131),"")</f>
        <v>11.8</v>
      </c>
      <c r="L130" s="228" t="str" cm="1">
        <f t="array" ref="L130">IFERROR(print_SF('EF Table_detail'!J131),"")</f>
        <v>12.6</v>
      </c>
      <c r="M130" s="456" t="str" cm="1">
        <f t="array" ref="M130">IFERROR(print_SF('EF Table_detail'!Q131),"")</f>
        <v>2.77</v>
      </c>
      <c r="N130" s="204" t="str" cm="1">
        <f t="array" ref="N130">IFERROR(print_SF('EF Table_detail'!M131),"")</f>
        <v/>
      </c>
      <c r="O130" s="205" t="str" cm="1">
        <f t="array" ref="O130">IFERROR(print_SF('EF Table_detail'!N131),"")</f>
        <v>1.59</v>
      </c>
      <c r="P130" s="205" t="str" cm="1">
        <f t="array" ref="P130">IFERROR(print_SF('EF Table_detail'!O131),"")</f>
        <v>2.18</v>
      </c>
      <c r="Q130" s="454" t="str" cm="1">
        <f t="array" ref="Q130">IFERROR(print_SF('EF Table_detail'!V131),"")</f>
        <v>0</v>
      </c>
      <c r="R130" s="204" t="str" cm="1">
        <f t="array" ref="R130">IFERROR(print_SF('EF Table_detail'!S131),"")</f>
        <v/>
      </c>
      <c r="S130" s="205" t="str" cm="1">
        <f t="array" ref="S130">IFERROR(print_SF('EF Table_detail'!T131),"")</f>
        <v>0</v>
      </c>
      <c r="T130" s="456" t="str" cm="1">
        <f t="array" ref="T130">IFERROR(print_SF('EF Table_detail'!Z131),"")</f>
        <v/>
      </c>
      <c r="U130" s="204" t="str" cm="1">
        <f t="array" ref="U130">IFERROR(print_SF('EF Table_detail'!W131),"")</f>
        <v/>
      </c>
      <c r="V130" s="205" t="str" cm="1">
        <f t="array" ref="V130">IFERROR(print_SF('EF Table_detail'!X131),"")</f>
        <v/>
      </c>
      <c r="W130" s="329" t="str" cm="1">
        <f t="array" ref="W130">IFERROR(print_SF('EF Table_detail'!AB131),"")</f>
        <v>5.77</v>
      </c>
      <c r="X130" s="330" t="str">
        <f t="shared" si="5"/>
        <v>kg/m²</v>
      </c>
      <c r="Y130" s="213" t="str" cm="1">
        <f t="array" aca="1" ref="Y130" ca="1">IF(INDIRECT(""&amp;$E130&amp;"!R"&amp;Y$141&amp;"C"&amp;Y$142,FALSE)=0,"",INDIRECT(""&amp;$E130&amp;"!R"&amp;Y$141&amp;"C"&amp;Y$142,FALSE))</f>
        <v>Building services includes electrical, mechanical and plumbing services in a building. It excludes transportation services i.e. lifts and escalators. 
It does not include use phase of these services i.e. electricity consumption of lighting of the building or leakage of refrigerants. 
Categories were defined during industry consultation. 
EFs are based on detailed study conducted by Carbon Leadership Forum. 
The study is limited to expert agreed commercial buildings in America's north west. This may mean some items are oversized for the Australian context i.e. ducting due to predominantly cooler climates in the studies' buildings.</v>
      </c>
      <c r="Z130" s="277" t="str" cm="1">
        <f t="array" aca="1" ref="Z130" ca="1">IF(INDIRECT(""&amp;$E130&amp;"!R"&amp;Z$141&amp;"C"&amp;Z$142,FALSE)="Average (weighted)","Yes","No")</f>
        <v>No</v>
      </c>
    </row>
    <row r="131" spans="2:27" ht="133.5" customHeight="1" x14ac:dyDescent="0.25">
      <c r="B131" s="276" t="str">
        <f>'EF Table_detail'!A132</f>
        <v>Office commercial low rise</v>
      </c>
      <c r="C131" s="192" t="str">
        <f>'EF Table_detail'!B132</f>
        <v>Building_services_MEP_office_less7500sqm</v>
      </c>
      <c r="D131" s="193" t="str">
        <f ca="1">'EF Table_detail'!C132</f>
        <v xml:space="preserve">Determination of a generic buildings services rate according to the description in material category column. Includes mechanical, electrical and heating, ventilation and air conditioning. </v>
      </c>
      <c r="E131" s="192" t="str">
        <f>'EF Table_detail'!D132</f>
        <v>Building_services</v>
      </c>
      <c r="F131" s="192" t="str">
        <f>'EF Table_detail'!E132</f>
        <v>m²</v>
      </c>
      <c r="G131" s="192" t="str">
        <f>'EF Table_detail'!F132</f>
        <v>Untiered</v>
      </c>
      <c r="H131" s="194">
        <f>'EF Table_detail'!G132</f>
        <v>1</v>
      </c>
      <c r="I131" s="454" t="str" cm="1">
        <f t="array" ref="I131">IFERROR(print_SF('EF Table_detail'!L132),"")</f>
        <v>67.0</v>
      </c>
      <c r="J131" s="227" t="str" cm="1">
        <f t="array" ref="J131">IFERROR(print_SF('EF Table_detail'!H132),"")</f>
        <v/>
      </c>
      <c r="K131" s="228" t="str" cm="1">
        <f t="array" ref="K131">IFERROR(print_SF('EF Table_detail'!I132),"")</f>
        <v>41.3</v>
      </c>
      <c r="L131" s="228" t="str" cm="1">
        <f t="array" ref="L131">IFERROR(print_SF('EF Table_detail'!J132),"")</f>
        <v>55.3</v>
      </c>
      <c r="M131" s="456" t="str" cm="1">
        <f t="array" ref="M131">IFERROR(print_SF('EF Table_detail'!Q132),"")</f>
        <v>3.11</v>
      </c>
      <c r="N131" s="204" t="str" cm="1">
        <f t="array" ref="N131">IFERROR(print_SF('EF Table_detail'!M132),"")</f>
        <v/>
      </c>
      <c r="O131" s="205" t="str" cm="1">
        <f t="array" ref="O131">IFERROR(print_SF('EF Table_detail'!N132),"")</f>
        <v>2.77</v>
      </c>
      <c r="P131" s="205" t="str" cm="1">
        <f t="array" ref="P131">IFERROR(print_SF('EF Table_detail'!O132),"")</f>
        <v>2.95</v>
      </c>
      <c r="Q131" s="454" t="str" cm="1">
        <f t="array" ref="Q131">IFERROR(print_SF('EF Table_detail'!V132),"")</f>
        <v>0</v>
      </c>
      <c r="R131" s="204" t="str" cm="1">
        <f t="array" ref="R131">IFERROR(print_SF('EF Table_detail'!S132),"")</f>
        <v/>
      </c>
      <c r="S131" s="205" t="str" cm="1">
        <f t="array" ref="S131">IFERROR(print_SF('EF Table_detail'!T132),"")</f>
        <v>0</v>
      </c>
      <c r="T131" s="456" t="str" cm="1">
        <f t="array" ref="T131">IFERROR(print_SF('EF Table_detail'!Z132),"")</f>
        <v/>
      </c>
      <c r="U131" s="204" t="str" cm="1">
        <f t="array" ref="U131">IFERROR(print_SF('EF Table_detail'!W132),"")</f>
        <v/>
      </c>
      <c r="V131" s="205" t="str" cm="1">
        <f t="array" ref="V131">IFERROR(print_SF('EF Table_detail'!X132),"")</f>
        <v/>
      </c>
      <c r="W131" s="329" t="str" cm="1">
        <f t="array" ref="W131">IFERROR(print_SF('EF Table_detail'!AB132),"")</f>
        <v>18.8</v>
      </c>
      <c r="X131" s="330" t="str">
        <f t="shared" si="5"/>
        <v>kg/m²</v>
      </c>
      <c r="Y131" s="213" t="str" cm="1">
        <f t="array" aca="1" ref="Y131" ca="1">IF(INDIRECT(""&amp;$E131&amp;"!R"&amp;Y$141&amp;"C"&amp;Y$142,FALSE)=0,"",INDIRECT(""&amp;$E131&amp;"!R"&amp;Y$141&amp;"C"&amp;Y$142,FALSE))</f>
        <v>Building services includes electrical, mechanical and plumbing services in a building. It excludes transportation services i.e. lifts and escalators. 
It does not include use phase of these services i.e. electricity consumption of lighting of the building or leakage of refrigerants. 
Categories were defined during industry consultation. 
EFs are based on detailed study conducted by Carbon Leadership Forum. 
The study is limited to expert agreed commercial buildings in America's north west. This may mean some items are oversized for the Australian context i.e. ducting due to predominantly cooler climates in the studies' buildings.</v>
      </c>
      <c r="Z131" s="277" t="str" cm="1">
        <f t="array" aca="1" ref="Z131" ca="1">IF(INDIRECT(""&amp;$E131&amp;"!R"&amp;Z$141&amp;"C"&amp;Z$142,FALSE)="Average (weighted)","Yes","No")</f>
        <v>No</v>
      </c>
    </row>
    <row r="132" spans="2:27" ht="133.5" customHeight="1" x14ac:dyDescent="0.25">
      <c r="B132" s="276" t="str">
        <f>'EF Table_detail'!A133</f>
        <v>Office commercial high rise</v>
      </c>
      <c r="C132" s="192" t="str">
        <f>'EF Table_detail'!B133</f>
        <v>Building_services_MEP_office_commercial_greater7500sqm</v>
      </c>
      <c r="D132" s="193" t="str">
        <f ca="1">'EF Table_detail'!C133</f>
        <v xml:space="preserve">Determination of a generic buildings services rate according to the description in material category column. Includes mechanical, electrical and heating, ventilation and air conditioning. </v>
      </c>
      <c r="E132" s="192" t="str">
        <f>'EF Table_detail'!D133</f>
        <v>Building_services</v>
      </c>
      <c r="F132" s="192" t="str">
        <f>'EF Table_detail'!E133</f>
        <v>m²</v>
      </c>
      <c r="G132" s="192" t="str">
        <f>'EF Table_detail'!F133</f>
        <v>Untiered</v>
      </c>
      <c r="H132" s="194">
        <f>'EF Table_detail'!G133</f>
        <v>1</v>
      </c>
      <c r="I132" s="454" t="str" cm="1">
        <f t="array" ref="I132">IFERROR(print_SF('EF Table_detail'!L133),"")</f>
        <v>74.8</v>
      </c>
      <c r="J132" s="227" t="str" cm="1">
        <f t="array" ref="J132">IFERROR(print_SF('EF Table_detail'!H133),"")</f>
        <v/>
      </c>
      <c r="K132" s="228" t="str" cm="1">
        <f t="array" ref="K132">IFERROR(print_SF('EF Table_detail'!I133),"")</f>
        <v>48.9</v>
      </c>
      <c r="L132" s="228" t="str" cm="1">
        <f t="array" ref="L132">IFERROR(print_SF('EF Table_detail'!J133),"")</f>
        <v>62.6</v>
      </c>
      <c r="M132" s="456" t="str" cm="1">
        <f t="array" ref="M132">IFERROR(print_SF('EF Table_detail'!Q133),"")</f>
        <v>3.88</v>
      </c>
      <c r="N132" s="204" t="str" cm="1">
        <f t="array" ref="N132">IFERROR(print_SF('EF Table_detail'!M133),"")</f>
        <v/>
      </c>
      <c r="O132" s="205" t="str" cm="1">
        <f t="array" ref="O132">IFERROR(print_SF('EF Table_detail'!N133),"")</f>
        <v>2.88</v>
      </c>
      <c r="P132" s="205" t="str" cm="1">
        <f t="array" ref="P132">IFERROR(print_SF('EF Table_detail'!O133),"")</f>
        <v>3.24</v>
      </c>
      <c r="Q132" s="454" t="str" cm="1">
        <f t="array" ref="Q132">IFERROR(print_SF('EF Table_detail'!V133),"")</f>
        <v>0</v>
      </c>
      <c r="R132" s="204" t="str" cm="1">
        <f t="array" ref="R132">IFERROR(print_SF('EF Table_detail'!S133),"")</f>
        <v/>
      </c>
      <c r="S132" s="205" t="str" cm="1">
        <f t="array" ref="S132">IFERROR(print_SF('EF Table_detail'!T133),"")</f>
        <v>0</v>
      </c>
      <c r="T132" s="456" t="str" cm="1">
        <f t="array" ref="T132">IFERROR(print_SF('EF Table_detail'!Z133),"")</f>
        <v/>
      </c>
      <c r="U132" s="204" t="str" cm="1">
        <f t="array" ref="U132">IFERROR(print_SF('EF Table_detail'!W133),"")</f>
        <v/>
      </c>
      <c r="V132" s="205" t="str" cm="1">
        <f t="array" ref="V132">IFERROR(print_SF('EF Table_detail'!X133),"")</f>
        <v/>
      </c>
      <c r="W132" s="329" t="str" cm="1">
        <f t="array" ref="W132">IFERROR(print_SF('EF Table_detail'!AB133),"")</f>
        <v>19.3</v>
      </c>
      <c r="X132" s="330" t="str">
        <f t="shared" si="5"/>
        <v>kg/m²</v>
      </c>
      <c r="Y132" s="213" t="str" cm="1">
        <f t="array" aca="1" ref="Y132" ca="1">IF(INDIRECT(""&amp;$E132&amp;"!R"&amp;Y$141&amp;"C"&amp;Y$142,FALSE)=0,"",INDIRECT(""&amp;$E132&amp;"!R"&amp;Y$141&amp;"C"&amp;Y$142,FALSE))</f>
        <v>Building services includes electrical, mechanical and plumbing services in a building. It excludes transportation services i.e. lifts and escalators. 
It does not include use phase of these services i.e. electricity consumption of lighting of the building or leakage of refrigerants. 
Categories were defined during industry consultation. 
EFs are based on detailed study conducted by Carbon Leadership Forum. 
The study is limited to expert agreed commercial buildings in America's north west. This may mean some items are oversized for the Australian context i.e. ducting due to predominantly cooler climates in the studies' buildings.</v>
      </c>
      <c r="Z132" s="277" t="str" cm="1">
        <f t="array" aca="1" ref="Z132" ca="1">IF(INDIRECT(""&amp;$E132&amp;"!R"&amp;Z$141&amp;"C"&amp;Z$142,FALSE)="Average (weighted)","Yes","No")</f>
        <v>No</v>
      </c>
    </row>
    <row r="133" spans="2:27" ht="133.5" customHeight="1" x14ac:dyDescent="0.25">
      <c r="B133" s="276" t="str">
        <f>'EF Table_detail'!A134</f>
        <v>Hospital</v>
      </c>
      <c r="C133" s="192" t="str">
        <f>'EF Table_detail'!B134</f>
        <v>Building_services_MEP_hospital_special</v>
      </c>
      <c r="D133" s="193" t="str">
        <f ca="1">'EF Table_detail'!C134</f>
        <v xml:space="preserve">Determination of a generic buildings services rate according to the description in material category column. Includes mechanical, electrical and heating, ventilation and air conditioning. </v>
      </c>
      <c r="E133" s="192" t="str">
        <f>'EF Table_detail'!D134</f>
        <v>Building_services</v>
      </c>
      <c r="F133" s="192" t="str">
        <f>'EF Table_detail'!E134</f>
        <v>m²</v>
      </c>
      <c r="G133" s="192" t="str">
        <f>'EF Table_detail'!F134</f>
        <v>Untiered</v>
      </c>
      <c r="H133" s="194">
        <f>'EF Table_detail'!G134</f>
        <v>1</v>
      </c>
      <c r="I133" s="452" t="str" cm="1">
        <f t="array" ref="I133">IFERROR(print_SF('EF Table_detail'!L134),"")</f>
        <v>74.8</v>
      </c>
      <c r="J133" s="228" t="str" cm="1">
        <f t="array" ref="J133">IFERROR(print_SF('EF Table_detail'!H134),"")</f>
        <v/>
      </c>
      <c r="K133" s="228" t="str" cm="1">
        <f t="array" ref="K133">IFERROR(print_SF('EF Table_detail'!I134),"")</f>
        <v>55.1</v>
      </c>
      <c r="L133" s="228" t="str" cm="1">
        <f t="array" ref="L133">IFERROR(print_SF('EF Table_detail'!J134),"")</f>
        <v>66.0</v>
      </c>
      <c r="M133" s="457" t="str" cm="1">
        <f t="array" ref="M133">IFERROR(print_SF('EF Table_detail'!Q134),"")</f>
        <v>3.95</v>
      </c>
      <c r="N133" s="458" t="str" cm="1">
        <f t="array" ref="N133">IFERROR(print_SF('EF Table_detail'!M134),"")</f>
        <v/>
      </c>
      <c r="O133" s="459" t="str" cm="1">
        <f t="array" ref="O133">IFERROR(print_SF('EF Table_detail'!N134),"")</f>
        <v>2.91</v>
      </c>
      <c r="P133" s="459" t="str" cm="1">
        <f t="array" ref="P133">IFERROR(print_SF('EF Table_detail'!O134),"")</f>
        <v>3.29</v>
      </c>
      <c r="Q133" s="460" t="str" cm="1">
        <f t="array" ref="Q133">IFERROR(print_SF('EF Table_detail'!V134),"")</f>
        <v>0</v>
      </c>
      <c r="R133" s="458" t="str" cm="1">
        <f t="array" ref="R133">IFERROR(print_SF('EF Table_detail'!S134),"")</f>
        <v/>
      </c>
      <c r="S133" s="459" t="str" cm="1">
        <f t="array" ref="S133">IFERROR(print_SF('EF Table_detail'!T134),"")</f>
        <v>0</v>
      </c>
      <c r="T133" s="457" t="str" cm="1">
        <f t="array" ref="T133">IFERROR(print_SF('EF Table_detail'!Z134),"")</f>
        <v/>
      </c>
      <c r="U133" s="458" t="str" cm="1">
        <f t="array" ref="U133">IFERROR(print_SF('EF Table_detail'!W134),"")</f>
        <v/>
      </c>
      <c r="V133" s="205" t="str" cm="1">
        <f t="array" ref="V133">IFERROR(print_SF('EF Table_detail'!X134),"")</f>
        <v/>
      </c>
      <c r="W133" s="329" t="str" cm="1">
        <f t="array" ref="W133">IFERROR(print_SF('EF Table_detail'!AB134),"")</f>
        <v>20.1</v>
      </c>
      <c r="X133" s="330" t="str">
        <f t="shared" si="5"/>
        <v>kg/m²</v>
      </c>
      <c r="Y133" s="213" t="str" cm="1">
        <f t="array" aca="1" ref="Y133" ca="1">IF(INDIRECT(""&amp;$E133&amp;"!R"&amp;Y$141&amp;"C"&amp;Y$142,FALSE)=0,"",INDIRECT(""&amp;$E133&amp;"!R"&amp;Y$141&amp;"C"&amp;Y$142,FALSE))</f>
        <v>Building services includes electrical, mechanical and plumbing services in a building. It excludes transportation services i.e. lifts and escalators. 
It does not include use phase of these services i.e. electricity consumption of lighting of the building or leakage of refrigerants. 
Categories were defined during industry consultation. 
EFs are based on detailed study conducted by Carbon Leadership Forum. 
The study is limited to expert agreed commercial buildings in America's north west. This may mean some items are oversized for the Australian context i.e. ducting due to predominantly cooler climates in the studies' buildings.</v>
      </c>
      <c r="Z133" s="277" t="str" cm="1">
        <f t="array" aca="1" ref="Z133" ca="1">IF(INDIRECT(""&amp;$E133&amp;"!R"&amp;Z$141&amp;"C"&amp;Z$142,FALSE)="Average (weighted)","Yes","No")</f>
        <v>No</v>
      </c>
    </row>
    <row r="141" spans="2:27" s="8" customFormat="1" ht="13.2" hidden="1" x14ac:dyDescent="0.25">
      <c r="B141" s="11" t="s">
        <v>3847</v>
      </c>
      <c r="C141" s="6"/>
      <c r="D141" s="211">
        <v>3</v>
      </c>
      <c r="E141" s="6"/>
      <c r="F141" s="6">
        <v>17</v>
      </c>
      <c r="G141" s="6">
        <v>9</v>
      </c>
      <c r="H141" s="6"/>
      <c r="I141" s="6"/>
      <c r="J141" s="6">
        <v>18</v>
      </c>
      <c r="K141" s="6">
        <v>19</v>
      </c>
      <c r="L141" s="6">
        <v>20</v>
      </c>
      <c r="M141" s="6"/>
      <c r="N141" s="6">
        <v>18</v>
      </c>
      <c r="O141" s="6">
        <v>19</v>
      </c>
      <c r="P141" s="6">
        <v>20</v>
      </c>
      <c r="Q141" s="6"/>
      <c r="R141" s="6">
        <v>18</v>
      </c>
      <c r="S141" s="6">
        <v>20</v>
      </c>
      <c r="T141" s="6"/>
      <c r="U141" s="6">
        <v>18</v>
      </c>
      <c r="V141" s="6">
        <v>20</v>
      </c>
      <c r="W141" s="6"/>
      <c r="X141" s="6"/>
      <c r="Y141" s="211">
        <v>11</v>
      </c>
      <c r="Z141" s="6">
        <v>20</v>
      </c>
      <c r="AA141" s="64"/>
    </row>
    <row r="142" spans="2:27" s="8" customFormat="1" ht="13.2" hidden="1" x14ac:dyDescent="0.25">
      <c r="B142" s="9" t="s">
        <v>3848</v>
      </c>
      <c r="C142" s="5"/>
      <c r="D142" s="212">
        <v>2</v>
      </c>
      <c r="E142" s="5"/>
      <c r="F142" s="5">
        <v>4</v>
      </c>
      <c r="G142" s="5">
        <v>2</v>
      </c>
      <c r="H142" s="5"/>
      <c r="I142" s="5"/>
      <c r="J142" s="5">
        <v>4</v>
      </c>
      <c r="K142" s="5">
        <v>4</v>
      </c>
      <c r="L142" s="5">
        <v>4</v>
      </c>
      <c r="M142" s="5"/>
      <c r="N142" s="5">
        <v>5</v>
      </c>
      <c r="O142" s="5">
        <v>5</v>
      </c>
      <c r="P142" s="5">
        <v>5</v>
      </c>
      <c r="Q142" s="5"/>
      <c r="R142" s="5">
        <v>6</v>
      </c>
      <c r="S142" s="5">
        <v>6</v>
      </c>
      <c r="T142" s="5"/>
      <c r="U142" s="5">
        <v>7</v>
      </c>
      <c r="V142" s="5">
        <v>7</v>
      </c>
      <c r="W142" s="5"/>
      <c r="X142" s="5"/>
      <c r="Y142" s="212">
        <v>2</v>
      </c>
      <c r="Z142" s="5">
        <v>3</v>
      </c>
      <c r="AA142" s="65"/>
    </row>
  </sheetData>
  <dataConsolidate/>
  <mergeCells count="6">
    <mergeCell ref="I3:L3"/>
    <mergeCell ref="I2:P2"/>
    <mergeCell ref="M3:P3"/>
    <mergeCell ref="Q2:V2"/>
    <mergeCell ref="Q3:S3"/>
    <mergeCell ref="T3:V3"/>
  </mergeCells>
  <conditionalFormatting sqref="W6:X133">
    <cfRule type="cellIs" dxfId="4" priority="4" operator="equal">
      <formula>"Mixed"</formula>
    </cfRule>
  </conditionalFormatting>
  <pageMargins left="0.7" right="0.7" top="0.75" bottom="0.75" header="0.3" footer="0.3"/>
  <pageSetup orientation="portrait"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CA29A5-E4E7-4819-9E45-9CD46CA9D8DD}">
  <sheetPr codeName="Sheet38">
    <tabColor rgb="FF00CCFF"/>
  </sheetPr>
  <dimension ref="A1:V166"/>
  <sheetViews>
    <sheetView showGridLines="0" zoomScale="80" zoomScaleNormal="80" workbookViewId="0"/>
  </sheetViews>
  <sheetFormatPr defaultRowHeight="13.2" x14ac:dyDescent="0.25"/>
  <cols>
    <col min="1" max="1" width="26.109375" customWidth="1"/>
    <col min="2" max="2" width="128.88671875" customWidth="1"/>
    <col min="3" max="3" width="21" customWidth="1"/>
    <col min="4" max="6" width="19.88671875" style="96" customWidth="1"/>
    <col min="7" max="7" width="23.5546875" style="96" customWidth="1"/>
    <col min="8" max="8" width="14.44140625" style="161" customWidth="1"/>
    <col min="9" max="9" width="14.44140625" customWidth="1"/>
    <col min="10" max="10" width="13.109375" customWidth="1"/>
    <col min="11" max="11" width="16.109375" customWidth="1"/>
    <col min="18" max="18" width="22.88671875" customWidth="1"/>
    <col min="19" max="19" width="43.5546875" customWidth="1"/>
    <col min="20" max="20" width="38.88671875" customWidth="1"/>
    <col min="21" max="21" width="41.44140625" customWidth="1"/>
    <col min="22" max="22" width="36.88671875" customWidth="1"/>
  </cols>
  <sheetData>
    <row r="1" spans="1:22" x14ac:dyDescent="0.25">
      <c r="A1" s="4" t="str" cm="1">
        <f t="array" aca="1" ref="A1" ca="1">MID(CELL("filename",A1),FIND("]",CELL("filename",A1))+1,255)</f>
        <v>Timber_softwood</v>
      </c>
      <c r="H1"/>
    </row>
    <row r="2" spans="1:22" x14ac:dyDescent="0.25">
      <c r="A2" s="4"/>
      <c r="C2" s="4"/>
      <c r="H2"/>
    </row>
    <row r="3" spans="1:22" x14ac:dyDescent="0.25">
      <c r="A3" s="4" t="s">
        <v>4048</v>
      </c>
      <c r="B3" t="s">
        <v>4192</v>
      </c>
      <c r="H3"/>
    </row>
    <row r="4" spans="1:22" x14ac:dyDescent="0.25">
      <c r="A4" s="4"/>
      <c r="H4"/>
    </row>
    <row r="5" spans="1:22" ht="92.25" customHeight="1" x14ac:dyDescent="0.25">
      <c r="A5" s="26" t="s">
        <v>4050</v>
      </c>
      <c r="B5" s="14" t="s">
        <v>4193</v>
      </c>
      <c r="H5"/>
    </row>
    <row r="6" spans="1:22" x14ac:dyDescent="0.25">
      <c r="A6" s="26" t="s">
        <v>4052</v>
      </c>
      <c r="B6" t="s">
        <v>69</v>
      </c>
      <c r="D6" s="43"/>
      <c r="H6"/>
    </row>
    <row r="7" spans="1:22" x14ac:dyDescent="0.25">
      <c r="A7" s="26" t="s">
        <v>4053</v>
      </c>
      <c r="B7" s="27" t="s">
        <v>68</v>
      </c>
      <c r="H7"/>
      <c r="K7" s="4" t="s">
        <v>4101</v>
      </c>
    </row>
    <row r="8" spans="1:22" x14ac:dyDescent="0.25">
      <c r="A8" s="26" t="s">
        <v>4054</v>
      </c>
      <c r="B8" s="27" t="s">
        <v>69</v>
      </c>
      <c r="H8"/>
    </row>
    <row r="9" spans="1:22" x14ac:dyDescent="0.25">
      <c r="A9" s="26" t="s">
        <v>4055</v>
      </c>
      <c r="B9" s="4" t="s">
        <v>69</v>
      </c>
      <c r="H9"/>
      <c r="S9" t="s">
        <v>4159</v>
      </c>
      <c r="T9" t="s">
        <v>148</v>
      </c>
      <c r="U9" t="s">
        <v>4160</v>
      </c>
      <c r="V9" t="s">
        <v>149</v>
      </c>
    </row>
    <row r="10" spans="1:22" x14ac:dyDescent="0.25">
      <c r="A10" s="26"/>
      <c r="B10" s="4"/>
      <c r="H10"/>
      <c r="L10" s="129" t="s">
        <v>4194</v>
      </c>
      <c r="M10" s="164">
        <f>P12</f>
        <v>0.16483516483516483</v>
      </c>
      <c r="O10" s="129" t="s">
        <v>4195</v>
      </c>
      <c r="P10" s="130">
        <v>3800</v>
      </c>
      <c r="R10" s="129" t="s">
        <v>4196</v>
      </c>
      <c r="S10" s="67">
        <f>(SUMIF(_xlfn.ANCHORARRAY($B$23),"*"&amp;"New Zealand"&amp;"*",_xlfn.ANCHORARRAY(D$23))+SUMIF(_xlfn.ANCHORARRAY($B$23),"*"&amp;"Europe"&amp;"*",_xlfn.ANCHORARRAY(D$23)))/(COUNTIF(_xlfn.ANCHORARRAY($B$23),"*"&amp;"New Zealand"&amp;"*")+COUNTIF(_xlfn.ANCHORARRAY($B$23),"*"&amp;"Europe"&amp;"*"))</f>
        <v>233.5</v>
      </c>
      <c r="T10" s="67">
        <f t="shared" ref="T10:V10" si="0">(SUMIF(_xlfn.ANCHORARRAY($B$23),"*"&amp;"New Zealand"&amp;"*",_xlfn.ANCHORARRAY(E$23))+SUMIF(_xlfn.ANCHORARRAY($B$23),"*"&amp;"Europe"&amp;"*",_xlfn.ANCHORARRAY(E$23)))/(COUNTIF(_xlfn.ANCHORARRAY($B$23),"*"&amp;"New Zealand"&amp;"*")+COUNTIF(_xlfn.ANCHORARRAY($B$23),"*"&amp;"Europe"&amp;"*"))</f>
        <v>0.55595238095238098</v>
      </c>
      <c r="U10" s="67">
        <f t="shared" si="0"/>
        <v>716.09999999999991</v>
      </c>
      <c r="V10" s="130">
        <f t="shared" si="0"/>
        <v>1.7049999999999998</v>
      </c>
    </row>
    <row r="11" spans="1:22" x14ac:dyDescent="0.25">
      <c r="A11" s="26" t="s">
        <v>4056</v>
      </c>
      <c r="B11" s="14"/>
      <c r="H11"/>
      <c r="L11" s="125" t="s">
        <v>4197</v>
      </c>
      <c r="M11" s="165">
        <f>1-M10</f>
        <v>0.8351648351648352</v>
      </c>
      <c r="O11" s="122" t="s">
        <v>4194</v>
      </c>
      <c r="P11" s="124">
        <v>750</v>
      </c>
      <c r="R11" s="122" t="s">
        <v>4114</v>
      </c>
      <c r="S11">
        <f>(SUMIF(_xlfn.ANCHORARRAY($B$23),"*"&amp;"Australia"&amp;"*",_xlfn.ANCHORARRAY(D$23))+SUMIF(_xlfn.ANCHORARRAY($B$23),"*"&amp;"FWPA"&amp;"*",_xlfn.ANCHORARRAY(D$23)))/(COUNTIF(_xlfn.ANCHORARRAY($B$23),"*"&amp;"Australia"&amp;"*")+COUNTIF(_xlfn.ANCHORARRAY($B$23),"*"&amp;"FWPA"&amp;"*"))</f>
        <v>179.17065333333341</v>
      </c>
      <c r="T11">
        <f t="shared" ref="T11:V11" si="1">(SUMIF(_xlfn.ANCHORARRAY($B$23),"*"&amp;"Australia"&amp;"*",_xlfn.ANCHORARRAY(E$23))+SUMIF(_xlfn.ANCHORARRAY($B$23),"*"&amp;"FWPA"&amp;"*",_xlfn.ANCHORARRAY(E$23)))/(COUNTIF(_xlfn.ANCHORARRAY($B$23),"*"&amp;"Australia"&amp;"*")+COUNTIF(_xlfn.ANCHORARRAY($B$23),"*"&amp;"FWPA"&amp;"*"))</f>
        <v>0.32813404142421621</v>
      </c>
      <c r="U11">
        <f t="shared" si="1"/>
        <v>885.04952380952386</v>
      </c>
      <c r="V11" s="124">
        <f t="shared" si="1"/>
        <v>1.6219954445244253</v>
      </c>
    </row>
    <row r="12" spans="1:22" x14ac:dyDescent="0.25">
      <c r="A12" s="101"/>
      <c r="H12"/>
      <c r="O12" s="125"/>
      <c r="P12" s="166">
        <f>P11/(P10+P11)</f>
        <v>0.16483516483516483</v>
      </c>
      <c r="R12" s="125" t="s">
        <v>4116</v>
      </c>
      <c r="S12" s="126">
        <f>SUMPRODUCT(S10:S11,$M$10:$M$11)</f>
        <v>188.12604014652021</v>
      </c>
      <c r="T12" s="126">
        <f t="shared" ref="T12:V12" si="2">SUMPRODUCT(T10:T11,$M$10:$M$11)</f>
        <v>0.36568651497281479</v>
      </c>
      <c r="U12" s="126">
        <f t="shared" si="2"/>
        <v>857.20070120355842</v>
      </c>
      <c r="V12" s="142">
        <f t="shared" si="2"/>
        <v>1.6356775141083113</v>
      </c>
    </row>
    <row r="13" spans="1:22" x14ac:dyDescent="0.25">
      <c r="A13" s="101"/>
      <c r="H13"/>
    </row>
    <row r="14" spans="1:22" x14ac:dyDescent="0.25">
      <c r="A14" s="26" t="s">
        <v>4057</v>
      </c>
      <c r="H14"/>
      <c r="L14" s="4" t="s">
        <v>4198</v>
      </c>
    </row>
    <row r="15" spans="1:22" x14ac:dyDescent="0.25">
      <c r="A15" s="26"/>
      <c r="D15" s="112" t="s">
        <v>4058</v>
      </c>
      <c r="E15" s="113"/>
      <c r="F15" s="114" t="s">
        <v>4059</v>
      </c>
      <c r="G15" s="113"/>
      <c r="H15"/>
      <c r="L15" s="36" t="s">
        <v>4199</v>
      </c>
    </row>
    <row r="16" spans="1:22" ht="39.6" x14ac:dyDescent="0.25">
      <c r="B16" s="28" t="s">
        <v>4200</v>
      </c>
      <c r="C16" s="23" t="s">
        <v>23</v>
      </c>
      <c r="D16" s="24" t="s">
        <v>141</v>
      </c>
      <c r="E16" s="25" t="s">
        <v>148</v>
      </c>
      <c r="F16" s="24" t="s">
        <v>142</v>
      </c>
      <c r="G16" s="45" t="s">
        <v>149</v>
      </c>
      <c r="H16" s="44" t="s">
        <v>4201</v>
      </c>
      <c r="L16" t="s">
        <v>4202</v>
      </c>
    </row>
    <row r="17" spans="2:10" x14ac:dyDescent="0.25">
      <c r="B17" s="29"/>
      <c r="C17" s="30" t="s">
        <v>4060</v>
      </c>
      <c r="D17" s="118" t="str" cm="1">
        <f t="array" ref="D17">IF(AND(_xlfn.ANCHORARRAY(C23)=C23),C23,"Mixed")</f>
        <v>m³</v>
      </c>
      <c r="E17" s="118" t="s">
        <v>219</v>
      </c>
      <c r="F17" s="118" t="str" cm="1">
        <f t="array" ref="F17">IF(AND(_xlfn.ANCHORARRAY(C23)=C23),C23,"Mixed")</f>
        <v>m³</v>
      </c>
      <c r="G17" s="118" t="s">
        <v>219</v>
      </c>
    </row>
    <row r="18" spans="2:10" s="14" customFormat="1" x14ac:dyDescent="0.25">
      <c r="B18" s="31"/>
      <c r="C18" s="4" t="s">
        <v>4061</v>
      </c>
      <c r="D18" s="96">
        <f>MAX(_xlfn.ANCHORARRAY(D23))</f>
        <v>332.10566666666671</v>
      </c>
      <c r="E18" s="96">
        <f t="shared" ref="E18" si="3">MAX(_xlfn.ANCHORARRAY(E23))</f>
        <v>0.60273260738052037</v>
      </c>
      <c r="F18" s="162">
        <f>VLOOKUP($D18,$D$23:$F$211,3,FALSE)</f>
        <v>888.94666666666672</v>
      </c>
      <c r="G18" s="162">
        <f>VLOOKUP($D18,$D$23:$G$211,4,FALSE)</f>
        <v>1.6133333333333335</v>
      </c>
      <c r="H18" s="163">
        <f>D18/E18</f>
        <v>551</v>
      </c>
      <c r="I18"/>
      <c r="J18"/>
    </row>
    <row r="19" spans="2:10" x14ac:dyDescent="0.25">
      <c r="B19" s="122"/>
      <c r="C19" s="4" t="s">
        <v>4062</v>
      </c>
      <c r="D19" s="96">
        <f>MIN(_xlfn.ANCHORARRAY(D23))</f>
        <v>112.72666666666669</v>
      </c>
      <c r="E19" s="96">
        <f t="shared" ref="E19:G19" si="4">MIN(_xlfn.ANCHORARRAY(E23))</f>
        <v>0.20458560193587449</v>
      </c>
      <c r="F19" s="96">
        <f t="shared" si="4"/>
        <v>716.09999999999991</v>
      </c>
      <c r="G19" s="96">
        <f t="shared" si="4"/>
        <v>1.6133333333333335</v>
      </c>
      <c r="H19" s="163">
        <f>D19/E19</f>
        <v>550.9999999999992</v>
      </c>
    </row>
    <row r="20" spans="2:10" x14ac:dyDescent="0.25">
      <c r="B20" s="122"/>
      <c r="C20" s="35" t="s">
        <v>4203</v>
      </c>
      <c r="D20" s="96">
        <f>S12</f>
        <v>188.12604014652021</v>
      </c>
      <c r="E20" s="96">
        <f t="shared" ref="E20:G20" si="5">T12</f>
        <v>0.36568651497281479</v>
      </c>
      <c r="F20" s="96">
        <f t="shared" si="5"/>
        <v>857.20070120355842</v>
      </c>
      <c r="G20" s="96">
        <f t="shared" si="5"/>
        <v>1.6356775141083113</v>
      </c>
      <c r="H20" s="163">
        <f>D20/E20</f>
        <v>514.44620581785887</v>
      </c>
    </row>
    <row r="21" spans="2:10" x14ac:dyDescent="0.25">
      <c r="B21" s="122"/>
      <c r="C21" s="4" t="s">
        <v>4063</v>
      </c>
      <c r="D21" s="96">
        <f>AVERAGE(_xlfn.ANCHORARRAY(D23))</f>
        <v>187.12986606060613</v>
      </c>
      <c r="E21" s="96">
        <f t="shared" ref="E21:G21" si="6">AVERAGE(_xlfn.ANCHORARRAY(E23))</f>
        <v>0.35446063772170128</v>
      </c>
      <c r="F21" s="96">
        <f t="shared" si="6"/>
        <v>869.51333333333321</v>
      </c>
      <c r="G21" s="96">
        <f t="shared" si="6"/>
        <v>1.629935045530891</v>
      </c>
      <c r="H21" s="163">
        <f>D21/E21</f>
        <v>527.9284810392063</v>
      </c>
    </row>
    <row r="22" spans="2:10" x14ac:dyDescent="0.25">
      <c r="B22" s="32" t="s">
        <v>4064</v>
      </c>
      <c r="D22"/>
      <c r="E22"/>
      <c r="F22"/>
      <c r="G22"/>
    </row>
    <row r="23" spans="2:10" x14ac:dyDescent="0.25">
      <c r="B23" s="122" t="str" cm="1">
        <f t="array" ref="B23:B44">_xlfn.UNIQUE(_xlfn._xlws.FILTER('EPD List'!D:D,ISNUMBER(SEARCH(B16,'EPD List'!C:C)),0))</f>
        <v>Softwood (Radiata pine), surfaced, kiln-dried, H2 LOSP treated, [majority from sustainable forest management practices] (FWPA)</v>
      </c>
      <c r="C23" t="str" cm="1">
        <f t="array" ref="C23:C44">_xlfn.IFNA(INDEX('EPD List'!$A:$AB,MATCH(_xlfn.ANCHORARRAY(B23),'EPD List'!$D:$D,0),MATCH(C$16,'EPD List'!$7:$7,0)),"")</f>
        <v>m³</v>
      </c>
      <c r="D23" s="96" cm="1">
        <f t="array" ref="D23:D44">_xlfn.IFNA(VALUE((INDEX('EPD List'!$A:$AD,MATCH(_xlfn.ANCHORARRAY($B23),'EPD List'!$D:$D,0),MATCH(D$16,'EPD List'!$7:$7,0)))),"")</f>
        <v>182.66316666666671</v>
      </c>
      <c r="E23" s="96" cm="1">
        <f t="array" ref="E23:E44">_xlfn.IFNA(VALUE((INDEX('EPD List'!$A:$AD,MATCH(_xlfn.ANCHORARRAY($B23),'EPD List'!$D:$D,0),MATCH(E$16,'EPD List'!$7:$7,0)))),"")</f>
        <v>0.33151209921355118</v>
      </c>
      <c r="F23" s="96" cm="1">
        <f t="array" ref="F23:F44">_xlfn.IFNA(VALUE((INDEX('EPD List'!$A:$AD,MATCH(_xlfn.ANCHORARRAY($B23),'EPD List'!$D:$D,0),MATCH(F$16,'EPD List'!$7:$7,0)))),"")</f>
        <v>888.94666666666672</v>
      </c>
      <c r="G23" s="96" cm="1">
        <f t="array" ref="G23:G44">_xlfn.IFNA(VALUE((INDEX('EPD List'!$A:$AD,MATCH(_xlfn.ANCHORARRAY($B23),'EPD List'!$D:$D,0),MATCH(G$16,'EPD List'!$7:$7,0)))),"")</f>
        <v>1.6133333333333335</v>
      </c>
      <c r="H23" s="163" cm="1">
        <f t="array" ref="H23:H44">IFERROR(IF(_xlfn.ANCHORARRAY($C23)="kg",1,
IF(_xlfn.ANCHORARRAY($C23)="tonne",1000,
IF(OR(_xlfn.ANCHORARRAY($C23)="m³",_xlfn.ANCHORARRAY($C23)="m³"),INDEX('EPD List'!$A:$AB,MATCH(_xlfn.ANCHORARRAY($B23),'EPD List'!$D:$D,0),MATCH("Density (kg/m3)",'EPD List'!$7:$7,0)),
IF(OR(_xlfn.ANCHORARRAY($C23)="m²",_xlfn.ANCHORARRAY($C23)="m2"),INDEX('EPD List'!$A:$AB,MATCH(_xlfn.ANCHORARRAY($B23),'EPD List'!$D:$D,0),MATCH("Area density (kg/m2)",'EPD List'!$7:$7,0)),
IF(_xlfn.ANCHORARRAY($C23)="m",INDEX('EPD List'!$A:$AB,MATCH(_xlfn.ANCHORARRAY($B23),'EPD List'!$D:$D,0),MATCH("mass per m (kg/m)",'EPD List'!$7:$7,0)),
IF(_xlfn.ANCHORARRAY($C23)="unit",INDEX('EPD List'!$A:$AB,MATCH(_xlfn.ANCHORARRAY($B23),'EPD List'!$D:$D,0),MATCH("Mass per unit (kg/unit)",'EPD List'!$7:$7,0)),NA())))))),"")</f>
        <v>551</v>
      </c>
    </row>
    <row r="24" spans="2:10" x14ac:dyDescent="0.25">
      <c r="B24" s="122" t="str">
        <v>Softwood (Radiata pine), surfaced, kiln-dried, H3 copper azole  treated,  [majority from sustainable forest management practices] (FWPA)</v>
      </c>
      <c r="C24" t="str">
        <v>m³</v>
      </c>
      <c r="D24" s="96">
        <v>185.78316666666683</v>
      </c>
      <c r="E24" s="96">
        <v>0.33717453115547524</v>
      </c>
      <c r="F24" s="96">
        <v>888.94666666666672</v>
      </c>
      <c r="G24" s="96">
        <v>1.6133333333333335</v>
      </c>
      <c r="H24" s="161">
        <v>551</v>
      </c>
    </row>
    <row r="25" spans="2:10" x14ac:dyDescent="0.25">
      <c r="B25" s="122" t="str">
        <v>Softwood (Radiata pine), roughsawn, kiln-dried, H3 Copper Azole treated, e.g. framing [majority from sustainable forest management practices] (FWPA)</v>
      </c>
      <c r="C25" t="str">
        <v>m³</v>
      </c>
      <c r="D25" s="96">
        <v>139.78316666666683</v>
      </c>
      <c r="E25" s="96">
        <v>0.25368995765275293</v>
      </c>
      <c r="F25" s="96">
        <v>888.94666666666672</v>
      </c>
      <c r="G25" s="96">
        <v>1.6133333333333335</v>
      </c>
      <c r="H25" s="161">
        <v>551</v>
      </c>
    </row>
    <row r="26" spans="2:10" x14ac:dyDescent="0.25">
      <c r="B26" s="122" t="str">
        <v>Maximum variaton, Softwood (Radiata pine),surfaced, dressed, kiln-dried, LOSP azole+permethrin), e.g. framing [majority from sustainable forest management practices] (FWPA)</v>
      </c>
      <c r="C26" t="str">
        <v>m³</v>
      </c>
      <c r="D26" s="96">
        <v>332.10566666666671</v>
      </c>
      <c r="E26" s="96">
        <v>0.60273260738052037</v>
      </c>
      <c r="F26" s="96">
        <v>888.94666666666672</v>
      </c>
      <c r="G26" s="96">
        <v>1.6133333333333335</v>
      </c>
      <c r="H26" s="161">
        <v>551</v>
      </c>
    </row>
    <row r="27" spans="2:10" x14ac:dyDescent="0.25">
      <c r="B27" s="122" t="str">
        <v>Softwood (Radiata pine), roughsawn, kiln-dried, untreated, e.g. framing [majority from sustainable forest management practices] (FWPA)</v>
      </c>
      <c r="C27" t="str">
        <v>m³</v>
      </c>
      <c r="D27" s="96">
        <v>124.94666666666672</v>
      </c>
      <c r="E27" s="96">
        <v>0.22676346037507566</v>
      </c>
      <c r="F27" s="96">
        <v>888.94666666666672</v>
      </c>
      <c r="G27" s="96">
        <v>1.6133333333333335</v>
      </c>
      <c r="H27" s="161">
        <v>551</v>
      </c>
    </row>
    <row r="28" spans="2:10" x14ac:dyDescent="0.25">
      <c r="B28" s="122" t="str">
        <v>Softwood (Radiata pine), surfaced, kiln-dried, untreated  [majority from sustainable forest management practices] (FWPA)</v>
      </c>
      <c r="C28" t="str">
        <v>m³</v>
      </c>
      <c r="D28" s="96">
        <v>170.94666666666672</v>
      </c>
      <c r="E28" s="96">
        <v>0.3102480338777982</v>
      </c>
      <c r="F28" s="96">
        <v>888.94666666666672</v>
      </c>
      <c r="G28" s="96">
        <v>1.6133333333333335</v>
      </c>
      <c r="H28" s="161">
        <v>551</v>
      </c>
    </row>
    <row r="29" spans="2:10" x14ac:dyDescent="0.25">
      <c r="B29" s="122" t="str">
        <v>Softwood, , Min variaton, Softwood (Radiata pine),surfaced, dressed, kiln-dried, LOSP azole+permethrin), e.g. framing [majority from sustainable forest management practices] (FWPA) (FWPA) (Australia)</v>
      </c>
      <c r="C29" t="str">
        <v>m³</v>
      </c>
      <c r="D29" s="96">
        <v>112.72666666666669</v>
      </c>
      <c r="E29" s="96">
        <v>0.20458560193587449</v>
      </c>
      <c r="F29" s="96">
        <v>888.94666666666672</v>
      </c>
      <c r="G29" s="96">
        <v>1.6133333333333335</v>
      </c>
      <c r="H29" s="161">
        <v>551</v>
      </c>
    </row>
    <row r="30" spans="2:10" x14ac:dyDescent="0.25">
      <c r="B30" s="122" t="str">
        <v>Softwood (Radiata pine), surfaced, kiln-dried, untreated,  [from sustainable forest management practices] (Timberlink, Australia)</v>
      </c>
      <c r="C30" t="str">
        <v>m³</v>
      </c>
      <c r="D30" s="96">
        <v>154.34325333333334</v>
      </c>
      <c r="E30" s="96">
        <v>0.31370579945799482</v>
      </c>
      <c r="F30" s="96">
        <v>865.33333333333337</v>
      </c>
      <c r="G30" s="96">
        <v>1.7588075880758809</v>
      </c>
      <c r="H30" s="161">
        <v>492</v>
      </c>
    </row>
    <row r="31" spans="2:10" x14ac:dyDescent="0.25">
      <c r="B31" s="122" t="str">
        <v>Softwood (Radiata pine), surfaced, kiln-dried, H3, treated, eg outdoor use, not in contact with ground, non structural [from sustainable forest management practices] (Timberlink, Australia)</v>
      </c>
      <c r="C31" t="str">
        <v>m³</v>
      </c>
      <c r="D31" s="96">
        <v>160.34343333333334</v>
      </c>
      <c r="E31" s="96">
        <v>0.30368074494949515</v>
      </c>
      <c r="F31" s="96">
        <v>865.33333333333337</v>
      </c>
      <c r="G31" s="96">
        <v>1.6388888888888891</v>
      </c>
      <c r="H31" s="161">
        <v>528</v>
      </c>
    </row>
    <row r="32" spans="2:10" x14ac:dyDescent="0.25">
      <c r="B32" s="122" t="str">
        <v>Softwood (Radiata pine), surfaced, kiln-dried, H2F treated, eg framing [from sustainable forest management practices] (Timberlink, Australia)</v>
      </c>
      <c r="C32" t="str">
        <v>m³</v>
      </c>
      <c r="D32" s="96">
        <v>184.35193333333336</v>
      </c>
      <c r="E32" s="96">
        <v>0.35047896070975915</v>
      </c>
      <c r="F32" s="96">
        <v>854.33333333333337</v>
      </c>
      <c r="G32" s="96">
        <v>1.6242078580481623</v>
      </c>
      <c r="H32" s="161">
        <v>526</v>
      </c>
    </row>
    <row r="33" spans="2:8" x14ac:dyDescent="0.25">
      <c r="B33" s="122" t="str">
        <v>Softwood (Radiata pine), roughsawn, kiln-dried, H3 Copper+DDAX treated, e.g. framing [majority from sustainable forest management practices] (FWPA)</v>
      </c>
      <c r="C33" t="str">
        <v>m³</v>
      </c>
      <c r="D33" s="96">
        <v>142.39966666666669</v>
      </c>
      <c r="E33" s="96">
        <v>0.25843859649122813</v>
      </c>
      <c r="F33" s="96">
        <v>888.94666666666672</v>
      </c>
      <c r="G33" s="96">
        <v>1.6133333333333335</v>
      </c>
      <c r="H33" s="161">
        <v>551</v>
      </c>
    </row>
    <row r="34" spans="2:8" x14ac:dyDescent="0.25">
      <c r="B34" s="122" t="str">
        <v>Softwood (Radiata pine), surfaced, kiln-dried, H3 Copper+DDAX treated,  [majority from sustainable forest management practices] (FWPA)</v>
      </c>
      <c r="C34" t="str">
        <v>m³</v>
      </c>
      <c r="D34" s="96">
        <v>188.39966666666669</v>
      </c>
      <c r="E34" s="96">
        <v>0.34192316999395067</v>
      </c>
      <c r="F34" s="96">
        <v>888.94666666666672</v>
      </c>
      <c r="G34" s="96">
        <v>1.6133333333333335</v>
      </c>
      <c r="H34" s="161">
        <v>551</v>
      </c>
    </row>
    <row r="35" spans="2:8" x14ac:dyDescent="0.25">
      <c r="B35" s="122" t="str">
        <v>Softwood (Radiata pine), roughsawn, kiln-dried, H4 CCA treated, e.g. framing [majority from sustainable forest management practices] (FWPA)</v>
      </c>
      <c r="C35" t="str">
        <v>m³</v>
      </c>
      <c r="D35" s="96">
        <v>149.70366666666678</v>
      </c>
      <c r="E35" s="96">
        <v>0.27169449485783459</v>
      </c>
      <c r="F35" s="96">
        <v>888.94666666666672</v>
      </c>
      <c r="G35" s="96">
        <v>1.6133333333333335</v>
      </c>
      <c r="H35" s="161">
        <v>551</v>
      </c>
    </row>
    <row r="36" spans="2:8" x14ac:dyDescent="0.25">
      <c r="B36" s="122" t="str">
        <v>Softwood (Radiata pine), surfaced, kiln-dried, H4 CCA treated, e.g. framing [majority from sustainable forest management practices] (FWPA)</v>
      </c>
      <c r="C36" t="str">
        <v>m³</v>
      </c>
      <c r="D36" s="96">
        <v>195.70366666666678</v>
      </c>
      <c r="E36" s="96">
        <v>0.35517906836055668</v>
      </c>
      <c r="F36" s="96">
        <v>888.94666666666672</v>
      </c>
      <c r="G36" s="96">
        <v>1.6133333333333335</v>
      </c>
      <c r="H36" s="161">
        <v>551</v>
      </c>
    </row>
    <row r="37" spans="2:8" x14ac:dyDescent="0.25">
      <c r="B37" s="122" t="str">
        <v>Softwood (Radiata pine), roughsawn, kiln-dried, H4 Copper Azole treated, e.g. framing [majority from sustainable forest management practices] (FWPA)</v>
      </c>
      <c r="C37" t="str">
        <v>m³</v>
      </c>
      <c r="D37" s="96">
        <v>143.80876666666677</v>
      </c>
      <c r="E37" s="96">
        <v>0.26099594676346038</v>
      </c>
      <c r="F37" s="96">
        <v>888.94666666666672</v>
      </c>
      <c r="G37" s="96">
        <v>1.6133333333333335</v>
      </c>
      <c r="H37" s="161">
        <v>551</v>
      </c>
    </row>
    <row r="38" spans="2:8" x14ac:dyDescent="0.25">
      <c r="B38" s="122" t="str">
        <v>Softwood (Radiata pine), surfaced, kiln-dried, H4 Copper Azole treated, e.g. framing [majority from sustainable forest management practices] (FWPA)</v>
      </c>
      <c r="C38" t="str">
        <v>m³</v>
      </c>
      <c r="D38" s="96">
        <v>189.80876666666677</v>
      </c>
      <c r="E38" s="96">
        <v>0.34448052026618292</v>
      </c>
      <c r="F38" s="96">
        <v>888.94666666666672</v>
      </c>
      <c r="G38" s="96">
        <v>1.6133333333333335</v>
      </c>
      <c r="H38" s="161">
        <v>551</v>
      </c>
    </row>
    <row r="39" spans="2:8" x14ac:dyDescent="0.25">
      <c r="B39" s="122" t="str">
        <v>Softwood (Radiata pine), roughsawn, kiln-dried, H3 LOSP treated, e.g. framing [majority from sustainable forest management practices] (FWPA)</v>
      </c>
      <c r="C39" t="str">
        <v>m³</v>
      </c>
      <c r="D39" s="96">
        <v>184.3896666666667</v>
      </c>
      <c r="E39" s="96">
        <v>0.33464549304295232</v>
      </c>
      <c r="F39" s="96">
        <v>888.94666666666672</v>
      </c>
      <c r="G39" s="96">
        <v>1.6133333333333335</v>
      </c>
      <c r="H39" s="161">
        <v>551</v>
      </c>
    </row>
    <row r="40" spans="2:8" x14ac:dyDescent="0.25">
      <c r="B40" s="122" t="str">
        <v>Softwood (Radiata pine), surfaced, kiln-dried, H3 LOSP treated, e.g. framing [majority from sustainable forest management practices] (FWPA)</v>
      </c>
      <c r="C40" t="str">
        <v>m³</v>
      </c>
      <c r="D40" s="96">
        <v>230.3896666666667</v>
      </c>
      <c r="E40" s="96">
        <v>0.41813006654567464</v>
      </c>
      <c r="F40" s="96">
        <v>888.94666666666672</v>
      </c>
      <c r="G40" s="96">
        <v>1.6133333333333335</v>
      </c>
      <c r="H40" s="161">
        <v>551</v>
      </c>
    </row>
    <row r="41" spans="2:8" x14ac:dyDescent="0.25">
      <c r="B41" s="122" t="str">
        <v>Softwood (Radiata pine), roughsawn, kiln-dried, H3 CCA treated, e.g. framing [majority from sustainable forest management practices] (FWPA)</v>
      </c>
      <c r="C41" t="str">
        <v>m³</v>
      </c>
      <c r="D41" s="96">
        <v>215.62986666666677</v>
      </c>
      <c r="E41" s="96">
        <v>0.39134277071990331</v>
      </c>
      <c r="F41" s="96">
        <v>888.94666666666672</v>
      </c>
      <c r="G41" s="96">
        <v>1.6133333333333335</v>
      </c>
      <c r="H41" s="161">
        <v>551</v>
      </c>
    </row>
    <row r="42" spans="2:8" x14ac:dyDescent="0.25">
      <c r="B42" s="122" t="str">
        <v>sawn softwood (Abodo Wood Ltd) (New Zealand)</v>
      </c>
      <c r="C42" t="str">
        <v>m³</v>
      </c>
      <c r="D42" s="96">
        <v>224</v>
      </c>
      <c r="E42" s="96">
        <v>0.53333333333333344</v>
      </c>
      <c r="F42" s="96">
        <v>716.09999999999991</v>
      </c>
      <c r="G42" s="96">
        <v>1.7049999999999998</v>
      </c>
      <c r="H42" s="161">
        <v>420</v>
      </c>
    </row>
    <row r="43" spans="2:8" x14ac:dyDescent="0.25">
      <c r="B43" s="122" t="str">
        <v>Thermally Modified Timber, surfaced softwood (Abodo Wood Ltd) (New Zealand)</v>
      </c>
      <c r="C43" t="str">
        <v>m³</v>
      </c>
      <c r="D43" s="96">
        <v>243</v>
      </c>
      <c r="E43" s="96">
        <v>0.57857142857142851</v>
      </c>
      <c r="F43" s="96">
        <v>716.09999999999991</v>
      </c>
      <c r="G43" s="96">
        <v>1.7049999999999998</v>
      </c>
      <c r="H43" s="161">
        <v>420</v>
      </c>
    </row>
    <row r="44" spans="2:8" x14ac:dyDescent="0.25">
      <c r="B44" s="122" t="str">
        <v>Softwood (Radiata pine), surfaced, kiln-dried, H3 CCA treated, [majority from sustainable forest management practices] (FWPA)</v>
      </c>
      <c r="C44" t="str">
        <v>m³</v>
      </c>
      <c r="D44" s="96">
        <v>261.62986666666677</v>
      </c>
      <c r="E44" s="96">
        <v>0.47482734422262562</v>
      </c>
      <c r="F44" s="96">
        <v>888.94666666666672</v>
      </c>
      <c r="G44" s="96">
        <v>1.6133333333333335</v>
      </c>
      <c r="H44" s="161">
        <v>551</v>
      </c>
    </row>
    <row r="45" spans="2:8" x14ac:dyDescent="0.25">
      <c r="B45" s="122"/>
    </row>
    <row r="46" spans="2:8" x14ac:dyDescent="0.25">
      <c r="B46" s="122"/>
    </row>
    <row r="47" spans="2:8" x14ac:dyDescent="0.25">
      <c r="B47" s="122"/>
    </row>
    <row r="48" spans="2:8" x14ac:dyDescent="0.25">
      <c r="B48" s="122"/>
    </row>
    <row r="49" spans="2:2" x14ac:dyDescent="0.25">
      <c r="B49" s="122"/>
    </row>
    <row r="50" spans="2:2" x14ac:dyDescent="0.25">
      <c r="B50" s="122"/>
    </row>
    <row r="51" spans="2:2" x14ac:dyDescent="0.25">
      <c r="B51" s="122"/>
    </row>
    <row r="52" spans="2:2" x14ac:dyDescent="0.25">
      <c r="B52" s="122"/>
    </row>
    <row r="53" spans="2:2" x14ac:dyDescent="0.25">
      <c r="B53" s="122"/>
    </row>
    <row r="54" spans="2:2" x14ac:dyDescent="0.25">
      <c r="B54" s="122"/>
    </row>
    <row r="55" spans="2:2" x14ac:dyDescent="0.25">
      <c r="B55" s="122"/>
    </row>
    <row r="56" spans="2:2" x14ac:dyDescent="0.25">
      <c r="B56" s="122"/>
    </row>
    <row r="57" spans="2:2" x14ac:dyDescent="0.25">
      <c r="B57" s="122"/>
    </row>
    <row r="58" spans="2:2" x14ac:dyDescent="0.25">
      <c r="B58" s="122"/>
    </row>
    <row r="59" spans="2:2" x14ac:dyDescent="0.25">
      <c r="B59" s="122"/>
    </row>
    <row r="60" spans="2:2" x14ac:dyDescent="0.25">
      <c r="B60" s="122"/>
    </row>
    <row r="61" spans="2:2" x14ac:dyDescent="0.25">
      <c r="B61" s="122"/>
    </row>
    <row r="62" spans="2:2" x14ac:dyDescent="0.25">
      <c r="B62" s="122"/>
    </row>
    <row r="63" spans="2:2" x14ac:dyDescent="0.25">
      <c r="B63" s="122"/>
    </row>
    <row r="64" spans="2:2" x14ac:dyDescent="0.25">
      <c r="B64" s="122"/>
    </row>
    <row r="65" spans="2:2" x14ac:dyDescent="0.25">
      <c r="B65" s="122"/>
    </row>
    <row r="66" spans="2:2" x14ac:dyDescent="0.25">
      <c r="B66" s="122"/>
    </row>
    <row r="67" spans="2:2" x14ac:dyDescent="0.25">
      <c r="B67" s="122"/>
    </row>
    <row r="68" spans="2:2" x14ac:dyDescent="0.25">
      <c r="B68" s="122"/>
    </row>
    <row r="69" spans="2:2" x14ac:dyDescent="0.25">
      <c r="B69" s="122"/>
    </row>
    <row r="70" spans="2:2" x14ac:dyDescent="0.25">
      <c r="B70" s="122"/>
    </row>
    <row r="71" spans="2:2" x14ac:dyDescent="0.25">
      <c r="B71" s="122"/>
    </row>
    <row r="72" spans="2:2" x14ac:dyDescent="0.25">
      <c r="B72" s="122"/>
    </row>
    <row r="73" spans="2:2" x14ac:dyDescent="0.25">
      <c r="B73" s="122"/>
    </row>
    <row r="74" spans="2:2" x14ac:dyDescent="0.25">
      <c r="B74" s="122"/>
    </row>
    <row r="75" spans="2:2" x14ac:dyDescent="0.25">
      <c r="B75" s="122"/>
    </row>
    <row r="76" spans="2:2" x14ac:dyDescent="0.25">
      <c r="B76" s="122"/>
    </row>
    <row r="77" spans="2:2" x14ac:dyDescent="0.25">
      <c r="B77" s="122"/>
    </row>
    <row r="78" spans="2:2" x14ac:dyDescent="0.25">
      <c r="B78" s="122"/>
    </row>
    <row r="79" spans="2:2" x14ac:dyDescent="0.25">
      <c r="B79" s="122"/>
    </row>
    <row r="80" spans="2:2" x14ac:dyDescent="0.25">
      <c r="B80" s="122"/>
    </row>
    <row r="81" spans="2:10" x14ac:dyDescent="0.25">
      <c r="B81" s="122"/>
    </row>
    <row r="82" spans="2:10" x14ac:dyDescent="0.25">
      <c r="B82" s="122"/>
    </row>
    <row r="83" spans="2:10" x14ac:dyDescent="0.25">
      <c r="B83" s="122"/>
    </row>
    <row r="84" spans="2:10" x14ac:dyDescent="0.25">
      <c r="B84" s="122"/>
    </row>
    <row r="85" spans="2:10" x14ac:dyDescent="0.25">
      <c r="B85" s="122"/>
    </row>
    <row r="86" spans="2:10" x14ac:dyDescent="0.25">
      <c r="B86" s="122"/>
    </row>
    <row r="87" spans="2:10" x14ac:dyDescent="0.25">
      <c r="B87" s="122"/>
    </row>
    <row r="88" spans="2:10" x14ac:dyDescent="0.25">
      <c r="B88" s="122"/>
    </row>
    <row r="89" spans="2:10" x14ac:dyDescent="0.25">
      <c r="B89" s="122"/>
    </row>
    <row r="90" spans="2:10" x14ac:dyDescent="0.25">
      <c r="B90" s="122"/>
      <c r="J90" s="96"/>
    </row>
    <row r="91" spans="2:10" x14ac:dyDescent="0.25">
      <c r="B91" s="122"/>
    </row>
    <row r="92" spans="2:10" x14ac:dyDescent="0.25">
      <c r="B92" s="122"/>
    </row>
    <row r="93" spans="2:10" x14ac:dyDescent="0.25">
      <c r="B93" s="122"/>
    </row>
    <row r="94" spans="2:10" x14ac:dyDescent="0.25">
      <c r="B94" s="122"/>
    </row>
    <row r="95" spans="2:10" x14ac:dyDescent="0.25">
      <c r="B95" s="122"/>
    </row>
    <row r="96" spans="2:10" x14ac:dyDescent="0.25">
      <c r="B96" s="122"/>
    </row>
    <row r="97" spans="2:2" x14ac:dyDescent="0.25">
      <c r="B97" s="122"/>
    </row>
    <row r="98" spans="2:2" x14ac:dyDescent="0.25">
      <c r="B98" s="122"/>
    </row>
    <row r="99" spans="2:2" x14ac:dyDescent="0.25">
      <c r="B99" s="122"/>
    </row>
    <row r="100" spans="2:2" x14ac:dyDescent="0.25">
      <c r="B100" s="122"/>
    </row>
    <row r="101" spans="2:2" x14ac:dyDescent="0.25">
      <c r="B101" s="122"/>
    </row>
    <row r="102" spans="2:2" x14ac:dyDescent="0.25">
      <c r="B102" s="122"/>
    </row>
    <row r="103" spans="2:2" x14ac:dyDescent="0.25">
      <c r="B103" s="122"/>
    </row>
    <row r="104" spans="2:2" x14ac:dyDescent="0.25">
      <c r="B104" s="122"/>
    </row>
    <row r="105" spans="2:2" x14ac:dyDescent="0.25">
      <c r="B105" s="122"/>
    </row>
    <row r="106" spans="2:2" x14ac:dyDescent="0.25">
      <c r="B106" s="122"/>
    </row>
    <row r="107" spans="2:2" x14ac:dyDescent="0.25">
      <c r="B107" s="122"/>
    </row>
    <row r="108" spans="2:2" x14ac:dyDescent="0.25">
      <c r="B108" s="122"/>
    </row>
    <row r="109" spans="2:2" x14ac:dyDescent="0.25">
      <c r="B109" s="122"/>
    </row>
    <row r="110" spans="2:2" x14ac:dyDescent="0.25">
      <c r="B110" s="122"/>
    </row>
    <row r="111" spans="2:2" x14ac:dyDescent="0.25">
      <c r="B111" s="122"/>
    </row>
    <row r="112" spans="2:2" x14ac:dyDescent="0.25">
      <c r="B112" s="122"/>
    </row>
    <row r="113" spans="2:2" x14ac:dyDescent="0.25">
      <c r="B113" s="122"/>
    </row>
    <row r="114" spans="2:2" x14ac:dyDescent="0.25">
      <c r="B114" s="122"/>
    </row>
    <row r="115" spans="2:2" x14ac:dyDescent="0.25">
      <c r="B115" s="122"/>
    </row>
    <row r="116" spans="2:2" x14ac:dyDescent="0.25">
      <c r="B116" s="122"/>
    </row>
    <row r="117" spans="2:2" x14ac:dyDescent="0.25">
      <c r="B117" s="122"/>
    </row>
    <row r="118" spans="2:2" x14ac:dyDescent="0.25">
      <c r="B118" s="122"/>
    </row>
    <row r="119" spans="2:2" x14ac:dyDescent="0.25">
      <c r="B119" s="122"/>
    </row>
    <row r="120" spans="2:2" x14ac:dyDescent="0.25">
      <c r="B120" s="122"/>
    </row>
    <row r="121" spans="2:2" x14ac:dyDescent="0.25">
      <c r="B121" s="122"/>
    </row>
    <row r="122" spans="2:2" x14ac:dyDescent="0.25">
      <c r="B122" s="122"/>
    </row>
    <row r="123" spans="2:2" x14ac:dyDescent="0.25">
      <c r="B123" s="122"/>
    </row>
    <row r="124" spans="2:2" x14ac:dyDescent="0.25">
      <c r="B124" s="122"/>
    </row>
    <row r="125" spans="2:2" x14ac:dyDescent="0.25">
      <c r="B125" s="122"/>
    </row>
    <row r="126" spans="2:2" x14ac:dyDescent="0.25">
      <c r="B126" s="122"/>
    </row>
    <row r="127" spans="2:2" x14ac:dyDescent="0.25">
      <c r="B127" s="122"/>
    </row>
    <row r="128" spans="2:2" x14ac:dyDescent="0.25">
      <c r="B128" s="122"/>
    </row>
    <row r="129" spans="2:2" x14ac:dyDescent="0.25">
      <c r="B129" s="122"/>
    </row>
    <row r="130" spans="2:2" x14ac:dyDescent="0.25">
      <c r="B130" s="122"/>
    </row>
    <row r="131" spans="2:2" x14ac:dyDescent="0.25">
      <c r="B131" s="122"/>
    </row>
    <row r="132" spans="2:2" x14ac:dyDescent="0.25">
      <c r="B132" s="122"/>
    </row>
    <row r="133" spans="2:2" x14ac:dyDescent="0.25">
      <c r="B133" s="122"/>
    </row>
    <row r="134" spans="2:2" x14ac:dyDescent="0.25">
      <c r="B134" s="122"/>
    </row>
    <row r="135" spans="2:2" x14ac:dyDescent="0.25">
      <c r="B135" s="122"/>
    </row>
    <row r="136" spans="2:2" x14ac:dyDescent="0.25">
      <c r="B136" s="122"/>
    </row>
    <row r="137" spans="2:2" x14ac:dyDescent="0.25">
      <c r="B137" s="122"/>
    </row>
    <row r="138" spans="2:2" x14ac:dyDescent="0.25">
      <c r="B138" s="122"/>
    </row>
    <row r="139" spans="2:2" x14ac:dyDescent="0.25">
      <c r="B139" s="122"/>
    </row>
    <row r="140" spans="2:2" x14ac:dyDescent="0.25">
      <c r="B140" s="122"/>
    </row>
    <row r="141" spans="2:2" x14ac:dyDescent="0.25">
      <c r="B141" s="122"/>
    </row>
    <row r="142" spans="2:2" x14ac:dyDescent="0.25">
      <c r="B142" s="122"/>
    </row>
    <row r="143" spans="2:2" x14ac:dyDescent="0.25">
      <c r="B143" s="122"/>
    </row>
    <row r="144" spans="2:2" x14ac:dyDescent="0.25">
      <c r="B144" s="122"/>
    </row>
    <row r="145" spans="2:2" x14ac:dyDescent="0.25">
      <c r="B145" s="122"/>
    </row>
    <row r="146" spans="2:2" x14ac:dyDescent="0.25">
      <c r="B146" s="122"/>
    </row>
    <row r="147" spans="2:2" x14ac:dyDescent="0.25">
      <c r="B147" s="122"/>
    </row>
    <row r="148" spans="2:2" x14ac:dyDescent="0.25">
      <c r="B148" s="122"/>
    </row>
    <row r="149" spans="2:2" x14ac:dyDescent="0.25">
      <c r="B149" s="122"/>
    </row>
    <row r="150" spans="2:2" x14ac:dyDescent="0.25">
      <c r="B150" s="122"/>
    </row>
    <row r="151" spans="2:2" x14ac:dyDescent="0.25">
      <c r="B151" s="122"/>
    </row>
    <row r="152" spans="2:2" x14ac:dyDescent="0.25">
      <c r="B152" s="122"/>
    </row>
    <row r="153" spans="2:2" x14ac:dyDescent="0.25">
      <c r="B153" s="122"/>
    </row>
    <row r="154" spans="2:2" x14ac:dyDescent="0.25">
      <c r="B154" s="122"/>
    </row>
    <row r="155" spans="2:2" x14ac:dyDescent="0.25">
      <c r="B155" s="122"/>
    </row>
    <row r="156" spans="2:2" x14ac:dyDescent="0.25">
      <c r="B156" s="122"/>
    </row>
    <row r="157" spans="2:2" x14ac:dyDescent="0.25">
      <c r="B157" s="122"/>
    </row>
    <row r="158" spans="2:2" x14ac:dyDescent="0.25">
      <c r="B158" s="122"/>
    </row>
    <row r="159" spans="2:2" x14ac:dyDescent="0.25">
      <c r="B159" s="122"/>
    </row>
    <row r="160" spans="2:2" x14ac:dyDescent="0.25">
      <c r="B160" s="122"/>
    </row>
    <row r="161" spans="2:7" x14ac:dyDescent="0.25">
      <c r="B161" s="122"/>
    </row>
    <row r="162" spans="2:7" x14ac:dyDescent="0.25">
      <c r="B162" s="122"/>
    </row>
    <row r="163" spans="2:7" x14ac:dyDescent="0.25">
      <c r="B163" s="122"/>
    </row>
    <row r="164" spans="2:7" x14ac:dyDescent="0.25">
      <c r="B164" s="122"/>
    </row>
    <row r="165" spans="2:7" x14ac:dyDescent="0.25">
      <c r="B165" s="122"/>
    </row>
    <row r="166" spans="2:7" x14ac:dyDescent="0.25">
      <c r="B166" s="125"/>
      <c r="C166" s="126"/>
      <c r="D166" s="127"/>
      <c r="E166" s="127"/>
      <c r="F166" s="127"/>
      <c r="G166" s="127"/>
    </row>
  </sheetData>
  <dataValidations count="1">
    <dataValidation type="list" allowBlank="1" showInputMessage="1" showErrorMessage="1" sqref="B6:B9" xr:uid="{9D4E2C62-F045-404E-A12D-0D3F040AD244}">
      <formula1>"Tier 1,Tier 2,Tier 3,Tier 4"</formula1>
    </dataValidation>
  </dataValidations>
  <hyperlinks>
    <hyperlink ref="L15" r:id="rId1" location="overview-of-the-forestry-sector-202122" display="https://www.agriculture.gov.au/abares/research-topics/forests/forest-economics/forest-wood-products-statistics - overview-of-the-forestry-sector-202122" xr:uid="{30D81317-098B-4ADB-8676-D084B9CBA2FD}"/>
  </hyperlinks>
  <pageMargins left="0.7" right="0.7" top="0.75" bottom="0.75" header="0.3" footer="0.3"/>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C0DFFB-CC50-44F6-8A4C-944D065084E1}">
  <sheetPr codeName="Sheet39">
    <tabColor rgb="FF00CCFF"/>
  </sheetPr>
  <dimension ref="A1:J166"/>
  <sheetViews>
    <sheetView showGridLines="0" zoomScale="80" zoomScaleNormal="80" workbookViewId="0"/>
  </sheetViews>
  <sheetFormatPr defaultRowHeight="13.2" x14ac:dyDescent="0.25"/>
  <cols>
    <col min="1" max="1" width="26.109375" customWidth="1"/>
    <col min="2" max="2" width="128.88671875" customWidth="1"/>
    <col min="3" max="3" width="21" customWidth="1"/>
    <col min="4" max="6" width="19.88671875" style="96" customWidth="1"/>
    <col min="7" max="7" width="23.5546875" style="96" customWidth="1"/>
    <col min="8" max="8" width="14.44140625" style="161" customWidth="1"/>
    <col min="9" max="9" width="14.44140625" customWidth="1"/>
    <col min="10" max="10" width="13.109375" customWidth="1"/>
  </cols>
  <sheetData>
    <row r="1" spans="1:8" x14ac:dyDescent="0.25">
      <c r="A1" s="4" t="str" cm="1">
        <f t="array" aca="1" ref="A1" ca="1">MID(CELL("filename",A1),FIND("]",CELL("filename",A1))+1,255)</f>
        <v>Timber_hardwood</v>
      </c>
      <c r="H1"/>
    </row>
    <row r="2" spans="1:8" x14ac:dyDescent="0.25">
      <c r="A2" s="4"/>
      <c r="C2" s="4"/>
      <c r="H2"/>
    </row>
    <row r="3" spans="1:8" x14ac:dyDescent="0.25">
      <c r="A3" s="4" t="s">
        <v>4048</v>
      </c>
      <c r="B3" t="s">
        <v>4204</v>
      </c>
      <c r="H3"/>
    </row>
    <row r="4" spans="1:8" x14ac:dyDescent="0.25">
      <c r="A4" s="4"/>
      <c r="H4"/>
    </row>
    <row r="5" spans="1:8" ht="92.25" customHeight="1" x14ac:dyDescent="0.25">
      <c r="A5" s="26" t="s">
        <v>93</v>
      </c>
      <c r="B5" s="14" t="s">
        <v>4205</v>
      </c>
      <c r="H5"/>
    </row>
    <row r="6" spans="1:8" x14ac:dyDescent="0.25">
      <c r="A6" s="26" t="s">
        <v>4052</v>
      </c>
      <c r="B6" s="27" t="s">
        <v>68</v>
      </c>
      <c r="H6"/>
    </row>
    <row r="7" spans="1:8" x14ac:dyDescent="0.25">
      <c r="A7" s="26" t="s">
        <v>4053</v>
      </c>
      <c r="B7" s="27" t="s">
        <v>68</v>
      </c>
      <c r="H7"/>
    </row>
    <row r="8" spans="1:8" x14ac:dyDescent="0.25">
      <c r="A8" s="26" t="s">
        <v>4054</v>
      </c>
      <c r="B8" s="27" t="s">
        <v>69</v>
      </c>
      <c r="H8"/>
    </row>
    <row r="9" spans="1:8" x14ac:dyDescent="0.25">
      <c r="A9" s="26" t="s">
        <v>4055</v>
      </c>
      <c r="B9" s="4" t="s">
        <v>69</v>
      </c>
      <c r="H9"/>
    </row>
    <row r="10" spans="1:8" x14ac:dyDescent="0.25">
      <c r="A10" s="26"/>
      <c r="B10" s="4"/>
      <c r="H10"/>
    </row>
    <row r="11" spans="1:8" x14ac:dyDescent="0.25">
      <c r="A11" s="26" t="s">
        <v>4056</v>
      </c>
      <c r="B11" s="14"/>
      <c r="H11"/>
    </row>
    <row r="12" spans="1:8" x14ac:dyDescent="0.25">
      <c r="A12" s="101"/>
      <c r="H12"/>
    </row>
    <row r="13" spans="1:8" x14ac:dyDescent="0.25">
      <c r="A13" s="101"/>
      <c r="H13"/>
    </row>
    <row r="14" spans="1:8" x14ac:dyDescent="0.25">
      <c r="A14" s="26" t="s">
        <v>4057</v>
      </c>
      <c r="H14"/>
    </row>
    <row r="15" spans="1:8" x14ac:dyDescent="0.25">
      <c r="A15" s="26"/>
      <c r="D15" s="112" t="s">
        <v>4058</v>
      </c>
      <c r="E15" s="113"/>
      <c r="F15" s="114" t="s">
        <v>4059</v>
      </c>
      <c r="G15" s="113"/>
      <c r="H15"/>
    </row>
    <row r="16" spans="1:8" ht="39.6" x14ac:dyDescent="0.25">
      <c r="B16" s="28" t="s">
        <v>4206</v>
      </c>
      <c r="C16" s="23" t="s">
        <v>23</v>
      </c>
      <c r="D16" s="24" t="s">
        <v>141</v>
      </c>
      <c r="E16" s="25" t="s">
        <v>148</v>
      </c>
      <c r="F16" s="24" t="s">
        <v>142</v>
      </c>
      <c r="G16" s="45" t="s">
        <v>149</v>
      </c>
      <c r="H16" s="44" t="s">
        <v>4201</v>
      </c>
    </row>
    <row r="17" spans="2:10" x14ac:dyDescent="0.25">
      <c r="B17" s="29"/>
      <c r="C17" s="30" t="s">
        <v>4060</v>
      </c>
      <c r="D17" s="118" t="str" cm="1">
        <f t="array" ref="D17">IF(AND(_xlfn.ANCHORARRAY(C23)=C23),C23,"Mixed")</f>
        <v>m³</v>
      </c>
      <c r="E17" s="118" t="s">
        <v>219</v>
      </c>
      <c r="F17" s="118" t="str" cm="1">
        <f t="array" ref="F17">IF(AND(_xlfn.ANCHORARRAY(C23)=C23),C23,"Mixed")</f>
        <v>m³</v>
      </c>
      <c r="G17" s="118" t="s">
        <v>219</v>
      </c>
    </row>
    <row r="18" spans="2:10" s="14" customFormat="1" x14ac:dyDescent="0.25">
      <c r="B18" s="31"/>
      <c r="C18" s="4" t="s">
        <v>4061</v>
      </c>
      <c r="D18" s="96">
        <f>MAX(_xlfn.ANCHORARRAY(D23))</f>
        <v>562.50380000000018</v>
      </c>
      <c r="E18" s="96">
        <f t="shared" ref="E18" si="0">MAX(_xlfn.ANCHORARRAY(E23))</f>
        <v>0.7653112925170068</v>
      </c>
      <c r="F18" s="162">
        <f>VLOOKUP($D18,$D$23:$F$211,3,FALSE)</f>
        <v>1212.75</v>
      </c>
      <c r="G18" s="162">
        <f>VLOOKUP($D18,$D$23:$G$211,4,FALSE)</f>
        <v>1.65</v>
      </c>
      <c r="H18" s="163">
        <f>D18/E18</f>
        <v>735.00000000000023</v>
      </c>
      <c r="I18"/>
      <c r="J18"/>
    </row>
    <row r="19" spans="2:10" x14ac:dyDescent="0.25">
      <c r="B19" s="122"/>
      <c r="C19" s="4" t="s">
        <v>4062</v>
      </c>
      <c r="D19" s="96">
        <f>MIN(_xlfn.ANCHORARRAY(D23))</f>
        <v>104.25999999999999</v>
      </c>
      <c r="E19" s="96">
        <f t="shared" ref="E19:G19" si="1">MIN(_xlfn.ANCHORARRAY(E23))</f>
        <v>0.12561445783132519</v>
      </c>
      <c r="F19" s="96">
        <f t="shared" si="1"/>
        <v>1041.9199999999998</v>
      </c>
      <c r="G19" s="96">
        <f t="shared" si="1"/>
        <v>1.2833333333333334</v>
      </c>
      <c r="H19" s="163">
        <f>D19/E19</f>
        <v>830.00000000000068</v>
      </c>
    </row>
    <row r="20" spans="2:10" x14ac:dyDescent="0.25">
      <c r="B20" s="122"/>
      <c r="C20" s="4" t="s">
        <v>4063</v>
      </c>
      <c r="D20" s="96">
        <f>AVERAGE(_xlfn.ANCHORARRAY(D23))</f>
        <v>346.88262000000003</v>
      </c>
      <c r="E20" s="96">
        <f t="shared" ref="E20:G20" si="2">AVERAGE(_xlfn.ANCHORARRAY(E23))</f>
        <v>0.46607131305283916</v>
      </c>
      <c r="F20" s="96">
        <f t="shared" si="2"/>
        <v>1165.5515384615383</v>
      </c>
      <c r="G20" s="96">
        <f t="shared" si="2"/>
        <v>1.5428205128205132</v>
      </c>
      <c r="H20" s="163">
        <f>D20/E20</f>
        <v>744.26940746012713</v>
      </c>
    </row>
    <row r="21" spans="2:10" x14ac:dyDescent="0.25">
      <c r="B21" s="122"/>
      <c r="C21" s="4"/>
      <c r="H21" s="163"/>
    </row>
    <row r="22" spans="2:10" x14ac:dyDescent="0.25">
      <c r="B22" s="32" t="s">
        <v>4064</v>
      </c>
      <c r="D22"/>
      <c r="E22"/>
      <c r="F22"/>
      <c r="G22"/>
    </row>
    <row r="23" spans="2:10" x14ac:dyDescent="0.25">
      <c r="B23" s="122" t="str" cm="1">
        <f t="array" ref="B23:B35">_xlfn.UNIQUE(_xlfn._xlws.FILTER('EPD List'!D:D,ISNUMBER(SEARCH(B16,'EPD List'!C:C)),0))</f>
        <v>Hardwood, rough sawn, kiln-dried H3 ACQ, Australia</v>
      </c>
      <c r="C23" t="str" cm="1">
        <f t="array" ref="C23:C35">_xlfn.IFNA(INDEX('EPD List'!$A:$AB,MATCH(_xlfn.ANCHORARRAY(B23),'EPD List'!$D:$D,0),MATCH(C$16,'EPD List'!$7:$7,0)),"")</f>
        <v>m³</v>
      </c>
      <c r="D23" s="96" cm="1">
        <f t="array" ref="D23:D35">_xlfn.IFNA(VALUE((INDEX('EPD List'!$A:$AD,MATCH(_xlfn.ANCHORARRAY($B23),'EPD List'!$D:$D,0),MATCH(D$16,'EPD List'!$7:$7,0)))),"")</f>
        <v>349.27100000000007</v>
      </c>
      <c r="E23" s="96" cm="1">
        <f t="array" ref="E23:E35">_xlfn.IFNA(VALUE((INDEX('EPD List'!$A:$AD,MATCH(_xlfn.ANCHORARRAY($B23),'EPD List'!$D:$D,0),MATCH(E$16,'EPD List'!$7:$7,0)))),"")</f>
        <v>0.47519863945578233</v>
      </c>
      <c r="F23" s="96" cm="1">
        <f t="array" ref="F23:F35">_xlfn.IFNA(VALUE((INDEX('EPD List'!$A:$AD,MATCH(_xlfn.ANCHORARRAY($B23),'EPD List'!$D:$D,0),MATCH(F$16,'EPD List'!$7:$7,0)))),"")</f>
        <v>1212.75</v>
      </c>
      <c r="G23" s="96" cm="1">
        <f t="array" ref="G23:G35">_xlfn.IFNA(VALUE((INDEX('EPD List'!$A:$AD,MATCH(_xlfn.ANCHORARRAY($B23),'EPD List'!$D:$D,0),MATCH(G$16,'EPD List'!$7:$7,0)))),"")</f>
        <v>1.65</v>
      </c>
      <c r="H23" s="163" cm="1">
        <f t="array" ref="H23:H35">IFERROR(IF(_xlfn.ANCHORARRAY($C23)="kg",1,
IF(_xlfn.ANCHORARRAY($C23)="tonne",1000,
IF(OR(_xlfn.ANCHORARRAY($C23)="m³",_xlfn.ANCHORARRAY($C23)="m³"),INDEX('EPD List'!$A:$AB,MATCH(_xlfn.ANCHORARRAY($B23),'EPD List'!$D:$D,0),MATCH("Density (kg/m3)",'EPD List'!$7:$7,0)),
IF(OR(_xlfn.ANCHORARRAY($C23)="m²",_xlfn.ANCHORARRAY($C23)="m2"),INDEX('EPD List'!$A:$AB,MATCH(_xlfn.ANCHORARRAY($B23),'EPD List'!$D:$D,0),MATCH("Area density (kg/m2)",'EPD List'!$7:$7,0)),
IF(_xlfn.ANCHORARRAY($C23)="m",INDEX('EPD List'!$A:$AB,MATCH(_xlfn.ANCHORARRAY($B23),'EPD List'!$D:$D,0),MATCH("mass per m (kg/m)",'EPD List'!$7:$7,0)),
IF(_xlfn.ANCHORARRAY($C23)="unit",INDEX('EPD List'!$A:$AB,MATCH(_xlfn.ANCHORARRAY($B23),'EPD List'!$D:$D,0),MATCH("Mass per unit (kg/unit)",'EPD List'!$7:$7,0)),NA())))))),"")</f>
        <v>735</v>
      </c>
    </row>
    <row r="24" spans="2:10" x14ac:dyDescent="0.25">
      <c r="B24" s="122" t="str">
        <v>Hardwood, rough sawn, kiln-dried H3 copper, Australia</v>
      </c>
      <c r="C24" t="str">
        <v>m³</v>
      </c>
      <c r="D24" s="96">
        <v>353.32169999999996</v>
      </c>
      <c r="E24" s="96">
        <v>0.48070979591836727</v>
      </c>
      <c r="F24" s="96">
        <v>1212.75</v>
      </c>
      <c r="G24" s="96">
        <v>1.65</v>
      </c>
      <c r="H24" s="161">
        <v>735</v>
      </c>
    </row>
    <row r="25" spans="2:10" x14ac:dyDescent="0.25">
      <c r="B25" s="122" t="str">
        <v>Hardwood, rough sawn, kiln-dried H1, FWPA, Australia</v>
      </c>
      <c r="C25" t="str">
        <v>m³</v>
      </c>
      <c r="D25" s="96">
        <v>332.55242999999996</v>
      </c>
      <c r="E25" s="96">
        <v>0.45245228571428564</v>
      </c>
      <c r="F25" s="96">
        <v>1212.75</v>
      </c>
      <c r="G25" s="96">
        <v>1.65</v>
      </c>
      <c r="H25" s="161">
        <v>735</v>
      </c>
    </row>
    <row r="26" spans="2:10" x14ac:dyDescent="0.25">
      <c r="B26" s="122" t="str">
        <v>Hardwood, rough-sawn, kiln-dried hardwood, Wood solutions, FWPA, Australia</v>
      </c>
      <c r="C26" t="str">
        <v>m³</v>
      </c>
      <c r="D26" s="96">
        <v>321.75</v>
      </c>
      <c r="E26" s="96">
        <v>0.43775510204081614</v>
      </c>
      <c r="F26" s="96">
        <v>1212.75</v>
      </c>
      <c r="G26" s="96">
        <v>1.65</v>
      </c>
      <c r="H26" s="161">
        <v>735</v>
      </c>
    </row>
    <row r="27" spans="2:10" x14ac:dyDescent="0.25">
      <c r="B27" s="122" t="str">
        <v>Hardwood, dressed, kiln-dried H3 ACQ, Australia</v>
      </c>
      <c r="C27" t="str">
        <v>m³</v>
      </c>
      <c r="D27" s="96">
        <v>507.27100000000007</v>
      </c>
      <c r="E27" s="96">
        <v>0.69016462585034011</v>
      </c>
      <c r="F27" s="96">
        <v>1212.75</v>
      </c>
      <c r="G27" s="96">
        <v>1.65</v>
      </c>
      <c r="H27" s="161">
        <v>735</v>
      </c>
    </row>
    <row r="28" spans="2:10" x14ac:dyDescent="0.25">
      <c r="B28" s="122" t="str">
        <v>Hardwood, dressed, kiln-dried H1, Australia</v>
      </c>
      <c r="C28" t="str">
        <v>m³</v>
      </c>
      <c r="D28" s="96">
        <v>490.55242999999996</v>
      </c>
      <c r="E28" s="96">
        <v>0.66741827210884352</v>
      </c>
      <c r="F28" s="96">
        <v>1212.75</v>
      </c>
      <c r="G28" s="96">
        <v>1.65</v>
      </c>
      <c r="H28" s="161">
        <v>735</v>
      </c>
    </row>
    <row r="29" spans="2:10" x14ac:dyDescent="0.25">
      <c r="B29" s="122" t="str">
        <v>Hardwood, dressed, kiln-dried hardwood, Wood solutions, FWPA, Australia</v>
      </c>
      <c r="C29" t="str">
        <v>m³</v>
      </c>
      <c r="D29" s="96">
        <v>479.75</v>
      </c>
      <c r="E29" s="96">
        <v>0.65272108843537402</v>
      </c>
      <c r="F29" s="96">
        <v>1212.75</v>
      </c>
      <c r="G29" s="96">
        <v>1.65</v>
      </c>
      <c r="H29" s="161">
        <v>735</v>
      </c>
    </row>
    <row r="30" spans="2:10" x14ac:dyDescent="0.25">
      <c r="B30" s="122" t="str">
        <v>Hardwood, dressed, kiln-dried H3 copper, Australia</v>
      </c>
      <c r="C30" t="str">
        <v>m³</v>
      </c>
      <c r="D30" s="96">
        <v>501.32169999999996</v>
      </c>
      <c r="E30" s="96">
        <v>0.68207034013605439</v>
      </c>
      <c r="F30" s="96">
        <v>1212.75</v>
      </c>
      <c r="G30" s="96">
        <v>1.65</v>
      </c>
      <c r="H30" s="161">
        <v>735</v>
      </c>
    </row>
    <row r="31" spans="2:10" x14ac:dyDescent="0.25">
      <c r="B31" s="122" t="str">
        <v>Max variation, hardwood, dressed, kiln-dried H3 ACQ FWPA, Australia</v>
      </c>
      <c r="C31" t="str">
        <v>m³</v>
      </c>
      <c r="D31" s="96">
        <v>562.50380000000018</v>
      </c>
      <c r="E31" s="96">
        <v>0.7653112925170068</v>
      </c>
      <c r="F31" s="96">
        <v>1212.75</v>
      </c>
      <c r="G31" s="96">
        <v>1.65</v>
      </c>
      <c r="H31" s="161">
        <v>735</v>
      </c>
    </row>
    <row r="32" spans="2:10" x14ac:dyDescent="0.25">
      <c r="B32" s="122" t="str">
        <v>Hardwood, rough-sawn, green hardwood, Wood solutions, FWPA, Australia</v>
      </c>
      <c r="C32" t="str">
        <v>m³</v>
      </c>
      <c r="D32" s="96">
        <v>192.91999999999985</v>
      </c>
      <c r="E32" s="96">
        <v>0.25119791666666647</v>
      </c>
      <c r="F32" s="96">
        <v>1041.9199999999998</v>
      </c>
      <c r="G32" s="96">
        <v>1.3566666666666665</v>
      </c>
      <c r="H32" s="161">
        <v>768</v>
      </c>
    </row>
    <row r="33" spans="2:8" x14ac:dyDescent="0.25">
      <c r="B33" s="122" t="str">
        <v>Hardwood, , Min variation, hardwood, white cypress, roughsawn green (FWPA) (Australia)</v>
      </c>
      <c r="C33" t="str">
        <v>m³</v>
      </c>
      <c r="D33" s="96">
        <v>104.25999999999999</v>
      </c>
      <c r="E33" s="96">
        <v>0.12561445783132519</v>
      </c>
      <c r="F33" s="96">
        <v>1065.1666666666667</v>
      </c>
      <c r="G33" s="96">
        <v>1.2833333333333334</v>
      </c>
      <c r="H33" s="161">
        <v>830</v>
      </c>
    </row>
    <row r="34" spans="2:8" x14ac:dyDescent="0.25">
      <c r="B34" s="122" t="str">
        <v>White Cypress, rough-sawn, green, FWPA</v>
      </c>
      <c r="C34" t="str">
        <v>m³</v>
      </c>
      <c r="D34" s="96">
        <v>130</v>
      </c>
      <c r="E34" s="96">
        <v>0.15662650602409633</v>
      </c>
      <c r="F34" s="96">
        <v>1065.1666666666667</v>
      </c>
      <c r="G34" s="96">
        <v>1.2833333333333334</v>
      </c>
      <c r="H34" s="161">
        <v>830</v>
      </c>
    </row>
    <row r="35" spans="2:8" x14ac:dyDescent="0.25">
      <c r="B35" s="122" t="str">
        <v>White Cypress, dressed, green, FWPA</v>
      </c>
      <c r="C35" t="str">
        <v>m³</v>
      </c>
      <c r="D35" s="96">
        <v>184</v>
      </c>
      <c r="E35" s="96">
        <v>0.22168674698795177</v>
      </c>
      <c r="F35" s="96">
        <v>1065.1666666666667</v>
      </c>
      <c r="G35" s="96">
        <v>1.2833333333333334</v>
      </c>
      <c r="H35" s="161">
        <v>830</v>
      </c>
    </row>
    <row r="36" spans="2:8" x14ac:dyDescent="0.25">
      <c r="B36" s="122"/>
    </row>
    <row r="37" spans="2:8" x14ac:dyDescent="0.25">
      <c r="B37" s="122"/>
    </row>
    <row r="38" spans="2:8" x14ac:dyDescent="0.25">
      <c r="B38" s="122"/>
    </row>
    <row r="39" spans="2:8" x14ac:dyDescent="0.25">
      <c r="B39" s="122"/>
    </row>
    <row r="40" spans="2:8" x14ac:dyDescent="0.25">
      <c r="B40" s="122"/>
    </row>
    <row r="41" spans="2:8" x14ac:dyDescent="0.25">
      <c r="B41" s="122"/>
    </row>
    <row r="42" spans="2:8" x14ac:dyDescent="0.25">
      <c r="B42" s="122"/>
    </row>
    <row r="43" spans="2:8" x14ac:dyDescent="0.25">
      <c r="B43" s="122"/>
    </row>
    <row r="44" spans="2:8" x14ac:dyDescent="0.25">
      <c r="B44" s="122"/>
    </row>
    <row r="45" spans="2:8" x14ac:dyDescent="0.25">
      <c r="B45" s="122"/>
    </row>
    <row r="46" spans="2:8" x14ac:dyDescent="0.25">
      <c r="B46" s="122"/>
    </row>
    <row r="47" spans="2:8" x14ac:dyDescent="0.25">
      <c r="B47" s="122"/>
    </row>
    <row r="48" spans="2:8" x14ac:dyDescent="0.25">
      <c r="B48" s="122"/>
    </row>
    <row r="49" spans="2:2" x14ac:dyDescent="0.25">
      <c r="B49" s="122"/>
    </row>
    <row r="50" spans="2:2" x14ac:dyDescent="0.25">
      <c r="B50" s="122"/>
    </row>
    <row r="51" spans="2:2" x14ac:dyDescent="0.25">
      <c r="B51" s="122"/>
    </row>
    <row r="52" spans="2:2" x14ac:dyDescent="0.25">
      <c r="B52" s="122"/>
    </row>
    <row r="53" spans="2:2" x14ac:dyDescent="0.25">
      <c r="B53" s="122"/>
    </row>
    <row r="54" spans="2:2" x14ac:dyDescent="0.25">
      <c r="B54" s="122"/>
    </row>
    <row r="55" spans="2:2" x14ac:dyDescent="0.25">
      <c r="B55" s="122"/>
    </row>
    <row r="56" spans="2:2" x14ac:dyDescent="0.25">
      <c r="B56" s="122"/>
    </row>
    <row r="57" spans="2:2" x14ac:dyDescent="0.25">
      <c r="B57" s="122"/>
    </row>
    <row r="58" spans="2:2" x14ac:dyDescent="0.25">
      <c r="B58" s="122"/>
    </row>
    <row r="59" spans="2:2" x14ac:dyDescent="0.25">
      <c r="B59" s="122"/>
    </row>
    <row r="60" spans="2:2" x14ac:dyDescent="0.25">
      <c r="B60" s="122"/>
    </row>
    <row r="61" spans="2:2" x14ac:dyDescent="0.25">
      <c r="B61" s="122"/>
    </row>
    <row r="62" spans="2:2" x14ac:dyDescent="0.25">
      <c r="B62" s="122"/>
    </row>
    <row r="63" spans="2:2" x14ac:dyDescent="0.25">
      <c r="B63" s="122"/>
    </row>
    <row r="64" spans="2:2" x14ac:dyDescent="0.25">
      <c r="B64" s="122"/>
    </row>
    <row r="65" spans="2:2" x14ac:dyDescent="0.25">
      <c r="B65" s="122"/>
    </row>
    <row r="66" spans="2:2" x14ac:dyDescent="0.25">
      <c r="B66" s="122"/>
    </row>
    <row r="67" spans="2:2" x14ac:dyDescent="0.25">
      <c r="B67" s="122"/>
    </row>
    <row r="68" spans="2:2" x14ac:dyDescent="0.25">
      <c r="B68" s="122"/>
    </row>
    <row r="69" spans="2:2" x14ac:dyDescent="0.25">
      <c r="B69" s="122"/>
    </row>
    <row r="70" spans="2:2" x14ac:dyDescent="0.25">
      <c r="B70" s="122"/>
    </row>
    <row r="71" spans="2:2" x14ac:dyDescent="0.25">
      <c r="B71" s="122"/>
    </row>
    <row r="72" spans="2:2" x14ac:dyDescent="0.25">
      <c r="B72" s="122"/>
    </row>
    <row r="73" spans="2:2" x14ac:dyDescent="0.25">
      <c r="B73" s="122"/>
    </row>
    <row r="74" spans="2:2" x14ac:dyDescent="0.25">
      <c r="B74" s="122"/>
    </row>
    <row r="75" spans="2:2" x14ac:dyDescent="0.25">
      <c r="B75" s="122"/>
    </row>
    <row r="76" spans="2:2" x14ac:dyDescent="0.25">
      <c r="B76" s="122"/>
    </row>
    <row r="77" spans="2:2" x14ac:dyDescent="0.25">
      <c r="B77" s="122"/>
    </row>
    <row r="78" spans="2:2" x14ac:dyDescent="0.25">
      <c r="B78" s="122"/>
    </row>
    <row r="79" spans="2:2" x14ac:dyDescent="0.25">
      <c r="B79" s="122"/>
    </row>
    <row r="80" spans="2:2" x14ac:dyDescent="0.25">
      <c r="B80" s="122"/>
    </row>
    <row r="81" spans="2:10" x14ac:dyDescent="0.25">
      <c r="B81" s="122"/>
    </row>
    <row r="82" spans="2:10" x14ac:dyDescent="0.25">
      <c r="B82" s="122"/>
    </row>
    <row r="83" spans="2:10" x14ac:dyDescent="0.25">
      <c r="B83" s="122"/>
    </row>
    <row r="84" spans="2:10" x14ac:dyDescent="0.25">
      <c r="B84" s="122"/>
    </row>
    <row r="85" spans="2:10" x14ac:dyDescent="0.25">
      <c r="B85" s="122"/>
    </row>
    <row r="86" spans="2:10" x14ac:dyDescent="0.25">
      <c r="B86" s="122"/>
    </row>
    <row r="87" spans="2:10" x14ac:dyDescent="0.25">
      <c r="B87" s="122"/>
    </row>
    <row r="88" spans="2:10" x14ac:dyDescent="0.25">
      <c r="B88" s="122"/>
    </row>
    <row r="89" spans="2:10" x14ac:dyDescent="0.25">
      <c r="B89" s="122"/>
    </row>
    <row r="90" spans="2:10" x14ac:dyDescent="0.25">
      <c r="B90" s="122"/>
      <c r="J90" s="96"/>
    </row>
    <row r="91" spans="2:10" x14ac:dyDescent="0.25">
      <c r="B91" s="122"/>
    </row>
    <row r="92" spans="2:10" x14ac:dyDescent="0.25">
      <c r="B92" s="122"/>
    </row>
    <row r="93" spans="2:10" x14ac:dyDescent="0.25">
      <c r="B93" s="122"/>
    </row>
    <row r="94" spans="2:10" x14ac:dyDescent="0.25">
      <c r="B94" s="122"/>
    </row>
    <row r="95" spans="2:10" x14ac:dyDescent="0.25">
      <c r="B95" s="122"/>
    </row>
    <row r="96" spans="2:10" x14ac:dyDescent="0.25">
      <c r="B96" s="122"/>
    </row>
    <row r="97" spans="2:2" x14ac:dyDescent="0.25">
      <c r="B97" s="122"/>
    </row>
    <row r="98" spans="2:2" x14ac:dyDescent="0.25">
      <c r="B98" s="122"/>
    </row>
    <row r="99" spans="2:2" x14ac:dyDescent="0.25">
      <c r="B99" s="122"/>
    </row>
    <row r="100" spans="2:2" x14ac:dyDescent="0.25">
      <c r="B100" s="122"/>
    </row>
    <row r="101" spans="2:2" x14ac:dyDescent="0.25">
      <c r="B101" s="122"/>
    </row>
    <row r="102" spans="2:2" x14ac:dyDescent="0.25">
      <c r="B102" s="122"/>
    </row>
    <row r="103" spans="2:2" x14ac:dyDescent="0.25">
      <c r="B103" s="122"/>
    </row>
    <row r="104" spans="2:2" x14ac:dyDescent="0.25">
      <c r="B104" s="122"/>
    </row>
    <row r="105" spans="2:2" x14ac:dyDescent="0.25">
      <c r="B105" s="122"/>
    </row>
    <row r="106" spans="2:2" x14ac:dyDescent="0.25">
      <c r="B106" s="122"/>
    </row>
    <row r="107" spans="2:2" x14ac:dyDescent="0.25">
      <c r="B107" s="122"/>
    </row>
    <row r="108" spans="2:2" x14ac:dyDescent="0.25">
      <c r="B108" s="122"/>
    </row>
    <row r="109" spans="2:2" x14ac:dyDescent="0.25">
      <c r="B109" s="122"/>
    </row>
    <row r="110" spans="2:2" x14ac:dyDescent="0.25">
      <c r="B110" s="122"/>
    </row>
    <row r="111" spans="2:2" x14ac:dyDescent="0.25">
      <c r="B111" s="122"/>
    </row>
    <row r="112" spans="2:2" x14ac:dyDescent="0.25">
      <c r="B112" s="122"/>
    </row>
    <row r="113" spans="2:2" x14ac:dyDescent="0.25">
      <c r="B113" s="122"/>
    </row>
    <row r="114" spans="2:2" x14ac:dyDescent="0.25">
      <c r="B114" s="122"/>
    </row>
    <row r="115" spans="2:2" x14ac:dyDescent="0.25">
      <c r="B115" s="122"/>
    </row>
    <row r="116" spans="2:2" x14ac:dyDescent="0.25">
      <c r="B116" s="122"/>
    </row>
    <row r="117" spans="2:2" x14ac:dyDescent="0.25">
      <c r="B117" s="122"/>
    </row>
    <row r="118" spans="2:2" x14ac:dyDescent="0.25">
      <c r="B118" s="122"/>
    </row>
    <row r="119" spans="2:2" x14ac:dyDescent="0.25">
      <c r="B119" s="122"/>
    </row>
    <row r="120" spans="2:2" x14ac:dyDescent="0.25">
      <c r="B120" s="122"/>
    </row>
    <row r="121" spans="2:2" x14ac:dyDescent="0.25">
      <c r="B121" s="122"/>
    </row>
    <row r="122" spans="2:2" x14ac:dyDescent="0.25">
      <c r="B122" s="122"/>
    </row>
    <row r="123" spans="2:2" x14ac:dyDescent="0.25">
      <c r="B123" s="122"/>
    </row>
    <row r="124" spans="2:2" x14ac:dyDescent="0.25">
      <c r="B124" s="122"/>
    </row>
    <row r="125" spans="2:2" x14ac:dyDescent="0.25">
      <c r="B125" s="122"/>
    </row>
    <row r="126" spans="2:2" x14ac:dyDescent="0.25">
      <c r="B126" s="122"/>
    </row>
    <row r="127" spans="2:2" x14ac:dyDescent="0.25">
      <c r="B127" s="122"/>
    </row>
    <row r="128" spans="2:2" x14ac:dyDescent="0.25">
      <c r="B128" s="122"/>
    </row>
    <row r="129" spans="2:2" x14ac:dyDescent="0.25">
      <c r="B129" s="122"/>
    </row>
    <row r="130" spans="2:2" x14ac:dyDescent="0.25">
      <c r="B130" s="122"/>
    </row>
    <row r="131" spans="2:2" x14ac:dyDescent="0.25">
      <c r="B131" s="122"/>
    </row>
    <row r="132" spans="2:2" x14ac:dyDescent="0.25">
      <c r="B132" s="122"/>
    </row>
    <row r="133" spans="2:2" x14ac:dyDescent="0.25">
      <c r="B133" s="122"/>
    </row>
    <row r="134" spans="2:2" x14ac:dyDescent="0.25">
      <c r="B134" s="122"/>
    </row>
    <row r="135" spans="2:2" x14ac:dyDescent="0.25">
      <c r="B135" s="122"/>
    </row>
    <row r="136" spans="2:2" x14ac:dyDescent="0.25">
      <c r="B136" s="122"/>
    </row>
    <row r="137" spans="2:2" x14ac:dyDescent="0.25">
      <c r="B137" s="122"/>
    </row>
    <row r="138" spans="2:2" x14ac:dyDescent="0.25">
      <c r="B138" s="122"/>
    </row>
    <row r="139" spans="2:2" x14ac:dyDescent="0.25">
      <c r="B139" s="122"/>
    </row>
    <row r="140" spans="2:2" x14ac:dyDescent="0.25">
      <c r="B140" s="122"/>
    </row>
    <row r="141" spans="2:2" x14ac:dyDescent="0.25">
      <c r="B141" s="122"/>
    </row>
    <row r="142" spans="2:2" x14ac:dyDescent="0.25">
      <c r="B142" s="122"/>
    </row>
    <row r="143" spans="2:2" x14ac:dyDescent="0.25">
      <c r="B143" s="122"/>
    </row>
    <row r="144" spans="2:2" x14ac:dyDescent="0.25">
      <c r="B144" s="122"/>
    </row>
    <row r="145" spans="2:2" x14ac:dyDescent="0.25">
      <c r="B145" s="122"/>
    </row>
    <row r="146" spans="2:2" x14ac:dyDescent="0.25">
      <c r="B146" s="122"/>
    </row>
    <row r="147" spans="2:2" x14ac:dyDescent="0.25">
      <c r="B147" s="122"/>
    </row>
    <row r="148" spans="2:2" x14ac:dyDescent="0.25">
      <c r="B148" s="122"/>
    </row>
    <row r="149" spans="2:2" x14ac:dyDescent="0.25">
      <c r="B149" s="122"/>
    </row>
    <row r="150" spans="2:2" x14ac:dyDescent="0.25">
      <c r="B150" s="122"/>
    </row>
    <row r="151" spans="2:2" x14ac:dyDescent="0.25">
      <c r="B151" s="122"/>
    </row>
    <row r="152" spans="2:2" x14ac:dyDescent="0.25">
      <c r="B152" s="122"/>
    </row>
    <row r="153" spans="2:2" x14ac:dyDescent="0.25">
      <c r="B153" s="122"/>
    </row>
    <row r="154" spans="2:2" x14ac:dyDescent="0.25">
      <c r="B154" s="122"/>
    </row>
    <row r="155" spans="2:2" x14ac:dyDescent="0.25">
      <c r="B155" s="122"/>
    </row>
    <row r="156" spans="2:2" x14ac:dyDescent="0.25">
      <c r="B156" s="122"/>
    </row>
    <row r="157" spans="2:2" x14ac:dyDescent="0.25">
      <c r="B157" s="122"/>
    </row>
    <row r="158" spans="2:2" x14ac:dyDescent="0.25">
      <c r="B158" s="122"/>
    </row>
    <row r="159" spans="2:2" x14ac:dyDescent="0.25">
      <c r="B159" s="122"/>
    </row>
    <row r="160" spans="2:2" x14ac:dyDescent="0.25">
      <c r="B160" s="122"/>
    </row>
    <row r="161" spans="2:7" x14ac:dyDescent="0.25">
      <c r="B161" s="122"/>
    </row>
    <row r="162" spans="2:7" x14ac:dyDescent="0.25">
      <c r="B162" s="122"/>
    </row>
    <row r="163" spans="2:7" x14ac:dyDescent="0.25">
      <c r="B163" s="122"/>
    </row>
    <row r="164" spans="2:7" x14ac:dyDescent="0.25">
      <c r="B164" s="122"/>
    </row>
    <row r="165" spans="2:7" x14ac:dyDescent="0.25">
      <c r="B165" s="122"/>
    </row>
    <row r="166" spans="2:7" x14ac:dyDescent="0.25">
      <c r="B166" s="125"/>
      <c r="C166" s="126"/>
      <c r="D166" s="127"/>
      <c r="E166" s="127"/>
      <c r="F166" s="127"/>
      <c r="G166" s="127"/>
    </row>
  </sheetData>
  <dataValidations count="1">
    <dataValidation type="list" allowBlank="1" showInputMessage="1" showErrorMessage="1" sqref="B6:B9" xr:uid="{1ACF78CF-4CF3-4558-B6FD-9A1AE7AC7804}">
      <formula1>"Tier 1,Tier 2,Tier 3,Tier 4"</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046736-AA99-47E8-96EE-4291EF80A5F4}">
  <sheetPr codeName="Sheet40">
    <tabColor rgb="FF00CCFF"/>
  </sheetPr>
  <dimension ref="A1:V166"/>
  <sheetViews>
    <sheetView showGridLines="0" zoomScale="80" zoomScaleNormal="80" workbookViewId="0"/>
  </sheetViews>
  <sheetFormatPr defaultRowHeight="13.2" x14ac:dyDescent="0.25"/>
  <cols>
    <col min="1" max="1" width="26.109375" customWidth="1"/>
    <col min="2" max="2" width="128.88671875" customWidth="1"/>
    <col min="3" max="3" width="21" customWidth="1"/>
    <col min="4" max="6" width="19.88671875" style="96" customWidth="1"/>
    <col min="7" max="7" width="23.5546875" style="96" customWidth="1"/>
    <col min="8" max="8" width="14.44140625" style="161" customWidth="1"/>
    <col min="9" max="9" width="14.44140625" customWidth="1"/>
    <col min="10" max="10" width="13.109375" customWidth="1"/>
    <col min="11" max="11" width="16.109375" customWidth="1"/>
    <col min="18" max="18" width="22.88671875" customWidth="1"/>
    <col min="19" max="19" width="43.5546875" customWidth="1"/>
    <col min="20" max="20" width="38.88671875" customWidth="1"/>
    <col min="21" max="21" width="41.44140625" customWidth="1"/>
    <col min="22" max="22" width="36.88671875" customWidth="1"/>
  </cols>
  <sheetData>
    <row r="1" spans="1:22" x14ac:dyDescent="0.25">
      <c r="A1" s="4" t="str" cm="1">
        <f t="array" aca="1" ref="A1" ca="1">MID(CELL("filename",A1),FIND("]",CELL("filename",A1))+1,255)</f>
        <v>Timber_Weatherboard</v>
      </c>
      <c r="H1"/>
    </row>
    <row r="2" spans="1:22" x14ac:dyDescent="0.25">
      <c r="A2" s="4"/>
      <c r="C2" s="4"/>
      <c r="H2"/>
    </row>
    <row r="3" spans="1:22" x14ac:dyDescent="0.25">
      <c r="A3" s="4" t="s">
        <v>4048</v>
      </c>
      <c r="B3" t="s">
        <v>4207</v>
      </c>
      <c r="H3"/>
    </row>
    <row r="4" spans="1:22" x14ac:dyDescent="0.25">
      <c r="A4" s="4"/>
      <c r="H4"/>
    </row>
    <row r="5" spans="1:22" ht="92.25" customHeight="1" x14ac:dyDescent="0.25">
      <c r="A5" s="26" t="s">
        <v>4050</v>
      </c>
      <c r="B5" s="14" t="s">
        <v>4208</v>
      </c>
      <c r="H5"/>
    </row>
    <row r="6" spans="1:22" x14ac:dyDescent="0.25">
      <c r="A6" s="26" t="s">
        <v>4052</v>
      </c>
      <c r="B6" t="s">
        <v>69</v>
      </c>
      <c r="D6" s="43"/>
      <c r="H6"/>
    </row>
    <row r="7" spans="1:22" x14ac:dyDescent="0.25">
      <c r="A7" s="26" t="s">
        <v>4053</v>
      </c>
      <c r="B7" s="27" t="s">
        <v>68</v>
      </c>
      <c r="H7"/>
      <c r="K7" s="4" t="s">
        <v>4101</v>
      </c>
    </row>
    <row r="8" spans="1:22" x14ac:dyDescent="0.25">
      <c r="A8" s="26" t="s">
        <v>4054</v>
      </c>
      <c r="B8" s="27" t="s">
        <v>69</v>
      </c>
      <c r="H8"/>
    </row>
    <row r="9" spans="1:22" x14ac:dyDescent="0.25">
      <c r="A9" s="26" t="s">
        <v>4055</v>
      </c>
      <c r="B9" s="4" t="s">
        <v>69</v>
      </c>
      <c r="H9"/>
      <c r="S9" t="s">
        <v>4159</v>
      </c>
      <c r="T9" t="s">
        <v>148</v>
      </c>
      <c r="U9" t="s">
        <v>4160</v>
      </c>
      <c r="V9" t="s">
        <v>149</v>
      </c>
    </row>
    <row r="10" spans="1:22" x14ac:dyDescent="0.25">
      <c r="A10" s="26"/>
      <c r="B10" s="4"/>
      <c r="H10"/>
      <c r="L10" s="129" t="s">
        <v>4194</v>
      </c>
      <c r="M10" s="164">
        <f>P12</f>
        <v>0.19736842105263158</v>
      </c>
      <c r="O10" s="129" t="s">
        <v>4195</v>
      </c>
      <c r="P10" s="130">
        <v>3800</v>
      </c>
      <c r="R10" s="129" t="s">
        <v>4196</v>
      </c>
      <c r="S10" s="67">
        <f>(SUMIF(_xlfn.ANCHORARRAY($B$23),"*"&amp;"New Zealand"&amp;"*",_xlfn.ANCHORARRAY(D$23))+SUMIF(_xlfn.ANCHORARRAY($B$23),"*"&amp;"Europe"&amp;"*",_xlfn.ANCHORARRAY(D$23)))/(COUNTIF(_xlfn.ANCHORARRAY($B$23),"*"&amp;"New Zealand"&amp;"*")+COUNTIF(_xlfn.ANCHORARRAY($B$23),"*"&amp;"Europe"&amp;"*"))</f>
        <v>214.25</v>
      </c>
      <c r="T10" s="67">
        <f t="shared" ref="T10:V10" si="0">(SUMIF(_xlfn.ANCHORARRAY($B$23),"*"&amp;"New Zealand"&amp;"*",_xlfn.ANCHORARRAY(E$23))+SUMIF(_xlfn.ANCHORARRAY($B$23),"*"&amp;"Europe"&amp;"*",_xlfn.ANCHORARRAY(E$23)))/(COUNTIF(_xlfn.ANCHORARRAY($B$23),"*"&amp;"New Zealand"&amp;"*")+COUNTIF(_xlfn.ANCHORARRAY($B$23),"*"&amp;"Europe"&amp;"*"))</f>
        <v>0.50754933309466854</v>
      </c>
      <c r="U10" s="67">
        <f t="shared" si="0"/>
        <v>704.05889583333328</v>
      </c>
      <c r="V10" s="130">
        <f t="shared" si="0"/>
        <v>1.6591666666666665</v>
      </c>
    </row>
    <row r="11" spans="1:22" x14ac:dyDescent="0.25">
      <c r="A11" s="26" t="s">
        <v>4056</v>
      </c>
      <c r="B11" s="14"/>
      <c r="H11"/>
      <c r="L11" s="125" t="s">
        <v>4197</v>
      </c>
      <c r="M11" s="165">
        <f>1-M10</f>
        <v>0.80263157894736836</v>
      </c>
      <c r="O11" s="122" t="s">
        <v>4194</v>
      </c>
      <c r="P11" s="124">
        <v>750</v>
      </c>
      <c r="R11" s="122" t="s">
        <v>4114</v>
      </c>
      <c r="S11">
        <f>(SUMIF(_xlfn.ANCHORARRAY($B$23),"*"&amp;"Australia"&amp;"*",_xlfn.ANCHORARRAY(D$23))+SUMIF(_xlfn.ANCHORARRAY($B$23),"*"&amp;"FWPA"&amp;"*",_xlfn.ANCHORARRAY(D$23)))/(COUNTIF(_xlfn.ANCHORARRAY($B$23),"*"&amp;"Australia"&amp;"*")+COUNTIF(_xlfn.ANCHORARRAY($B$23),"*"&amp;"FWPA"&amp;"*"))</f>
        <v>190.13730380952387</v>
      </c>
      <c r="T11">
        <f t="shared" ref="T11:V11" si="1">(SUMIF(_xlfn.ANCHORARRAY($B$23),"*"&amp;"Australia"&amp;"*",_xlfn.ANCHORARRAY(E$23))+SUMIF(_xlfn.ANCHORARRAY($B$23),"*"&amp;"FWPA"&amp;"*",_xlfn.ANCHORARRAY(E$23)))/(COUNTIF(_xlfn.ANCHORARRAY($B$23),"*"&amp;"Australia"&amp;"*")+COUNTIF(_xlfn.ANCHORARRAY($B$23),"*"&amp;"FWPA"&amp;"*"))</f>
        <v>0.34951743928609524</v>
      </c>
      <c r="U11">
        <f t="shared" si="1"/>
        <v>883.10095238095244</v>
      </c>
      <c r="V11" s="124">
        <f t="shared" si="1"/>
        <v>1.6263265001199716</v>
      </c>
    </row>
    <row r="12" spans="1:22" x14ac:dyDescent="0.25">
      <c r="A12" s="101"/>
      <c r="H12"/>
      <c r="O12" s="125"/>
      <c r="P12" s="166">
        <f>P11/P10</f>
        <v>0.19736842105263158</v>
      </c>
      <c r="R12" s="125" t="s">
        <v>4116</v>
      </c>
      <c r="S12" s="126">
        <f>SUMPRODUCT(S10:S11,$M$10:$M$11)</f>
        <v>194.89638858395995</v>
      </c>
      <c r="T12" s="126">
        <f t="shared" ref="T12:V12" si="2">SUMPRODUCT(T10:T11,$M$10:$M$11)</f>
        <v>0.38070794464305047</v>
      </c>
      <c r="U12" s="126">
        <f t="shared" si="2"/>
        <v>847.76370437813284</v>
      </c>
      <c r="V12" s="142">
        <f t="shared" si="2"/>
        <v>1.6328081119383981</v>
      </c>
    </row>
    <row r="13" spans="1:22" x14ac:dyDescent="0.25">
      <c r="A13" s="101"/>
      <c r="H13"/>
    </row>
    <row r="14" spans="1:22" x14ac:dyDescent="0.25">
      <c r="A14" s="26" t="s">
        <v>4057</v>
      </c>
      <c r="H14"/>
      <c r="L14" s="4" t="s">
        <v>4198</v>
      </c>
    </row>
    <row r="15" spans="1:22" x14ac:dyDescent="0.25">
      <c r="A15" s="26"/>
      <c r="D15" s="112" t="s">
        <v>4058</v>
      </c>
      <c r="E15" s="113"/>
      <c r="F15" s="114" t="s">
        <v>4059</v>
      </c>
      <c r="G15" s="113"/>
      <c r="H15"/>
      <c r="L15" s="36" t="s">
        <v>4199</v>
      </c>
    </row>
    <row r="16" spans="1:22" ht="39.6" x14ac:dyDescent="0.25">
      <c r="B16" s="28" t="s">
        <v>4209</v>
      </c>
      <c r="C16" s="23" t="s">
        <v>23</v>
      </c>
      <c r="D16" s="24" t="s">
        <v>141</v>
      </c>
      <c r="E16" s="25" t="s">
        <v>148</v>
      </c>
      <c r="F16" s="24" t="s">
        <v>142</v>
      </c>
      <c r="G16" s="45" t="s">
        <v>149</v>
      </c>
      <c r="H16" s="44" t="s">
        <v>4201</v>
      </c>
      <c r="L16" t="s">
        <v>4202</v>
      </c>
    </row>
    <row r="17" spans="2:10" x14ac:dyDescent="0.25">
      <c r="B17" s="29"/>
      <c r="C17" s="30" t="s">
        <v>4060</v>
      </c>
      <c r="D17" s="118" t="str" cm="1">
        <f t="array" ref="D17">IF(AND(_xlfn.ANCHORARRAY(C23)=C23),C23,"Mixed")</f>
        <v>m³</v>
      </c>
      <c r="E17" s="118" t="s">
        <v>219</v>
      </c>
      <c r="F17" s="118" t="str" cm="1">
        <f t="array" ref="F17">IF(AND(_xlfn.ANCHORARRAY(C23)=C23),C23,"Mixed")</f>
        <v>m³</v>
      </c>
      <c r="G17" s="118" t="s">
        <v>219</v>
      </c>
    </row>
    <row r="18" spans="2:10" s="14" customFormat="1" x14ac:dyDescent="0.25">
      <c r="B18" s="31"/>
      <c r="C18" s="4" t="s">
        <v>4061</v>
      </c>
      <c r="D18" s="96">
        <f>MAX(_xlfn.ANCHORARRAY(D23))</f>
        <v>332.10566666666671</v>
      </c>
      <c r="E18" s="96">
        <f t="shared" ref="E18" si="3">MAX(_xlfn.ANCHORARRAY(E23))</f>
        <v>0.69047619047619047</v>
      </c>
      <c r="F18" s="162">
        <f>VLOOKUP($D18,$D$23:$F$211,3,FALSE)</f>
        <v>888.94666666666672</v>
      </c>
      <c r="G18" s="162">
        <f>VLOOKUP($D18,$D$23:$G$211,4,FALSE)</f>
        <v>1.6133333333333335</v>
      </c>
      <c r="H18" s="163">
        <f>D18/E18</f>
        <v>480.98062068965521</v>
      </c>
      <c r="I18"/>
      <c r="J18"/>
    </row>
    <row r="19" spans="2:10" x14ac:dyDescent="0.25">
      <c r="B19" s="122"/>
      <c r="C19" s="4" t="s">
        <v>4062</v>
      </c>
      <c r="D19" s="96">
        <f>MIN(_xlfn.ANCHORARRAY(D23))</f>
        <v>100</v>
      </c>
      <c r="E19" s="96">
        <f t="shared" ref="E19:G19" si="4">MIN(_xlfn.ANCHORARRAY(E23))</f>
        <v>0.20458560193587449</v>
      </c>
      <c r="F19" s="96">
        <f t="shared" si="4"/>
        <v>667.93558333333328</v>
      </c>
      <c r="G19" s="96">
        <f t="shared" si="4"/>
        <v>1.5216666666666665</v>
      </c>
      <c r="H19" s="163">
        <f>D19/E19</f>
        <v>488.79295049973308</v>
      </c>
    </row>
    <row r="20" spans="2:10" x14ac:dyDescent="0.25">
      <c r="B20" s="122"/>
      <c r="C20" s="35" t="s">
        <v>4203</v>
      </c>
      <c r="D20" s="96">
        <f>S12</f>
        <v>194.89638858395995</v>
      </c>
      <c r="E20" s="96">
        <f t="shared" ref="E20:G20" si="5">T12</f>
        <v>0.38070794464305047</v>
      </c>
      <c r="F20" s="96">
        <f t="shared" si="5"/>
        <v>847.76370437813284</v>
      </c>
      <c r="G20" s="96">
        <f t="shared" si="5"/>
        <v>1.6328081119383981</v>
      </c>
      <c r="H20" s="163">
        <f>D20/E20</f>
        <v>511.93149847895518</v>
      </c>
    </row>
    <row r="21" spans="2:10" x14ac:dyDescent="0.25">
      <c r="B21" s="122"/>
      <c r="C21" s="4" t="s">
        <v>4063</v>
      </c>
      <c r="D21" s="96">
        <f>AVERAGE(_xlfn.ANCHORARRAY(D23))</f>
        <v>200.36444627450985</v>
      </c>
      <c r="E21" s="96">
        <f t="shared" ref="E21:G21" si="6">AVERAGE(_xlfn.ANCHORARRAY(E23))</f>
        <v>0.39522681649694902</v>
      </c>
      <c r="F21" s="96">
        <f t="shared" si="6"/>
        <v>840.62954411764713</v>
      </c>
      <c r="G21" s="96">
        <f t="shared" si="6"/>
        <v>1.6348179020595841</v>
      </c>
      <c r="H21" s="163">
        <f>D21/E21</f>
        <v>506.96065628951715</v>
      </c>
    </row>
    <row r="22" spans="2:10" x14ac:dyDescent="0.25">
      <c r="B22" s="32" t="s">
        <v>4064</v>
      </c>
      <c r="D22"/>
      <c r="E22"/>
      <c r="F22"/>
      <c r="G22"/>
    </row>
    <row r="23" spans="2:10" x14ac:dyDescent="0.25">
      <c r="B23" s="122" t="str" cm="1">
        <f t="array" ref="B23:B39">_xlfn.UNIQUE(_xlfn._xlws.FILTER('EPD List'!D:D,ISNUMBER(SEARCH(B16,'EPD List'!C:C)),0))</f>
        <v>Softwood (Radiata pine), surfaced, kiln-dried, H2 LOSP treated, [majority from sustainable forest management practices] (FWPA)</v>
      </c>
      <c r="C23" t="str" cm="1">
        <f t="array" ref="C23:C39">_xlfn.IFNA(INDEX('EPD List'!$A:$AB,MATCH(_xlfn.ANCHORARRAY(B23),'EPD List'!$D:$D,0),MATCH(C$16,'EPD List'!$7:$7,0)),"")</f>
        <v>m³</v>
      </c>
      <c r="D23" s="96" cm="1">
        <f t="array" ref="D23:D39">_xlfn.IFNA(VALUE((INDEX('EPD List'!$A:$AD,MATCH(_xlfn.ANCHORARRAY($B23),'EPD List'!$D:$D,0),MATCH(D$16,'EPD List'!$7:$7,0)))),"")</f>
        <v>182.66316666666671</v>
      </c>
      <c r="E23" s="96" cm="1">
        <f t="array" ref="E23:E39">_xlfn.IFNA(VALUE((INDEX('EPD List'!$A:$AD,MATCH(_xlfn.ANCHORARRAY($B23),'EPD List'!$D:$D,0),MATCH(E$16,'EPD List'!$7:$7,0)))),"")</f>
        <v>0.33151209921355118</v>
      </c>
      <c r="F23" s="96" cm="1">
        <f t="array" ref="F23:F39">_xlfn.IFNA(VALUE((INDEX('EPD List'!$A:$AD,MATCH(_xlfn.ANCHORARRAY($B23),'EPD List'!$D:$D,0),MATCH(F$16,'EPD List'!$7:$7,0)))),"")</f>
        <v>888.94666666666672</v>
      </c>
      <c r="G23" s="96" cm="1">
        <f t="array" ref="G23:G39">_xlfn.IFNA(VALUE((INDEX('EPD List'!$A:$AD,MATCH(_xlfn.ANCHORARRAY($B23),'EPD List'!$D:$D,0),MATCH(G$16,'EPD List'!$7:$7,0)))),"")</f>
        <v>1.6133333333333335</v>
      </c>
      <c r="H23" s="163" cm="1">
        <f t="array" ref="H23:H39">IFERROR(IF(_xlfn.ANCHORARRAY($C23)="kg",1,
IF(_xlfn.ANCHORARRAY($C23)="tonne",1000,
IF(OR(_xlfn.ANCHORARRAY($C23)="m³",_xlfn.ANCHORARRAY($C23)="m³"),INDEX('EPD List'!$A:$AB,MATCH(_xlfn.ANCHORARRAY($B23),'EPD List'!$D:$D,0),MATCH("Density (kg/m3)",'EPD List'!$7:$7,0)),
IF(OR(_xlfn.ANCHORARRAY($C23)="m²",_xlfn.ANCHORARRAY($C23)="m2"),INDEX('EPD List'!$A:$AB,MATCH(_xlfn.ANCHORARRAY($B23),'EPD List'!$D:$D,0),MATCH("Area density (kg/m2)",'EPD List'!$7:$7,0)),
IF(_xlfn.ANCHORARRAY($C23)="m",INDEX('EPD List'!$A:$AB,MATCH(_xlfn.ANCHORARRAY($B23),'EPD List'!$D:$D,0),MATCH("mass per m (kg/m)",'EPD List'!$7:$7,0)),
IF(_xlfn.ANCHORARRAY($C23)="unit",INDEX('EPD List'!$A:$AB,MATCH(_xlfn.ANCHORARRAY($B23),'EPD List'!$D:$D,0),MATCH("Mass per unit (kg/unit)",'EPD List'!$7:$7,0)),NA())))))),"")</f>
        <v>551</v>
      </c>
    </row>
    <row r="24" spans="2:10" x14ac:dyDescent="0.25">
      <c r="B24" s="122" t="str">
        <v>Softwood (Radiata pine), surfaced, kiln-dried, H3 copper azole  treated,  [majority from sustainable forest management practices] (FWPA)</v>
      </c>
      <c r="C24" t="str">
        <v>m³</v>
      </c>
      <c r="D24" s="96">
        <v>185.78316666666683</v>
      </c>
      <c r="E24" s="96">
        <v>0.33717453115547524</v>
      </c>
      <c r="F24" s="96">
        <v>888.94666666666672</v>
      </c>
      <c r="G24" s="96">
        <v>1.6133333333333335</v>
      </c>
      <c r="H24" s="161">
        <v>551</v>
      </c>
    </row>
    <row r="25" spans="2:10" x14ac:dyDescent="0.25">
      <c r="B25" s="122" t="str">
        <v>Maximum variaton, Softwood (Radiata pine),surfaced, dressed, kiln-dried, LOSP azole+permethrin), e.g. framing [majority from sustainable forest management practices] (FWPA)</v>
      </c>
      <c r="C25" t="str">
        <v>m³</v>
      </c>
      <c r="D25" s="96">
        <v>332.10566666666671</v>
      </c>
      <c r="E25" s="96">
        <v>0.60273260738052037</v>
      </c>
      <c r="F25" s="96">
        <v>888.94666666666672</v>
      </c>
      <c r="G25" s="96">
        <v>1.6133333333333335</v>
      </c>
      <c r="H25" s="161">
        <v>551</v>
      </c>
    </row>
    <row r="26" spans="2:10" x14ac:dyDescent="0.25">
      <c r="B26" s="122" t="str">
        <v>Softwood (Radiata pine), surfaced, kiln-dried, untreated  [majority from sustainable forest management practices] (FWPA)</v>
      </c>
      <c r="C26" t="str">
        <v>m³</v>
      </c>
      <c r="D26" s="96">
        <v>170.94666666666672</v>
      </c>
      <c r="E26" s="96">
        <v>0.3102480338777982</v>
      </c>
      <c r="F26" s="96">
        <v>888.94666666666672</v>
      </c>
      <c r="G26" s="96">
        <v>1.6133333333333335</v>
      </c>
      <c r="H26" s="161">
        <v>551</v>
      </c>
    </row>
    <row r="27" spans="2:10" x14ac:dyDescent="0.25">
      <c r="B27" s="122" t="str">
        <v>Softwood, , Min variaton, Softwood (Radiata pine),surfaced, dressed, kiln-dried, LOSP azole+permethrin), e.g. framing [majority from sustainable forest management practices] (FWPA) (FWPA) (Australia)</v>
      </c>
      <c r="C27" t="str">
        <v>m³</v>
      </c>
      <c r="D27" s="96">
        <v>112.72666666666669</v>
      </c>
      <c r="E27" s="96">
        <v>0.20458560193587449</v>
      </c>
      <c r="F27" s="96">
        <v>888.94666666666672</v>
      </c>
      <c r="G27" s="96">
        <v>1.6133333333333335</v>
      </c>
      <c r="H27" s="161">
        <v>551</v>
      </c>
    </row>
    <row r="28" spans="2:10" x14ac:dyDescent="0.25">
      <c r="B28" s="122" t="str">
        <v>Softwood (Radiata pine), surfaced, kiln-dried, untreated,  [from sustainable forest management practices] (Timberlink, Australia)</v>
      </c>
      <c r="C28" t="str">
        <v>m³</v>
      </c>
      <c r="D28" s="96">
        <v>154.34325333333334</v>
      </c>
      <c r="E28" s="96">
        <v>0.31370579945799482</v>
      </c>
      <c r="F28" s="96">
        <v>865.33333333333337</v>
      </c>
      <c r="G28" s="96">
        <v>1.7588075880758809</v>
      </c>
      <c r="H28" s="161">
        <v>492</v>
      </c>
    </row>
    <row r="29" spans="2:10" x14ac:dyDescent="0.25">
      <c r="B29" s="122" t="str">
        <v>Softwood (Radiata pine), surfaced, kiln-dried, H3, treated, eg outdoor use, not in contact with ground, non structural [from sustainable forest management practices] (Timberlink, Australia)</v>
      </c>
      <c r="C29" t="str">
        <v>m³</v>
      </c>
      <c r="D29" s="96">
        <v>160.34343333333334</v>
      </c>
      <c r="E29" s="96">
        <v>0.30368074494949515</v>
      </c>
      <c r="F29" s="96">
        <v>865.33333333333337</v>
      </c>
      <c r="G29" s="96">
        <v>1.6388888888888891</v>
      </c>
      <c r="H29" s="161">
        <v>528</v>
      </c>
    </row>
    <row r="30" spans="2:10" x14ac:dyDescent="0.25">
      <c r="B30" s="122" t="str">
        <v>Softwood (Radiata pine), surfaced, kiln-dried, H2F treated, eg framing [from sustainable forest management practices] (Timberlink, Australia)</v>
      </c>
      <c r="C30" t="str">
        <v>m³</v>
      </c>
      <c r="D30" s="96">
        <v>184.35193333333336</v>
      </c>
      <c r="E30" s="96">
        <v>0.35047896070975915</v>
      </c>
      <c r="F30" s="96">
        <v>854.33333333333337</v>
      </c>
      <c r="G30" s="96">
        <v>1.6242078580481623</v>
      </c>
      <c r="H30" s="161">
        <v>526</v>
      </c>
    </row>
    <row r="31" spans="2:10" x14ac:dyDescent="0.25">
      <c r="B31" s="122" t="str">
        <v>Softwood (Radiata pine), surfaced, kiln-dried, H3 Copper+DDAX treated,  [majority from sustainable forest management practices] (FWPA)</v>
      </c>
      <c r="C31" t="str">
        <v>m³</v>
      </c>
      <c r="D31" s="96">
        <v>188.39966666666669</v>
      </c>
      <c r="E31" s="96">
        <v>0.34192316999395067</v>
      </c>
      <c r="F31" s="96">
        <v>888.94666666666672</v>
      </c>
      <c r="G31" s="96">
        <v>1.6133333333333335</v>
      </c>
      <c r="H31" s="161">
        <v>551</v>
      </c>
    </row>
    <row r="32" spans="2:10" x14ac:dyDescent="0.25">
      <c r="B32" s="122" t="str">
        <v>Softwood (Radiata pine), surfaced, kiln-dried, H4 CCA treated, e.g. framing [majority from sustainable forest management practices] (FWPA)</v>
      </c>
      <c r="C32" t="str">
        <v>m³</v>
      </c>
      <c r="D32" s="96">
        <v>195.70366666666678</v>
      </c>
      <c r="E32" s="96">
        <v>0.35517906836055668</v>
      </c>
      <c r="F32" s="96">
        <v>888.94666666666672</v>
      </c>
      <c r="G32" s="96">
        <v>1.6133333333333335</v>
      </c>
      <c r="H32" s="161">
        <v>551</v>
      </c>
    </row>
    <row r="33" spans="2:8" x14ac:dyDescent="0.25">
      <c r="B33" s="122" t="str">
        <v>Softwood (Radiata pine), surfaced, kiln-dried, H4 Copper Azole treated, e.g. framing [majority from sustainable forest management practices] (FWPA)</v>
      </c>
      <c r="C33" t="str">
        <v>m³</v>
      </c>
      <c r="D33" s="96">
        <v>189.80876666666677</v>
      </c>
      <c r="E33" s="96">
        <v>0.34448052026618292</v>
      </c>
      <c r="F33" s="96">
        <v>888.94666666666672</v>
      </c>
      <c r="G33" s="96">
        <v>1.6133333333333335</v>
      </c>
      <c r="H33" s="161">
        <v>551</v>
      </c>
    </row>
    <row r="34" spans="2:8" x14ac:dyDescent="0.25">
      <c r="B34" s="122" t="str">
        <v>Softwood (Radiata pine), surfaced, kiln-dried, H3 LOSP treated, e.g. framing [majority from sustainable forest management practices] (FWPA)</v>
      </c>
      <c r="C34" t="str">
        <v>m³</v>
      </c>
      <c r="D34" s="96">
        <v>230.3896666666667</v>
      </c>
      <c r="E34" s="96">
        <v>0.41813006654567464</v>
      </c>
      <c r="F34" s="96">
        <v>888.94666666666672</v>
      </c>
      <c r="G34" s="96">
        <v>1.6133333333333335</v>
      </c>
      <c r="H34" s="161">
        <v>551</v>
      </c>
    </row>
    <row r="35" spans="2:8" x14ac:dyDescent="0.25">
      <c r="B35" s="122" t="str">
        <v>sawn softwood (Abodo Wood Ltd) (New Zealand)</v>
      </c>
      <c r="C35" t="str">
        <v>m³</v>
      </c>
      <c r="D35" s="96">
        <v>224</v>
      </c>
      <c r="E35" s="96">
        <v>0.53333333333333344</v>
      </c>
      <c r="F35" s="96">
        <v>716.09999999999991</v>
      </c>
      <c r="G35" s="96">
        <v>1.7049999999999998</v>
      </c>
      <c r="H35" s="161">
        <v>420</v>
      </c>
    </row>
    <row r="36" spans="2:8" x14ac:dyDescent="0.25">
      <c r="B36" s="122" t="str">
        <v>Thermally Modified Timber, surfaced softwood (Abodo Wood Ltd) (New Zealand)</v>
      </c>
      <c r="C36" t="str">
        <v>m³</v>
      </c>
      <c r="D36" s="96">
        <v>243</v>
      </c>
      <c r="E36" s="96">
        <v>0.57857142857142851</v>
      </c>
      <c r="F36" s="96">
        <v>716.09999999999991</v>
      </c>
      <c r="G36" s="96">
        <v>1.7049999999999998</v>
      </c>
      <c r="H36" s="161">
        <v>420</v>
      </c>
    </row>
    <row r="37" spans="2:8" x14ac:dyDescent="0.25">
      <c r="B37" s="122" t="str">
        <v>Softwood (Radiata pine), surfaced, kiln-dried, H3 CCA treated, [majority from sustainable forest management practices] (FWPA)</v>
      </c>
      <c r="C37" t="str">
        <v>m³</v>
      </c>
      <c r="D37" s="96">
        <v>261.62986666666677</v>
      </c>
      <c r="E37" s="96">
        <v>0.47482734422262562</v>
      </c>
      <c r="F37" s="96">
        <v>888.94666666666672</v>
      </c>
      <c r="G37" s="96">
        <v>1.6133333333333335</v>
      </c>
      <c r="H37" s="163">
        <v>551</v>
      </c>
    </row>
    <row r="38" spans="2:8" x14ac:dyDescent="0.25">
      <c r="B38" s="122" t="str">
        <v>Thermally Modified Timber, Finger-Jointed softwood (Abodo Wood Ltd) (New Zealand)</v>
      </c>
      <c r="C38" t="str">
        <v>m³</v>
      </c>
      <c r="D38" s="96">
        <v>290</v>
      </c>
      <c r="E38" s="96">
        <v>0.69047619047619047</v>
      </c>
      <c r="F38" s="96">
        <v>716.09999999999991</v>
      </c>
      <c r="G38" s="96">
        <v>1.7049999999999998</v>
      </c>
      <c r="H38" s="161">
        <v>420</v>
      </c>
    </row>
    <row r="39" spans="2:8" x14ac:dyDescent="0.25">
      <c r="B39" s="122" t="str">
        <v>Planed and painted softwood product (Latvia Timber International) (Europe)</v>
      </c>
      <c r="C39" t="str">
        <v>m³</v>
      </c>
      <c r="D39" s="96">
        <v>100</v>
      </c>
      <c r="E39" s="96">
        <v>0.22781637999772175</v>
      </c>
      <c r="F39" s="96">
        <v>667.93558333333328</v>
      </c>
      <c r="G39" s="96">
        <v>1.5216666666666665</v>
      </c>
      <c r="H39" s="161">
        <v>438.95</v>
      </c>
    </row>
    <row r="40" spans="2:8" x14ac:dyDescent="0.25">
      <c r="B40" s="122"/>
    </row>
    <row r="41" spans="2:8" x14ac:dyDescent="0.25">
      <c r="B41" s="122"/>
    </row>
    <row r="42" spans="2:8" x14ac:dyDescent="0.25">
      <c r="B42" s="122"/>
    </row>
    <row r="43" spans="2:8" x14ac:dyDescent="0.25">
      <c r="B43" s="122"/>
    </row>
    <row r="44" spans="2:8" x14ac:dyDescent="0.25">
      <c r="B44" s="122"/>
    </row>
    <row r="45" spans="2:8" x14ac:dyDescent="0.25">
      <c r="B45" s="122"/>
    </row>
    <row r="46" spans="2:8" x14ac:dyDescent="0.25">
      <c r="B46" s="122"/>
    </row>
    <row r="47" spans="2:8" x14ac:dyDescent="0.25">
      <c r="B47" s="122"/>
    </row>
    <row r="48" spans="2:8" x14ac:dyDescent="0.25">
      <c r="B48" s="122"/>
    </row>
    <row r="49" spans="2:2" x14ac:dyDescent="0.25">
      <c r="B49" s="122"/>
    </row>
    <row r="50" spans="2:2" x14ac:dyDescent="0.25">
      <c r="B50" s="122"/>
    </row>
    <row r="51" spans="2:2" x14ac:dyDescent="0.25">
      <c r="B51" s="122"/>
    </row>
    <row r="52" spans="2:2" x14ac:dyDescent="0.25">
      <c r="B52" s="122"/>
    </row>
    <row r="53" spans="2:2" x14ac:dyDescent="0.25">
      <c r="B53" s="122"/>
    </row>
    <row r="54" spans="2:2" x14ac:dyDescent="0.25">
      <c r="B54" s="122"/>
    </row>
    <row r="55" spans="2:2" x14ac:dyDescent="0.25">
      <c r="B55" s="122"/>
    </row>
    <row r="56" spans="2:2" x14ac:dyDescent="0.25">
      <c r="B56" s="122"/>
    </row>
    <row r="57" spans="2:2" x14ac:dyDescent="0.25">
      <c r="B57" s="122"/>
    </row>
    <row r="58" spans="2:2" x14ac:dyDescent="0.25">
      <c r="B58" s="122"/>
    </row>
    <row r="59" spans="2:2" x14ac:dyDescent="0.25">
      <c r="B59" s="122"/>
    </row>
    <row r="60" spans="2:2" x14ac:dyDescent="0.25">
      <c r="B60" s="122"/>
    </row>
    <row r="61" spans="2:2" x14ac:dyDescent="0.25">
      <c r="B61" s="122"/>
    </row>
    <row r="62" spans="2:2" x14ac:dyDescent="0.25">
      <c r="B62" s="122"/>
    </row>
    <row r="63" spans="2:2" x14ac:dyDescent="0.25">
      <c r="B63" s="122"/>
    </row>
    <row r="64" spans="2:2" x14ac:dyDescent="0.25">
      <c r="B64" s="122"/>
    </row>
    <row r="65" spans="2:2" x14ac:dyDescent="0.25">
      <c r="B65" s="122"/>
    </row>
    <row r="66" spans="2:2" x14ac:dyDescent="0.25">
      <c r="B66" s="122"/>
    </row>
    <row r="67" spans="2:2" x14ac:dyDescent="0.25">
      <c r="B67" s="122"/>
    </row>
    <row r="68" spans="2:2" x14ac:dyDescent="0.25">
      <c r="B68" s="122"/>
    </row>
    <row r="69" spans="2:2" x14ac:dyDescent="0.25">
      <c r="B69" s="122"/>
    </row>
    <row r="70" spans="2:2" x14ac:dyDescent="0.25">
      <c r="B70" s="122"/>
    </row>
    <row r="71" spans="2:2" x14ac:dyDescent="0.25">
      <c r="B71" s="122"/>
    </row>
    <row r="72" spans="2:2" x14ac:dyDescent="0.25">
      <c r="B72" s="122"/>
    </row>
    <row r="73" spans="2:2" x14ac:dyDescent="0.25">
      <c r="B73" s="122"/>
    </row>
    <row r="74" spans="2:2" x14ac:dyDescent="0.25">
      <c r="B74" s="122"/>
    </row>
    <row r="75" spans="2:2" x14ac:dyDescent="0.25">
      <c r="B75" s="122"/>
    </row>
    <row r="76" spans="2:2" x14ac:dyDescent="0.25">
      <c r="B76" s="122"/>
    </row>
    <row r="77" spans="2:2" x14ac:dyDescent="0.25">
      <c r="B77" s="122"/>
    </row>
    <row r="78" spans="2:2" x14ac:dyDescent="0.25">
      <c r="B78" s="122"/>
    </row>
    <row r="79" spans="2:2" x14ac:dyDescent="0.25">
      <c r="B79" s="122"/>
    </row>
    <row r="80" spans="2:2" x14ac:dyDescent="0.25">
      <c r="B80" s="122"/>
    </row>
    <row r="81" spans="2:10" x14ac:dyDescent="0.25">
      <c r="B81" s="122"/>
    </row>
    <row r="82" spans="2:10" x14ac:dyDescent="0.25">
      <c r="B82" s="122"/>
    </row>
    <row r="83" spans="2:10" x14ac:dyDescent="0.25">
      <c r="B83" s="122"/>
    </row>
    <row r="84" spans="2:10" x14ac:dyDescent="0.25">
      <c r="B84" s="122"/>
    </row>
    <row r="85" spans="2:10" x14ac:dyDescent="0.25">
      <c r="B85" s="122"/>
    </row>
    <row r="86" spans="2:10" x14ac:dyDescent="0.25">
      <c r="B86" s="122"/>
    </row>
    <row r="87" spans="2:10" x14ac:dyDescent="0.25">
      <c r="B87" s="122"/>
    </row>
    <row r="88" spans="2:10" x14ac:dyDescent="0.25">
      <c r="B88" s="122"/>
    </row>
    <row r="89" spans="2:10" x14ac:dyDescent="0.25">
      <c r="B89" s="122"/>
    </row>
    <row r="90" spans="2:10" x14ac:dyDescent="0.25">
      <c r="B90" s="122"/>
      <c r="J90" s="96"/>
    </row>
    <row r="91" spans="2:10" x14ac:dyDescent="0.25">
      <c r="B91" s="122"/>
    </row>
    <row r="92" spans="2:10" x14ac:dyDescent="0.25">
      <c r="B92" s="122"/>
    </row>
    <row r="93" spans="2:10" x14ac:dyDescent="0.25">
      <c r="B93" s="122"/>
    </row>
    <row r="94" spans="2:10" x14ac:dyDescent="0.25">
      <c r="B94" s="122"/>
    </row>
    <row r="95" spans="2:10" x14ac:dyDescent="0.25">
      <c r="B95" s="122"/>
    </row>
    <row r="96" spans="2:10" x14ac:dyDescent="0.25">
      <c r="B96" s="122"/>
    </row>
    <row r="97" spans="2:2" x14ac:dyDescent="0.25">
      <c r="B97" s="122"/>
    </row>
    <row r="98" spans="2:2" x14ac:dyDescent="0.25">
      <c r="B98" s="122"/>
    </row>
    <row r="99" spans="2:2" x14ac:dyDescent="0.25">
      <c r="B99" s="122"/>
    </row>
    <row r="100" spans="2:2" x14ac:dyDescent="0.25">
      <c r="B100" s="122"/>
    </row>
    <row r="101" spans="2:2" x14ac:dyDescent="0.25">
      <c r="B101" s="122"/>
    </row>
    <row r="102" spans="2:2" x14ac:dyDescent="0.25">
      <c r="B102" s="122"/>
    </row>
    <row r="103" spans="2:2" x14ac:dyDescent="0.25">
      <c r="B103" s="122"/>
    </row>
    <row r="104" spans="2:2" x14ac:dyDescent="0.25">
      <c r="B104" s="122"/>
    </row>
    <row r="105" spans="2:2" x14ac:dyDescent="0.25">
      <c r="B105" s="122"/>
    </row>
    <row r="106" spans="2:2" x14ac:dyDescent="0.25">
      <c r="B106" s="122"/>
    </row>
    <row r="107" spans="2:2" x14ac:dyDescent="0.25">
      <c r="B107" s="122"/>
    </row>
    <row r="108" spans="2:2" x14ac:dyDescent="0.25">
      <c r="B108" s="122"/>
    </row>
    <row r="109" spans="2:2" x14ac:dyDescent="0.25">
      <c r="B109" s="122"/>
    </row>
    <row r="110" spans="2:2" x14ac:dyDescent="0.25">
      <c r="B110" s="122"/>
    </row>
    <row r="111" spans="2:2" x14ac:dyDescent="0.25">
      <c r="B111" s="122"/>
    </row>
    <row r="112" spans="2:2" x14ac:dyDescent="0.25">
      <c r="B112" s="122"/>
    </row>
    <row r="113" spans="2:2" x14ac:dyDescent="0.25">
      <c r="B113" s="122"/>
    </row>
    <row r="114" spans="2:2" x14ac:dyDescent="0.25">
      <c r="B114" s="122"/>
    </row>
    <row r="115" spans="2:2" x14ac:dyDescent="0.25">
      <c r="B115" s="122"/>
    </row>
    <row r="116" spans="2:2" x14ac:dyDescent="0.25">
      <c r="B116" s="122"/>
    </row>
    <row r="117" spans="2:2" x14ac:dyDescent="0.25">
      <c r="B117" s="122"/>
    </row>
    <row r="118" spans="2:2" x14ac:dyDescent="0.25">
      <c r="B118" s="122"/>
    </row>
    <row r="119" spans="2:2" x14ac:dyDescent="0.25">
      <c r="B119" s="122"/>
    </row>
    <row r="120" spans="2:2" x14ac:dyDescent="0.25">
      <c r="B120" s="122"/>
    </row>
    <row r="121" spans="2:2" x14ac:dyDescent="0.25">
      <c r="B121" s="122"/>
    </row>
    <row r="122" spans="2:2" x14ac:dyDescent="0.25">
      <c r="B122" s="122"/>
    </row>
    <row r="123" spans="2:2" x14ac:dyDescent="0.25">
      <c r="B123" s="122"/>
    </row>
    <row r="124" spans="2:2" x14ac:dyDescent="0.25">
      <c r="B124" s="122"/>
    </row>
    <row r="125" spans="2:2" x14ac:dyDescent="0.25">
      <c r="B125" s="122"/>
    </row>
    <row r="126" spans="2:2" x14ac:dyDescent="0.25">
      <c r="B126" s="122"/>
    </row>
    <row r="127" spans="2:2" x14ac:dyDescent="0.25">
      <c r="B127" s="122"/>
    </row>
    <row r="128" spans="2:2" x14ac:dyDescent="0.25">
      <c r="B128" s="122"/>
    </row>
    <row r="129" spans="2:2" x14ac:dyDescent="0.25">
      <c r="B129" s="122"/>
    </row>
    <row r="130" spans="2:2" x14ac:dyDescent="0.25">
      <c r="B130" s="122"/>
    </row>
    <row r="131" spans="2:2" x14ac:dyDescent="0.25">
      <c r="B131" s="122"/>
    </row>
    <row r="132" spans="2:2" x14ac:dyDescent="0.25">
      <c r="B132" s="122"/>
    </row>
    <row r="133" spans="2:2" x14ac:dyDescent="0.25">
      <c r="B133" s="122"/>
    </row>
    <row r="134" spans="2:2" x14ac:dyDescent="0.25">
      <c r="B134" s="122"/>
    </row>
    <row r="135" spans="2:2" x14ac:dyDescent="0.25">
      <c r="B135" s="122"/>
    </row>
    <row r="136" spans="2:2" x14ac:dyDescent="0.25">
      <c r="B136" s="122"/>
    </row>
    <row r="137" spans="2:2" x14ac:dyDescent="0.25">
      <c r="B137" s="122"/>
    </row>
    <row r="138" spans="2:2" x14ac:dyDescent="0.25">
      <c r="B138" s="122"/>
    </row>
    <row r="139" spans="2:2" x14ac:dyDescent="0.25">
      <c r="B139" s="122"/>
    </row>
    <row r="140" spans="2:2" x14ac:dyDescent="0.25">
      <c r="B140" s="122"/>
    </row>
    <row r="141" spans="2:2" x14ac:dyDescent="0.25">
      <c r="B141" s="122"/>
    </row>
    <row r="142" spans="2:2" x14ac:dyDescent="0.25">
      <c r="B142" s="122"/>
    </row>
    <row r="143" spans="2:2" x14ac:dyDescent="0.25">
      <c r="B143" s="122"/>
    </row>
    <row r="144" spans="2:2" x14ac:dyDescent="0.25">
      <c r="B144" s="122"/>
    </row>
    <row r="145" spans="2:2" x14ac:dyDescent="0.25">
      <c r="B145" s="122"/>
    </row>
    <row r="146" spans="2:2" x14ac:dyDescent="0.25">
      <c r="B146" s="122"/>
    </row>
    <row r="147" spans="2:2" x14ac:dyDescent="0.25">
      <c r="B147" s="122"/>
    </row>
    <row r="148" spans="2:2" x14ac:dyDescent="0.25">
      <c r="B148" s="122"/>
    </row>
    <row r="149" spans="2:2" x14ac:dyDescent="0.25">
      <c r="B149" s="122"/>
    </row>
    <row r="150" spans="2:2" x14ac:dyDescent="0.25">
      <c r="B150" s="122"/>
    </row>
    <row r="151" spans="2:2" x14ac:dyDescent="0.25">
      <c r="B151" s="122"/>
    </row>
    <row r="152" spans="2:2" x14ac:dyDescent="0.25">
      <c r="B152" s="122"/>
    </row>
    <row r="153" spans="2:2" x14ac:dyDescent="0.25">
      <c r="B153" s="122"/>
    </row>
    <row r="154" spans="2:2" x14ac:dyDescent="0.25">
      <c r="B154" s="122"/>
    </row>
    <row r="155" spans="2:2" x14ac:dyDescent="0.25">
      <c r="B155" s="122"/>
    </row>
    <row r="156" spans="2:2" x14ac:dyDescent="0.25">
      <c r="B156" s="122"/>
    </row>
    <row r="157" spans="2:2" x14ac:dyDescent="0.25">
      <c r="B157" s="122"/>
    </row>
    <row r="158" spans="2:2" x14ac:dyDescent="0.25">
      <c r="B158" s="122"/>
    </row>
    <row r="159" spans="2:2" x14ac:dyDescent="0.25">
      <c r="B159" s="122"/>
    </row>
    <row r="160" spans="2:2" x14ac:dyDescent="0.25">
      <c r="B160" s="122"/>
    </row>
    <row r="161" spans="2:7" x14ac:dyDescent="0.25">
      <c r="B161" s="122"/>
    </row>
    <row r="162" spans="2:7" x14ac:dyDescent="0.25">
      <c r="B162" s="122"/>
    </row>
    <row r="163" spans="2:7" x14ac:dyDescent="0.25">
      <c r="B163" s="122"/>
    </row>
    <row r="164" spans="2:7" x14ac:dyDescent="0.25">
      <c r="B164" s="122"/>
    </row>
    <row r="165" spans="2:7" x14ac:dyDescent="0.25">
      <c r="B165" s="122"/>
    </row>
    <row r="166" spans="2:7" x14ac:dyDescent="0.25">
      <c r="B166" s="125"/>
      <c r="C166" s="126"/>
      <c r="D166" s="127"/>
      <c r="E166" s="127"/>
      <c r="F166" s="127"/>
      <c r="G166" s="127"/>
    </row>
  </sheetData>
  <dataValidations disablePrompts="1" count="1">
    <dataValidation type="list" allowBlank="1" showInputMessage="1" showErrorMessage="1" sqref="B6:B9" xr:uid="{876F6851-7587-4F44-9F1E-C261AAA9FBEB}">
      <formula1>"Tier 1,Tier 2,Tier 3,Tier 4"</formula1>
    </dataValidation>
  </dataValidations>
  <hyperlinks>
    <hyperlink ref="L15" r:id="rId1" location="overview-of-the-forestry-sector-202122" display="https://www.agriculture.gov.au/abares/research-topics/forests/forest-economics/forest-wood-products-statistics - overview-of-the-forestry-sector-202122" xr:uid="{B65E25EC-BFCC-420A-8CEA-7EF443D37AD1}"/>
  </hyperlinks>
  <pageMargins left="0.7" right="0.7" top="0.75" bottom="0.75" header="0.3" footer="0.3"/>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ABCC8C-3A3B-487B-97DB-A90EF88FE91D}">
  <sheetPr codeName="Sheet42">
    <tabColor rgb="FF00CCFF"/>
  </sheetPr>
  <dimension ref="A1:V166"/>
  <sheetViews>
    <sheetView showGridLines="0" zoomScale="80" zoomScaleNormal="80" workbookViewId="0"/>
  </sheetViews>
  <sheetFormatPr defaultRowHeight="13.2" x14ac:dyDescent="0.25"/>
  <cols>
    <col min="1" max="1" width="26.109375" customWidth="1"/>
    <col min="2" max="2" width="128.88671875" customWidth="1"/>
    <col min="3" max="3" width="21" customWidth="1"/>
    <col min="4" max="6" width="19.88671875" style="96" customWidth="1"/>
    <col min="7" max="7" width="23.5546875" style="96" customWidth="1"/>
    <col min="8" max="8" width="14.44140625" style="161" customWidth="1"/>
    <col min="9" max="9" width="14.44140625" customWidth="1"/>
    <col min="10" max="10" width="13.109375" customWidth="1"/>
    <col min="11" max="11" width="16.109375" customWidth="1"/>
    <col min="16" max="16" width="13.88671875" customWidth="1"/>
    <col min="18" max="18" width="22.88671875" customWidth="1"/>
    <col min="19" max="19" width="43.5546875" customWidth="1"/>
    <col min="20" max="20" width="38.88671875" customWidth="1"/>
    <col min="21" max="21" width="41.44140625" customWidth="1"/>
    <col min="22" max="22" width="36.88671875" customWidth="1"/>
  </cols>
  <sheetData>
    <row r="1" spans="1:22" x14ac:dyDescent="0.25">
      <c r="A1" s="4" t="str" cm="1">
        <f t="array" aca="1" ref="A1" ca="1">MID(CELL("filename",A1),FIND("]",CELL("filename",A1))+1,255)</f>
        <v>Eng_Timber_Plywood</v>
      </c>
      <c r="H1"/>
    </row>
    <row r="2" spans="1:22" x14ac:dyDescent="0.25">
      <c r="A2" s="4"/>
      <c r="C2" s="4"/>
      <c r="H2"/>
    </row>
    <row r="3" spans="1:22" x14ac:dyDescent="0.25">
      <c r="A3" s="4" t="s">
        <v>4048</v>
      </c>
      <c r="B3" t="s">
        <v>4210</v>
      </c>
      <c r="H3"/>
    </row>
    <row r="4" spans="1:22" x14ac:dyDescent="0.25">
      <c r="A4" s="4"/>
      <c r="H4"/>
    </row>
    <row r="5" spans="1:22" ht="92.25" customHeight="1" x14ac:dyDescent="0.25">
      <c r="A5" s="26" t="s">
        <v>4050</v>
      </c>
      <c r="B5" s="14" t="s">
        <v>4211</v>
      </c>
      <c r="E5" s="43"/>
      <c r="H5"/>
    </row>
    <row r="6" spans="1:22" x14ac:dyDescent="0.25">
      <c r="A6" s="26" t="s">
        <v>4052</v>
      </c>
      <c r="B6" t="s">
        <v>69</v>
      </c>
      <c r="D6" s="43"/>
      <c r="H6"/>
    </row>
    <row r="7" spans="1:22" x14ac:dyDescent="0.25">
      <c r="A7" s="26" t="s">
        <v>4053</v>
      </c>
      <c r="B7" s="27" t="s">
        <v>68</v>
      </c>
      <c r="H7"/>
      <c r="K7" s="4" t="s">
        <v>4101</v>
      </c>
    </row>
    <row r="8" spans="1:22" x14ac:dyDescent="0.25">
      <c r="A8" s="26" t="s">
        <v>4054</v>
      </c>
      <c r="B8" s="27" t="s">
        <v>69</v>
      </c>
      <c r="H8"/>
    </row>
    <row r="9" spans="1:22" x14ac:dyDescent="0.25">
      <c r="A9" s="26" t="s">
        <v>4055</v>
      </c>
      <c r="B9" s="4" t="s">
        <v>69</v>
      </c>
      <c r="H9"/>
      <c r="S9" t="s">
        <v>4159</v>
      </c>
      <c r="T9" t="s">
        <v>148</v>
      </c>
      <c r="U9" t="s">
        <v>4160</v>
      </c>
      <c r="V9" t="s">
        <v>149</v>
      </c>
    </row>
    <row r="10" spans="1:22" x14ac:dyDescent="0.25">
      <c r="A10" s="26"/>
      <c r="B10" s="4"/>
      <c r="H10"/>
      <c r="L10" s="129" t="s">
        <v>4194</v>
      </c>
      <c r="M10" s="164">
        <f>P12</f>
        <v>0.30434782608695654</v>
      </c>
      <c r="O10" s="129" t="s">
        <v>4212</v>
      </c>
      <c r="P10" s="130">
        <v>1600000</v>
      </c>
      <c r="R10" s="129" t="s">
        <v>4196</v>
      </c>
      <c r="S10" s="67">
        <f>SUMIF(_xlfn.ANCHORARRAY($B$23),"*"&amp;"Global"&amp;"*",_xlfn.ANCHORARRAY(D$23))/COUNTIF(_xlfn.ANCHORARRAY($B$23),"*"&amp;"Global"&amp;"*")</f>
        <v>330.42127333333326</v>
      </c>
      <c r="T10" s="67">
        <f t="shared" ref="T10:V10" si="0">SUMIF(_xlfn.ANCHORARRAY($B$23),"*"&amp;"Global"&amp;"*",_xlfn.ANCHORARRAY(E$23))/COUNTIF(_xlfn.ANCHORARRAY($B$23),"*"&amp;"Global"&amp;"*")</f>
        <v>0.66521120454024829</v>
      </c>
      <c r="U10" s="67">
        <f t="shared" si="0"/>
        <v>800.83999999999992</v>
      </c>
      <c r="V10" s="130">
        <f t="shared" si="0"/>
        <v>1.5373544742867327</v>
      </c>
    </row>
    <row r="11" spans="1:22" x14ac:dyDescent="0.25">
      <c r="A11" s="26" t="s">
        <v>4056</v>
      </c>
      <c r="B11" s="14"/>
      <c r="H11"/>
      <c r="L11" s="125" t="s">
        <v>4197</v>
      </c>
      <c r="M11" s="165">
        <f>1-M10</f>
        <v>0.69565217391304346</v>
      </c>
      <c r="O11" s="122" t="s">
        <v>4194</v>
      </c>
      <c r="P11" s="124">
        <v>700000</v>
      </c>
      <c r="R11" s="122" t="s">
        <v>4114</v>
      </c>
      <c r="S11">
        <f>SUMIF(_xlfn.ANCHORARRAY($B$23),"*"&amp;"FWPA"&amp;"*",_xlfn.ANCHORARRAY(D$23))/COUNTIF(_xlfn.ANCHORARRAY($B$23),"*"&amp;"FWPA"&amp;"*")</f>
        <v>571.47144902135847</v>
      </c>
      <c r="T11">
        <f t="shared" ref="T11:V11" si="1">SUMIF(_xlfn.ANCHORARRAY($B$23),"*"&amp;"FWPA"&amp;"*",_xlfn.ANCHORARRAY(E$23))/COUNTIF(_xlfn.ANCHORARRAY($B$23),"*"&amp;"FWPA"&amp;"*")</f>
        <v>1.1145759650211071</v>
      </c>
      <c r="U11">
        <f t="shared" si="1"/>
        <v>858.37159663865555</v>
      </c>
      <c r="V11" s="124">
        <f t="shared" si="1"/>
        <v>1.686666666666667</v>
      </c>
    </row>
    <row r="12" spans="1:22" x14ac:dyDescent="0.25">
      <c r="A12" s="101"/>
      <c r="H12"/>
      <c r="O12" s="125"/>
      <c r="P12" s="166">
        <f>P11/(P10+P11)</f>
        <v>0.30434782608695654</v>
      </c>
      <c r="R12" s="125" t="s">
        <v>4116</v>
      </c>
      <c r="S12" s="126">
        <f>SUMPRODUCT(S10:S11,$M$10:$M$11)</f>
        <v>498.10835207282906</v>
      </c>
      <c r="T12" s="126">
        <f t="shared" ref="T12:V12" si="2">SUMPRODUCT(T10:T11,$M$10:$M$11)</f>
        <v>0.97781277704867176</v>
      </c>
      <c r="U12" s="126">
        <f t="shared" si="2"/>
        <v>840.86198027036903</v>
      </c>
      <c r="V12" s="142">
        <f t="shared" si="2"/>
        <v>1.6412238255075566</v>
      </c>
    </row>
    <row r="13" spans="1:22" x14ac:dyDescent="0.25">
      <c r="A13" s="101"/>
      <c r="H13"/>
    </row>
    <row r="14" spans="1:22" x14ac:dyDescent="0.25">
      <c r="A14" s="26" t="s">
        <v>4057</v>
      </c>
      <c r="H14"/>
      <c r="L14" s="4" t="s">
        <v>4198</v>
      </c>
    </row>
    <row r="15" spans="1:22" x14ac:dyDescent="0.25">
      <c r="A15" s="26"/>
      <c r="D15" s="112" t="s">
        <v>4058</v>
      </c>
      <c r="E15" s="113"/>
      <c r="F15" s="114" t="s">
        <v>4059</v>
      </c>
      <c r="G15" s="113"/>
      <c r="H15"/>
      <c r="L15" s="36" t="s">
        <v>4213</v>
      </c>
    </row>
    <row r="16" spans="1:22" ht="39.6" x14ac:dyDescent="0.25">
      <c r="B16" s="28" t="s">
        <v>2423</v>
      </c>
      <c r="C16" s="23" t="s">
        <v>23</v>
      </c>
      <c r="D16" s="24" t="s">
        <v>141</v>
      </c>
      <c r="E16" s="25" t="s">
        <v>148</v>
      </c>
      <c r="F16" s="24" t="s">
        <v>142</v>
      </c>
      <c r="G16" s="45" t="s">
        <v>149</v>
      </c>
      <c r="H16" s="44" t="s">
        <v>4201</v>
      </c>
      <c r="L16" t="s">
        <v>4214</v>
      </c>
    </row>
    <row r="17" spans="2:15" x14ac:dyDescent="0.25">
      <c r="B17" s="29"/>
      <c r="C17" s="30" t="s">
        <v>4060</v>
      </c>
      <c r="D17" s="118" t="str" cm="1">
        <f t="array" ref="D17">IF(AND(_xlfn.ANCHORARRAY(C23)=C23),C23,"Mixed")</f>
        <v>m³</v>
      </c>
      <c r="E17" s="118" t="s">
        <v>219</v>
      </c>
      <c r="F17" s="118" t="str" cm="1">
        <f t="array" ref="F17">IF(AND(_xlfn.ANCHORARRAY(C23)=C23),C23,"Mixed")</f>
        <v>m³</v>
      </c>
      <c r="G17" s="118" t="s">
        <v>219</v>
      </c>
      <c r="L17" s="36" t="s">
        <v>4199</v>
      </c>
    </row>
    <row r="18" spans="2:15" s="14" customFormat="1" x14ac:dyDescent="0.25">
      <c r="B18" s="31"/>
      <c r="C18" s="4" t="s">
        <v>4061</v>
      </c>
      <c r="D18" s="96">
        <f>MAX(_xlfn.ANCHORARRAY(D23))</f>
        <v>922.37450980392134</v>
      </c>
      <c r="E18" s="96">
        <f t="shared" ref="E18" si="3">MAX(_xlfn.ANCHORARRAY(E23))</f>
        <v>1.689694683908046</v>
      </c>
      <c r="F18" s="162">
        <f>VLOOKUP($D18,$D$23:$F$211,3,FALSE)</f>
        <v>920.72156862745078</v>
      </c>
      <c r="G18" s="162">
        <f>VLOOKUP($D18,$D$23:$G$211,4,FALSE)</f>
        <v>1.6866666666666668</v>
      </c>
      <c r="H18" s="163">
        <f>D18/E18</f>
        <v>545.88235294117635</v>
      </c>
      <c r="I18"/>
      <c r="J18"/>
      <c r="L18" s="14" t="s">
        <v>4202</v>
      </c>
    </row>
    <row r="19" spans="2:15" x14ac:dyDescent="0.25">
      <c r="B19" s="122"/>
      <c r="C19" s="4" t="s">
        <v>4062</v>
      </c>
      <c r="D19" s="96">
        <f>MIN(_xlfn.ANCHORARRAY(D23))</f>
        <v>234.72436666666658</v>
      </c>
      <c r="E19" s="96">
        <f t="shared" ref="E19:G19" si="4">MIN(_xlfn.ANCHORARRAY(E23))</f>
        <v>0.39582523889825749</v>
      </c>
      <c r="F19" s="96">
        <f t="shared" si="4"/>
        <v>522.70000000000005</v>
      </c>
      <c r="G19" s="96">
        <f t="shared" si="4"/>
        <v>1.2748780487804878</v>
      </c>
      <c r="H19" s="163">
        <f>D19/E19</f>
        <v>592.99999999999977</v>
      </c>
    </row>
    <row r="20" spans="2:15" x14ac:dyDescent="0.25">
      <c r="B20" s="122"/>
      <c r="C20" s="35" t="s">
        <v>4203</v>
      </c>
      <c r="D20" s="96">
        <f>S12</f>
        <v>498.10835207282906</v>
      </c>
      <c r="E20" s="96">
        <f t="shared" ref="E20:G20" si="5">T12</f>
        <v>0.97781277704867176</v>
      </c>
      <c r="F20" s="96">
        <f t="shared" si="5"/>
        <v>840.86198027036903</v>
      </c>
      <c r="G20" s="96">
        <f t="shared" si="5"/>
        <v>1.6412238255075566</v>
      </c>
      <c r="H20" s="163">
        <f>D20/E20</f>
        <v>509.41076222819203</v>
      </c>
    </row>
    <row r="21" spans="2:15" x14ac:dyDescent="0.25">
      <c r="B21" s="122"/>
      <c r="C21" s="4" t="s">
        <v>4063</v>
      </c>
      <c r="D21" s="96">
        <f>AVERAGE(_xlfn.ANCHORARRAY(D23))</f>
        <v>478.75984298750268</v>
      </c>
      <c r="E21" s="96">
        <f t="shared" ref="E21:G21" si="6">AVERAGE(_xlfn.ANCHORARRAY(E23))</f>
        <v>0.94174336483616128</v>
      </c>
      <c r="F21" s="96">
        <f t="shared" si="6"/>
        <v>836.24405946994182</v>
      </c>
      <c r="G21" s="96">
        <f t="shared" si="6"/>
        <v>1.6292389003666925</v>
      </c>
      <c r="H21" s="163">
        <f>D21/E21</f>
        <v>508.37612545408734</v>
      </c>
      <c r="L21" s="14"/>
      <c r="M21" s="14"/>
      <c r="N21" s="14"/>
      <c r="O21" s="14"/>
    </row>
    <row r="22" spans="2:15" x14ac:dyDescent="0.25">
      <c r="B22" s="32" t="s">
        <v>4064</v>
      </c>
      <c r="D22"/>
      <c r="E22"/>
      <c r="F22"/>
      <c r="G22"/>
      <c r="H22" s="163"/>
    </row>
    <row r="23" spans="2:15" x14ac:dyDescent="0.25">
      <c r="B23" s="122" t="str" cm="1">
        <f t="array" ref="B23:B35">_xlfn.UNIQUE(_xlfn._xlws.FILTER('EPD List'!D:D,ISNUMBER(SEARCH(B16,'EPD List'!C:C)),0))</f>
        <v>plywood flooring, tongue and groove, A-bond, 25 mm (commercial), FWPA</v>
      </c>
      <c r="C23" t="str" cm="1">
        <f t="array" ref="C23:C35">_xlfn.IFNA(INDEX('EPD List'!$A:$AB,MATCH(_xlfn.ANCHORARRAY(B23),'EPD List'!$D:$D,0),MATCH(C$16,'EPD List'!$7:$7,0)),"")</f>
        <v>m³</v>
      </c>
      <c r="D23" s="96" cm="1">
        <f t="array" ref="D23:D35">_xlfn.IFNA(VALUE((INDEX('EPD List'!$A:$AD,MATCH(_xlfn.ANCHORARRAY($B23),'EPD List'!$D:$D,0),MATCH(D$16,'EPD List'!$7:$7,0)))),"")</f>
        <v>489.84000000000015</v>
      </c>
      <c r="E23" s="96" cm="1">
        <f t="array" ref="E23:E35">_xlfn.IFNA(VALUE((INDEX('EPD List'!$A:$AD,MATCH(_xlfn.ANCHORARRAY($B23),'EPD List'!$D:$D,0),MATCH(E$16,'EPD List'!$7:$7,0)))),"")</f>
        <v>0.9956097560975613</v>
      </c>
      <c r="F23" s="96" cm="1">
        <f t="array" ref="F23:F35">_xlfn.IFNA(VALUE((INDEX('EPD List'!$A:$AD,MATCH(_xlfn.ANCHORARRAY($B23),'EPD List'!$D:$D,0),MATCH(F$16,'EPD List'!$7:$7,0)))),"")</f>
        <v>829.84000000000015</v>
      </c>
      <c r="G23" s="96" cm="1">
        <f t="array" ref="G23:G35">_xlfn.IFNA(VALUE((INDEX('EPD List'!$A:$AD,MATCH(_xlfn.ANCHORARRAY($B23),'EPD List'!$D:$D,0),MATCH(G$16,'EPD List'!$7:$7,0)))),"")</f>
        <v>1.686666666666667</v>
      </c>
      <c r="H23" s="163" cm="1">
        <f t="array" ref="H23:H35">IFERROR(IF(_xlfn.ANCHORARRAY($C23)="kg",1,
IF(_xlfn.ANCHORARRAY($C23)="tonne",1000,
IF(OR(_xlfn.ANCHORARRAY($C23)="m³",_xlfn.ANCHORARRAY($C23)="m³"),INDEX('EPD List'!$A:$AB,MATCH(_xlfn.ANCHORARRAY($B23),'EPD List'!$D:$D,0),MATCH("Density (kg/m3)",'EPD List'!$7:$7,0)),
IF(OR(_xlfn.ANCHORARRAY($C23)="m²",_xlfn.ANCHORARRAY($C23)="m2"),INDEX('EPD List'!$A:$AB,MATCH(_xlfn.ANCHORARRAY($B23),'EPD List'!$D:$D,0),MATCH("Area density (kg/m2)",'EPD List'!$7:$7,0)),
IF(_xlfn.ANCHORARRAY($C23)="m",INDEX('EPD List'!$A:$AB,MATCH(_xlfn.ANCHORARRAY($B23),'EPD List'!$D:$D,0),MATCH("mass per m (kg/m)",'EPD List'!$7:$7,0)),
IF(_xlfn.ANCHORARRAY($C23)="unit",INDEX('EPD List'!$A:$AB,MATCH(_xlfn.ANCHORARRAY($B23),'EPD List'!$D:$D,0),MATCH("Mass per unit (kg/unit)",'EPD List'!$7:$7,0)),NA())))))),"")</f>
        <v>492</v>
      </c>
    </row>
    <row r="24" spans="2:15" x14ac:dyDescent="0.25">
      <c r="B24" s="122" t="str">
        <v>plywood flooring, tongue and groove, A-bond, 15 mm (residential), FWPA</v>
      </c>
      <c r="C24" t="str">
        <v>m³</v>
      </c>
      <c r="D24" s="96">
        <v>469.42222222222227</v>
      </c>
      <c r="E24" s="96">
        <v>0.95153153153153158</v>
      </c>
      <c r="F24" s="96">
        <v>832.08888888888896</v>
      </c>
      <c r="G24" s="96">
        <v>1.6866666666666668</v>
      </c>
      <c r="H24" s="163">
        <v>493.33333333333337</v>
      </c>
    </row>
    <row r="25" spans="2:15" x14ac:dyDescent="0.25">
      <c r="B25" s="122" t="str">
        <v>Plywood, Global, SELEX Plywood products (CMPC) (Chile)</v>
      </c>
      <c r="C25" t="str">
        <v>m³</v>
      </c>
      <c r="D25" s="96">
        <v>328.85699999999997</v>
      </c>
      <c r="E25" s="96">
        <v>0.63855728155339797</v>
      </c>
      <c r="F25" s="96">
        <v>849.75</v>
      </c>
      <c r="G25" s="96">
        <v>1.65</v>
      </c>
      <c r="H25" s="163">
        <v>515</v>
      </c>
    </row>
    <row r="26" spans="2:15" x14ac:dyDescent="0.25">
      <c r="B26" s="122" t="str">
        <v>Plywood, Global, SELEX Plywood 9mm (CMPC) (Chile)</v>
      </c>
      <c r="C26" t="str">
        <v>m³</v>
      </c>
      <c r="D26" s="96">
        <v>270.85500000000002</v>
      </c>
      <c r="E26" s="96">
        <v>0.52593203883495132</v>
      </c>
      <c r="F26" s="96">
        <v>849.75</v>
      </c>
      <c r="G26" s="96">
        <v>1.65</v>
      </c>
      <c r="H26" s="163">
        <v>515</v>
      </c>
    </row>
    <row r="27" spans="2:15" x14ac:dyDescent="0.25">
      <c r="B27" s="122" t="str">
        <v>Plywood, Global, Plywood CHH Ply (Carter Holt Harvey) (New Zealand)</v>
      </c>
      <c r="C27" t="str">
        <v>m³</v>
      </c>
      <c r="D27" s="96">
        <v>234.72436666666658</v>
      </c>
      <c r="E27" s="96">
        <v>0.39582523889825749</v>
      </c>
      <c r="F27" s="96">
        <v>971.66666666666663</v>
      </c>
      <c r="G27" s="96">
        <v>1.6385609893198425</v>
      </c>
      <c r="H27" s="163">
        <v>593</v>
      </c>
    </row>
    <row r="28" spans="2:15" x14ac:dyDescent="0.25">
      <c r="B28" s="122" t="str">
        <v>Plywood, Global, Grupo Garnica Plywood (MADERAS) (Spain)</v>
      </c>
      <c r="C28" t="str">
        <v>m³</v>
      </c>
      <c r="D28" s="96">
        <v>368.16999999999996</v>
      </c>
      <c r="E28" s="96">
        <v>0.6694</v>
      </c>
      <c r="F28" s="96">
        <v>810.33333333333337</v>
      </c>
      <c r="G28" s="96">
        <v>1.4733333333333334</v>
      </c>
      <c r="H28" s="163">
        <v>550</v>
      </c>
    </row>
    <row r="29" spans="2:15" x14ac:dyDescent="0.25">
      <c r="B29" s="122" t="str">
        <v>Plywood, Global, Plywood C1D (Panguaneta) (Italy)</v>
      </c>
      <c r="C29" t="str">
        <v>m³</v>
      </c>
      <c r="D29" s="96">
        <v>449.5</v>
      </c>
      <c r="E29" s="96">
        <v>1.0963414634146342</v>
      </c>
      <c r="F29" s="96">
        <v>522.70000000000005</v>
      </c>
      <c r="G29" s="96">
        <v>1.2748780487804878</v>
      </c>
      <c r="H29" s="163">
        <v>410</v>
      </c>
    </row>
    <row r="30" spans="2:15" x14ac:dyDescent="0.25">
      <c r="B30" s="122" t="str">
        <v>Plywood, A-bond 17 mm (formwork),FWPA</v>
      </c>
      <c r="C30" t="str">
        <v>m³</v>
      </c>
      <c r="D30" s="96">
        <v>618.13725490196066</v>
      </c>
      <c r="E30" s="96">
        <v>1.200952380952381</v>
      </c>
      <c r="F30" s="96">
        <v>868.13725490196066</v>
      </c>
      <c r="G30" s="96">
        <v>1.6866666666666668</v>
      </c>
      <c r="H30" s="163">
        <v>514.7058823529411</v>
      </c>
    </row>
    <row r="31" spans="2:15" x14ac:dyDescent="0.25">
      <c r="B31" s="122" t="str">
        <v>Plywood, A-bond, 7 mm (bracing), FWPA</v>
      </c>
      <c r="C31" t="str">
        <v>m³</v>
      </c>
      <c r="D31" s="96">
        <v>499.85714285714289</v>
      </c>
      <c r="E31" s="96">
        <v>1.014202898550725</v>
      </c>
      <c r="F31" s="96">
        <v>831.28571428571433</v>
      </c>
      <c r="G31" s="96">
        <v>1.6866666666666668</v>
      </c>
      <c r="H31" s="163">
        <v>492.85714285714289</v>
      </c>
    </row>
    <row r="32" spans="2:15" x14ac:dyDescent="0.25">
      <c r="B32" s="122" t="str">
        <v>Plywood, A-bond, 9 mm (structural), FWPA</v>
      </c>
      <c r="C32" t="str">
        <v>m³</v>
      </c>
      <c r="D32" s="96">
        <v>478.75555555555565</v>
      </c>
      <c r="E32" s="96">
        <v>0.97045045045045042</v>
      </c>
      <c r="F32" s="96">
        <v>832.08888888888907</v>
      </c>
      <c r="G32" s="96">
        <v>1.6866666666666668</v>
      </c>
      <c r="H32" s="163">
        <v>493.33333333333343</v>
      </c>
    </row>
    <row r="33" spans="2:8" x14ac:dyDescent="0.25">
      <c r="B33" s="122" t="str">
        <v>Max variation of Formply A-bond 17mm FWPA, Australia</v>
      </c>
      <c r="C33" t="str">
        <v>m³</v>
      </c>
      <c r="D33" s="96">
        <v>922.37450980392134</v>
      </c>
      <c r="E33" s="96">
        <v>1.689694683908046</v>
      </c>
      <c r="F33" s="96">
        <v>920.72156862745078</v>
      </c>
      <c r="G33" s="96">
        <v>1.6866666666666668</v>
      </c>
      <c r="H33" s="163">
        <v>545.88235294117635</v>
      </c>
    </row>
    <row r="34" spans="2:8" x14ac:dyDescent="0.25">
      <c r="B34" s="122" t="str">
        <v>Plywood, , Min variation of Formply A-bond 15mm FWPA, Australia (FWPA) (Australia)</v>
      </c>
      <c r="C34" t="str">
        <v>m³</v>
      </c>
      <c r="D34" s="96">
        <v>467.36922055555556</v>
      </c>
      <c r="E34" s="96">
        <v>0.94737004166666661</v>
      </c>
      <c r="F34" s="96">
        <v>832.08888888888896</v>
      </c>
      <c r="G34" s="96">
        <v>1.6866666666666668</v>
      </c>
      <c r="H34" s="163">
        <v>493.33333333333337</v>
      </c>
    </row>
    <row r="35" spans="2:8" x14ac:dyDescent="0.25">
      <c r="B35" s="122" t="str">
        <v>Plywood, formply, B-bond, 17 mm (formwork) FWPA</v>
      </c>
      <c r="C35" t="str">
        <v>m³</v>
      </c>
      <c r="D35" s="96">
        <v>626.01568627450968</v>
      </c>
      <c r="E35" s="96">
        <v>1.1467959770114944</v>
      </c>
      <c r="F35" s="96">
        <v>920.72156862745078</v>
      </c>
      <c r="G35" s="96">
        <v>1.6866666666666668</v>
      </c>
      <c r="H35" s="163">
        <v>545.88235294117635</v>
      </c>
    </row>
    <row r="36" spans="2:8" x14ac:dyDescent="0.25">
      <c r="B36" s="122"/>
      <c r="H36" s="163"/>
    </row>
    <row r="37" spans="2:8" x14ac:dyDescent="0.25">
      <c r="B37" s="122"/>
      <c r="H37" s="163"/>
    </row>
    <row r="38" spans="2:8" x14ac:dyDescent="0.25">
      <c r="B38" s="122"/>
    </row>
    <row r="39" spans="2:8" x14ac:dyDescent="0.25">
      <c r="B39" s="122"/>
    </row>
    <row r="40" spans="2:8" x14ac:dyDescent="0.25">
      <c r="B40" s="122"/>
    </row>
    <row r="41" spans="2:8" x14ac:dyDescent="0.25">
      <c r="B41" s="122"/>
    </row>
    <row r="42" spans="2:8" x14ac:dyDescent="0.25">
      <c r="B42" s="122"/>
    </row>
    <row r="43" spans="2:8" x14ac:dyDescent="0.25">
      <c r="B43" s="122"/>
    </row>
    <row r="44" spans="2:8" x14ac:dyDescent="0.25">
      <c r="B44" s="122"/>
    </row>
    <row r="45" spans="2:8" x14ac:dyDescent="0.25">
      <c r="B45" s="122"/>
    </row>
    <row r="46" spans="2:8" x14ac:dyDescent="0.25">
      <c r="B46" s="122"/>
    </row>
    <row r="47" spans="2:8" x14ac:dyDescent="0.25">
      <c r="B47" s="122"/>
    </row>
    <row r="48" spans="2:8" x14ac:dyDescent="0.25">
      <c r="B48" s="122"/>
    </row>
    <row r="49" spans="2:2" x14ac:dyDescent="0.25">
      <c r="B49" s="122"/>
    </row>
    <row r="50" spans="2:2" x14ac:dyDescent="0.25">
      <c r="B50" s="122"/>
    </row>
    <row r="51" spans="2:2" x14ac:dyDescent="0.25">
      <c r="B51" s="122"/>
    </row>
    <row r="52" spans="2:2" x14ac:dyDescent="0.25">
      <c r="B52" s="122"/>
    </row>
    <row r="53" spans="2:2" x14ac:dyDescent="0.25">
      <c r="B53" s="122"/>
    </row>
    <row r="54" spans="2:2" x14ac:dyDescent="0.25">
      <c r="B54" s="122"/>
    </row>
    <row r="55" spans="2:2" x14ac:dyDescent="0.25">
      <c r="B55" s="122"/>
    </row>
    <row r="56" spans="2:2" x14ac:dyDescent="0.25">
      <c r="B56" s="122"/>
    </row>
    <row r="57" spans="2:2" x14ac:dyDescent="0.25">
      <c r="B57" s="122"/>
    </row>
    <row r="58" spans="2:2" x14ac:dyDescent="0.25">
      <c r="B58" s="122"/>
    </row>
    <row r="59" spans="2:2" x14ac:dyDescent="0.25">
      <c r="B59" s="122"/>
    </row>
    <row r="60" spans="2:2" x14ac:dyDescent="0.25">
      <c r="B60" s="122"/>
    </row>
    <row r="61" spans="2:2" x14ac:dyDescent="0.25">
      <c r="B61" s="122"/>
    </row>
    <row r="62" spans="2:2" x14ac:dyDescent="0.25">
      <c r="B62" s="122"/>
    </row>
    <row r="63" spans="2:2" x14ac:dyDescent="0.25">
      <c r="B63" s="122"/>
    </row>
    <row r="64" spans="2:2" x14ac:dyDescent="0.25">
      <c r="B64" s="122"/>
    </row>
    <row r="65" spans="2:2" x14ac:dyDescent="0.25">
      <c r="B65" s="122"/>
    </row>
    <row r="66" spans="2:2" x14ac:dyDescent="0.25">
      <c r="B66" s="122"/>
    </row>
    <row r="67" spans="2:2" x14ac:dyDescent="0.25">
      <c r="B67" s="122"/>
    </row>
    <row r="68" spans="2:2" x14ac:dyDescent="0.25">
      <c r="B68" s="122"/>
    </row>
    <row r="69" spans="2:2" x14ac:dyDescent="0.25">
      <c r="B69" s="122"/>
    </row>
    <row r="70" spans="2:2" x14ac:dyDescent="0.25">
      <c r="B70" s="122"/>
    </row>
    <row r="71" spans="2:2" x14ac:dyDescent="0.25">
      <c r="B71" s="122"/>
    </row>
    <row r="72" spans="2:2" x14ac:dyDescent="0.25">
      <c r="B72" s="122"/>
    </row>
    <row r="73" spans="2:2" x14ac:dyDescent="0.25">
      <c r="B73" s="122"/>
    </row>
    <row r="74" spans="2:2" x14ac:dyDescent="0.25">
      <c r="B74" s="122"/>
    </row>
    <row r="75" spans="2:2" x14ac:dyDescent="0.25">
      <c r="B75" s="122"/>
    </row>
    <row r="76" spans="2:2" x14ac:dyDescent="0.25">
      <c r="B76" s="122"/>
    </row>
    <row r="77" spans="2:2" x14ac:dyDescent="0.25">
      <c r="B77" s="122"/>
    </row>
    <row r="78" spans="2:2" x14ac:dyDescent="0.25">
      <c r="B78" s="122"/>
    </row>
    <row r="79" spans="2:2" x14ac:dyDescent="0.25">
      <c r="B79" s="122"/>
    </row>
    <row r="80" spans="2:2" x14ac:dyDescent="0.25">
      <c r="B80" s="122"/>
    </row>
    <row r="81" spans="2:10" x14ac:dyDescent="0.25">
      <c r="B81" s="122"/>
    </row>
    <row r="82" spans="2:10" x14ac:dyDescent="0.25">
      <c r="B82" s="122"/>
    </row>
    <row r="83" spans="2:10" x14ac:dyDescent="0.25">
      <c r="B83" s="122"/>
    </row>
    <row r="84" spans="2:10" x14ac:dyDescent="0.25">
      <c r="B84" s="122"/>
    </row>
    <row r="85" spans="2:10" x14ac:dyDescent="0.25">
      <c r="B85" s="122"/>
    </row>
    <row r="86" spans="2:10" x14ac:dyDescent="0.25">
      <c r="B86" s="122"/>
    </row>
    <row r="87" spans="2:10" x14ac:dyDescent="0.25">
      <c r="B87" s="122"/>
    </row>
    <row r="88" spans="2:10" x14ac:dyDescent="0.25">
      <c r="B88" s="122"/>
    </row>
    <row r="89" spans="2:10" x14ac:dyDescent="0.25">
      <c r="B89" s="122"/>
    </row>
    <row r="90" spans="2:10" x14ac:dyDescent="0.25">
      <c r="B90" s="122"/>
      <c r="J90" s="96"/>
    </row>
    <row r="91" spans="2:10" x14ac:dyDescent="0.25">
      <c r="B91" s="122"/>
    </row>
    <row r="92" spans="2:10" x14ac:dyDescent="0.25">
      <c r="B92" s="122"/>
    </row>
    <row r="93" spans="2:10" x14ac:dyDescent="0.25">
      <c r="B93" s="122"/>
    </row>
    <row r="94" spans="2:10" x14ac:dyDescent="0.25">
      <c r="B94" s="122"/>
    </row>
    <row r="95" spans="2:10" x14ac:dyDescent="0.25">
      <c r="B95" s="122"/>
    </row>
    <row r="96" spans="2:10" x14ac:dyDescent="0.25">
      <c r="B96" s="122"/>
    </row>
    <row r="97" spans="2:2" x14ac:dyDescent="0.25">
      <c r="B97" s="122"/>
    </row>
    <row r="98" spans="2:2" x14ac:dyDescent="0.25">
      <c r="B98" s="122"/>
    </row>
    <row r="99" spans="2:2" x14ac:dyDescent="0.25">
      <c r="B99" s="122"/>
    </row>
    <row r="100" spans="2:2" x14ac:dyDescent="0.25">
      <c r="B100" s="122"/>
    </row>
    <row r="101" spans="2:2" x14ac:dyDescent="0.25">
      <c r="B101" s="122"/>
    </row>
    <row r="102" spans="2:2" x14ac:dyDescent="0.25">
      <c r="B102" s="122"/>
    </row>
    <row r="103" spans="2:2" x14ac:dyDescent="0.25">
      <c r="B103" s="122"/>
    </row>
    <row r="104" spans="2:2" x14ac:dyDescent="0.25">
      <c r="B104" s="122"/>
    </row>
    <row r="105" spans="2:2" x14ac:dyDescent="0.25">
      <c r="B105" s="122"/>
    </row>
    <row r="106" spans="2:2" x14ac:dyDescent="0.25">
      <c r="B106" s="122"/>
    </row>
    <row r="107" spans="2:2" x14ac:dyDescent="0.25">
      <c r="B107" s="122"/>
    </row>
    <row r="108" spans="2:2" x14ac:dyDescent="0.25">
      <c r="B108" s="122"/>
    </row>
    <row r="109" spans="2:2" x14ac:dyDescent="0.25">
      <c r="B109" s="122"/>
    </row>
    <row r="110" spans="2:2" x14ac:dyDescent="0.25">
      <c r="B110" s="122"/>
    </row>
    <row r="111" spans="2:2" x14ac:dyDescent="0.25">
      <c r="B111" s="122"/>
    </row>
    <row r="112" spans="2:2" x14ac:dyDescent="0.25">
      <c r="B112" s="122"/>
    </row>
    <row r="113" spans="2:2" x14ac:dyDescent="0.25">
      <c r="B113" s="122"/>
    </row>
    <row r="114" spans="2:2" x14ac:dyDescent="0.25">
      <c r="B114" s="122"/>
    </row>
    <row r="115" spans="2:2" x14ac:dyDescent="0.25">
      <c r="B115" s="122"/>
    </row>
    <row r="116" spans="2:2" x14ac:dyDescent="0.25">
      <c r="B116" s="122"/>
    </row>
    <row r="117" spans="2:2" x14ac:dyDescent="0.25">
      <c r="B117" s="122"/>
    </row>
    <row r="118" spans="2:2" x14ac:dyDescent="0.25">
      <c r="B118" s="122"/>
    </row>
    <row r="119" spans="2:2" x14ac:dyDescent="0.25">
      <c r="B119" s="122"/>
    </row>
    <row r="120" spans="2:2" x14ac:dyDescent="0.25">
      <c r="B120" s="122"/>
    </row>
    <row r="121" spans="2:2" x14ac:dyDescent="0.25">
      <c r="B121" s="122"/>
    </row>
    <row r="122" spans="2:2" x14ac:dyDescent="0.25">
      <c r="B122" s="122"/>
    </row>
    <row r="123" spans="2:2" x14ac:dyDescent="0.25">
      <c r="B123" s="122"/>
    </row>
    <row r="124" spans="2:2" x14ac:dyDescent="0.25">
      <c r="B124" s="122"/>
    </row>
    <row r="125" spans="2:2" x14ac:dyDescent="0.25">
      <c r="B125" s="122"/>
    </row>
    <row r="126" spans="2:2" x14ac:dyDescent="0.25">
      <c r="B126" s="122"/>
    </row>
    <row r="127" spans="2:2" x14ac:dyDescent="0.25">
      <c r="B127" s="122"/>
    </row>
    <row r="128" spans="2:2" x14ac:dyDescent="0.25">
      <c r="B128" s="122"/>
    </row>
    <row r="129" spans="2:2" x14ac:dyDescent="0.25">
      <c r="B129" s="122"/>
    </row>
    <row r="130" spans="2:2" x14ac:dyDescent="0.25">
      <c r="B130" s="122"/>
    </row>
    <row r="131" spans="2:2" x14ac:dyDescent="0.25">
      <c r="B131" s="122"/>
    </row>
    <row r="132" spans="2:2" x14ac:dyDescent="0.25">
      <c r="B132" s="122"/>
    </row>
    <row r="133" spans="2:2" x14ac:dyDescent="0.25">
      <c r="B133" s="122"/>
    </row>
    <row r="134" spans="2:2" x14ac:dyDescent="0.25">
      <c r="B134" s="122"/>
    </row>
    <row r="135" spans="2:2" x14ac:dyDescent="0.25">
      <c r="B135" s="122"/>
    </row>
    <row r="136" spans="2:2" x14ac:dyDescent="0.25">
      <c r="B136" s="122"/>
    </row>
    <row r="137" spans="2:2" x14ac:dyDescent="0.25">
      <c r="B137" s="122"/>
    </row>
    <row r="138" spans="2:2" x14ac:dyDescent="0.25">
      <c r="B138" s="122"/>
    </row>
    <row r="139" spans="2:2" x14ac:dyDescent="0.25">
      <c r="B139" s="122"/>
    </row>
    <row r="140" spans="2:2" x14ac:dyDescent="0.25">
      <c r="B140" s="122"/>
    </row>
    <row r="141" spans="2:2" x14ac:dyDescent="0.25">
      <c r="B141" s="122"/>
    </row>
    <row r="142" spans="2:2" x14ac:dyDescent="0.25">
      <c r="B142" s="122"/>
    </row>
    <row r="143" spans="2:2" x14ac:dyDescent="0.25">
      <c r="B143" s="122"/>
    </row>
    <row r="144" spans="2:2" x14ac:dyDescent="0.25">
      <c r="B144" s="122"/>
    </row>
    <row r="145" spans="2:2" x14ac:dyDescent="0.25">
      <c r="B145" s="122"/>
    </row>
    <row r="146" spans="2:2" x14ac:dyDescent="0.25">
      <c r="B146" s="122"/>
    </row>
    <row r="147" spans="2:2" x14ac:dyDescent="0.25">
      <c r="B147" s="122"/>
    </row>
    <row r="148" spans="2:2" x14ac:dyDescent="0.25">
      <c r="B148" s="122"/>
    </row>
    <row r="149" spans="2:2" x14ac:dyDescent="0.25">
      <c r="B149" s="122"/>
    </row>
    <row r="150" spans="2:2" x14ac:dyDescent="0.25">
      <c r="B150" s="122"/>
    </row>
    <row r="151" spans="2:2" x14ac:dyDescent="0.25">
      <c r="B151" s="122"/>
    </row>
    <row r="152" spans="2:2" x14ac:dyDescent="0.25">
      <c r="B152" s="122"/>
    </row>
    <row r="153" spans="2:2" x14ac:dyDescent="0.25">
      <c r="B153" s="122"/>
    </row>
    <row r="154" spans="2:2" x14ac:dyDescent="0.25">
      <c r="B154" s="122"/>
    </row>
    <row r="155" spans="2:2" x14ac:dyDescent="0.25">
      <c r="B155" s="122"/>
    </row>
    <row r="156" spans="2:2" x14ac:dyDescent="0.25">
      <c r="B156" s="122"/>
    </row>
    <row r="157" spans="2:2" x14ac:dyDescent="0.25">
      <c r="B157" s="122"/>
    </row>
    <row r="158" spans="2:2" x14ac:dyDescent="0.25">
      <c r="B158" s="122"/>
    </row>
    <row r="159" spans="2:2" x14ac:dyDescent="0.25">
      <c r="B159" s="122"/>
    </row>
    <row r="160" spans="2:2" x14ac:dyDescent="0.25">
      <c r="B160" s="122"/>
    </row>
    <row r="161" spans="2:7" x14ac:dyDescent="0.25">
      <c r="B161" s="122"/>
    </row>
    <row r="162" spans="2:7" x14ac:dyDescent="0.25">
      <c r="B162" s="122"/>
    </row>
    <row r="163" spans="2:7" x14ac:dyDescent="0.25">
      <c r="B163" s="122"/>
    </row>
    <row r="164" spans="2:7" x14ac:dyDescent="0.25">
      <c r="B164" s="122"/>
    </row>
    <row r="165" spans="2:7" x14ac:dyDescent="0.25">
      <c r="B165" s="122"/>
    </row>
    <row r="166" spans="2:7" x14ac:dyDescent="0.25">
      <c r="B166" s="125"/>
      <c r="C166" s="126"/>
      <c r="D166" s="127"/>
      <c r="E166" s="127"/>
      <c r="F166" s="127"/>
      <c r="G166" s="127"/>
    </row>
  </sheetData>
  <dataValidations count="1">
    <dataValidation type="list" allowBlank="1" showInputMessage="1" showErrorMessage="1" sqref="B6:B9" xr:uid="{BE36F7E9-BC1C-4509-8BF7-48D7A4DD3EA0}">
      <formula1>"Tier 1,Tier 2,Tier 3,Tier 4"</formula1>
    </dataValidation>
  </dataValidations>
  <hyperlinks>
    <hyperlink ref="L15" r:id="rId1" location="production-and-consumption-of-final-wood-products " xr:uid="{64E25081-653C-404A-A823-414B91565BDB}"/>
    <hyperlink ref="L17" r:id="rId2" location="overview-of-the-forestry-sector-202122" display="https://www.agriculture.gov.au/abares/research-topics/forests/forest-economics/forest-wood-products-statistics - overview-of-the-forestry-sector-202122" xr:uid="{B90428EB-2ED7-4249-8912-2B012720D4C5}"/>
  </hyperlinks>
  <pageMargins left="0.7" right="0.7" top="0.75" bottom="0.75" header="0.3" footer="0.3"/>
  <legacyDrawing r:id="rId3"/>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197740-783A-4BA9-BF77-F545AD63C22D}">
  <sheetPr codeName="Sheet43">
    <tabColor rgb="FF00CCFF"/>
  </sheetPr>
  <dimension ref="A1:V166"/>
  <sheetViews>
    <sheetView showGridLines="0" zoomScale="80" zoomScaleNormal="80" workbookViewId="0"/>
  </sheetViews>
  <sheetFormatPr defaultRowHeight="13.2" x14ac:dyDescent="0.25"/>
  <cols>
    <col min="1" max="1" width="26.109375" customWidth="1"/>
    <col min="2" max="2" width="128.88671875" customWidth="1"/>
    <col min="3" max="3" width="21" customWidth="1"/>
    <col min="4" max="6" width="19.88671875" style="96" customWidth="1"/>
    <col min="7" max="7" width="23.5546875" style="96" customWidth="1"/>
    <col min="8" max="8" width="14.44140625" style="161" customWidth="1"/>
    <col min="9" max="9" width="14.44140625" customWidth="1"/>
    <col min="10" max="10" width="13.109375" customWidth="1"/>
    <col min="11" max="11" width="16.109375" customWidth="1"/>
    <col min="16" max="16" width="13.88671875" customWidth="1"/>
    <col min="18" max="18" width="22.88671875" customWidth="1"/>
    <col min="19" max="19" width="43.5546875" customWidth="1"/>
    <col min="20" max="20" width="38.88671875" customWidth="1"/>
    <col min="21" max="21" width="41.44140625" customWidth="1"/>
    <col min="22" max="22" width="36.88671875" customWidth="1"/>
  </cols>
  <sheetData>
    <row r="1" spans="1:22" x14ac:dyDescent="0.25">
      <c r="A1" s="4" t="str" cm="1">
        <f t="array" aca="1" ref="A1" ca="1">MID(CELL("filename",A1),FIND("]",CELL("filename",A1))+1,255)</f>
        <v>Eng_Timber_Particleboard</v>
      </c>
      <c r="H1"/>
    </row>
    <row r="2" spans="1:22" x14ac:dyDescent="0.25">
      <c r="A2" s="4"/>
      <c r="C2" s="4"/>
      <c r="H2"/>
    </row>
    <row r="3" spans="1:22" x14ac:dyDescent="0.25">
      <c r="A3" s="4" t="s">
        <v>4048</v>
      </c>
      <c r="B3" t="s">
        <v>4215</v>
      </c>
      <c r="H3"/>
    </row>
    <row r="4" spans="1:22" x14ac:dyDescent="0.25">
      <c r="A4" s="4"/>
      <c r="H4"/>
    </row>
    <row r="5" spans="1:22" ht="92.25" customHeight="1" x14ac:dyDescent="0.25">
      <c r="A5" s="26" t="s">
        <v>4050</v>
      </c>
      <c r="B5" s="14" t="s">
        <v>4216</v>
      </c>
      <c r="E5" s="43"/>
      <c r="H5"/>
    </row>
    <row r="6" spans="1:22" x14ac:dyDescent="0.25">
      <c r="A6" s="26" t="s">
        <v>4052</v>
      </c>
      <c r="B6" t="s">
        <v>69</v>
      </c>
      <c r="D6" s="43"/>
      <c r="H6"/>
    </row>
    <row r="7" spans="1:22" x14ac:dyDescent="0.25">
      <c r="A7" s="26" t="s">
        <v>4053</v>
      </c>
      <c r="B7" s="27" t="s">
        <v>68</v>
      </c>
      <c r="H7"/>
      <c r="K7" s="4" t="s">
        <v>4101</v>
      </c>
    </row>
    <row r="8" spans="1:22" x14ac:dyDescent="0.25">
      <c r="A8" s="26" t="s">
        <v>4054</v>
      </c>
      <c r="B8" s="27" t="s">
        <v>69</v>
      </c>
      <c r="H8"/>
    </row>
    <row r="9" spans="1:22" x14ac:dyDescent="0.25">
      <c r="A9" s="26" t="s">
        <v>4055</v>
      </c>
      <c r="B9" s="4" t="s">
        <v>69</v>
      </c>
      <c r="H9"/>
      <c r="S9" t="s">
        <v>4159</v>
      </c>
      <c r="T9" t="s">
        <v>148</v>
      </c>
      <c r="U9" t="s">
        <v>4160</v>
      </c>
      <c r="V9" t="s">
        <v>149</v>
      </c>
    </row>
    <row r="10" spans="1:22" x14ac:dyDescent="0.25">
      <c r="A10" s="26"/>
      <c r="B10" s="4"/>
      <c r="H10"/>
      <c r="L10" s="129" t="s">
        <v>4194</v>
      </c>
      <c r="M10" s="164">
        <f>P12</f>
        <v>0.30434782608695654</v>
      </c>
      <c r="O10" s="129" t="s">
        <v>4212</v>
      </c>
      <c r="P10" s="130">
        <v>1600000</v>
      </c>
      <c r="R10" s="129" t="s">
        <v>4196</v>
      </c>
      <c r="S10" s="67">
        <f>SUMIF(_xlfn.ANCHORARRAY($B$23),"*"&amp;"Global"&amp;"*",_xlfn.ANCHORARRAY(D$23))/COUNTIF(_xlfn.ANCHORARRAY($B$23),"*"&amp;"Global"&amp;"*")</f>
        <v>322.23199999999997</v>
      </c>
      <c r="T10" s="67">
        <f t="shared" ref="T10:V10" si="0">SUMIF(_xlfn.ANCHORARRAY($B$23),"*"&amp;"Global"&amp;"*",_xlfn.ANCHORARRAY(E$23))/COUNTIF(_xlfn.ANCHORARRAY($B$23),"*"&amp;"Global"&amp;"*")</f>
        <v>0.48823030303030324</v>
      </c>
      <c r="U10" s="67">
        <f t="shared" si="0"/>
        <v>1012</v>
      </c>
      <c r="V10" s="130">
        <f t="shared" si="0"/>
        <v>1.5333333333333334</v>
      </c>
    </row>
    <row r="11" spans="1:22" x14ac:dyDescent="0.25">
      <c r="A11" s="26" t="s">
        <v>4056</v>
      </c>
      <c r="B11" s="14"/>
      <c r="H11"/>
      <c r="L11" s="125" t="s">
        <v>4197</v>
      </c>
      <c r="M11" s="165">
        <f>1-M10</f>
        <v>0.69565217391304346</v>
      </c>
      <c r="O11" s="122" t="s">
        <v>4194</v>
      </c>
      <c r="P11" s="124">
        <v>700000</v>
      </c>
      <c r="R11" s="122" t="s">
        <v>4114</v>
      </c>
      <c r="S11">
        <f>SUMIF(_xlfn.ANCHORARRAY($B$23),"*"&amp;"FWPA"&amp;"*",_xlfn.ANCHORARRAY(D$23))/COUNTIF(_xlfn.ANCHORARRAY($B$23),"*"&amp;"FWPA"&amp;"*")</f>
        <v>794.05329850679527</v>
      </c>
      <c r="T11">
        <f t="shared" ref="T11:V11" si="1">SUMIF(_xlfn.ANCHORARRAY($B$23),"*"&amp;"FWPA"&amp;"*",_xlfn.ANCHORARRAY(E$23))/COUNTIF(_xlfn.ANCHORARRAY($B$23),"*"&amp;"FWPA"&amp;"*")</f>
        <v>1.1022690219383098</v>
      </c>
      <c r="U11">
        <f t="shared" si="1"/>
        <v>1194.02545263158</v>
      </c>
      <c r="V11" s="124">
        <f t="shared" si="1"/>
        <v>1.6573331568627467</v>
      </c>
    </row>
    <row r="12" spans="1:22" x14ac:dyDescent="0.25">
      <c r="A12" s="101"/>
      <c r="H12"/>
      <c r="O12" s="125"/>
      <c r="P12" s="166">
        <f>P11/(P10+P11)</f>
        <v>0.30434782608695654</v>
      </c>
      <c r="R12" s="125" t="s">
        <v>4116</v>
      </c>
      <c r="S12" s="126">
        <f>SUMPRODUCT(S10:S11,$M$10:$M$11)</f>
        <v>650.4555120047271</v>
      </c>
      <c r="T12" s="126">
        <f t="shared" ref="T12:V12" si="2">SUMPRODUCT(T10:T11,$M$10:$M$11)</f>
        <v>0.91538767270543819</v>
      </c>
      <c r="U12" s="126">
        <f t="shared" si="2"/>
        <v>1138.6264018306642</v>
      </c>
      <c r="V12" s="142">
        <f t="shared" si="2"/>
        <v>1.6195940801364037</v>
      </c>
    </row>
    <row r="13" spans="1:22" x14ac:dyDescent="0.25">
      <c r="A13" s="101"/>
      <c r="H13"/>
    </row>
    <row r="14" spans="1:22" x14ac:dyDescent="0.25">
      <c r="A14" s="26" t="s">
        <v>4057</v>
      </c>
      <c r="H14"/>
      <c r="L14" s="4" t="s">
        <v>4198</v>
      </c>
    </row>
    <row r="15" spans="1:22" x14ac:dyDescent="0.25">
      <c r="A15" s="26"/>
      <c r="D15" s="112" t="s">
        <v>4058</v>
      </c>
      <c r="E15" s="113"/>
      <c r="F15" s="114" t="s">
        <v>4059</v>
      </c>
      <c r="G15" s="113"/>
      <c r="H15"/>
      <c r="L15" s="36" t="s">
        <v>4213</v>
      </c>
    </row>
    <row r="16" spans="1:22" ht="39.6" x14ac:dyDescent="0.25">
      <c r="B16" s="28" t="s">
        <v>3499</v>
      </c>
      <c r="C16" s="23" t="s">
        <v>23</v>
      </c>
      <c r="D16" s="24" t="s">
        <v>141</v>
      </c>
      <c r="E16" s="25" t="s">
        <v>148</v>
      </c>
      <c r="F16" s="24" t="s">
        <v>142</v>
      </c>
      <c r="G16" s="45" t="s">
        <v>149</v>
      </c>
      <c r="H16" s="44" t="s">
        <v>4201</v>
      </c>
      <c r="L16" t="s">
        <v>4214</v>
      </c>
    </row>
    <row r="17" spans="2:15" x14ac:dyDescent="0.25">
      <c r="B17" s="29"/>
      <c r="C17" s="30" t="s">
        <v>4060</v>
      </c>
      <c r="D17" s="118" t="str" cm="1">
        <f t="array" ref="D17">IF(AND(_xlfn.ANCHORARRAY(C23)=C23),C23,"Mixed")</f>
        <v>m³</v>
      </c>
      <c r="E17" s="118" t="s">
        <v>219</v>
      </c>
      <c r="F17" s="118" t="str" cm="1">
        <f t="array" ref="F17">IF(AND(_xlfn.ANCHORARRAY(C23)=C23),C23,"Mixed")</f>
        <v>m³</v>
      </c>
      <c r="G17" s="118" t="s">
        <v>219</v>
      </c>
      <c r="L17" s="36" t="s">
        <v>4199</v>
      </c>
    </row>
    <row r="18" spans="2:15" s="14" customFormat="1" x14ac:dyDescent="0.25">
      <c r="B18" s="31"/>
      <c r="C18" s="4" t="s">
        <v>4061</v>
      </c>
      <c r="D18" s="96">
        <f>MAX(_xlfn.ANCHORARRAY(D23))</f>
        <v>838.40526315789725</v>
      </c>
      <c r="E18" s="96">
        <f t="shared" ref="E18" si="3">MAX(_xlfn.ANCHORARRAY(E23))</f>
        <v>1.1713014705882387</v>
      </c>
      <c r="F18" s="162">
        <f>VLOOKUP($D18,$D$23:$F$211,3,FALSE)</f>
        <v>1181.05263157895</v>
      </c>
      <c r="G18" s="162">
        <f>VLOOKUP($D18,$D$23:$G$211,4,FALSE)</f>
        <v>1.6500000000000037</v>
      </c>
      <c r="H18" s="163">
        <f>D18/E18</f>
        <v>715.78947368421052</v>
      </c>
      <c r="I18"/>
      <c r="J18"/>
      <c r="L18" s="14" t="s">
        <v>4202</v>
      </c>
    </row>
    <row r="19" spans="2:15" x14ac:dyDescent="0.25">
      <c r="B19" s="122"/>
      <c r="C19" s="4" t="s">
        <v>4062</v>
      </c>
      <c r="D19" s="96">
        <f>MIN(_xlfn.ANCHORARRAY(D23))</f>
        <v>322.23199999999997</v>
      </c>
      <c r="E19" s="96">
        <f t="shared" ref="E19:G19" si="4">MIN(_xlfn.ANCHORARRAY(E23))</f>
        <v>0.48823030303030324</v>
      </c>
      <c r="F19" s="96">
        <f t="shared" si="4"/>
        <v>1012</v>
      </c>
      <c r="G19" s="96">
        <f t="shared" si="4"/>
        <v>1.5333333333333334</v>
      </c>
      <c r="H19" s="163">
        <f>D19/E19</f>
        <v>659.99999999999966</v>
      </c>
    </row>
    <row r="20" spans="2:15" x14ac:dyDescent="0.25">
      <c r="B20" s="122"/>
      <c r="C20" s="35" t="s">
        <v>4203</v>
      </c>
      <c r="D20" s="96">
        <f>S12</f>
        <v>650.4555120047271</v>
      </c>
      <c r="E20" s="96">
        <f t="shared" ref="E20:G20" si="5">T12</f>
        <v>0.91538767270543819</v>
      </c>
      <c r="F20" s="96">
        <f t="shared" si="5"/>
        <v>1138.6264018306642</v>
      </c>
      <c r="G20" s="96">
        <f t="shared" si="5"/>
        <v>1.6195940801364037</v>
      </c>
      <c r="H20" s="163">
        <f>D20/E20</f>
        <v>710.57927848459963</v>
      </c>
    </row>
    <row r="21" spans="2:15" x14ac:dyDescent="0.25">
      <c r="B21" s="122"/>
      <c r="C21" s="4" t="s">
        <v>4063</v>
      </c>
      <c r="D21" s="96">
        <f>AVERAGE(_xlfn.ANCHORARRAY(D23))</f>
        <v>715.41641542232935</v>
      </c>
      <c r="E21" s="96">
        <f t="shared" ref="E21:G21" si="6">AVERAGE(_xlfn.ANCHORARRAY(E23))</f>
        <v>0.99992923545364187</v>
      </c>
      <c r="F21" s="96">
        <f t="shared" si="6"/>
        <v>1163.6878771929835</v>
      </c>
      <c r="G21" s="96">
        <f t="shared" si="6"/>
        <v>1.6366665196078445</v>
      </c>
      <c r="H21" s="163">
        <f>D21/E21</f>
        <v>715.46704512321173</v>
      </c>
      <c r="L21" s="14"/>
      <c r="M21" s="14"/>
      <c r="N21" s="14"/>
      <c r="O21" s="14"/>
    </row>
    <row r="22" spans="2:15" x14ac:dyDescent="0.25">
      <c r="B22" s="32" t="s">
        <v>4064</v>
      </c>
      <c r="D22"/>
      <c r="E22"/>
      <c r="F22"/>
      <c r="G22"/>
      <c r="H22" s="163"/>
    </row>
    <row r="23" spans="2:15" x14ac:dyDescent="0.25">
      <c r="B23" s="122" t="str" cm="1">
        <f t="array" ref="B23:B28">_xlfn.UNIQUE(_xlfn._xlws.FILTER('EPD List'!D:D,ISNUMBER(SEARCH(B16,'EPD List'!C:C)),0))</f>
        <v>Particleboard, 22 mm flooring, Wood solutions, FWPA, Australia</v>
      </c>
      <c r="C23" t="str" cm="1">
        <f t="array" ref="C23:C28">_xlfn.IFNA(INDEX('EPD List'!$A:$AB,MATCH(_xlfn.ANCHORARRAY(B23),'EPD List'!$D:$D,0),MATCH(C$16,'EPD List'!$7:$7,0)),"")</f>
        <v>m³</v>
      </c>
      <c r="D23" s="96" cm="1">
        <f t="array" ref="D23:D28">_xlfn.IFNA(VALUE((INDEX('EPD List'!$A:$AD,MATCH(_xlfn.ANCHORARRAY($B23),'EPD List'!$D:$D,0),MATCH(D$16,'EPD List'!$7:$7,0)))),"")</f>
        <v>787.56818181818198</v>
      </c>
      <c r="E23" s="96" cm="1">
        <f t="array" ref="E23:E28">_xlfn.IFNA(VALUE((INDEX('EPD List'!$A:$AD,MATCH(_xlfn.ANCHORARRAY($B23),'EPD List'!$D:$D,0),MATCH(E$16,'EPD List'!$7:$7,0)))),"")</f>
        <v>1.0897169811320757</v>
      </c>
      <c r="F23" s="96" cm="1">
        <f t="array" ref="F23:F28">_xlfn.IFNA(VALUE((INDEX('EPD List'!$A:$AD,MATCH(_xlfn.ANCHORARRAY($B23),'EPD List'!$D:$D,0),MATCH(F$16,'EPD List'!$7:$7,0)))),"")</f>
        <v>1205.7500000000002</v>
      </c>
      <c r="G23" s="96" cm="1">
        <f t="array" ref="G23:G28">_xlfn.IFNA(VALUE((INDEX('EPD List'!$A:$AD,MATCH(_xlfn.ANCHORARRAY($B23),'EPD List'!$D:$D,0),MATCH(G$16,'EPD List'!$7:$7,0)))),"")</f>
        <v>1.6683333333333337</v>
      </c>
      <c r="H23" s="163" cm="1">
        <f t="array" ref="H23:H28">IFERROR(IF(_xlfn.ANCHORARRAY($C23)="kg",1,
IF(_xlfn.ANCHORARRAY($C23)="tonne",1000,
IF(OR(_xlfn.ANCHORARRAY($C23)="m³",_xlfn.ANCHORARRAY($C23)="m³"),INDEX('EPD List'!$A:$AB,MATCH(_xlfn.ANCHORARRAY($B23),'EPD List'!$D:$D,0),MATCH("Density (kg/m3)",'EPD List'!$7:$7,0)),
IF(OR(_xlfn.ANCHORARRAY($C23)="m²",_xlfn.ANCHORARRAY($C23)="m2"),INDEX('EPD List'!$A:$AB,MATCH(_xlfn.ANCHORARRAY($B23),'EPD List'!$D:$D,0),MATCH("Area density (kg/m2)",'EPD List'!$7:$7,0)),
IF(_xlfn.ANCHORARRAY($C23)="m",INDEX('EPD List'!$A:$AB,MATCH(_xlfn.ANCHORARRAY($B23),'EPD List'!$D:$D,0),MATCH("mass per m (kg/m)",'EPD List'!$7:$7,0)),
IF(_xlfn.ANCHORARRAY($C23)="unit",INDEX('EPD List'!$A:$AB,MATCH(_xlfn.ANCHORARRAY($B23),'EPD List'!$D:$D,0),MATCH("Mass per unit (kg/unit)",'EPD List'!$7:$7,0)),NA())))))),"")</f>
        <v>722.72727272727275</v>
      </c>
    </row>
    <row r="24" spans="2:15" x14ac:dyDescent="0.25">
      <c r="B24" s="122" t="str">
        <v>Particleboard, 25 mm flooring, Wood solutions, FWPA, Australia</v>
      </c>
      <c r="C24" t="str">
        <v>m³</v>
      </c>
      <c r="D24" s="96">
        <v>801.21999999999991</v>
      </c>
      <c r="E24" s="96">
        <v>1.0945628415300546</v>
      </c>
      <c r="F24" s="96">
        <v>1221.22</v>
      </c>
      <c r="G24" s="96">
        <v>1.6683333333333334</v>
      </c>
      <c r="H24" s="163">
        <v>732</v>
      </c>
    </row>
    <row r="25" spans="2:15" x14ac:dyDescent="0.25">
      <c r="B25" s="122" t="str">
        <v>Max variation of 19mm flooring particleboard FWPA, Australia</v>
      </c>
      <c r="C25" t="str">
        <v>m³</v>
      </c>
      <c r="D25" s="96">
        <v>838.40526315789725</v>
      </c>
      <c r="E25" s="96">
        <v>1.1713014705882387</v>
      </c>
      <c r="F25" s="96">
        <v>1181.05263157895</v>
      </c>
      <c r="G25" s="96">
        <v>1.6500000000000037</v>
      </c>
      <c r="H25" s="163">
        <v>715.78947368421052</v>
      </c>
    </row>
    <row r="26" spans="2:15" x14ac:dyDescent="0.25">
      <c r="B26" s="122" t="str">
        <v>Particleboard, , Min variation 19mm particleboard (FWPA) (Australia)</v>
      </c>
      <c r="C26" t="str">
        <v>m³</v>
      </c>
      <c r="D26" s="96">
        <v>740.9677843999998</v>
      </c>
      <c r="E26" s="96">
        <v>1.0351755811470587</v>
      </c>
      <c r="F26" s="96">
        <v>1181.0519999999999</v>
      </c>
      <c r="G26" s="96">
        <v>1.6499991176470588</v>
      </c>
      <c r="H26" s="163">
        <v>715.78947368421052</v>
      </c>
    </row>
    <row r="27" spans="2:15" x14ac:dyDescent="0.25">
      <c r="B27" s="122" t="str">
        <v>Particleboard, 19 mm flooring, Wood solutions, FWPA, Australia</v>
      </c>
      <c r="C27" t="str">
        <v>m³</v>
      </c>
      <c r="D27" s="96">
        <v>802.1052631578973</v>
      </c>
      <c r="E27" s="96">
        <v>1.1205882352941212</v>
      </c>
      <c r="F27" s="96">
        <v>1181.05263157895</v>
      </c>
      <c r="G27" s="96">
        <v>1.6500000000000037</v>
      </c>
      <c r="H27" s="163">
        <v>715.78947368421052</v>
      </c>
    </row>
    <row r="28" spans="2:15" x14ac:dyDescent="0.25">
      <c r="B28" s="122" t="str">
        <v>Particleboard, Global, Particleboard 660 kg/m3 (Norbord Europe Ltd) (Global)</v>
      </c>
      <c r="C28" t="str">
        <v>m³</v>
      </c>
      <c r="D28" s="96">
        <v>322.23199999999997</v>
      </c>
      <c r="E28" s="96">
        <v>0.48823030303030324</v>
      </c>
      <c r="F28" s="96">
        <v>1012</v>
      </c>
      <c r="G28" s="96">
        <v>1.5333333333333334</v>
      </c>
      <c r="H28" s="163">
        <v>660</v>
      </c>
    </row>
    <row r="29" spans="2:15" x14ac:dyDescent="0.25">
      <c r="B29" s="122"/>
      <c r="H29" s="163"/>
    </row>
    <row r="30" spans="2:15" x14ac:dyDescent="0.25">
      <c r="B30" s="122"/>
      <c r="H30" s="163"/>
    </row>
    <row r="31" spans="2:15" x14ac:dyDescent="0.25">
      <c r="B31" s="122"/>
      <c r="H31" s="163"/>
    </row>
    <row r="32" spans="2:15" x14ac:dyDescent="0.25">
      <c r="B32" s="122"/>
      <c r="H32" s="163"/>
    </row>
    <row r="33" spans="2:8" x14ac:dyDescent="0.25">
      <c r="B33" s="122"/>
      <c r="H33" s="163"/>
    </row>
    <row r="34" spans="2:8" x14ac:dyDescent="0.25">
      <c r="B34" s="122"/>
      <c r="H34" s="163"/>
    </row>
    <row r="35" spans="2:8" x14ac:dyDescent="0.25">
      <c r="B35" s="122"/>
      <c r="H35" s="163"/>
    </row>
    <row r="36" spans="2:8" x14ac:dyDescent="0.25">
      <c r="B36" s="122"/>
      <c r="H36" s="163"/>
    </row>
    <row r="37" spans="2:8" x14ac:dyDescent="0.25">
      <c r="B37" s="122"/>
      <c r="H37" s="163"/>
    </row>
    <row r="38" spans="2:8" x14ac:dyDescent="0.25">
      <c r="B38" s="122"/>
    </row>
    <row r="39" spans="2:8" x14ac:dyDescent="0.25">
      <c r="B39" s="122"/>
    </row>
    <row r="40" spans="2:8" x14ac:dyDescent="0.25">
      <c r="B40" s="122"/>
    </row>
    <row r="41" spans="2:8" x14ac:dyDescent="0.25">
      <c r="B41" s="122"/>
    </row>
    <row r="42" spans="2:8" x14ac:dyDescent="0.25">
      <c r="B42" s="122"/>
    </row>
    <row r="43" spans="2:8" x14ac:dyDescent="0.25">
      <c r="B43" s="122"/>
    </row>
    <row r="44" spans="2:8" x14ac:dyDescent="0.25">
      <c r="B44" s="122"/>
    </row>
    <row r="45" spans="2:8" x14ac:dyDescent="0.25">
      <c r="B45" s="122"/>
    </row>
    <row r="46" spans="2:8" x14ac:dyDescent="0.25">
      <c r="B46" s="122"/>
    </row>
    <row r="47" spans="2:8" x14ac:dyDescent="0.25">
      <c r="B47" s="122"/>
    </row>
    <row r="48" spans="2:8" x14ac:dyDescent="0.25">
      <c r="B48" s="122"/>
    </row>
    <row r="49" spans="2:2" x14ac:dyDescent="0.25">
      <c r="B49" s="122"/>
    </row>
    <row r="50" spans="2:2" x14ac:dyDescent="0.25">
      <c r="B50" s="122"/>
    </row>
    <row r="51" spans="2:2" x14ac:dyDescent="0.25">
      <c r="B51" s="122"/>
    </row>
    <row r="52" spans="2:2" x14ac:dyDescent="0.25">
      <c r="B52" s="122"/>
    </row>
    <row r="53" spans="2:2" x14ac:dyDescent="0.25">
      <c r="B53" s="122"/>
    </row>
    <row r="54" spans="2:2" x14ac:dyDescent="0.25">
      <c r="B54" s="122"/>
    </row>
    <row r="55" spans="2:2" x14ac:dyDescent="0.25">
      <c r="B55" s="122"/>
    </row>
    <row r="56" spans="2:2" x14ac:dyDescent="0.25">
      <c r="B56" s="122"/>
    </row>
    <row r="57" spans="2:2" x14ac:dyDescent="0.25">
      <c r="B57" s="122"/>
    </row>
    <row r="58" spans="2:2" x14ac:dyDescent="0.25">
      <c r="B58" s="122"/>
    </row>
    <row r="59" spans="2:2" x14ac:dyDescent="0.25">
      <c r="B59" s="122"/>
    </row>
    <row r="60" spans="2:2" x14ac:dyDescent="0.25">
      <c r="B60" s="122"/>
    </row>
    <row r="61" spans="2:2" x14ac:dyDescent="0.25">
      <c r="B61" s="122"/>
    </row>
    <row r="62" spans="2:2" x14ac:dyDescent="0.25">
      <c r="B62" s="122"/>
    </row>
    <row r="63" spans="2:2" x14ac:dyDescent="0.25">
      <c r="B63" s="122"/>
    </row>
    <row r="64" spans="2:2" x14ac:dyDescent="0.25">
      <c r="B64" s="122"/>
    </row>
    <row r="65" spans="2:2" x14ac:dyDescent="0.25">
      <c r="B65" s="122"/>
    </row>
    <row r="66" spans="2:2" x14ac:dyDescent="0.25">
      <c r="B66" s="122"/>
    </row>
    <row r="67" spans="2:2" x14ac:dyDescent="0.25">
      <c r="B67" s="122"/>
    </row>
    <row r="68" spans="2:2" x14ac:dyDescent="0.25">
      <c r="B68" s="122"/>
    </row>
    <row r="69" spans="2:2" x14ac:dyDescent="0.25">
      <c r="B69" s="122"/>
    </row>
    <row r="70" spans="2:2" x14ac:dyDescent="0.25">
      <c r="B70" s="122"/>
    </row>
    <row r="71" spans="2:2" x14ac:dyDescent="0.25">
      <c r="B71" s="122"/>
    </row>
    <row r="72" spans="2:2" x14ac:dyDescent="0.25">
      <c r="B72" s="122"/>
    </row>
    <row r="73" spans="2:2" x14ac:dyDescent="0.25">
      <c r="B73" s="122"/>
    </row>
    <row r="74" spans="2:2" x14ac:dyDescent="0.25">
      <c r="B74" s="122"/>
    </row>
    <row r="75" spans="2:2" x14ac:dyDescent="0.25">
      <c r="B75" s="122"/>
    </row>
    <row r="76" spans="2:2" x14ac:dyDescent="0.25">
      <c r="B76" s="122"/>
    </row>
    <row r="77" spans="2:2" x14ac:dyDescent="0.25">
      <c r="B77" s="122"/>
    </row>
    <row r="78" spans="2:2" x14ac:dyDescent="0.25">
      <c r="B78" s="122"/>
    </row>
    <row r="79" spans="2:2" x14ac:dyDescent="0.25">
      <c r="B79" s="122"/>
    </row>
    <row r="80" spans="2:2" x14ac:dyDescent="0.25">
      <c r="B80" s="122"/>
    </row>
    <row r="81" spans="2:10" x14ac:dyDescent="0.25">
      <c r="B81" s="122"/>
    </row>
    <row r="82" spans="2:10" x14ac:dyDescent="0.25">
      <c r="B82" s="122"/>
    </row>
    <row r="83" spans="2:10" x14ac:dyDescent="0.25">
      <c r="B83" s="122"/>
    </row>
    <row r="84" spans="2:10" x14ac:dyDescent="0.25">
      <c r="B84" s="122"/>
    </row>
    <row r="85" spans="2:10" x14ac:dyDescent="0.25">
      <c r="B85" s="122"/>
    </row>
    <row r="86" spans="2:10" x14ac:dyDescent="0.25">
      <c r="B86" s="122"/>
    </row>
    <row r="87" spans="2:10" x14ac:dyDescent="0.25">
      <c r="B87" s="122"/>
    </row>
    <row r="88" spans="2:10" x14ac:dyDescent="0.25">
      <c r="B88" s="122"/>
    </row>
    <row r="89" spans="2:10" x14ac:dyDescent="0.25">
      <c r="B89" s="122"/>
    </row>
    <row r="90" spans="2:10" x14ac:dyDescent="0.25">
      <c r="B90" s="122"/>
      <c r="J90" s="96"/>
    </row>
    <row r="91" spans="2:10" x14ac:dyDescent="0.25">
      <c r="B91" s="122"/>
    </row>
    <row r="92" spans="2:10" x14ac:dyDescent="0.25">
      <c r="B92" s="122"/>
    </row>
    <row r="93" spans="2:10" x14ac:dyDescent="0.25">
      <c r="B93" s="122"/>
    </row>
    <row r="94" spans="2:10" x14ac:dyDescent="0.25">
      <c r="B94" s="122"/>
    </row>
    <row r="95" spans="2:10" x14ac:dyDescent="0.25">
      <c r="B95" s="122"/>
    </row>
    <row r="96" spans="2:10" x14ac:dyDescent="0.25">
      <c r="B96" s="122"/>
    </row>
    <row r="97" spans="2:2" x14ac:dyDescent="0.25">
      <c r="B97" s="122"/>
    </row>
    <row r="98" spans="2:2" x14ac:dyDescent="0.25">
      <c r="B98" s="122"/>
    </row>
    <row r="99" spans="2:2" x14ac:dyDescent="0.25">
      <c r="B99" s="122"/>
    </row>
    <row r="100" spans="2:2" x14ac:dyDescent="0.25">
      <c r="B100" s="122"/>
    </row>
    <row r="101" spans="2:2" x14ac:dyDescent="0.25">
      <c r="B101" s="122"/>
    </row>
    <row r="102" spans="2:2" x14ac:dyDescent="0.25">
      <c r="B102" s="122"/>
    </row>
    <row r="103" spans="2:2" x14ac:dyDescent="0.25">
      <c r="B103" s="122"/>
    </row>
    <row r="104" spans="2:2" x14ac:dyDescent="0.25">
      <c r="B104" s="122"/>
    </row>
    <row r="105" spans="2:2" x14ac:dyDescent="0.25">
      <c r="B105" s="122"/>
    </row>
    <row r="106" spans="2:2" x14ac:dyDescent="0.25">
      <c r="B106" s="122"/>
    </row>
    <row r="107" spans="2:2" x14ac:dyDescent="0.25">
      <c r="B107" s="122"/>
    </row>
    <row r="108" spans="2:2" x14ac:dyDescent="0.25">
      <c r="B108" s="122"/>
    </row>
    <row r="109" spans="2:2" x14ac:dyDescent="0.25">
      <c r="B109" s="122"/>
    </row>
    <row r="110" spans="2:2" x14ac:dyDescent="0.25">
      <c r="B110" s="122"/>
    </row>
    <row r="111" spans="2:2" x14ac:dyDescent="0.25">
      <c r="B111" s="122"/>
    </row>
    <row r="112" spans="2:2" x14ac:dyDescent="0.25">
      <c r="B112" s="122"/>
    </row>
    <row r="113" spans="2:2" x14ac:dyDescent="0.25">
      <c r="B113" s="122"/>
    </row>
    <row r="114" spans="2:2" x14ac:dyDescent="0.25">
      <c r="B114" s="122"/>
    </row>
    <row r="115" spans="2:2" x14ac:dyDescent="0.25">
      <c r="B115" s="122"/>
    </row>
    <row r="116" spans="2:2" x14ac:dyDescent="0.25">
      <c r="B116" s="122"/>
    </row>
    <row r="117" spans="2:2" x14ac:dyDescent="0.25">
      <c r="B117" s="122"/>
    </row>
    <row r="118" spans="2:2" x14ac:dyDescent="0.25">
      <c r="B118" s="122"/>
    </row>
    <row r="119" spans="2:2" x14ac:dyDescent="0.25">
      <c r="B119" s="122"/>
    </row>
    <row r="120" spans="2:2" x14ac:dyDescent="0.25">
      <c r="B120" s="122"/>
    </row>
    <row r="121" spans="2:2" x14ac:dyDescent="0.25">
      <c r="B121" s="122"/>
    </row>
    <row r="122" spans="2:2" x14ac:dyDescent="0.25">
      <c r="B122" s="122"/>
    </row>
    <row r="123" spans="2:2" x14ac:dyDescent="0.25">
      <c r="B123" s="122"/>
    </row>
    <row r="124" spans="2:2" x14ac:dyDescent="0.25">
      <c r="B124" s="122"/>
    </row>
    <row r="125" spans="2:2" x14ac:dyDescent="0.25">
      <c r="B125" s="122"/>
    </row>
    <row r="126" spans="2:2" x14ac:dyDescent="0.25">
      <c r="B126" s="122"/>
    </row>
    <row r="127" spans="2:2" x14ac:dyDescent="0.25">
      <c r="B127" s="122"/>
    </row>
    <row r="128" spans="2:2" x14ac:dyDescent="0.25">
      <c r="B128" s="122"/>
    </row>
    <row r="129" spans="2:2" x14ac:dyDescent="0.25">
      <c r="B129" s="122"/>
    </row>
    <row r="130" spans="2:2" x14ac:dyDescent="0.25">
      <c r="B130" s="122"/>
    </row>
    <row r="131" spans="2:2" x14ac:dyDescent="0.25">
      <c r="B131" s="122"/>
    </row>
    <row r="132" spans="2:2" x14ac:dyDescent="0.25">
      <c r="B132" s="122"/>
    </row>
    <row r="133" spans="2:2" x14ac:dyDescent="0.25">
      <c r="B133" s="122"/>
    </row>
    <row r="134" spans="2:2" x14ac:dyDescent="0.25">
      <c r="B134" s="122"/>
    </row>
    <row r="135" spans="2:2" x14ac:dyDescent="0.25">
      <c r="B135" s="122"/>
    </row>
    <row r="136" spans="2:2" x14ac:dyDescent="0.25">
      <c r="B136" s="122"/>
    </row>
    <row r="137" spans="2:2" x14ac:dyDescent="0.25">
      <c r="B137" s="122"/>
    </row>
    <row r="138" spans="2:2" x14ac:dyDescent="0.25">
      <c r="B138" s="122"/>
    </row>
    <row r="139" spans="2:2" x14ac:dyDescent="0.25">
      <c r="B139" s="122"/>
    </row>
    <row r="140" spans="2:2" x14ac:dyDescent="0.25">
      <c r="B140" s="122"/>
    </row>
    <row r="141" spans="2:2" x14ac:dyDescent="0.25">
      <c r="B141" s="122"/>
    </row>
    <row r="142" spans="2:2" x14ac:dyDescent="0.25">
      <c r="B142" s="122"/>
    </row>
    <row r="143" spans="2:2" x14ac:dyDescent="0.25">
      <c r="B143" s="122"/>
    </row>
    <row r="144" spans="2:2" x14ac:dyDescent="0.25">
      <c r="B144" s="122"/>
    </row>
    <row r="145" spans="2:2" x14ac:dyDescent="0.25">
      <c r="B145" s="122"/>
    </row>
    <row r="146" spans="2:2" x14ac:dyDescent="0.25">
      <c r="B146" s="122"/>
    </row>
    <row r="147" spans="2:2" x14ac:dyDescent="0.25">
      <c r="B147" s="122"/>
    </row>
    <row r="148" spans="2:2" x14ac:dyDescent="0.25">
      <c r="B148" s="122"/>
    </row>
    <row r="149" spans="2:2" x14ac:dyDescent="0.25">
      <c r="B149" s="122"/>
    </row>
    <row r="150" spans="2:2" x14ac:dyDescent="0.25">
      <c r="B150" s="122"/>
    </row>
    <row r="151" spans="2:2" x14ac:dyDescent="0.25">
      <c r="B151" s="122"/>
    </row>
    <row r="152" spans="2:2" x14ac:dyDescent="0.25">
      <c r="B152" s="122"/>
    </row>
    <row r="153" spans="2:2" x14ac:dyDescent="0.25">
      <c r="B153" s="122"/>
    </row>
    <row r="154" spans="2:2" x14ac:dyDescent="0.25">
      <c r="B154" s="122"/>
    </row>
    <row r="155" spans="2:2" x14ac:dyDescent="0.25">
      <c r="B155" s="122"/>
    </row>
    <row r="156" spans="2:2" x14ac:dyDescent="0.25">
      <c r="B156" s="122"/>
    </row>
    <row r="157" spans="2:2" x14ac:dyDescent="0.25">
      <c r="B157" s="122"/>
    </row>
    <row r="158" spans="2:2" x14ac:dyDescent="0.25">
      <c r="B158" s="122"/>
    </row>
    <row r="159" spans="2:2" x14ac:dyDescent="0.25">
      <c r="B159" s="122"/>
    </row>
    <row r="160" spans="2:2" x14ac:dyDescent="0.25">
      <c r="B160" s="122"/>
    </row>
    <row r="161" spans="2:7" x14ac:dyDescent="0.25">
      <c r="B161" s="122"/>
    </row>
    <row r="162" spans="2:7" x14ac:dyDescent="0.25">
      <c r="B162" s="122"/>
    </row>
    <row r="163" spans="2:7" x14ac:dyDescent="0.25">
      <c r="B163" s="122"/>
    </row>
    <row r="164" spans="2:7" x14ac:dyDescent="0.25">
      <c r="B164" s="122"/>
    </row>
    <row r="165" spans="2:7" x14ac:dyDescent="0.25">
      <c r="B165" s="122"/>
    </row>
    <row r="166" spans="2:7" x14ac:dyDescent="0.25">
      <c r="B166" s="125"/>
      <c r="C166" s="126"/>
      <c r="D166" s="127"/>
      <c r="E166" s="127"/>
      <c r="F166" s="127"/>
      <c r="G166" s="127"/>
    </row>
  </sheetData>
  <dataValidations count="1">
    <dataValidation type="list" allowBlank="1" showInputMessage="1" showErrorMessage="1" sqref="B6:B9" xr:uid="{4D3DEF7C-F4CC-4DCD-82FD-5C7E5040A7C0}">
      <formula1>"Tier 1,Tier 2,Tier 3,Tier 4"</formula1>
    </dataValidation>
  </dataValidations>
  <hyperlinks>
    <hyperlink ref="L15" r:id="rId1" location="production-and-consumption-of-final-wood-products " xr:uid="{C8EB4C71-1CEF-41BB-817F-D7641724BC6B}"/>
    <hyperlink ref="L17" r:id="rId2" location="overview-of-the-forestry-sector-202122" display="https://www.agriculture.gov.au/abares/research-topics/forests/forest-economics/forest-wood-products-statistics - overview-of-the-forestry-sector-202122" xr:uid="{47335B3E-22EF-4F96-8937-9A5AE603F783}"/>
  </hyperlinks>
  <pageMargins left="0.7" right="0.7" top="0.75" bottom="0.75" header="0.3" footer="0.3"/>
  <legacyDrawing r:id="rId3"/>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E766C7-23DD-449C-BB52-57171602F330}">
  <sheetPr codeName="Sheet44">
    <tabColor rgb="FF00CCFF"/>
  </sheetPr>
  <dimension ref="A1:V166"/>
  <sheetViews>
    <sheetView showGridLines="0" zoomScale="80" zoomScaleNormal="80" workbookViewId="0"/>
  </sheetViews>
  <sheetFormatPr defaultRowHeight="13.2" x14ac:dyDescent="0.25"/>
  <cols>
    <col min="1" max="1" width="26.109375" customWidth="1"/>
    <col min="2" max="2" width="128.88671875" customWidth="1"/>
    <col min="3" max="3" width="21" customWidth="1"/>
    <col min="4" max="6" width="19.88671875" style="96" customWidth="1"/>
    <col min="7" max="7" width="23.5546875" style="96" customWidth="1"/>
    <col min="8" max="8" width="14.44140625" style="161" customWidth="1"/>
    <col min="9" max="9" width="14.44140625" customWidth="1"/>
    <col min="10" max="10" width="13.109375" customWidth="1"/>
    <col min="11" max="11" width="16.109375" customWidth="1"/>
    <col min="16" max="16" width="13.88671875" customWidth="1"/>
    <col min="18" max="18" width="22.88671875" customWidth="1"/>
    <col min="19" max="19" width="43.5546875" customWidth="1"/>
    <col min="20" max="20" width="38.88671875" customWidth="1"/>
    <col min="21" max="21" width="41.44140625" customWidth="1"/>
    <col min="22" max="22" width="36.88671875" customWidth="1"/>
  </cols>
  <sheetData>
    <row r="1" spans="1:22" x14ac:dyDescent="0.25">
      <c r="A1" s="4" t="str" cm="1">
        <f t="array" aca="1" ref="A1" ca="1">MID(CELL("filename",A1),FIND("]",CELL("filename",A1))+1,255)</f>
        <v>Eng_Timber_Decorative_Pb</v>
      </c>
      <c r="H1"/>
    </row>
    <row r="2" spans="1:22" x14ac:dyDescent="0.25">
      <c r="A2" s="4"/>
      <c r="C2" s="4"/>
      <c r="H2"/>
    </row>
    <row r="3" spans="1:22" x14ac:dyDescent="0.25">
      <c r="A3" s="4" t="s">
        <v>4048</v>
      </c>
      <c r="B3" t="s">
        <v>4217</v>
      </c>
      <c r="H3"/>
    </row>
    <row r="4" spans="1:22" x14ac:dyDescent="0.25">
      <c r="A4" s="4"/>
      <c r="H4"/>
    </row>
    <row r="5" spans="1:22" ht="92.25" customHeight="1" x14ac:dyDescent="0.25">
      <c r="A5" s="26" t="s">
        <v>4050</v>
      </c>
      <c r="B5" s="14" t="s">
        <v>4218</v>
      </c>
      <c r="E5" s="43"/>
      <c r="H5"/>
    </row>
    <row r="6" spans="1:22" x14ac:dyDescent="0.25">
      <c r="A6" s="26" t="s">
        <v>4052</v>
      </c>
      <c r="B6" t="s">
        <v>69</v>
      </c>
      <c r="D6" s="43"/>
      <c r="H6"/>
    </row>
    <row r="7" spans="1:22" x14ac:dyDescent="0.25">
      <c r="A7" s="26" t="s">
        <v>4053</v>
      </c>
      <c r="B7" s="27" t="s">
        <v>68</v>
      </c>
      <c r="H7"/>
      <c r="K7" s="4" t="s">
        <v>4101</v>
      </c>
    </row>
    <row r="8" spans="1:22" x14ac:dyDescent="0.25">
      <c r="A8" s="26" t="s">
        <v>4054</v>
      </c>
      <c r="B8" s="27" t="s">
        <v>69</v>
      </c>
      <c r="H8"/>
    </row>
    <row r="9" spans="1:22" x14ac:dyDescent="0.25">
      <c r="A9" s="26" t="s">
        <v>4055</v>
      </c>
      <c r="B9" s="4" t="s">
        <v>69</v>
      </c>
      <c r="H9"/>
      <c r="S9" t="s">
        <v>4159</v>
      </c>
      <c r="T9" t="s">
        <v>148</v>
      </c>
      <c r="U9" t="s">
        <v>4160</v>
      </c>
      <c r="V9" t="s">
        <v>149</v>
      </c>
    </row>
    <row r="10" spans="1:22" x14ac:dyDescent="0.25">
      <c r="A10" s="26"/>
      <c r="B10" s="4"/>
      <c r="H10"/>
      <c r="L10" s="129" t="s">
        <v>4194</v>
      </c>
      <c r="M10" s="164">
        <f>P12</f>
        <v>0.30434782608695654</v>
      </c>
      <c r="O10" s="129" t="s">
        <v>4212</v>
      </c>
      <c r="P10" s="130">
        <v>1600000</v>
      </c>
      <c r="R10" s="129" t="s">
        <v>4196</v>
      </c>
      <c r="S10" s="67">
        <f>SUMIF(_xlfn.ANCHORARRAY($B$23),"*"&amp;"Global"&amp;"*",_xlfn.ANCHORARRAY(D$23))/COUNTIF(_xlfn.ANCHORARRAY($B$23),"*"&amp;"Global"&amp;"*")</f>
        <v>177.05854346574552</v>
      </c>
      <c r="T10" s="67">
        <f>SUMIF(_xlfn.ANCHORARRAY($B$23),"*"&amp;"Global"&amp;"*",_xlfn.ANCHORARRAY(E$23))/COUNTIF(_xlfn.ANCHORARRAY($B$23),"*"&amp;"Global"&amp;"*")</f>
        <v>0.28557829591249306</v>
      </c>
      <c r="U10" s="67">
        <f t="shared" ref="U10:V10" si="0">SUMIF(_xlfn.ANCHORARRAY($B$23),"*"&amp;"Global"&amp;"*",_xlfn.ANCHORARRAY(F$23))/COUNTIF(_xlfn.ANCHORARRAY($B$23),"*"&amp;"Global"&amp;"*")</f>
        <v>997.28267127230868</v>
      </c>
      <c r="V10" s="130">
        <f t="shared" si="0"/>
        <v>1.6085204375359818</v>
      </c>
    </row>
    <row r="11" spans="1:22" x14ac:dyDescent="0.25">
      <c r="A11" s="26" t="s">
        <v>4056</v>
      </c>
      <c r="B11" s="14"/>
      <c r="H11"/>
      <c r="L11" s="125" t="s">
        <v>4197</v>
      </c>
      <c r="M11" s="165">
        <f>1-M10</f>
        <v>0.69565217391304346</v>
      </c>
      <c r="O11" s="122" t="s">
        <v>4194</v>
      </c>
      <c r="P11" s="124">
        <v>700000</v>
      </c>
      <c r="R11" s="122" t="s">
        <v>4114</v>
      </c>
      <c r="S11">
        <f>SUMIF(_xlfn.ANCHORARRAY($B$23),"*"&amp;"FWPA"&amp;"*",_xlfn.ANCHORARRAY(D$23))/COUNTIF(_xlfn.ANCHORARRAY($B$23),"*"&amp;"FWPA"&amp;"*")</f>
        <v>544.38202603507114</v>
      </c>
      <c r="T11">
        <f t="shared" ref="T11:V11" si="1">SUMIF(_xlfn.ANCHORARRAY($B$23),"*"&amp;"FWPA"&amp;"*",_xlfn.ANCHORARRAY(E$23))/COUNTIF(_xlfn.ANCHORARRAY($B$23),"*"&amp;"FWPA"&amp;"*")</f>
        <v>0.82656735668727588</v>
      </c>
      <c r="U11">
        <f t="shared" si="1"/>
        <v>1114.9599999999998</v>
      </c>
      <c r="V11" s="124">
        <f t="shared" si="1"/>
        <v>1.6927777777777777</v>
      </c>
    </row>
    <row r="12" spans="1:22" x14ac:dyDescent="0.25">
      <c r="A12" s="101"/>
      <c r="H12"/>
      <c r="O12" s="125"/>
      <c r="P12" s="166">
        <f>P11/(P10+P11)</f>
        <v>0.30434782608695654</v>
      </c>
      <c r="R12" s="125" t="s">
        <v>4116</v>
      </c>
      <c r="S12" s="126">
        <f>SUMPRODUCT(S10:S11,$M$10:$M$11)</f>
        <v>432.58792264440677</v>
      </c>
      <c r="T12" s="126">
        <f t="shared" ref="T12:V12" si="2">SUMPRODUCT(T10:T11,$M$10:$M$11)</f>
        <v>0.66191851210364627</v>
      </c>
      <c r="U12" s="126">
        <f t="shared" si="2"/>
        <v>1079.1451608220068</v>
      </c>
      <c r="V12" s="142">
        <f t="shared" si="2"/>
        <v>1.6671342394433182</v>
      </c>
    </row>
    <row r="13" spans="1:22" x14ac:dyDescent="0.25">
      <c r="A13" s="101"/>
      <c r="H13"/>
    </row>
    <row r="14" spans="1:22" x14ac:dyDescent="0.25">
      <c r="A14" s="26" t="s">
        <v>4057</v>
      </c>
      <c r="H14"/>
      <c r="L14" s="4" t="s">
        <v>4198</v>
      </c>
    </row>
    <row r="15" spans="1:22" x14ac:dyDescent="0.25">
      <c r="A15" s="26"/>
      <c r="D15" s="112" t="s">
        <v>4058</v>
      </c>
      <c r="E15" s="113"/>
      <c r="F15" s="114" t="s">
        <v>4059</v>
      </c>
      <c r="G15" s="113"/>
      <c r="H15"/>
      <c r="L15" s="36" t="s">
        <v>4213</v>
      </c>
    </row>
    <row r="16" spans="1:22" ht="39.6" x14ac:dyDescent="0.25">
      <c r="B16" s="28" t="s">
        <v>4219</v>
      </c>
      <c r="C16" s="23" t="s">
        <v>23</v>
      </c>
      <c r="D16" s="24" t="s">
        <v>141</v>
      </c>
      <c r="E16" s="25" t="s">
        <v>148</v>
      </c>
      <c r="F16" s="24" t="s">
        <v>142</v>
      </c>
      <c r="G16" s="45" t="s">
        <v>149</v>
      </c>
      <c r="H16" s="44" t="str">
        <f>"Density "&amp;E17&amp;"/"&amp;D17</f>
        <v>Density kg/m³</v>
      </c>
      <c r="L16" t="s">
        <v>4214</v>
      </c>
    </row>
    <row r="17" spans="2:15" x14ac:dyDescent="0.25">
      <c r="B17" s="29"/>
      <c r="C17" s="30" t="s">
        <v>4060</v>
      </c>
      <c r="D17" s="118" t="str" cm="1">
        <f t="array" ref="D17">IF(AND(_xlfn.ANCHORARRAY(C23)=C23),C23,"Mixed")</f>
        <v>m³</v>
      </c>
      <c r="E17" s="118" t="s">
        <v>219</v>
      </c>
      <c r="F17" s="118" t="str" cm="1">
        <f t="array" ref="F17">IF(AND(_xlfn.ANCHORARRAY(C23)=C23),C23,"Mixed")</f>
        <v>m³</v>
      </c>
      <c r="G17" s="118" t="s">
        <v>219</v>
      </c>
      <c r="L17" s="36" t="s">
        <v>4199</v>
      </c>
    </row>
    <row r="18" spans="2:15" s="14" customFormat="1" x14ac:dyDescent="0.25">
      <c r="B18" s="31"/>
      <c r="C18" s="4" t="s">
        <v>4061</v>
      </c>
      <c r="D18" s="96">
        <f>MAX(_xlfn.ANCHORARRAY(D23))</f>
        <v>631.15094962264152</v>
      </c>
      <c r="E18" s="96">
        <f t="shared" ref="E18" si="3">MAX(_xlfn.ANCHORARRAY(E23))</f>
        <v>0.95923728813559317</v>
      </c>
      <c r="F18" s="162">
        <f>VLOOKUP($D18,$D$23:$F$211,3,FALSE)</f>
        <v>1113.2</v>
      </c>
      <c r="G18" s="162">
        <f>VLOOKUP($D18,$D$23:$G$211,4,FALSE)</f>
        <v>1.6866666666666668</v>
      </c>
      <c r="H18" s="163">
        <f>D18/E18</f>
        <v>657.97165876377505</v>
      </c>
      <c r="I18"/>
      <c r="J18"/>
      <c r="L18" s="14" t="s">
        <v>4202</v>
      </c>
    </row>
    <row r="19" spans="2:15" x14ac:dyDescent="0.25">
      <c r="B19" s="122"/>
      <c r="C19" s="4" t="s">
        <v>4062</v>
      </c>
      <c r="D19" s="96">
        <f>MIN(_xlfn.ANCHORARRAY(D23))</f>
        <v>177.05854346574552</v>
      </c>
      <c r="E19" s="96">
        <f t="shared" ref="E19:G19" si="4">MIN(_xlfn.ANCHORARRAY(E23))</f>
        <v>0.28557829591249306</v>
      </c>
      <c r="F19" s="96">
        <f t="shared" si="4"/>
        <v>997.28267127230868</v>
      </c>
      <c r="G19" s="96">
        <f t="shared" si="4"/>
        <v>1.6085204375359818</v>
      </c>
      <c r="H19" s="163">
        <f>D19/E19</f>
        <v>619.99999999999932</v>
      </c>
    </row>
    <row r="20" spans="2:15" x14ac:dyDescent="0.25">
      <c r="B20" s="122"/>
      <c r="C20" s="35" t="s">
        <v>4203</v>
      </c>
      <c r="D20" s="96">
        <f>S12</f>
        <v>432.58792264440677</v>
      </c>
      <c r="E20" s="96">
        <f>T12</f>
        <v>0.66191851210364627</v>
      </c>
      <c r="F20" s="96">
        <f t="shared" ref="F20:G20" si="5">U12</f>
        <v>1079.1451608220068</v>
      </c>
      <c r="G20" s="96">
        <f t="shared" si="5"/>
        <v>1.6671342394433182</v>
      </c>
      <c r="H20" s="163">
        <f>D20/E20</f>
        <v>653.53652259943158</v>
      </c>
    </row>
    <row r="21" spans="2:15" x14ac:dyDescent="0.25">
      <c r="B21" s="122"/>
      <c r="C21" s="4" t="s">
        <v>4063</v>
      </c>
      <c r="D21" s="96">
        <f>AVERAGE(_xlfn.ANCHORARRAY(D23))</f>
        <v>491.90724281088166</v>
      </c>
      <c r="E21" s="96">
        <f t="shared" ref="E21:G21" si="6">AVERAGE(_xlfn.ANCHORARRAY(E23))</f>
        <v>0.74928320514802116</v>
      </c>
      <c r="F21" s="96">
        <f t="shared" si="6"/>
        <v>1098.1489530389013</v>
      </c>
      <c r="G21" s="96">
        <f t="shared" si="6"/>
        <v>1.6807410148860928</v>
      </c>
      <c r="H21" s="163">
        <f>D21/E21</f>
        <v>656.50376177016437</v>
      </c>
      <c r="L21" s="14"/>
      <c r="M21" s="14"/>
      <c r="N21" s="14"/>
      <c r="O21" s="14"/>
    </row>
    <row r="22" spans="2:15" x14ac:dyDescent="0.25">
      <c r="B22" s="32" t="s">
        <v>4064</v>
      </c>
      <c r="D22"/>
      <c r="E22"/>
      <c r="F22"/>
      <c r="G22"/>
      <c r="H22" s="163"/>
    </row>
    <row r="23" spans="2:15" x14ac:dyDescent="0.25">
      <c r="B23" s="122" t="str" cm="1">
        <f t="array" ref="B23:B29">_xlfn.UNIQUE(_xlfn._xlws.FILTER('EPD List'!D:D,ISNUMBER(SEARCH(B16,'EPD List'!C:C)),0))</f>
        <v>Decorative Pboard, 18 mm E0 &amp; E1 moisture resistant (MR) melamine coated, decorative particleboard, Wood solutions, FWPA, Australia</v>
      </c>
      <c r="C23" t="str" cm="1">
        <f t="array" ref="C23:C29">_xlfn.IFNA(INDEX('EPD List'!$A:$AB,MATCH(_xlfn.ANCHORARRAY(B23),'EPD List'!$D:$D,0),MATCH(C$16,'EPD List'!$7:$7,0)),"")</f>
        <v>m³</v>
      </c>
      <c r="D23" s="96" cm="1">
        <f t="array" ref="D23:D29">_xlfn.IFNA(VALUE((INDEX('EPD List'!$A:$AD,MATCH(_xlfn.ANCHORARRAY($B23),'EPD List'!$D:$D,0),MATCH(D$16,'EPD List'!$7:$7,0)))),"")</f>
        <v>629.25966101694905</v>
      </c>
      <c r="E23" s="96" cm="1">
        <f t="array" ref="E23:E29">_xlfn.IFNA(VALUE((INDEX('EPD List'!$A:$AD,MATCH(_xlfn.ANCHORARRAY($B23),'EPD List'!$D:$D,0),MATCH(E$16,'EPD List'!$7:$7,0)))),"")</f>
        <v>0.95923728813559317</v>
      </c>
      <c r="F23" s="96" cm="1">
        <f t="array" ref="F23:F29">_xlfn.IFNA(VALUE((INDEX('EPD List'!$A:$AD,MATCH(_xlfn.ANCHORARRAY($B23),'EPD List'!$D:$D,0),MATCH(F$16,'EPD List'!$7:$7,0)))),"")</f>
        <v>1118.4799999999998</v>
      </c>
      <c r="G23" s="96" cm="1">
        <f t="array" ref="G23:G29">_xlfn.IFNA(VALUE((INDEX('EPD List'!$A:$AD,MATCH(_xlfn.ANCHORARRAY($B23),'EPD List'!$D:$D,0),MATCH(G$16,'EPD List'!$7:$7,0)))),"")</f>
        <v>1.7049999999999996</v>
      </c>
      <c r="H23" s="163" cm="1">
        <f t="array" ref="H23:H29">IFERROR(IF(_xlfn.ANCHORARRAY($C23)="kg",1,
IF(_xlfn.ANCHORARRAY($C23)="tonne",1000,
IF(OR(_xlfn.ANCHORARRAY($C23)="m³",_xlfn.ANCHORARRAY($C23)="m³"),INDEX('EPD List'!$A:$AB,MATCH(_xlfn.ANCHORARRAY($B23),'EPD List'!$D:$D,0),MATCH("Density (kg/m3)",'EPD List'!$7:$7,0)),
IF(OR(_xlfn.ANCHORARRAY($C23)="m²",_xlfn.ANCHORARRAY($C23)="m2"),INDEX('EPD List'!$A:$AB,MATCH(_xlfn.ANCHORARRAY($B23),'EPD List'!$D:$D,0),MATCH("Area density (kg/m2)",'EPD List'!$7:$7,0)),
IF(_xlfn.ANCHORARRAY($C23)="m",INDEX('EPD List'!$A:$AB,MATCH(_xlfn.ANCHORARRAY($B23),'EPD List'!$D:$D,0),MATCH("mass per m (kg/m)",'EPD List'!$7:$7,0)),
IF(_xlfn.ANCHORARRAY($C23)="unit",INDEX('EPD List'!$A:$AB,MATCH(_xlfn.ANCHORARRAY($B23),'EPD List'!$D:$D,0),MATCH("Mass per unit (kg/unit)",'EPD List'!$7:$7,0)),NA())))))),"")</f>
        <v>656</v>
      </c>
    </row>
    <row r="24" spans="2:15" x14ac:dyDescent="0.25">
      <c r="B24" s="122" t="str">
        <v>Decorative Pb, , Min variation 16mm standard, melamine coated particleboard (FWPA) (Australia)</v>
      </c>
      <c r="C24" t="str">
        <v>m³</v>
      </c>
      <c r="D24" s="96">
        <v>438.46767924528353</v>
      </c>
      <c r="E24" s="96">
        <v>0.6643449685534597</v>
      </c>
      <c r="F24" s="96">
        <v>1113.2</v>
      </c>
      <c r="G24" s="96">
        <v>1.6866666666666668</v>
      </c>
      <c r="H24" s="163">
        <v>660</v>
      </c>
    </row>
    <row r="25" spans="2:15" x14ac:dyDescent="0.25">
      <c r="B25" s="122" t="str">
        <v>Decorative Pb, , Max variation 16mm moisture resistant, melamine coated particleboard (FWPA) (Australia)</v>
      </c>
      <c r="C25" t="str">
        <v>m³</v>
      </c>
      <c r="D25" s="96">
        <v>631.15094962264152</v>
      </c>
      <c r="E25" s="96">
        <v>0.95628931761006286</v>
      </c>
      <c r="F25" s="96">
        <v>1113.2</v>
      </c>
      <c r="G25" s="96">
        <v>1.6866666666666668</v>
      </c>
      <c r="H25" s="163">
        <v>660</v>
      </c>
    </row>
    <row r="26" spans="2:15" x14ac:dyDescent="0.25">
      <c r="B26" s="122" t="str">
        <v>Decorative Pb, Global, Decorative Pboard, superfine standard 9mm (Laminex) (New Zealand)</v>
      </c>
      <c r="C26" t="str">
        <v>m³</v>
      </c>
      <c r="D26" s="96">
        <v>177.05854346574552</v>
      </c>
      <c r="E26" s="96">
        <v>0.28557829591249306</v>
      </c>
      <c r="F26" s="96">
        <v>997.28267127230868</v>
      </c>
      <c r="G26" s="96">
        <v>1.6085204375359818</v>
      </c>
      <c r="H26" s="163">
        <v>620</v>
      </c>
    </row>
    <row r="27" spans="2:15" x14ac:dyDescent="0.25">
      <c r="B27" s="122" t="str">
        <v>Decorative Pboard, 16 mm E0 &amp; E1 moisture resistant (MR) melamine coated, decorative particleboard, Wood solutions, FWPA, Australia</v>
      </c>
      <c r="C27" t="str">
        <v>m³</v>
      </c>
      <c r="D27" s="96">
        <v>582.70943396226414</v>
      </c>
      <c r="E27" s="96">
        <v>0.88289308176100623</v>
      </c>
      <c r="F27" s="96">
        <v>1113.2</v>
      </c>
      <c r="G27" s="96">
        <v>1.6866666666666668</v>
      </c>
      <c r="H27" s="163">
        <v>660</v>
      </c>
    </row>
    <row r="28" spans="2:15" x14ac:dyDescent="0.25">
      <c r="B28" s="122" t="str">
        <v>Decorative Pboard, 16 mm E0 &amp; E1 standard melamine coated, decorative particleboard, Wood solutions, FWPA, Australia</v>
      </c>
      <c r="C28" t="str">
        <v>m³</v>
      </c>
      <c r="D28" s="96">
        <v>479.97358490566091</v>
      </c>
      <c r="E28" s="96">
        <v>0.72723270440251653</v>
      </c>
      <c r="F28" s="96">
        <v>1113.2</v>
      </c>
      <c r="G28" s="96">
        <v>1.6866666666666668</v>
      </c>
      <c r="H28" s="163">
        <v>660</v>
      </c>
    </row>
    <row r="29" spans="2:15" x14ac:dyDescent="0.25">
      <c r="B29" s="122" t="str">
        <v>Decorative Pboard, 18 mm E0 &amp; E1 standard melamine coated, decorative particleboard, Wood solutions, FWPA, Australia</v>
      </c>
      <c r="C29" t="str">
        <v>m³</v>
      </c>
      <c r="D29" s="96">
        <v>504.73084745762685</v>
      </c>
      <c r="E29" s="96">
        <v>0.76940677966101667</v>
      </c>
      <c r="F29" s="96">
        <v>1118.4799999999998</v>
      </c>
      <c r="G29" s="96">
        <v>1.7049999999999996</v>
      </c>
      <c r="H29" s="163">
        <v>656</v>
      </c>
    </row>
    <row r="30" spans="2:15" x14ac:dyDescent="0.25">
      <c r="B30" s="122"/>
      <c r="H30" s="163"/>
    </row>
    <row r="31" spans="2:15" x14ac:dyDescent="0.25">
      <c r="B31" s="122"/>
      <c r="H31" s="163"/>
    </row>
    <row r="32" spans="2:15" x14ac:dyDescent="0.25">
      <c r="B32" s="122"/>
      <c r="H32" s="163"/>
    </row>
    <row r="33" spans="2:8" x14ac:dyDescent="0.25">
      <c r="B33" s="122"/>
      <c r="H33" s="163"/>
    </row>
    <row r="34" spans="2:8" x14ac:dyDescent="0.25">
      <c r="B34" s="122"/>
      <c r="H34" s="163"/>
    </row>
    <row r="35" spans="2:8" x14ac:dyDescent="0.25">
      <c r="B35" s="122"/>
      <c r="H35" s="163"/>
    </row>
    <row r="36" spans="2:8" x14ac:dyDescent="0.25">
      <c r="B36" s="122"/>
      <c r="H36" s="163"/>
    </row>
    <row r="37" spans="2:8" x14ac:dyDescent="0.25">
      <c r="B37" s="122"/>
      <c r="H37" s="163"/>
    </row>
    <row r="38" spans="2:8" x14ac:dyDescent="0.25">
      <c r="B38" s="122"/>
    </row>
    <row r="39" spans="2:8" x14ac:dyDescent="0.25">
      <c r="B39" s="122"/>
    </row>
    <row r="40" spans="2:8" x14ac:dyDescent="0.25">
      <c r="B40" s="122"/>
    </row>
    <row r="41" spans="2:8" x14ac:dyDescent="0.25">
      <c r="B41" s="122"/>
    </row>
    <row r="42" spans="2:8" x14ac:dyDescent="0.25">
      <c r="B42" s="122"/>
    </row>
    <row r="43" spans="2:8" x14ac:dyDescent="0.25">
      <c r="B43" s="122"/>
    </row>
    <row r="44" spans="2:8" x14ac:dyDescent="0.25">
      <c r="B44" s="122"/>
    </row>
    <row r="45" spans="2:8" x14ac:dyDescent="0.25">
      <c r="B45" s="122"/>
    </row>
    <row r="46" spans="2:8" x14ac:dyDescent="0.25">
      <c r="B46" s="122"/>
    </row>
    <row r="47" spans="2:8" x14ac:dyDescent="0.25">
      <c r="B47" s="122"/>
    </row>
    <row r="48" spans="2:8" x14ac:dyDescent="0.25">
      <c r="B48" s="122"/>
    </row>
    <row r="49" spans="2:2" x14ac:dyDescent="0.25">
      <c r="B49" s="122"/>
    </row>
    <row r="50" spans="2:2" x14ac:dyDescent="0.25">
      <c r="B50" s="122"/>
    </row>
    <row r="51" spans="2:2" x14ac:dyDescent="0.25">
      <c r="B51" s="122"/>
    </row>
    <row r="52" spans="2:2" x14ac:dyDescent="0.25">
      <c r="B52" s="122"/>
    </row>
    <row r="53" spans="2:2" x14ac:dyDescent="0.25">
      <c r="B53" s="122"/>
    </row>
    <row r="54" spans="2:2" x14ac:dyDescent="0.25">
      <c r="B54" s="122"/>
    </row>
    <row r="55" spans="2:2" x14ac:dyDescent="0.25">
      <c r="B55" s="122"/>
    </row>
    <row r="56" spans="2:2" x14ac:dyDescent="0.25">
      <c r="B56" s="122"/>
    </row>
    <row r="57" spans="2:2" x14ac:dyDescent="0.25">
      <c r="B57" s="122"/>
    </row>
    <row r="58" spans="2:2" x14ac:dyDescent="0.25">
      <c r="B58" s="122"/>
    </row>
    <row r="59" spans="2:2" x14ac:dyDescent="0.25">
      <c r="B59" s="122"/>
    </row>
    <row r="60" spans="2:2" x14ac:dyDescent="0.25">
      <c r="B60" s="122"/>
    </row>
    <row r="61" spans="2:2" x14ac:dyDescent="0.25">
      <c r="B61" s="122"/>
    </row>
    <row r="62" spans="2:2" x14ac:dyDescent="0.25">
      <c r="B62" s="122"/>
    </row>
    <row r="63" spans="2:2" x14ac:dyDescent="0.25">
      <c r="B63" s="122"/>
    </row>
    <row r="64" spans="2:2" x14ac:dyDescent="0.25">
      <c r="B64" s="122"/>
    </row>
    <row r="65" spans="2:2" x14ac:dyDescent="0.25">
      <c r="B65" s="122"/>
    </row>
    <row r="66" spans="2:2" x14ac:dyDescent="0.25">
      <c r="B66" s="122"/>
    </row>
    <row r="67" spans="2:2" x14ac:dyDescent="0.25">
      <c r="B67" s="122"/>
    </row>
    <row r="68" spans="2:2" x14ac:dyDescent="0.25">
      <c r="B68" s="122"/>
    </row>
    <row r="69" spans="2:2" x14ac:dyDescent="0.25">
      <c r="B69" s="122"/>
    </row>
    <row r="70" spans="2:2" x14ac:dyDescent="0.25">
      <c r="B70" s="122"/>
    </row>
    <row r="71" spans="2:2" x14ac:dyDescent="0.25">
      <c r="B71" s="122"/>
    </row>
    <row r="72" spans="2:2" x14ac:dyDescent="0.25">
      <c r="B72" s="122"/>
    </row>
    <row r="73" spans="2:2" x14ac:dyDescent="0.25">
      <c r="B73" s="122"/>
    </row>
    <row r="74" spans="2:2" x14ac:dyDescent="0.25">
      <c r="B74" s="122"/>
    </row>
    <row r="75" spans="2:2" x14ac:dyDescent="0.25">
      <c r="B75" s="122"/>
    </row>
    <row r="76" spans="2:2" x14ac:dyDescent="0.25">
      <c r="B76" s="122"/>
    </row>
    <row r="77" spans="2:2" x14ac:dyDescent="0.25">
      <c r="B77" s="122"/>
    </row>
    <row r="78" spans="2:2" x14ac:dyDescent="0.25">
      <c r="B78" s="122"/>
    </row>
    <row r="79" spans="2:2" x14ac:dyDescent="0.25">
      <c r="B79" s="122"/>
    </row>
    <row r="80" spans="2:2" x14ac:dyDescent="0.25">
      <c r="B80" s="122"/>
    </row>
    <row r="81" spans="2:10" x14ac:dyDescent="0.25">
      <c r="B81" s="122"/>
    </row>
    <row r="82" spans="2:10" x14ac:dyDescent="0.25">
      <c r="B82" s="122"/>
    </row>
    <row r="83" spans="2:10" x14ac:dyDescent="0.25">
      <c r="B83" s="122"/>
    </row>
    <row r="84" spans="2:10" x14ac:dyDescent="0.25">
      <c r="B84" s="122"/>
    </row>
    <row r="85" spans="2:10" x14ac:dyDescent="0.25">
      <c r="B85" s="122"/>
    </row>
    <row r="86" spans="2:10" x14ac:dyDescent="0.25">
      <c r="B86" s="122"/>
    </row>
    <row r="87" spans="2:10" x14ac:dyDescent="0.25">
      <c r="B87" s="122"/>
    </row>
    <row r="88" spans="2:10" x14ac:dyDescent="0.25">
      <c r="B88" s="122"/>
    </row>
    <row r="89" spans="2:10" x14ac:dyDescent="0.25">
      <c r="B89" s="122"/>
    </row>
    <row r="90" spans="2:10" x14ac:dyDescent="0.25">
      <c r="B90" s="122"/>
      <c r="J90" s="96"/>
    </row>
    <row r="91" spans="2:10" x14ac:dyDescent="0.25">
      <c r="B91" s="122"/>
    </row>
    <row r="92" spans="2:10" x14ac:dyDescent="0.25">
      <c r="B92" s="122"/>
    </row>
    <row r="93" spans="2:10" x14ac:dyDescent="0.25">
      <c r="B93" s="122"/>
    </row>
    <row r="94" spans="2:10" x14ac:dyDescent="0.25">
      <c r="B94" s="122"/>
    </row>
    <row r="95" spans="2:10" x14ac:dyDescent="0.25">
      <c r="B95" s="122"/>
    </row>
    <row r="96" spans="2:10" x14ac:dyDescent="0.25">
      <c r="B96" s="122"/>
    </row>
    <row r="97" spans="2:2" x14ac:dyDescent="0.25">
      <c r="B97" s="122"/>
    </row>
    <row r="98" spans="2:2" x14ac:dyDescent="0.25">
      <c r="B98" s="122"/>
    </row>
    <row r="99" spans="2:2" x14ac:dyDescent="0.25">
      <c r="B99" s="122"/>
    </row>
    <row r="100" spans="2:2" x14ac:dyDescent="0.25">
      <c r="B100" s="122"/>
    </row>
    <row r="101" spans="2:2" x14ac:dyDescent="0.25">
      <c r="B101" s="122"/>
    </row>
    <row r="102" spans="2:2" x14ac:dyDescent="0.25">
      <c r="B102" s="122"/>
    </row>
    <row r="103" spans="2:2" x14ac:dyDescent="0.25">
      <c r="B103" s="122"/>
    </row>
    <row r="104" spans="2:2" x14ac:dyDescent="0.25">
      <c r="B104" s="122"/>
    </row>
    <row r="105" spans="2:2" x14ac:dyDescent="0.25">
      <c r="B105" s="122"/>
    </row>
    <row r="106" spans="2:2" x14ac:dyDescent="0.25">
      <c r="B106" s="122"/>
    </row>
    <row r="107" spans="2:2" x14ac:dyDescent="0.25">
      <c r="B107" s="122"/>
    </row>
    <row r="108" spans="2:2" x14ac:dyDescent="0.25">
      <c r="B108" s="122"/>
    </row>
    <row r="109" spans="2:2" x14ac:dyDescent="0.25">
      <c r="B109" s="122"/>
    </row>
    <row r="110" spans="2:2" x14ac:dyDescent="0.25">
      <c r="B110" s="122"/>
    </row>
    <row r="111" spans="2:2" x14ac:dyDescent="0.25">
      <c r="B111" s="122"/>
    </row>
    <row r="112" spans="2:2" x14ac:dyDescent="0.25">
      <c r="B112" s="122"/>
    </row>
    <row r="113" spans="2:2" x14ac:dyDescent="0.25">
      <c r="B113" s="122"/>
    </row>
    <row r="114" spans="2:2" x14ac:dyDescent="0.25">
      <c r="B114" s="122"/>
    </row>
    <row r="115" spans="2:2" x14ac:dyDescent="0.25">
      <c r="B115" s="122"/>
    </row>
    <row r="116" spans="2:2" x14ac:dyDescent="0.25">
      <c r="B116" s="122"/>
    </row>
    <row r="117" spans="2:2" x14ac:dyDescent="0.25">
      <c r="B117" s="122"/>
    </row>
    <row r="118" spans="2:2" x14ac:dyDescent="0.25">
      <c r="B118" s="122"/>
    </row>
    <row r="119" spans="2:2" x14ac:dyDescent="0.25">
      <c r="B119" s="122"/>
    </row>
    <row r="120" spans="2:2" x14ac:dyDescent="0.25">
      <c r="B120" s="122"/>
    </row>
    <row r="121" spans="2:2" x14ac:dyDescent="0.25">
      <c r="B121" s="122"/>
    </row>
    <row r="122" spans="2:2" x14ac:dyDescent="0.25">
      <c r="B122" s="122"/>
    </row>
    <row r="123" spans="2:2" x14ac:dyDescent="0.25">
      <c r="B123" s="122"/>
    </row>
    <row r="124" spans="2:2" x14ac:dyDescent="0.25">
      <c r="B124" s="122"/>
    </row>
    <row r="125" spans="2:2" x14ac:dyDescent="0.25">
      <c r="B125" s="122"/>
    </row>
    <row r="126" spans="2:2" x14ac:dyDescent="0.25">
      <c r="B126" s="122"/>
    </row>
    <row r="127" spans="2:2" x14ac:dyDescent="0.25">
      <c r="B127" s="122"/>
    </row>
    <row r="128" spans="2:2" x14ac:dyDescent="0.25">
      <c r="B128" s="122"/>
    </row>
    <row r="129" spans="2:2" x14ac:dyDescent="0.25">
      <c r="B129" s="122"/>
    </row>
    <row r="130" spans="2:2" x14ac:dyDescent="0.25">
      <c r="B130" s="122"/>
    </row>
    <row r="131" spans="2:2" x14ac:dyDescent="0.25">
      <c r="B131" s="122"/>
    </row>
    <row r="132" spans="2:2" x14ac:dyDescent="0.25">
      <c r="B132" s="122"/>
    </row>
    <row r="133" spans="2:2" x14ac:dyDescent="0.25">
      <c r="B133" s="122"/>
    </row>
    <row r="134" spans="2:2" x14ac:dyDescent="0.25">
      <c r="B134" s="122"/>
    </row>
    <row r="135" spans="2:2" x14ac:dyDescent="0.25">
      <c r="B135" s="122"/>
    </row>
    <row r="136" spans="2:2" x14ac:dyDescent="0.25">
      <c r="B136" s="122"/>
    </row>
    <row r="137" spans="2:2" x14ac:dyDescent="0.25">
      <c r="B137" s="122"/>
    </row>
    <row r="138" spans="2:2" x14ac:dyDescent="0.25">
      <c r="B138" s="122"/>
    </row>
    <row r="139" spans="2:2" x14ac:dyDescent="0.25">
      <c r="B139" s="122"/>
    </row>
    <row r="140" spans="2:2" x14ac:dyDescent="0.25">
      <c r="B140" s="122"/>
    </row>
    <row r="141" spans="2:2" x14ac:dyDescent="0.25">
      <c r="B141" s="122"/>
    </row>
    <row r="142" spans="2:2" x14ac:dyDescent="0.25">
      <c r="B142" s="122"/>
    </row>
    <row r="143" spans="2:2" x14ac:dyDescent="0.25">
      <c r="B143" s="122"/>
    </row>
    <row r="144" spans="2:2" x14ac:dyDescent="0.25">
      <c r="B144" s="122"/>
    </row>
    <row r="145" spans="2:2" x14ac:dyDescent="0.25">
      <c r="B145" s="122"/>
    </row>
    <row r="146" spans="2:2" x14ac:dyDescent="0.25">
      <c r="B146" s="122"/>
    </row>
    <row r="147" spans="2:2" x14ac:dyDescent="0.25">
      <c r="B147" s="122"/>
    </row>
    <row r="148" spans="2:2" x14ac:dyDescent="0.25">
      <c r="B148" s="122"/>
    </row>
    <row r="149" spans="2:2" x14ac:dyDescent="0.25">
      <c r="B149" s="122"/>
    </row>
    <row r="150" spans="2:2" x14ac:dyDescent="0.25">
      <c r="B150" s="122"/>
    </row>
    <row r="151" spans="2:2" x14ac:dyDescent="0.25">
      <c r="B151" s="122"/>
    </row>
    <row r="152" spans="2:2" x14ac:dyDescent="0.25">
      <c r="B152" s="122"/>
    </row>
    <row r="153" spans="2:2" x14ac:dyDescent="0.25">
      <c r="B153" s="122"/>
    </row>
    <row r="154" spans="2:2" x14ac:dyDescent="0.25">
      <c r="B154" s="122"/>
    </row>
    <row r="155" spans="2:2" x14ac:dyDescent="0.25">
      <c r="B155" s="122"/>
    </row>
    <row r="156" spans="2:2" x14ac:dyDescent="0.25">
      <c r="B156" s="122"/>
    </row>
    <row r="157" spans="2:2" x14ac:dyDescent="0.25">
      <c r="B157" s="122"/>
    </row>
    <row r="158" spans="2:2" x14ac:dyDescent="0.25">
      <c r="B158" s="122"/>
    </row>
    <row r="159" spans="2:2" x14ac:dyDescent="0.25">
      <c r="B159" s="122"/>
    </row>
    <row r="160" spans="2:2" x14ac:dyDescent="0.25">
      <c r="B160" s="122"/>
    </row>
    <row r="161" spans="2:7" x14ac:dyDescent="0.25">
      <c r="B161" s="122"/>
    </row>
    <row r="162" spans="2:7" x14ac:dyDescent="0.25">
      <c r="B162" s="122"/>
    </row>
    <row r="163" spans="2:7" x14ac:dyDescent="0.25">
      <c r="B163" s="122"/>
    </row>
    <row r="164" spans="2:7" x14ac:dyDescent="0.25">
      <c r="B164" s="122"/>
    </row>
    <row r="165" spans="2:7" x14ac:dyDescent="0.25">
      <c r="B165" s="122"/>
    </row>
    <row r="166" spans="2:7" x14ac:dyDescent="0.25">
      <c r="B166" s="125"/>
      <c r="C166" s="126"/>
      <c r="D166" s="127"/>
      <c r="E166" s="127"/>
      <c r="F166" s="127"/>
      <c r="G166" s="127"/>
    </row>
  </sheetData>
  <dataValidations count="1">
    <dataValidation type="list" allowBlank="1" showInputMessage="1" showErrorMessage="1" sqref="B6:B9" xr:uid="{F9DD7DAA-CA1C-44F1-AF84-ADBA04AE2EC8}">
      <formula1>"Tier 1,Tier 2,Tier 3,Tier 4"</formula1>
    </dataValidation>
  </dataValidations>
  <hyperlinks>
    <hyperlink ref="L15" r:id="rId1" location="production-and-consumption-of-final-wood-products " xr:uid="{BCEB6C9F-558F-4F3D-AAC2-2427647FDCC0}"/>
    <hyperlink ref="L17" r:id="rId2" location="overview-of-the-forestry-sector-202122" display="https://www.agriculture.gov.au/abares/research-topics/forests/forest-economics/forest-wood-products-statistics - overview-of-the-forestry-sector-202122" xr:uid="{DDB897D9-6142-4DC7-92FD-DC8DCB57EFB0}"/>
  </hyperlinks>
  <pageMargins left="0.7" right="0.7" top="0.75" bottom="0.75" header="0.3" footer="0.3"/>
  <legacyDrawing r:id="rId3"/>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A19382-EB18-478D-AB21-8791AE1870FF}">
  <sheetPr codeName="Sheet45">
    <tabColor rgb="FF00CCFF"/>
  </sheetPr>
  <dimension ref="A1:V166"/>
  <sheetViews>
    <sheetView showGridLines="0" zoomScale="80" zoomScaleNormal="80" workbookViewId="0"/>
  </sheetViews>
  <sheetFormatPr defaultRowHeight="13.2" x14ac:dyDescent="0.25"/>
  <cols>
    <col min="1" max="1" width="26.109375" customWidth="1"/>
    <col min="2" max="2" width="128.88671875" customWidth="1"/>
    <col min="3" max="3" width="21" customWidth="1"/>
    <col min="4" max="6" width="19.88671875" style="96" customWidth="1"/>
    <col min="7" max="7" width="23.5546875" style="96" customWidth="1"/>
    <col min="8" max="8" width="14.44140625" style="161" customWidth="1"/>
    <col min="9" max="9" width="14.44140625" customWidth="1"/>
    <col min="10" max="10" width="13.109375" customWidth="1"/>
    <col min="11" max="11" width="16.109375" customWidth="1"/>
    <col min="16" max="16" width="13.88671875" customWidth="1"/>
    <col min="18" max="18" width="22.88671875" customWidth="1"/>
    <col min="19" max="19" width="43.5546875" customWidth="1"/>
    <col min="20" max="20" width="38.88671875" customWidth="1"/>
    <col min="21" max="21" width="41.44140625" customWidth="1"/>
    <col min="22" max="22" width="36.88671875" customWidth="1"/>
  </cols>
  <sheetData>
    <row r="1" spans="1:22" x14ac:dyDescent="0.25">
      <c r="A1" s="4" t="str" cm="1">
        <f t="array" aca="1" ref="A1" ca="1">MID(CELL("filename",A1),FIND("]",CELL("filename",A1))+1,255)</f>
        <v>Eng_Timber_MDF</v>
      </c>
      <c r="H1"/>
    </row>
    <row r="2" spans="1:22" x14ac:dyDescent="0.25">
      <c r="A2" s="4"/>
      <c r="C2" s="4"/>
      <c r="H2"/>
    </row>
    <row r="3" spans="1:22" x14ac:dyDescent="0.25">
      <c r="A3" s="4" t="s">
        <v>4048</v>
      </c>
      <c r="B3" t="s">
        <v>4220</v>
      </c>
      <c r="H3"/>
    </row>
    <row r="4" spans="1:22" x14ac:dyDescent="0.25">
      <c r="A4" s="4"/>
      <c r="H4"/>
    </row>
    <row r="5" spans="1:22" ht="92.25" customHeight="1" x14ac:dyDescent="0.25">
      <c r="A5" s="26" t="s">
        <v>4050</v>
      </c>
      <c r="B5" s="14" t="s">
        <v>4221</v>
      </c>
      <c r="E5" s="43"/>
      <c r="H5"/>
    </row>
    <row r="6" spans="1:22" x14ac:dyDescent="0.25">
      <c r="A6" s="26" t="s">
        <v>4052</v>
      </c>
      <c r="B6" t="s">
        <v>69</v>
      </c>
      <c r="D6" s="43"/>
      <c r="H6"/>
    </row>
    <row r="7" spans="1:22" x14ac:dyDescent="0.25">
      <c r="A7" s="26" t="s">
        <v>4053</v>
      </c>
      <c r="B7" s="27" t="s">
        <v>68</v>
      </c>
      <c r="H7"/>
      <c r="K7" s="4" t="s">
        <v>4101</v>
      </c>
    </row>
    <row r="8" spans="1:22" x14ac:dyDescent="0.25">
      <c r="A8" s="26" t="s">
        <v>4054</v>
      </c>
      <c r="B8" s="27" t="s">
        <v>69</v>
      </c>
      <c r="H8"/>
    </row>
    <row r="9" spans="1:22" x14ac:dyDescent="0.25">
      <c r="A9" s="26" t="s">
        <v>4055</v>
      </c>
      <c r="B9" s="4" t="s">
        <v>69</v>
      </c>
      <c r="H9"/>
      <c r="S9" t="s">
        <v>4159</v>
      </c>
      <c r="T9" t="s">
        <v>148</v>
      </c>
      <c r="U9" t="s">
        <v>4160</v>
      </c>
      <c r="V9" t="s">
        <v>149</v>
      </c>
    </row>
    <row r="10" spans="1:22" x14ac:dyDescent="0.25">
      <c r="A10" s="26"/>
      <c r="B10" s="4"/>
      <c r="H10"/>
      <c r="L10" s="129" t="s">
        <v>4194</v>
      </c>
      <c r="M10" s="164">
        <f>P12</f>
        <v>0.30434782608695654</v>
      </c>
      <c r="O10" s="129" t="s">
        <v>4212</v>
      </c>
      <c r="P10" s="130">
        <v>1600000</v>
      </c>
      <c r="R10" s="129" t="s">
        <v>4196</v>
      </c>
      <c r="S10" s="67">
        <f>SUMIF(_xlfn.ANCHORARRAY($B$23),"*"&amp;"Global"&amp;"*",_xlfn.ANCHORARRAY(D$23))/COUNTIF(_xlfn.ANCHORARRAY($B$23),"*"&amp;"Global"&amp;"*")</f>
        <v>525.92916666666667</v>
      </c>
      <c r="T10" s="67">
        <f t="shared" ref="T10:V10" si="0">SUMIF(_xlfn.ANCHORARRAY($B$23),"*"&amp;"Global"&amp;"*",_xlfn.ANCHORARRAY(E$23))/COUNTIF(_xlfn.ANCHORARRAY($B$23),"*"&amp;"Global"&amp;"*")</f>
        <v>0.71360809588421525</v>
      </c>
      <c r="U10" s="67">
        <f t="shared" si="0"/>
        <v>1249.8291666666667</v>
      </c>
      <c r="V10" s="130">
        <f t="shared" si="0"/>
        <v>1.6958333333333333</v>
      </c>
    </row>
    <row r="11" spans="1:22" x14ac:dyDescent="0.25">
      <c r="A11" s="26" t="s">
        <v>4056</v>
      </c>
      <c r="B11" s="14"/>
      <c r="H11"/>
      <c r="L11" s="125" t="s">
        <v>4197</v>
      </c>
      <c r="M11" s="165">
        <f>1-M10</f>
        <v>0.69565217391304346</v>
      </c>
      <c r="O11" s="122" t="s">
        <v>4194</v>
      </c>
      <c r="P11" s="124">
        <v>700000</v>
      </c>
      <c r="R11" s="122" t="s">
        <v>4114</v>
      </c>
      <c r="S11">
        <f>SUMIF(_xlfn.ANCHORARRAY($B$23),"*"&amp;"FWPA"&amp;"*",_xlfn.ANCHORARRAY(D$23))/COUNTIF(_xlfn.ANCHORARRAY($B$23),"*"&amp;"FWPA"&amp;"*")</f>
        <v>941.22545039730358</v>
      </c>
      <c r="T11">
        <f t="shared" ref="T11:V11" si="1">SUMIF(_xlfn.ANCHORARRAY($B$23),"*"&amp;"FWPA"&amp;"*",_xlfn.ANCHORARRAY(E$23))/COUNTIF(_xlfn.ANCHORARRAY($B$23),"*"&amp;"FWPA"&amp;"*")</f>
        <v>1.3111903989658564</v>
      </c>
      <c r="U11">
        <f t="shared" si="1"/>
        <v>1224.403125</v>
      </c>
      <c r="V11" s="124">
        <f t="shared" si="1"/>
        <v>1.7050000000000001</v>
      </c>
    </row>
    <row r="12" spans="1:22" x14ac:dyDescent="0.25">
      <c r="A12" s="101"/>
      <c r="H12"/>
      <c r="O12" s="125"/>
      <c r="P12" s="166">
        <f>P11/(P10+P11)</f>
        <v>0.30434782608695654</v>
      </c>
      <c r="R12" s="125" t="s">
        <v>4116</v>
      </c>
      <c r="S12" s="126">
        <f>SUMPRODUCT(S10:S11,$M$10:$M$11)</f>
        <v>814.83092926189238</v>
      </c>
      <c r="T12" s="126">
        <f t="shared" ref="T12:V12" si="2">SUMPRODUCT(T10:T11,$M$10:$M$11)</f>
        <v>1.1293175241149223</v>
      </c>
      <c r="U12" s="126">
        <f t="shared" si="2"/>
        <v>1232.1414855072464</v>
      </c>
      <c r="V12" s="142">
        <f t="shared" si="2"/>
        <v>1.7022101449275362</v>
      </c>
    </row>
    <row r="13" spans="1:22" x14ac:dyDescent="0.25">
      <c r="A13" s="101"/>
      <c r="H13"/>
    </row>
    <row r="14" spans="1:22" x14ac:dyDescent="0.25">
      <c r="A14" s="26" t="s">
        <v>4057</v>
      </c>
      <c r="H14"/>
      <c r="L14" s="4" t="s">
        <v>4198</v>
      </c>
    </row>
    <row r="15" spans="1:22" x14ac:dyDescent="0.25">
      <c r="A15" s="26"/>
      <c r="D15" s="112" t="s">
        <v>4058</v>
      </c>
      <c r="E15" s="113"/>
      <c r="F15" s="114" t="s">
        <v>4059</v>
      </c>
      <c r="G15" s="113"/>
      <c r="H15"/>
      <c r="L15" s="36" t="s">
        <v>4213</v>
      </c>
    </row>
    <row r="16" spans="1:22" ht="39.6" x14ac:dyDescent="0.25">
      <c r="B16" s="28" t="s">
        <v>2375</v>
      </c>
      <c r="C16" s="23" t="s">
        <v>23</v>
      </c>
      <c r="D16" s="24" t="s">
        <v>141</v>
      </c>
      <c r="E16" s="25" t="s">
        <v>148</v>
      </c>
      <c r="F16" s="24" t="s">
        <v>142</v>
      </c>
      <c r="G16" s="45" t="s">
        <v>149</v>
      </c>
      <c r="H16" s="44" t="s">
        <v>4201</v>
      </c>
      <c r="L16" t="s">
        <v>4214</v>
      </c>
    </row>
    <row r="17" spans="2:15" x14ac:dyDescent="0.25">
      <c r="B17" s="29"/>
      <c r="C17" s="30" t="s">
        <v>4060</v>
      </c>
      <c r="D17" s="118" t="str" cm="1">
        <f t="array" ref="D17">IF(AND(_xlfn.ANCHORARRAY(C23)=C23),C23,"Mixed")</f>
        <v>m³</v>
      </c>
      <c r="E17" s="118" t="s">
        <v>219</v>
      </c>
      <c r="F17" s="118" t="str" cm="1">
        <f t="array" ref="F17">IF(AND(_xlfn.ANCHORARRAY(C23)=C23),C23,"Mixed")</f>
        <v>m³</v>
      </c>
      <c r="G17" s="118" t="s">
        <v>219</v>
      </c>
      <c r="L17" s="36" t="s">
        <v>4199</v>
      </c>
    </row>
    <row r="18" spans="2:15" s="14" customFormat="1" x14ac:dyDescent="0.25">
      <c r="B18" s="31"/>
      <c r="C18" s="4" t="s">
        <v>4061</v>
      </c>
      <c r="D18" s="96">
        <f>MAX(_xlfn.ANCHORARRAY(D23))</f>
        <v>1254.1817045454538</v>
      </c>
      <c r="E18" s="96">
        <f t="shared" ref="E18" si="3">MAX(_xlfn.ANCHORARRAY(E23))</f>
        <v>1.7419190340909083</v>
      </c>
      <c r="F18" s="162">
        <f>VLOOKUP($D18,$D$23:$F$211,3,FALSE)</f>
        <v>1227.5999999999997</v>
      </c>
      <c r="G18" s="162">
        <f>VLOOKUP($D18,$D$23:$G$211,4,FALSE)</f>
        <v>1.7049999999999996</v>
      </c>
      <c r="H18" s="163">
        <f>D18/E18</f>
        <v>719.99999999999989</v>
      </c>
      <c r="I18"/>
      <c r="J18"/>
      <c r="L18" s="14" t="s">
        <v>4202</v>
      </c>
    </row>
    <row r="19" spans="2:15" x14ac:dyDescent="0.25">
      <c r="B19" s="122"/>
      <c r="C19" s="4" t="s">
        <v>4062</v>
      </c>
      <c r="D19" s="96">
        <f>MIN(_xlfn.ANCHORARRAY(D23))</f>
        <v>525.92916666666667</v>
      </c>
      <c r="E19" s="96">
        <f t="shared" ref="E19:G19" si="4">MIN(_xlfn.ANCHORARRAY(E23))</f>
        <v>0.71360809588421525</v>
      </c>
      <c r="F19" s="96">
        <f t="shared" si="4"/>
        <v>1195.2049999999999</v>
      </c>
      <c r="G19" s="96">
        <f t="shared" si="4"/>
        <v>1.6958333333333333</v>
      </c>
      <c r="H19" s="163">
        <f>D19/E19</f>
        <v>737</v>
      </c>
    </row>
    <row r="20" spans="2:15" x14ac:dyDescent="0.25">
      <c r="B20" s="122"/>
      <c r="C20" s="35" t="s">
        <v>4203</v>
      </c>
      <c r="D20" s="96">
        <f>S12</f>
        <v>814.83092926189238</v>
      </c>
      <c r="E20" s="96">
        <f t="shared" ref="E20:G20" si="5">T12</f>
        <v>1.1293175241149223</v>
      </c>
      <c r="F20" s="96">
        <f t="shared" si="5"/>
        <v>1232.1414855072464</v>
      </c>
      <c r="G20" s="96">
        <f t="shared" si="5"/>
        <v>1.7022101449275362</v>
      </c>
      <c r="H20" s="163">
        <f>D20/E20</f>
        <v>721.52509091763022</v>
      </c>
    </row>
    <row r="21" spans="2:15" x14ac:dyDescent="0.25">
      <c r="B21" s="122"/>
      <c r="C21" s="4" t="s">
        <v>4063</v>
      </c>
      <c r="D21" s="96">
        <f>AVERAGE(_xlfn.ANCHORARRAY(D23))</f>
        <v>895.08141887167722</v>
      </c>
      <c r="E21" s="96">
        <f t="shared" ref="E21:G21" si="6">AVERAGE(_xlfn.ANCHORARRAY(E23))</f>
        <v>1.2447923652901185</v>
      </c>
      <c r="F21" s="96">
        <f t="shared" si="6"/>
        <v>1227.2282407407408</v>
      </c>
      <c r="G21" s="96">
        <f t="shared" si="6"/>
        <v>1.7039814814814815</v>
      </c>
      <c r="H21" s="163">
        <f>D21/E21</f>
        <v>719.06081996499427</v>
      </c>
      <c r="L21" s="14"/>
      <c r="M21" s="14"/>
      <c r="N21" s="14"/>
      <c r="O21" s="14"/>
    </row>
    <row r="22" spans="2:15" x14ac:dyDescent="0.25">
      <c r="B22" s="32" t="s">
        <v>4064</v>
      </c>
      <c r="D22"/>
      <c r="E22"/>
      <c r="F22"/>
      <c r="G22"/>
      <c r="H22" s="163"/>
    </row>
    <row r="23" spans="2:15" x14ac:dyDescent="0.25">
      <c r="B23" s="122" t="str" cm="1">
        <f t="array" ref="B23:B31">_xlfn.UNIQUE(_xlfn._xlws.FILTER('EPD List'!D:D,ISNUMBER(SEARCH(B16,'EPD List'!C:C)),0))</f>
        <v>MDF  (25 mm, E0 and E1, moisture resistant (MR) melamine coated) [from sustainable forest management practices], FWPA, Australian Industry</v>
      </c>
      <c r="C23" t="str" cm="1">
        <f t="array" ref="C23:C31">_xlfn.IFNA(INDEX('EPD List'!$A:$AB,MATCH(_xlfn.ANCHORARRAY(B23),'EPD List'!$D:$D,0),MATCH(C$16,'EPD List'!$7:$7,0)),"")</f>
        <v>m³</v>
      </c>
      <c r="D23" s="96" cm="1">
        <f t="array" ref="D23:D31">_xlfn.IFNA(VALUE((INDEX('EPD List'!$A:$AD,MATCH(_xlfn.ANCHORARRAY($B23),'EPD List'!$D:$D,0),MATCH(D$16,'EPD List'!$7:$7,0)))),"")</f>
        <v>1013.7579545454541</v>
      </c>
      <c r="E23" s="96" cm="1">
        <f t="array" ref="E23:E31">_xlfn.IFNA(VALUE((INDEX('EPD List'!$A:$AD,MATCH(_xlfn.ANCHORARRAY($B23),'EPD List'!$D:$D,0),MATCH(E$16,'EPD List'!$7:$7,0)))),"")</f>
        <v>1.4379545454545448</v>
      </c>
      <c r="F23" s="96" cm="1">
        <f t="array" ref="F23:F31">_xlfn.IFNA(VALUE((INDEX('EPD List'!$A:$AD,MATCH(_xlfn.ANCHORARRAY($B23),'EPD List'!$D:$D,0),MATCH(F$16,'EPD List'!$7:$7,0)))),"")</f>
        <v>1202.0249999999999</v>
      </c>
      <c r="G23" s="96" cm="1">
        <f t="array" ref="G23:G31">_xlfn.IFNA(VALUE((INDEX('EPD List'!$A:$AD,MATCH(_xlfn.ANCHORARRAY($B23),'EPD List'!$D:$D,0),MATCH(G$16,'EPD List'!$7:$7,0)))),"")</f>
        <v>1.7049999999999998</v>
      </c>
      <c r="H23" s="163" cm="1">
        <f t="array" ref="H23:H31">IFERROR(IF(_xlfn.ANCHORARRAY($C23)="kg",1,
IF(_xlfn.ANCHORARRAY($C23)="tonne",1000,
IF(OR(_xlfn.ANCHORARRAY($C23)="m³",_xlfn.ANCHORARRAY($C23)="m³"),INDEX('EPD List'!$A:$AB,MATCH(_xlfn.ANCHORARRAY($B23),'EPD List'!$D:$D,0),MATCH("Density (kg/m3)",'EPD List'!$7:$7,0)),
IF(OR(_xlfn.ANCHORARRAY($C23)="m²",_xlfn.ANCHORARRAY($C23)="m2"),INDEX('EPD List'!$A:$AB,MATCH(_xlfn.ANCHORARRAY($B23),'EPD List'!$D:$D,0),MATCH("Area density (kg/m2)",'EPD List'!$7:$7,0)),
IF(_xlfn.ANCHORARRAY($C23)="m",INDEX('EPD List'!$A:$AB,MATCH(_xlfn.ANCHORARRAY($B23),'EPD List'!$D:$D,0),MATCH("mass per m (kg/m)",'EPD List'!$7:$7,0)),
IF(_xlfn.ANCHORARRAY($C23)="unit",INDEX('EPD List'!$A:$AB,MATCH(_xlfn.ANCHORARRAY($B23),'EPD List'!$D:$D,0),MATCH("Mass per unit (kg/unit)",'EPD List'!$7:$7,0)),NA())))))),"")</f>
        <v>705</v>
      </c>
    </row>
    <row r="24" spans="2:15" x14ac:dyDescent="0.25">
      <c r="B24" s="122" t="str">
        <v>MDF  (18 mm, E0 and E1,  melamine coated) [from sustainable forest management practices], FWPA, Australian Industry</v>
      </c>
      <c r="C24" t="str">
        <v>m³</v>
      </c>
      <c r="D24" s="96">
        <v>714.50230769230757</v>
      </c>
      <c r="E24" s="96">
        <v>0.98961538461538445</v>
      </c>
      <c r="F24" s="96">
        <v>1231.01</v>
      </c>
      <c r="G24" s="96">
        <v>1.7050000000000001</v>
      </c>
      <c r="H24" s="163">
        <v>722</v>
      </c>
    </row>
    <row r="25" spans="2:15" x14ac:dyDescent="0.25">
      <c r="B25" s="122" t="str">
        <v>MDF  (16 mm, E0 and E1, moisture resistant (MR) melamine coated) [from sustainable forest management practices], FWPA, Australian Industry</v>
      </c>
      <c r="C25" t="str">
        <v>m³</v>
      </c>
      <c r="D25" s="96">
        <v>922.72666666666646</v>
      </c>
      <c r="E25" s="96">
        <v>1.2605555555555552</v>
      </c>
      <c r="F25" s="96">
        <v>1248.06</v>
      </c>
      <c r="G25" s="96">
        <v>1.7049999999999998</v>
      </c>
      <c r="H25" s="163">
        <v>732</v>
      </c>
    </row>
    <row r="26" spans="2:15" x14ac:dyDescent="0.25">
      <c r="B26" s="122" t="str">
        <v>MDF  (25 mm, E0 and E1, melamine coated) [from sustainable forest management practices], FWPA, Australian Industry</v>
      </c>
      <c r="C26" t="str">
        <v>m³</v>
      </c>
      <c r="D26" s="96">
        <v>878.75357142857138</v>
      </c>
      <c r="E26" s="96">
        <v>1.2535714285714286</v>
      </c>
      <c r="F26" s="96">
        <v>1195.2049999999999</v>
      </c>
      <c r="G26" s="96">
        <v>1.7049999999999998</v>
      </c>
      <c r="H26" s="163">
        <v>701</v>
      </c>
    </row>
    <row r="27" spans="2:15" x14ac:dyDescent="0.25">
      <c r="B27" s="122" t="str">
        <v>MDF (16 mm, E0 and E1,  melamine coated) [from sustainable forest management practices], FWPA, Australian Industry</v>
      </c>
      <c r="C27" t="str">
        <v>m³</v>
      </c>
      <c r="D27" s="96">
        <v>758.82689655172385</v>
      </c>
      <c r="E27" s="96">
        <v>1.0481034482758615</v>
      </c>
      <c r="F27" s="96">
        <v>1234.4199999999998</v>
      </c>
      <c r="G27" s="96">
        <v>1.7049999999999998</v>
      </c>
      <c r="H27" s="163">
        <v>724</v>
      </c>
    </row>
    <row r="28" spans="2:15" x14ac:dyDescent="0.25">
      <c r="B28" s="122" t="str">
        <v>MDF  (18 mm, E0 and E1, moisture resistant (MR) melamine coated) [from sustainable forest management practices], FWPA, Australian Industry</v>
      </c>
      <c r="C28" t="str">
        <v>m³</v>
      </c>
      <c r="D28" s="96">
        <v>1035.1896153846155</v>
      </c>
      <c r="E28" s="96">
        <v>1.4357692307692309</v>
      </c>
      <c r="F28" s="96">
        <v>1229.3050000000001</v>
      </c>
      <c r="G28" s="96">
        <v>1.7050000000000001</v>
      </c>
      <c r="H28" s="163">
        <v>721</v>
      </c>
    </row>
    <row r="29" spans="2:15" x14ac:dyDescent="0.25">
      <c r="B29" s="122" t="str">
        <v>Max variaton for  MDF, MR 25mm FWPA, Australia</v>
      </c>
      <c r="C29" t="str">
        <v>m³</v>
      </c>
      <c r="D29" s="96">
        <v>1254.1817045454538</v>
      </c>
      <c r="E29" s="96">
        <v>1.7419190340909083</v>
      </c>
      <c r="F29" s="96">
        <v>1227.5999999999997</v>
      </c>
      <c r="G29" s="96">
        <v>1.7049999999999996</v>
      </c>
      <c r="H29" s="163">
        <v>720</v>
      </c>
    </row>
    <row r="30" spans="2:15" x14ac:dyDescent="0.25">
      <c r="B30" s="122" t="str">
        <v>MDF, , Min variaton for  MDF, MR 25mm FWPA, Australia (FWPA) (Australia)</v>
      </c>
      <c r="C30" t="str">
        <v>m³</v>
      </c>
      <c r="D30" s="96">
        <v>951.86488636363583</v>
      </c>
      <c r="E30" s="96">
        <v>1.3220345643939388</v>
      </c>
      <c r="F30" s="96">
        <v>1227.5999999999997</v>
      </c>
      <c r="G30" s="96">
        <v>1.7049999999999996</v>
      </c>
      <c r="H30" s="163">
        <v>720</v>
      </c>
    </row>
    <row r="31" spans="2:15" x14ac:dyDescent="0.25">
      <c r="B31" s="122" t="str">
        <v>MDF, , medium density fibreboard wood (Kastamonu) (Global)</v>
      </c>
      <c r="C31" t="str">
        <v>m³</v>
      </c>
      <c r="D31" s="96">
        <v>525.92916666666667</v>
      </c>
      <c r="E31" s="96">
        <v>0.71360809588421525</v>
      </c>
      <c r="F31" s="96">
        <v>1249.8291666666667</v>
      </c>
      <c r="G31" s="96">
        <v>1.6958333333333333</v>
      </c>
      <c r="H31" s="163">
        <v>737</v>
      </c>
    </row>
    <row r="32" spans="2:15" x14ac:dyDescent="0.25">
      <c r="B32" s="122"/>
      <c r="H32" s="163"/>
    </row>
    <row r="33" spans="2:8" x14ac:dyDescent="0.25">
      <c r="B33" s="122"/>
      <c r="H33" s="163"/>
    </row>
    <row r="34" spans="2:8" x14ac:dyDescent="0.25">
      <c r="B34" s="122"/>
      <c r="H34" s="163"/>
    </row>
    <row r="35" spans="2:8" x14ac:dyDescent="0.25">
      <c r="B35" s="122"/>
      <c r="H35" s="163"/>
    </row>
    <row r="36" spans="2:8" x14ac:dyDescent="0.25">
      <c r="B36" s="122"/>
      <c r="H36" s="163"/>
    </row>
    <row r="37" spans="2:8" x14ac:dyDescent="0.25">
      <c r="B37" s="122"/>
      <c r="H37" s="163"/>
    </row>
    <row r="38" spans="2:8" x14ac:dyDescent="0.25">
      <c r="B38" s="122"/>
    </row>
    <row r="39" spans="2:8" x14ac:dyDescent="0.25">
      <c r="B39" s="122"/>
    </row>
    <row r="40" spans="2:8" x14ac:dyDescent="0.25">
      <c r="B40" s="122"/>
    </row>
    <row r="41" spans="2:8" x14ac:dyDescent="0.25">
      <c r="B41" s="122"/>
    </row>
    <row r="42" spans="2:8" x14ac:dyDescent="0.25">
      <c r="B42" s="122"/>
    </row>
    <row r="43" spans="2:8" x14ac:dyDescent="0.25">
      <c r="B43" s="122"/>
    </row>
    <row r="44" spans="2:8" x14ac:dyDescent="0.25">
      <c r="B44" s="122"/>
    </row>
    <row r="45" spans="2:8" x14ac:dyDescent="0.25">
      <c r="B45" s="122"/>
    </row>
    <row r="46" spans="2:8" x14ac:dyDescent="0.25">
      <c r="B46" s="122"/>
    </row>
    <row r="47" spans="2:8" x14ac:dyDescent="0.25">
      <c r="B47" s="122"/>
    </row>
    <row r="48" spans="2:8" x14ac:dyDescent="0.25">
      <c r="B48" s="122"/>
    </row>
    <row r="49" spans="2:2" x14ac:dyDescent="0.25">
      <c r="B49" s="122"/>
    </row>
    <row r="50" spans="2:2" x14ac:dyDescent="0.25">
      <c r="B50" s="122"/>
    </row>
    <row r="51" spans="2:2" x14ac:dyDescent="0.25">
      <c r="B51" s="122"/>
    </row>
    <row r="52" spans="2:2" x14ac:dyDescent="0.25">
      <c r="B52" s="122"/>
    </row>
    <row r="53" spans="2:2" x14ac:dyDescent="0.25">
      <c r="B53" s="122"/>
    </row>
    <row r="54" spans="2:2" x14ac:dyDescent="0.25">
      <c r="B54" s="122"/>
    </row>
    <row r="55" spans="2:2" x14ac:dyDescent="0.25">
      <c r="B55" s="122"/>
    </row>
    <row r="56" spans="2:2" x14ac:dyDescent="0.25">
      <c r="B56" s="122"/>
    </row>
    <row r="57" spans="2:2" x14ac:dyDescent="0.25">
      <c r="B57" s="122"/>
    </row>
    <row r="58" spans="2:2" x14ac:dyDescent="0.25">
      <c r="B58" s="122"/>
    </row>
    <row r="59" spans="2:2" x14ac:dyDescent="0.25">
      <c r="B59" s="122"/>
    </row>
    <row r="60" spans="2:2" x14ac:dyDescent="0.25">
      <c r="B60" s="122"/>
    </row>
    <row r="61" spans="2:2" x14ac:dyDescent="0.25">
      <c r="B61" s="122"/>
    </row>
    <row r="62" spans="2:2" x14ac:dyDescent="0.25">
      <c r="B62" s="122"/>
    </row>
    <row r="63" spans="2:2" x14ac:dyDescent="0.25">
      <c r="B63" s="122"/>
    </row>
    <row r="64" spans="2:2" x14ac:dyDescent="0.25">
      <c r="B64" s="122"/>
    </row>
    <row r="65" spans="2:2" x14ac:dyDescent="0.25">
      <c r="B65" s="122"/>
    </row>
    <row r="66" spans="2:2" x14ac:dyDescent="0.25">
      <c r="B66" s="122"/>
    </row>
    <row r="67" spans="2:2" x14ac:dyDescent="0.25">
      <c r="B67" s="122"/>
    </row>
    <row r="68" spans="2:2" x14ac:dyDescent="0.25">
      <c r="B68" s="122"/>
    </row>
    <row r="69" spans="2:2" x14ac:dyDescent="0.25">
      <c r="B69" s="122"/>
    </row>
    <row r="70" spans="2:2" x14ac:dyDescent="0.25">
      <c r="B70" s="122"/>
    </row>
    <row r="71" spans="2:2" x14ac:dyDescent="0.25">
      <c r="B71" s="122"/>
    </row>
    <row r="72" spans="2:2" x14ac:dyDescent="0.25">
      <c r="B72" s="122"/>
    </row>
    <row r="73" spans="2:2" x14ac:dyDescent="0.25">
      <c r="B73" s="122"/>
    </row>
    <row r="74" spans="2:2" x14ac:dyDescent="0.25">
      <c r="B74" s="122"/>
    </row>
    <row r="75" spans="2:2" x14ac:dyDescent="0.25">
      <c r="B75" s="122"/>
    </row>
    <row r="76" spans="2:2" x14ac:dyDescent="0.25">
      <c r="B76" s="122"/>
    </row>
    <row r="77" spans="2:2" x14ac:dyDescent="0.25">
      <c r="B77" s="122"/>
    </row>
    <row r="78" spans="2:2" x14ac:dyDescent="0.25">
      <c r="B78" s="122"/>
    </row>
    <row r="79" spans="2:2" x14ac:dyDescent="0.25">
      <c r="B79" s="122"/>
    </row>
    <row r="80" spans="2:2" x14ac:dyDescent="0.25">
      <c r="B80" s="122"/>
    </row>
    <row r="81" spans="2:10" x14ac:dyDescent="0.25">
      <c r="B81" s="122"/>
    </row>
    <row r="82" spans="2:10" x14ac:dyDescent="0.25">
      <c r="B82" s="122"/>
    </row>
    <row r="83" spans="2:10" x14ac:dyDescent="0.25">
      <c r="B83" s="122"/>
    </row>
    <row r="84" spans="2:10" x14ac:dyDescent="0.25">
      <c r="B84" s="122"/>
    </row>
    <row r="85" spans="2:10" x14ac:dyDescent="0.25">
      <c r="B85" s="122"/>
    </row>
    <row r="86" spans="2:10" x14ac:dyDescent="0.25">
      <c r="B86" s="122"/>
    </row>
    <row r="87" spans="2:10" x14ac:dyDescent="0.25">
      <c r="B87" s="122"/>
    </row>
    <row r="88" spans="2:10" x14ac:dyDescent="0.25">
      <c r="B88" s="122"/>
    </row>
    <row r="89" spans="2:10" x14ac:dyDescent="0.25">
      <c r="B89" s="122"/>
    </row>
    <row r="90" spans="2:10" x14ac:dyDescent="0.25">
      <c r="B90" s="122"/>
      <c r="J90" s="96"/>
    </row>
    <row r="91" spans="2:10" x14ac:dyDescent="0.25">
      <c r="B91" s="122"/>
    </row>
    <row r="92" spans="2:10" x14ac:dyDescent="0.25">
      <c r="B92" s="122"/>
    </row>
    <row r="93" spans="2:10" x14ac:dyDescent="0.25">
      <c r="B93" s="122"/>
    </row>
    <row r="94" spans="2:10" x14ac:dyDescent="0.25">
      <c r="B94" s="122"/>
    </row>
    <row r="95" spans="2:10" x14ac:dyDescent="0.25">
      <c r="B95" s="122"/>
    </row>
    <row r="96" spans="2:10" x14ac:dyDescent="0.25">
      <c r="B96" s="122"/>
    </row>
    <row r="97" spans="2:2" x14ac:dyDescent="0.25">
      <c r="B97" s="122"/>
    </row>
    <row r="98" spans="2:2" x14ac:dyDescent="0.25">
      <c r="B98" s="122"/>
    </row>
    <row r="99" spans="2:2" x14ac:dyDescent="0.25">
      <c r="B99" s="122"/>
    </row>
    <row r="100" spans="2:2" x14ac:dyDescent="0.25">
      <c r="B100" s="122"/>
    </row>
    <row r="101" spans="2:2" x14ac:dyDescent="0.25">
      <c r="B101" s="122"/>
    </row>
    <row r="102" spans="2:2" x14ac:dyDescent="0.25">
      <c r="B102" s="122"/>
    </row>
    <row r="103" spans="2:2" x14ac:dyDescent="0.25">
      <c r="B103" s="122"/>
    </row>
    <row r="104" spans="2:2" x14ac:dyDescent="0.25">
      <c r="B104" s="122"/>
    </row>
    <row r="105" spans="2:2" x14ac:dyDescent="0.25">
      <c r="B105" s="122"/>
    </row>
    <row r="106" spans="2:2" x14ac:dyDescent="0.25">
      <c r="B106" s="122"/>
    </row>
    <row r="107" spans="2:2" x14ac:dyDescent="0.25">
      <c r="B107" s="122"/>
    </row>
    <row r="108" spans="2:2" x14ac:dyDescent="0.25">
      <c r="B108" s="122"/>
    </row>
    <row r="109" spans="2:2" x14ac:dyDescent="0.25">
      <c r="B109" s="122"/>
    </row>
    <row r="110" spans="2:2" x14ac:dyDescent="0.25">
      <c r="B110" s="122"/>
    </row>
    <row r="111" spans="2:2" x14ac:dyDescent="0.25">
      <c r="B111" s="122"/>
    </row>
    <row r="112" spans="2:2" x14ac:dyDescent="0.25">
      <c r="B112" s="122"/>
    </row>
    <row r="113" spans="2:2" x14ac:dyDescent="0.25">
      <c r="B113" s="122"/>
    </row>
    <row r="114" spans="2:2" x14ac:dyDescent="0.25">
      <c r="B114" s="122"/>
    </row>
    <row r="115" spans="2:2" x14ac:dyDescent="0.25">
      <c r="B115" s="122"/>
    </row>
    <row r="116" spans="2:2" x14ac:dyDescent="0.25">
      <c r="B116" s="122"/>
    </row>
    <row r="117" spans="2:2" x14ac:dyDescent="0.25">
      <c r="B117" s="122"/>
    </row>
    <row r="118" spans="2:2" x14ac:dyDescent="0.25">
      <c r="B118" s="122"/>
    </row>
    <row r="119" spans="2:2" x14ac:dyDescent="0.25">
      <c r="B119" s="122"/>
    </row>
    <row r="120" spans="2:2" x14ac:dyDescent="0.25">
      <c r="B120" s="122"/>
    </row>
    <row r="121" spans="2:2" x14ac:dyDescent="0.25">
      <c r="B121" s="122"/>
    </row>
    <row r="122" spans="2:2" x14ac:dyDescent="0.25">
      <c r="B122" s="122"/>
    </row>
    <row r="123" spans="2:2" x14ac:dyDescent="0.25">
      <c r="B123" s="122"/>
    </row>
    <row r="124" spans="2:2" x14ac:dyDescent="0.25">
      <c r="B124" s="122"/>
    </row>
    <row r="125" spans="2:2" x14ac:dyDescent="0.25">
      <c r="B125" s="122"/>
    </row>
    <row r="126" spans="2:2" x14ac:dyDescent="0.25">
      <c r="B126" s="122"/>
    </row>
    <row r="127" spans="2:2" x14ac:dyDescent="0.25">
      <c r="B127" s="122"/>
    </row>
    <row r="128" spans="2:2" x14ac:dyDescent="0.25">
      <c r="B128" s="122"/>
    </row>
    <row r="129" spans="2:2" x14ac:dyDescent="0.25">
      <c r="B129" s="122"/>
    </row>
    <row r="130" spans="2:2" x14ac:dyDescent="0.25">
      <c r="B130" s="122"/>
    </row>
    <row r="131" spans="2:2" x14ac:dyDescent="0.25">
      <c r="B131" s="122"/>
    </row>
    <row r="132" spans="2:2" x14ac:dyDescent="0.25">
      <c r="B132" s="122"/>
    </row>
    <row r="133" spans="2:2" x14ac:dyDescent="0.25">
      <c r="B133" s="122"/>
    </row>
    <row r="134" spans="2:2" x14ac:dyDescent="0.25">
      <c r="B134" s="122"/>
    </row>
    <row r="135" spans="2:2" x14ac:dyDescent="0.25">
      <c r="B135" s="122"/>
    </row>
    <row r="136" spans="2:2" x14ac:dyDescent="0.25">
      <c r="B136" s="122"/>
    </row>
    <row r="137" spans="2:2" x14ac:dyDescent="0.25">
      <c r="B137" s="122"/>
    </row>
    <row r="138" spans="2:2" x14ac:dyDescent="0.25">
      <c r="B138" s="122"/>
    </row>
    <row r="139" spans="2:2" x14ac:dyDescent="0.25">
      <c r="B139" s="122"/>
    </row>
    <row r="140" spans="2:2" x14ac:dyDescent="0.25">
      <c r="B140" s="122"/>
    </row>
    <row r="141" spans="2:2" x14ac:dyDescent="0.25">
      <c r="B141" s="122"/>
    </row>
    <row r="142" spans="2:2" x14ac:dyDescent="0.25">
      <c r="B142" s="122"/>
    </row>
    <row r="143" spans="2:2" x14ac:dyDescent="0.25">
      <c r="B143" s="122"/>
    </row>
    <row r="144" spans="2:2" x14ac:dyDescent="0.25">
      <c r="B144" s="122"/>
    </row>
    <row r="145" spans="2:2" x14ac:dyDescent="0.25">
      <c r="B145" s="122"/>
    </row>
    <row r="146" spans="2:2" x14ac:dyDescent="0.25">
      <c r="B146" s="122"/>
    </row>
    <row r="147" spans="2:2" x14ac:dyDescent="0.25">
      <c r="B147" s="122"/>
    </row>
    <row r="148" spans="2:2" x14ac:dyDescent="0.25">
      <c r="B148" s="122"/>
    </row>
    <row r="149" spans="2:2" x14ac:dyDescent="0.25">
      <c r="B149" s="122"/>
    </row>
    <row r="150" spans="2:2" x14ac:dyDescent="0.25">
      <c r="B150" s="122"/>
    </row>
    <row r="151" spans="2:2" x14ac:dyDescent="0.25">
      <c r="B151" s="122"/>
    </row>
    <row r="152" spans="2:2" x14ac:dyDescent="0.25">
      <c r="B152" s="122"/>
    </row>
    <row r="153" spans="2:2" x14ac:dyDescent="0.25">
      <c r="B153" s="122"/>
    </row>
    <row r="154" spans="2:2" x14ac:dyDescent="0.25">
      <c r="B154" s="122"/>
    </row>
    <row r="155" spans="2:2" x14ac:dyDescent="0.25">
      <c r="B155" s="122"/>
    </row>
    <row r="156" spans="2:2" x14ac:dyDescent="0.25">
      <c r="B156" s="122"/>
    </row>
    <row r="157" spans="2:2" x14ac:dyDescent="0.25">
      <c r="B157" s="122"/>
    </row>
    <row r="158" spans="2:2" x14ac:dyDescent="0.25">
      <c r="B158" s="122"/>
    </row>
    <row r="159" spans="2:2" x14ac:dyDescent="0.25">
      <c r="B159" s="122"/>
    </row>
    <row r="160" spans="2:2" x14ac:dyDescent="0.25">
      <c r="B160" s="122"/>
    </row>
    <row r="161" spans="2:7" x14ac:dyDescent="0.25">
      <c r="B161" s="122"/>
    </row>
    <row r="162" spans="2:7" x14ac:dyDescent="0.25">
      <c r="B162" s="122"/>
    </row>
    <row r="163" spans="2:7" x14ac:dyDescent="0.25">
      <c r="B163" s="122"/>
    </row>
    <row r="164" spans="2:7" x14ac:dyDescent="0.25">
      <c r="B164" s="122"/>
    </row>
    <row r="165" spans="2:7" x14ac:dyDescent="0.25">
      <c r="B165" s="122"/>
    </row>
    <row r="166" spans="2:7" x14ac:dyDescent="0.25">
      <c r="B166" s="125"/>
      <c r="C166" s="126"/>
      <c r="D166" s="127"/>
      <c r="E166" s="127"/>
      <c r="F166" s="127"/>
      <c r="G166" s="127"/>
    </row>
  </sheetData>
  <dataValidations count="1">
    <dataValidation type="list" allowBlank="1" showInputMessage="1" showErrorMessage="1" sqref="B6:B9" xr:uid="{47E283D2-B95D-4E81-A634-87CF3D5A26EF}">
      <formula1>"Tier 1,Tier 2,Tier 3,Tier 4"</formula1>
    </dataValidation>
  </dataValidations>
  <hyperlinks>
    <hyperlink ref="L15" r:id="rId1" location="production-and-consumption-of-final-wood-products " xr:uid="{53A7C2A3-4ACF-4CF3-BAEC-B82CE46F627B}"/>
    <hyperlink ref="L17" r:id="rId2" location="overview-of-the-forestry-sector-202122" display="https://www.agriculture.gov.au/abares/research-topics/forests/forest-economics/forest-wood-products-statistics - overview-of-the-forestry-sector-202122" xr:uid="{C6303DC1-986C-40F4-B61A-96A15E9CD971}"/>
  </hyperlinks>
  <pageMargins left="0.7" right="0.7" top="0.75" bottom="0.75" header="0.3" footer="0.3"/>
  <legacyDrawing r:id="rId3"/>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4E6394-44F6-4BFD-9245-5DD2799D8DF7}">
  <sheetPr codeName="Sheet48">
    <tabColor rgb="FF00CCFF"/>
  </sheetPr>
  <dimension ref="A1:T166"/>
  <sheetViews>
    <sheetView showGridLines="0" zoomScale="80" zoomScaleNormal="80" workbookViewId="0"/>
  </sheetViews>
  <sheetFormatPr defaultRowHeight="13.2" x14ac:dyDescent="0.25"/>
  <cols>
    <col min="1" max="1" width="26.109375" customWidth="1"/>
    <col min="2" max="2" width="128.88671875" customWidth="1"/>
    <col min="3" max="3" width="21" customWidth="1"/>
    <col min="4" max="6" width="19.88671875" style="96" customWidth="1"/>
    <col min="7" max="7" width="23.5546875" style="96" customWidth="1"/>
    <col min="8" max="8" width="14.44140625" style="161" customWidth="1"/>
    <col min="9" max="9" width="14.44140625" customWidth="1"/>
    <col min="10" max="10" width="13.109375" customWidth="1"/>
    <col min="11" max="11" width="16.109375" customWidth="1"/>
    <col min="16" max="16" width="22.88671875" customWidth="1"/>
    <col min="17" max="17" width="43.5546875" customWidth="1"/>
    <col min="18" max="18" width="38.88671875" customWidth="1"/>
    <col min="19" max="19" width="41.44140625" customWidth="1"/>
    <col min="20" max="20" width="36.88671875" customWidth="1"/>
  </cols>
  <sheetData>
    <row r="1" spans="1:20" x14ac:dyDescent="0.25">
      <c r="A1" s="4" t="str" cm="1">
        <f t="array" aca="1" ref="A1" ca="1">MID(CELL("filename",A1),FIND("]",CELL("filename",A1))+1,255)</f>
        <v>Eng_Timber_GLT_CLT_Soft</v>
      </c>
      <c r="H1"/>
    </row>
    <row r="2" spans="1:20" x14ac:dyDescent="0.25">
      <c r="A2" s="4"/>
      <c r="C2" s="4"/>
      <c r="H2"/>
    </row>
    <row r="3" spans="1:20" x14ac:dyDescent="0.25">
      <c r="A3" s="4" t="s">
        <v>4048</v>
      </c>
      <c r="B3" t="s">
        <v>4222</v>
      </c>
      <c r="H3"/>
    </row>
    <row r="4" spans="1:20" x14ac:dyDescent="0.25">
      <c r="A4" s="4"/>
      <c r="H4"/>
    </row>
    <row r="5" spans="1:20" ht="92.25" customHeight="1" x14ac:dyDescent="0.25">
      <c r="A5" s="26" t="s">
        <v>4050</v>
      </c>
      <c r="B5" s="14" t="s">
        <v>4223</v>
      </c>
      <c r="E5" s="43"/>
      <c r="H5"/>
    </row>
    <row r="6" spans="1:20" x14ac:dyDescent="0.25">
      <c r="A6" s="26" t="s">
        <v>4052</v>
      </c>
      <c r="B6" t="s">
        <v>69</v>
      </c>
      <c r="D6" s="43"/>
      <c r="H6"/>
    </row>
    <row r="7" spans="1:20" x14ac:dyDescent="0.25">
      <c r="A7" s="26" t="s">
        <v>4053</v>
      </c>
      <c r="B7" s="27" t="s">
        <v>68</v>
      </c>
      <c r="H7"/>
      <c r="K7" s="4" t="s">
        <v>4101</v>
      </c>
    </row>
    <row r="8" spans="1:20" x14ac:dyDescent="0.25">
      <c r="A8" s="26" t="s">
        <v>4054</v>
      </c>
      <c r="B8" s="27" t="s">
        <v>69</v>
      </c>
      <c r="H8"/>
    </row>
    <row r="9" spans="1:20" x14ac:dyDescent="0.25">
      <c r="A9" s="26" t="s">
        <v>4055</v>
      </c>
      <c r="B9" s="4" t="s">
        <v>69</v>
      </c>
      <c r="H9"/>
      <c r="Q9" t="s">
        <v>4159</v>
      </c>
      <c r="R9" t="s">
        <v>148</v>
      </c>
      <c r="S9" t="s">
        <v>4160</v>
      </c>
      <c r="T9" t="s">
        <v>149</v>
      </c>
    </row>
    <row r="10" spans="1:20" x14ac:dyDescent="0.25">
      <c r="A10" s="26"/>
      <c r="B10" s="4"/>
      <c r="H10"/>
      <c r="L10" s="129" t="s">
        <v>4194</v>
      </c>
      <c r="M10" s="164">
        <v>0.5</v>
      </c>
      <c r="P10" s="129" t="s">
        <v>4196</v>
      </c>
      <c r="Q10" s="67">
        <f>(SUMIF(_xlfn.ANCHORARRAY($B$23),"*"&amp;"Europe"&amp;"*",_xlfn.ANCHORARRAY(D$23))+SUMIF(_xlfn.ANCHORARRAY($B$23),"*"&amp;"Global"&amp;"*",_xlfn.ANCHORARRAY(D$23)))/(COUNTIF(_xlfn.ANCHORARRAY($B$23),"*"&amp;"Europe"&amp;"*")+COUNTIF(_xlfn.ANCHORARRAY($B$23),"*"&amp;"Global"&amp;"*"))</f>
        <v>151.85044444444443</v>
      </c>
      <c r="R10" s="67">
        <f t="shared" ref="R10:T10" si="0">(SUMIF(_xlfn.ANCHORARRAY($B$23),"*"&amp;"Europe"&amp;"*",_xlfn.ANCHORARRAY(E$23))+SUMIF(_xlfn.ANCHORARRAY($B$23),"*"&amp;"Global"&amp;"*",_xlfn.ANCHORARRAY(E$23)))/(COUNTIF(_xlfn.ANCHORARRAY($B$23),"*"&amp;"Europe"&amp;"*")+COUNTIF(_xlfn.ANCHORARRAY($B$23),"*"&amp;"Global"&amp;"*"))</f>
        <v>0.32961996238065189</v>
      </c>
      <c r="S10" s="67">
        <f t="shared" si="0"/>
        <v>758.13955555555549</v>
      </c>
      <c r="T10" s="130">
        <f t="shared" si="0"/>
        <v>1.6089645390070924</v>
      </c>
    </row>
    <row r="11" spans="1:20" x14ac:dyDescent="0.25">
      <c r="A11" s="26" t="s">
        <v>4056</v>
      </c>
      <c r="B11" s="14"/>
      <c r="H11"/>
      <c r="L11" s="125" t="s">
        <v>4197</v>
      </c>
      <c r="M11" s="165">
        <v>0.5</v>
      </c>
      <c r="P11" s="122" t="s">
        <v>4114</v>
      </c>
      <c r="Q11">
        <f>AVERAGEIF(_xlfn.ANCHORARRAY($B$23),"*"&amp;"Australia"&amp;"*",_xlfn.ANCHORARRAY(D$23))</f>
        <v>332.80851428571435</v>
      </c>
      <c r="R11">
        <f t="shared" ref="R11:T11" si="1">AVERAGEIF(_xlfn.ANCHORARRAY($B$23),"*"&amp;"Australia"&amp;"*",_xlfn.ANCHORARRAY(E$23))</f>
        <v>0.60524047462617891</v>
      </c>
      <c r="S11">
        <f t="shared" si="1"/>
        <v>887.21285714285716</v>
      </c>
      <c r="T11" s="124">
        <f t="shared" si="1"/>
        <v>1.6162142857142856</v>
      </c>
    </row>
    <row r="12" spans="1:20" x14ac:dyDescent="0.25">
      <c r="A12" s="101"/>
      <c r="H12"/>
      <c r="P12" s="125" t="s">
        <v>4116</v>
      </c>
      <c r="Q12" s="126">
        <f>SUMPRODUCT(Q10:Q11,$M$10:$M$11)</f>
        <v>242.32947936507941</v>
      </c>
      <c r="R12" s="126">
        <f t="shared" ref="R12:T12" si="2">SUMPRODUCT(R10:R11,$M$10:$M$11)</f>
        <v>0.46743021850341537</v>
      </c>
      <c r="S12" s="126">
        <f t="shared" si="2"/>
        <v>822.67620634920627</v>
      </c>
      <c r="T12" s="142">
        <f t="shared" si="2"/>
        <v>1.612589412360689</v>
      </c>
    </row>
    <row r="13" spans="1:20" x14ac:dyDescent="0.25">
      <c r="A13" s="101"/>
      <c r="H13"/>
    </row>
    <row r="14" spans="1:20" x14ac:dyDescent="0.25">
      <c r="A14" s="26" t="s">
        <v>4057</v>
      </c>
      <c r="H14"/>
      <c r="L14" s="4" t="s">
        <v>4198</v>
      </c>
    </row>
    <row r="15" spans="1:20" x14ac:dyDescent="0.25">
      <c r="A15" s="26"/>
      <c r="D15" s="112" t="s">
        <v>4058</v>
      </c>
      <c r="E15" s="113"/>
      <c r="F15" s="114" t="s">
        <v>4059</v>
      </c>
      <c r="G15" s="113"/>
      <c r="H15"/>
      <c r="L15" s="129" t="s">
        <v>4224</v>
      </c>
    </row>
    <row r="16" spans="1:20" ht="39.6" x14ac:dyDescent="0.25">
      <c r="B16" s="28" t="s">
        <v>3532</v>
      </c>
      <c r="C16" s="23" t="s">
        <v>23</v>
      </c>
      <c r="D16" s="24" t="s">
        <v>141</v>
      </c>
      <c r="E16" s="25" t="s">
        <v>148</v>
      </c>
      <c r="F16" s="24" t="s">
        <v>142</v>
      </c>
      <c r="G16" s="45" t="s">
        <v>149</v>
      </c>
      <c r="H16" s="44" t="s">
        <v>4201</v>
      </c>
    </row>
    <row r="17" spans="2:14" x14ac:dyDescent="0.25">
      <c r="B17" s="29"/>
      <c r="C17" s="30" t="s">
        <v>4060</v>
      </c>
      <c r="D17" s="118" t="str" cm="1">
        <f t="array" ref="D17">IF(AND(_xlfn.ANCHORARRAY(C23)=C23),C23,"Mixed")</f>
        <v>m³</v>
      </c>
      <c r="E17" s="118" t="s">
        <v>219</v>
      </c>
      <c r="F17" s="118" t="str" cm="1">
        <f t="array" ref="F17">IF(AND(_xlfn.ANCHORARRAY(C23)=C23),C23,"Mixed")</f>
        <v>m³</v>
      </c>
      <c r="G17" s="118" t="s">
        <v>219</v>
      </c>
      <c r="L17" s="36"/>
    </row>
    <row r="18" spans="2:14" s="14" customFormat="1" x14ac:dyDescent="0.25">
      <c r="B18" s="31"/>
      <c r="C18" s="4" t="s">
        <v>4061</v>
      </c>
      <c r="D18" s="96">
        <f>MAX(_xlfn.ANCHORARRAY(D23))</f>
        <v>538.5</v>
      </c>
      <c r="E18" s="96">
        <f t="shared" ref="E18" si="3">MAX(_xlfn.ANCHORARRAY(E23))</f>
        <v>1.1966666666666668</v>
      </c>
      <c r="F18" s="162">
        <f>VLOOKUP($D18,$D$23:$F$211,3,FALSE)</f>
        <v>709.5</v>
      </c>
      <c r="G18" s="162">
        <f>VLOOKUP($D18,$D$23:$G$211,4,FALSE)</f>
        <v>1.5766666666666667</v>
      </c>
      <c r="H18" s="163">
        <f>D18/E18</f>
        <v>449.99999999999994</v>
      </c>
      <c r="I18"/>
      <c r="J18"/>
    </row>
    <row r="19" spans="2:14" x14ac:dyDescent="0.25">
      <c r="B19" s="122"/>
      <c r="C19" s="4" t="s">
        <v>4062</v>
      </c>
      <c r="D19" s="96">
        <f>MIN(_xlfn.ANCHORARRAY(D23))</f>
        <v>53.799999999999955</v>
      </c>
      <c r="E19" s="96">
        <f t="shared" ref="E19:G19" si="4">MIN(_xlfn.ANCHORARRAY(E23))</f>
        <v>0.11446808510638307</v>
      </c>
      <c r="F19" s="96">
        <f t="shared" si="4"/>
        <v>709.5</v>
      </c>
      <c r="G19" s="96">
        <f t="shared" si="4"/>
        <v>1.5766666666666667</v>
      </c>
      <c r="H19" s="163">
        <f>D19/E19</f>
        <v>469.99999999999926</v>
      </c>
    </row>
    <row r="20" spans="2:14" x14ac:dyDescent="0.25">
      <c r="B20" s="122"/>
      <c r="C20" s="35" t="s">
        <v>4203</v>
      </c>
      <c r="D20" s="96">
        <f>Q12</f>
        <v>242.32947936507941</v>
      </c>
      <c r="E20" s="96">
        <f t="shared" ref="E20:G20" si="5">R12</f>
        <v>0.46743021850341537</v>
      </c>
      <c r="F20" s="96">
        <f t="shared" si="5"/>
        <v>822.67620634920627</v>
      </c>
      <c r="G20" s="96">
        <f t="shared" si="5"/>
        <v>1.612589412360689</v>
      </c>
      <c r="H20" s="163">
        <f>D20/E20</f>
        <v>518.42921097603107</v>
      </c>
    </row>
    <row r="21" spans="2:14" x14ac:dyDescent="0.25">
      <c r="B21" s="122"/>
      <c r="C21" s="4" t="s">
        <v>4063</v>
      </c>
      <c r="D21" s="96">
        <f>AVERAGE(_xlfn.ANCHORARRAY(D23))</f>
        <v>215.06157681159422</v>
      </c>
      <c r="E21" s="96">
        <f t="shared" ref="E21:G21" si="6">AVERAGE(_xlfn.ANCHORARRAY(E23))</f>
        <v>0.43426633109721258</v>
      </c>
      <c r="F21" s="96">
        <f t="shared" si="6"/>
        <v>795.59492753623181</v>
      </c>
      <c r="G21" s="96">
        <f t="shared" si="6"/>
        <v>1.6153464384828862</v>
      </c>
      <c r="H21" s="163">
        <f>D21/E21</f>
        <v>495.22968144507541</v>
      </c>
      <c r="L21" s="14"/>
      <c r="M21" s="14"/>
      <c r="N21" s="14"/>
    </row>
    <row r="22" spans="2:14" x14ac:dyDescent="0.25">
      <c r="B22" s="32" t="s">
        <v>4064</v>
      </c>
      <c r="D22"/>
      <c r="E22"/>
      <c r="F22"/>
      <c r="G22"/>
      <c r="H22" s="163"/>
    </row>
    <row r="23" spans="2:14" x14ac:dyDescent="0.25">
      <c r="B23" s="122" t="str" cm="1">
        <f t="array" ref="B23:B45">_xlfn.UNIQUE(_xlfn._xlws.FILTER('EPD List'!D:D,ISNUMBER(SEARCH(B16,'EPD List'!C:C)),0))</f>
        <v>GLT&amp;CLT (sw), Global, CLT (Cross Laminated Timber) (Stora Enso) (Austria)</v>
      </c>
      <c r="C23" t="str" cm="1">
        <f t="array" ref="C23:C45">_xlfn.IFNA(INDEX('EPD List'!$A:$AB,MATCH(_xlfn.ANCHORARRAY(B23),'EPD List'!$D:$D,0),MATCH(C$16,'EPD List'!$7:$7,0)),"")</f>
        <v>m³</v>
      </c>
      <c r="D23" s="96" cm="1">
        <f t="array" ref="D23:D45">_xlfn.IFNA(VALUE((INDEX('EPD List'!$A:$AD,MATCH(_xlfn.ANCHORARRAY($B23),'EPD List'!$D:$D,0),MATCH(D$16,'EPD List'!$7:$7,0)))),"")</f>
        <v>53.799999999999955</v>
      </c>
      <c r="E23" s="96" cm="1">
        <f t="array" ref="E23:E45">_xlfn.IFNA(VALUE((INDEX('EPD List'!$A:$AD,MATCH(_xlfn.ANCHORARRAY($B23),'EPD List'!$D:$D,0),MATCH(E$16,'EPD List'!$7:$7,0)))),"")</f>
        <v>0.11446808510638307</v>
      </c>
      <c r="F23" s="96" cm="1">
        <f t="array" ref="F23:F45">_xlfn.IFNA(VALUE((INDEX('EPD List'!$A:$AD,MATCH(_xlfn.ANCHORARRAY($B23),'EPD List'!$D:$D,0),MATCH(F$16,'EPD List'!$7:$7,0)))),"")</f>
        <v>761.93333333333339</v>
      </c>
      <c r="G23" s="96" cm="1">
        <f t="array" ref="G23:G45">_xlfn.IFNA(VALUE((INDEX('EPD List'!$A:$AD,MATCH(_xlfn.ANCHORARRAY($B23),'EPD List'!$D:$D,0),MATCH(G$16,'EPD List'!$7:$7,0)))),"")</f>
        <v>1.6211347517730497</v>
      </c>
      <c r="H23" s="163">
        <f>IFERROR(IF($C23="kg",1,
IF($C23="tonne",1000,
IF(OR($C23="m³",$C23="m³"),INDEX('EPD List'!$A:$AB,MATCH($B23,'EPD List'!$D:$D,0),MATCH("Density (kg/m3)",'EPD List'!$7:$7,0)),
IF(OR($C23="m²",$C23="m2"),INDEX('EPD List'!$A:$AB,MATCH($B23,'EPD List'!$D:$D,0),MATCH("Area density (kg/m2)",'EPD List'!$7:$7,0)),
IF($C23="m",INDEX('EPD List'!$A:$AB,MATCH($B23,'EPD List'!$D:$D,0),MATCH("mass per m (kg/m)",'EPD List'!$7:$7,0)),
IF($C23="unit",INDEX('EPD List'!$A:$AB,MATCH($B23,'EPD List'!$D:$D,0),MATCH("Mass per unit (kg/unit)",'EPD List'!$7:$7,0)),NA())))))),"")</f>
        <v>470</v>
      </c>
    </row>
    <row r="24" spans="2:14" x14ac:dyDescent="0.25">
      <c r="B24" s="122" t="str">
        <v>Max variaton for softwood Glulam FWPA, Australia</v>
      </c>
      <c r="C24" t="str">
        <v>m³</v>
      </c>
      <c r="D24" s="96">
        <v>425.60000000000014</v>
      </c>
      <c r="E24" s="96">
        <v>0.68534621578099864</v>
      </c>
      <c r="F24" s="96">
        <v>1001.8800000000001</v>
      </c>
      <c r="G24" s="96">
        <v>1.6133333333333335</v>
      </c>
      <c r="H24" s="163">
        <f>IFERROR(IF($C24="kg",1,
IF($C24="tonne",1000,
IF(OR($C24="m³",$C24="m³"),INDEX('EPD List'!$A:$AB,MATCH($B24,'EPD List'!$D:$D,0),MATCH("Density (kg/m3)",'EPD List'!$7:$7,0)),
IF(OR($C24="m²",$C24="m2"),INDEX('EPD List'!$A:$AB,MATCH($B24,'EPD List'!$D:$D,0),MATCH("Area density (kg/m2)",'EPD List'!$7:$7,0)),
IF($C24="m",INDEX('EPD List'!$A:$AB,MATCH($B24,'EPD List'!$D:$D,0),MATCH("mass per m (kg/m)",'EPD List'!$7:$7,0)),
IF($C24="unit",INDEX('EPD List'!$A:$AB,MATCH($B24,'EPD List'!$D:$D,0),MATCH("Mass per unit (kg/unit)",'EPD List'!$7:$7,0)),NA())))))),"")</f>
        <v>621</v>
      </c>
    </row>
    <row r="25" spans="2:14" x14ac:dyDescent="0.25">
      <c r="B25" s="122" t="str">
        <v>XLam CLT panels, XLam Australia, Australia</v>
      </c>
      <c r="C25" t="str">
        <v>m³</v>
      </c>
      <c r="D25" s="96">
        <v>273.60000000000002</v>
      </c>
      <c r="E25" s="96">
        <v>0.57000000000000006</v>
      </c>
      <c r="F25" s="96">
        <v>765.6</v>
      </c>
      <c r="G25" s="96">
        <v>1.595</v>
      </c>
      <c r="H25" s="163">
        <f>IFERROR(IF($C25="kg",1,
IF($C25="tonne",1000,
IF(OR($C25="m³",$C25="m³"),INDEX('EPD List'!$A:$AB,MATCH($B25,'EPD List'!$D:$D,0),MATCH("Density (kg/m3)",'EPD List'!$7:$7,0)),
IF(OR($C25="m²",$C25="m2"),INDEX('EPD List'!$A:$AB,MATCH($B25,'EPD List'!$D:$D,0),MATCH("Area density (kg/m2)",'EPD List'!$7:$7,0)),
IF($C25="m",INDEX('EPD List'!$A:$AB,MATCH($B25,'EPD List'!$D:$D,0),MATCH("mass per m (kg/m)",'EPD List'!$7:$7,0)),
IF($C25="unit",INDEX('EPD List'!$A:$AB,MATCH($B25,'EPD List'!$D:$D,0),MATCH("Mass per unit (kg/unit)",'EPD List'!$7:$7,0)),NA())))))),"")</f>
        <v>480</v>
      </c>
    </row>
    <row r="26" spans="2:14" x14ac:dyDescent="0.25">
      <c r="B26" s="122" t="str">
        <v>Glulam, sw, Wood solutions, FWPA, Australia</v>
      </c>
      <c r="C26" t="str">
        <v>m³</v>
      </c>
      <c r="D26" s="96">
        <v>389.88000000000011</v>
      </c>
      <c r="E26" s="96">
        <v>0.62782608695652198</v>
      </c>
      <c r="F26" s="96">
        <v>1001.8800000000001</v>
      </c>
      <c r="G26" s="96">
        <v>1.6133333333333335</v>
      </c>
      <c r="H26" s="163">
        <f>IFERROR(IF($C26="kg",1,
IF($C26="tonne",1000,
IF(OR($C26="m³",$C26="m³"),INDEX('EPD List'!$A:$AB,MATCH($B26,'EPD List'!$D:$D,0),MATCH("Density (kg/m3)",'EPD List'!$7:$7,0)),
IF(OR($C26="m²",$C26="m2"),INDEX('EPD List'!$A:$AB,MATCH($B26,'EPD List'!$D:$D,0),MATCH("Area density (kg/m2)",'EPD List'!$7:$7,0)),
IF($C26="m",INDEX('EPD List'!$A:$AB,MATCH($B26,'EPD List'!$D:$D,0),MATCH("mass per m (kg/m)",'EPD List'!$7:$7,0)),
IF($C26="unit",INDEX('EPD List'!$A:$AB,MATCH($B26,'EPD List'!$D:$D,0),MATCH("Mass per unit (kg/unit)",'EPD List'!$7:$7,0)),NA())))))),"")</f>
        <v>621</v>
      </c>
    </row>
    <row r="27" spans="2:14" x14ac:dyDescent="0.25">
      <c r="B27" s="122" t="str">
        <v>Glued laminated timber beams from Spruce and pine (ZAZA TIMBER Production, Ltd) (Europe)</v>
      </c>
      <c r="C27" t="str">
        <v>m³</v>
      </c>
      <c r="D27" s="96">
        <v>338.86666666666667</v>
      </c>
      <c r="E27" s="96">
        <v>0.77015151515151514</v>
      </c>
      <c r="F27" s="96">
        <v>709.86666666666667</v>
      </c>
      <c r="G27" s="96">
        <v>1.6133333333333333</v>
      </c>
      <c r="H27" s="163">
        <f>IFERROR(IF($C27="kg",1,
IF($C27="tonne",1000,
IF(OR($C27="m³",$C27="m³"),INDEX('EPD List'!$A:$AB,MATCH($B27,'EPD List'!$D:$D,0),MATCH("Density (kg/m3)",'EPD List'!$7:$7,0)),
IF(OR($C27="m²",$C27="m2"),INDEX('EPD List'!$A:$AB,MATCH($B27,'EPD List'!$D:$D,0),MATCH("Area density (kg/m2)",'EPD List'!$7:$7,0)),
IF($C27="m",INDEX('EPD List'!$A:$AB,MATCH($B27,'EPD List'!$D:$D,0),MATCH("mass per m (kg/m)",'EPD List'!$7:$7,0)),
IF($C27="unit",INDEX('EPD List'!$A:$AB,MATCH($B27,'EPD List'!$D:$D,0),MATCH("Mass per unit (kg/unit)",'EPD List'!$7:$7,0)),NA())))))),"")</f>
        <v>440</v>
      </c>
    </row>
    <row r="28" spans="2:14" x14ac:dyDescent="0.25">
      <c r="B28" s="122" t="str">
        <v>Treated Glued laminated timber beams from Spruce and Pine (ZAZA TIMBER Production, Ltd) (Europe)</v>
      </c>
      <c r="C28" t="str">
        <v>m³</v>
      </c>
      <c r="D28" s="96">
        <v>538.5</v>
      </c>
      <c r="E28" s="96">
        <v>1.1966666666666668</v>
      </c>
      <c r="F28" s="96">
        <v>709.5</v>
      </c>
      <c r="G28" s="96">
        <v>1.5766666666666667</v>
      </c>
      <c r="H28" s="163">
        <f>IFERROR(IF($C28="kg",1,
IF($C28="tonne",1000,
IF(OR($C28="m³",$C28="m³"),INDEX('EPD List'!$A:$AB,MATCH($B28,'EPD List'!$D:$D,0),MATCH("Density (kg/m3)",'EPD List'!$7:$7,0)),
IF(OR($C28="m²",$C28="m2"),INDEX('EPD List'!$A:$AB,MATCH($B28,'EPD List'!$D:$D,0),MATCH("Area density (kg/m2)",'EPD List'!$7:$7,0)),
IF($C28="m",INDEX('EPD List'!$A:$AB,MATCH($B28,'EPD List'!$D:$D,0),MATCH("mass per m (kg/m)",'EPD List'!$7:$7,0)),
IF($C28="unit",INDEX('EPD List'!$A:$AB,MATCH($B28,'EPD List'!$D:$D,0),MATCH("Mass per unit (kg/unit)",'EPD List'!$7:$7,0)),NA())))))),"")</f>
        <v>450</v>
      </c>
    </row>
    <row r="29" spans="2:14" x14ac:dyDescent="0.25">
      <c r="B29" s="122" t="str">
        <v>GLT&amp;CLT (sw), , Min variaton for softwood Glulam FWPA, Australia (FWPA) (Australia)</v>
      </c>
      <c r="C29" t="str">
        <v>m³</v>
      </c>
      <c r="D29" s="96">
        <v>327.56000000000017</v>
      </c>
      <c r="E29" s="96">
        <v>0.52747181964573286</v>
      </c>
      <c r="F29" s="96">
        <v>1001.8800000000001</v>
      </c>
      <c r="G29" s="96">
        <v>1.6133333333333335</v>
      </c>
      <c r="H29" s="163">
        <f>IFERROR(IF($C29="kg",1,
IF($C29="tonne",1000,
IF(OR($C29="m³",$C29="m³"),INDEX('EPD List'!$A:$AB,MATCH($B29,'EPD List'!$D:$D,0),MATCH("Density (kg/m3)",'EPD List'!$7:$7,0)),
IF(OR($C29="m²",$C29="m2"),INDEX('EPD List'!$A:$AB,MATCH($B29,'EPD List'!$D:$D,0),MATCH("Area density (kg/m2)",'EPD List'!$7:$7,0)),
IF($C29="m",INDEX('EPD List'!$A:$AB,MATCH($B29,'EPD List'!$D:$D,0),MATCH("mass per m (kg/m)",'EPD List'!$7:$7,0)),
IF($C29="unit",INDEX('EPD List'!$A:$AB,MATCH($B29,'EPD List'!$D:$D,0),MATCH("Mass per unit (kg/unit)",'EPD List'!$7:$7,0)),NA())))))),"")</f>
        <v>621</v>
      </c>
    </row>
    <row r="30" spans="2:14" x14ac:dyDescent="0.25">
      <c r="B30" s="122" t="str">
        <v>GLT&amp;CLT (sw), Global, KLH® - CLT (Cross Laminated Timber) (KLH Massivholz GmbH) (Austria)</v>
      </c>
      <c r="C30" t="str">
        <v>m³</v>
      </c>
      <c r="D30" s="96">
        <v>87.389999999999986</v>
      </c>
      <c r="E30" s="96">
        <v>0.18593617021276598</v>
      </c>
      <c r="F30" s="96">
        <v>758.26666666666677</v>
      </c>
      <c r="G30" s="96">
        <v>1.6133333333333335</v>
      </c>
      <c r="H30" s="163">
        <f>IFERROR(IF($C30="kg",1,
IF($C30="tonne",1000,
IF(OR($C30="m³",$C30="m³"),INDEX('EPD List'!$A:$AB,MATCH($B30,'EPD List'!$D:$D,0),MATCH("Density (kg/m3)",'EPD List'!$7:$7,0)),
IF(OR($C30="m²",$C30="m2"),INDEX('EPD List'!$A:$AB,MATCH($B30,'EPD List'!$D:$D,0),MATCH("Area density (kg/m2)",'EPD List'!$7:$7,0)),
IF($C30="m",INDEX('EPD List'!$A:$AB,MATCH($B30,'EPD List'!$D:$D,0),MATCH("mass per m (kg/m)",'EPD List'!$7:$7,0)),
IF($C30="unit",INDEX('EPD List'!$A:$AB,MATCH($B30,'EPD List'!$D:$D,0),MATCH("Mass per unit (kg/unit)",'EPD List'!$7:$7,0)),NA())))))),"")</f>
        <v>470</v>
      </c>
    </row>
    <row r="31" spans="2:14" x14ac:dyDescent="0.25">
      <c r="B31" s="122" t="str">
        <v>GLT&amp;CLT (sw), Global, CLT, H4 CCA (Red Stag) (New Zealand)</v>
      </c>
      <c r="C31" t="str">
        <v>m³</v>
      </c>
      <c r="D31" s="96">
        <v>97.799999999999955</v>
      </c>
      <c r="E31" s="96">
        <v>0.2037500000000001</v>
      </c>
      <c r="F31" s="96">
        <v>774.4</v>
      </c>
      <c r="G31" s="96">
        <v>1.6133333333333333</v>
      </c>
      <c r="H31" s="163">
        <f>IFERROR(IF($C31="kg",1,
IF($C31="tonne",1000,
IF(OR($C31="m³",$C31="m³"),INDEX('EPD List'!$A:$AB,MATCH($B31,'EPD List'!$D:$D,0),MATCH("Density (kg/m3)",'EPD List'!$7:$7,0)),
IF(OR($C31="m²",$C31="m2"),INDEX('EPD List'!$A:$AB,MATCH($B31,'EPD List'!$D:$D,0),MATCH("Area density (kg/m2)",'EPD List'!$7:$7,0)),
IF($C31="m",INDEX('EPD List'!$A:$AB,MATCH($B31,'EPD List'!$D:$D,0),MATCH("mass per m (kg/m)",'EPD List'!$7:$7,0)),
IF($C31="unit",INDEX('EPD List'!$A:$AB,MATCH($B31,'EPD List'!$D:$D,0),MATCH("Mass per unit (kg/unit)",'EPD List'!$7:$7,0)),NA())))))),"")</f>
        <v>480</v>
      </c>
    </row>
    <row r="32" spans="2:14" x14ac:dyDescent="0.25">
      <c r="B32" s="122" t="str">
        <v>GLT&amp;CLT (sw), Global, CLT, H4 CCA Re-dried (Red Stag) (New Zealand)</v>
      </c>
      <c r="C32" t="str">
        <v>m³</v>
      </c>
      <c r="D32" s="96">
        <v>103</v>
      </c>
      <c r="E32" s="96">
        <v>0.21458333333333335</v>
      </c>
      <c r="F32" s="96">
        <v>774.4</v>
      </c>
      <c r="G32" s="96">
        <v>1.6133333333333333</v>
      </c>
      <c r="H32" s="163">
        <f>IFERROR(IF($C32="kg",1,
IF($C32="tonne",1000,
IF(OR($C32="m³",$C32="m³"),INDEX('EPD List'!$A:$AB,MATCH($B32,'EPD List'!$D:$D,0),MATCH("Density (kg/m3)",'EPD List'!$7:$7,0)),
IF(OR($C32="m²",$C32="m2"),INDEX('EPD List'!$A:$AB,MATCH($B32,'EPD List'!$D:$D,0),MATCH("Area density (kg/m2)",'EPD List'!$7:$7,0)),
IF($C32="m",INDEX('EPD List'!$A:$AB,MATCH($B32,'EPD List'!$D:$D,0),MATCH("mass per m (kg/m)",'EPD List'!$7:$7,0)),
IF($C32="unit",INDEX('EPD List'!$A:$AB,MATCH($B32,'EPD List'!$D:$D,0),MATCH("Mass per unit (kg/unit)",'EPD List'!$7:$7,0)),NA())))))),"")</f>
        <v>480</v>
      </c>
    </row>
    <row r="33" spans="2:8" x14ac:dyDescent="0.25">
      <c r="B33" s="122" t="str">
        <v>GLT&amp;CLT (sw), Global, CLT, H1.2 Boron re-dried (Red Stag) (New Zealand)</v>
      </c>
      <c r="C33" t="str">
        <v>m³</v>
      </c>
      <c r="D33" s="96">
        <v>73.600000000000023</v>
      </c>
      <c r="E33" s="96">
        <v>0.15333333333333332</v>
      </c>
      <c r="F33" s="96">
        <v>774.4</v>
      </c>
      <c r="G33" s="96">
        <v>1.6133333333333333</v>
      </c>
      <c r="H33" s="163">
        <f>IFERROR(IF($C33="kg",1,
IF($C33="tonne",1000,
IF(OR($C33="m³",$C33="m³"),INDEX('EPD List'!$A:$AB,MATCH($B33,'EPD List'!$D:$D,0),MATCH("Density (kg/m3)",'EPD List'!$7:$7,0)),
IF(OR($C33="m²",$C33="m2"),INDEX('EPD List'!$A:$AB,MATCH($B33,'EPD List'!$D:$D,0),MATCH("Area density (kg/m2)",'EPD List'!$7:$7,0)),
IF($C33="m",INDEX('EPD List'!$A:$AB,MATCH($B33,'EPD List'!$D:$D,0),MATCH("mass per m (kg/m)",'EPD List'!$7:$7,0)),
IF($C33="unit",INDEX('EPD List'!$A:$AB,MATCH($B33,'EPD List'!$D:$D,0),MATCH("Mass per unit (kg/unit)",'EPD List'!$7:$7,0)),NA())))))),"")</f>
        <v>480</v>
      </c>
    </row>
    <row r="34" spans="2:8" x14ac:dyDescent="0.25">
      <c r="B34" s="122" t="str">
        <v>GLT&amp;CLT (sw), Global, CLT, H3.1 Copper Azole (Red Stag) (New Zealand)</v>
      </c>
      <c r="C34" t="str">
        <v>m³</v>
      </c>
      <c r="D34" s="96">
        <v>79.600000000000023</v>
      </c>
      <c r="E34" s="96">
        <v>0.16583333333333328</v>
      </c>
      <c r="F34" s="96">
        <v>774.4</v>
      </c>
      <c r="G34" s="96">
        <v>1.6133333333333333</v>
      </c>
      <c r="H34" s="163">
        <f>IFERROR(IF($C34="kg",1,
IF($C34="tonne",1000,
IF(OR($C34="m³",$C34="m³"),INDEX('EPD List'!$A:$AB,MATCH($B34,'EPD List'!$D:$D,0),MATCH("Density (kg/m3)",'EPD List'!$7:$7,0)),
IF(OR($C34="m²",$C34="m2"),INDEX('EPD List'!$A:$AB,MATCH($B34,'EPD List'!$D:$D,0),MATCH("Area density (kg/m2)",'EPD List'!$7:$7,0)),
IF($C34="m",INDEX('EPD List'!$A:$AB,MATCH($B34,'EPD List'!$D:$D,0),MATCH("mass per m (kg/m)",'EPD List'!$7:$7,0)),
IF($C34="unit",INDEX('EPD List'!$A:$AB,MATCH($B34,'EPD List'!$D:$D,0),MATCH("Mass per unit (kg/unit)",'EPD List'!$7:$7,0)),NA())))))),"")</f>
        <v>480</v>
      </c>
    </row>
    <row r="35" spans="2:8" x14ac:dyDescent="0.25">
      <c r="B35" s="122" t="str">
        <v>GLT&amp;CLT (sw), Global, CLT, H1.2 Boron (Red Stag) (New Zealand)</v>
      </c>
      <c r="C35" t="str">
        <v>m³</v>
      </c>
      <c r="D35" s="96">
        <v>68.700000000000045</v>
      </c>
      <c r="E35" s="96">
        <v>0.14312499999999995</v>
      </c>
      <c r="F35" s="96">
        <v>774.4</v>
      </c>
      <c r="G35" s="96">
        <v>1.6133333333333333</v>
      </c>
      <c r="H35" s="163">
        <f>IFERROR(IF($C35="kg",1,
IF($C35="tonne",1000,
IF(OR($C35="m³",$C35="m³"),INDEX('EPD List'!$A:$AB,MATCH($B35,'EPD List'!$D:$D,0),MATCH("Density (kg/m3)",'EPD List'!$7:$7,0)),
IF(OR($C35="m²",$C35="m2"),INDEX('EPD List'!$A:$AB,MATCH($B35,'EPD List'!$D:$D,0),MATCH("Area density (kg/m2)",'EPD List'!$7:$7,0)),
IF($C35="m",INDEX('EPD List'!$A:$AB,MATCH($B35,'EPD List'!$D:$D,0),MATCH("mass per m (kg/m)",'EPD List'!$7:$7,0)),
IF($C35="unit",INDEX('EPD List'!$A:$AB,MATCH($B35,'EPD List'!$D:$D,0),MATCH("Mass per unit (kg/unit)",'EPD List'!$7:$7,0)),NA())))))),"")</f>
        <v>480</v>
      </c>
    </row>
    <row r="36" spans="2:8" x14ac:dyDescent="0.25">
      <c r="B36" s="122" t="str">
        <v>GLT&amp;CLT (sw), Global, CLT, No Treatment (Red Stag) (New Zealand)</v>
      </c>
      <c r="C36" t="str">
        <v>m³</v>
      </c>
      <c r="D36" s="96">
        <v>65.899999999999977</v>
      </c>
      <c r="E36" s="96">
        <v>0.13729166666666659</v>
      </c>
      <c r="F36" s="96">
        <v>774.4</v>
      </c>
      <c r="G36" s="96">
        <v>1.6133333333333333</v>
      </c>
      <c r="H36" s="163">
        <f>IFERROR(IF($C36="kg",1,
IF($C36="tonne",1000,
IF(OR($C36="m³",$C36="m³"),INDEX('EPD List'!$A:$AB,MATCH($B36,'EPD List'!$D:$D,0),MATCH("Density (kg/m3)",'EPD List'!$7:$7,0)),
IF(OR($C36="m²",$C36="m2"),INDEX('EPD List'!$A:$AB,MATCH($B36,'EPD List'!$D:$D,0),MATCH("Area density (kg/m2)",'EPD List'!$7:$7,0)),
IF($C36="m",INDEX('EPD List'!$A:$AB,MATCH($B36,'EPD List'!$D:$D,0),MATCH("mass per m (kg/m)",'EPD List'!$7:$7,0)),
IF($C36="unit",INDEX('EPD List'!$A:$AB,MATCH($B36,'EPD List'!$D:$D,0),MATCH("Mass per unit (kg/unit)",'EPD List'!$7:$7,0)),NA())))))),"")</f>
        <v>480</v>
      </c>
    </row>
    <row r="37" spans="2:8" x14ac:dyDescent="0.25">
      <c r="B37" s="122" t="str">
        <v>GLT&amp;CLT (sw), Global, CLT, H3 CCA Re-dried (Red Stag) (New Zealand)</v>
      </c>
      <c r="C37" t="str">
        <v>m³</v>
      </c>
      <c r="D37" s="96">
        <v>92.700000000000045</v>
      </c>
      <c r="E37" s="96">
        <v>0.19312499999999999</v>
      </c>
      <c r="F37" s="96">
        <v>774.4</v>
      </c>
      <c r="G37" s="96">
        <v>1.6133333333333333</v>
      </c>
      <c r="H37" s="163">
        <f>IFERROR(IF($C37="kg",1,
IF($C37="tonne",1000,
IF(OR($C37="m³",$C37="m³"),INDEX('EPD List'!$A:$AB,MATCH($B37,'EPD List'!$D:$D,0),MATCH("Density (kg/m3)",'EPD List'!$7:$7,0)),
IF(OR($C37="m²",$C37="m2"),INDEX('EPD List'!$A:$AB,MATCH($B37,'EPD List'!$D:$D,0),MATCH("Area density (kg/m2)",'EPD List'!$7:$7,0)),
IF($C37="m",INDEX('EPD List'!$A:$AB,MATCH($B37,'EPD List'!$D:$D,0),MATCH("mass per m (kg/m)",'EPD List'!$7:$7,0)),
IF($C37="unit",INDEX('EPD List'!$A:$AB,MATCH($B37,'EPD List'!$D:$D,0),MATCH("Mass per unit (kg/unit)",'EPD List'!$7:$7,0)),NA())))))),"")</f>
        <v>480</v>
      </c>
    </row>
    <row r="38" spans="2:8" x14ac:dyDescent="0.25">
      <c r="B38" s="122" t="str">
        <v>GLT&amp;CLT (sw), Global, CLT, H3 CCA (Red Stag) (New Zealand)</v>
      </c>
      <c r="C38" t="str">
        <v>m³</v>
      </c>
      <c r="D38" s="96">
        <v>87.799999999999955</v>
      </c>
      <c r="E38" s="96">
        <v>0.18291666666666662</v>
      </c>
      <c r="F38" s="96">
        <v>774.4</v>
      </c>
      <c r="G38" s="96">
        <v>1.6133333333333333</v>
      </c>
      <c r="H38" s="163">
        <f>IFERROR(IF($C38="kg",1,
IF($C38="tonne",1000,
IF(OR($C38="m³",$C38="m³"),INDEX('EPD List'!$A:$AB,MATCH($B38,'EPD List'!$D:$D,0),MATCH("Density (kg/m3)",'EPD List'!$7:$7,0)),
IF(OR($C38="m²",$C38="m2"),INDEX('EPD List'!$A:$AB,MATCH($B38,'EPD List'!$D:$D,0),MATCH("Area density (kg/m2)",'EPD List'!$7:$7,0)),
IF($C38="m",INDEX('EPD List'!$A:$AB,MATCH($B38,'EPD List'!$D:$D,0),MATCH("mass per m (kg/m)",'EPD List'!$7:$7,0)),
IF($C38="unit",INDEX('EPD List'!$A:$AB,MATCH($B38,'EPD List'!$D:$D,0),MATCH("Mass per unit (kg/unit)",'EPD List'!$7:$7,0)),NA())))))),"")</f>
        <v>480</v>
      </c>
    </row>
    <row r="39" spans="2:8" x14ac:dyDescent="0.25">
      <c r="B39" s="122" t="str">
        <v>GLT&amp;CLT (sw), Global, CLT, H3.1 LOSP (Red Stag) (New Zealand)</v>
      </c>
      <c r="C39" t="str">
        <v>m³</v>
      </c>
      <c r="D39" s="96">
        <v>135</v>
      </c>
      <c r="E39" s="96">
        <v>0.28125</v>
      </c>
      <c r="F39" s="96">
        <v>774.4</v>
      </c>
      <c r="G39" s="96">
        <v>1.6133333333333333</v>
      </c>
      <c r="H39" s="163">
        <f>IFERROR(IF($C39="kg",1,
IF($C39="tonne",1000,
IF(OR($C39="m³",$C39="m³"),INDEX('EPD List'!$A:$AB,MATCH($B39,'EPD List'!$D:$D,0),MATCH("Density (kg/m3)",'EPD List'!$7:$7,0)),
IF(OR($C39="m²",$C39="m2"),INDEX('EPD List'!$A:$AB,MATCH($B39,'EPD List'!$D:$D,0),MATCH("Area density (kg/m2)",'EPD List'!$7:$7,0)),
IF($C39="m",INDEX('EPD List'!$A:$AB,MATCH($B39,'EPD List'!$D:$D,0),MATCH("mass per m (kg/m)",'EPD List'!$7:$7,0)),
IF($C39="unit",INDEX('EPD List'!$A:$AB,MATCH($B39,'EPD List'!$D:$D,0),MATCH("Mass per unit (kg/unit)",'EPD List'!$7:$7,0)),NA())))))),"")</f>
        <v>480</v>
      </c>
    </row>
    <row r="40" spans="2:8" x14ac:dyDescent="0.25">
      <c r="B40" s="122" t="str">
        <v>GLT&amp;CLT (sw), NEXTIMBER CLT, Timberlink, Australia</v>
      </c>
      <c r="C40" t="str">
        <v>m³</v>
      </c>
      <c r="D40" s="96">
        <v>253.01959999999997</v>
      </c>
      <c r="E40" s="96">
        <v>0.50603920000000002</v>
      </c>
      <c r="F40" s="96">
        <v>813.08333333333337</v>
      </c>
      <c r="G40" s="96">
        <v>1.6261666666666668</v>
      </c>
      <c r="H40" s="163">
        <f>IFERROR(IF($C40="kg",1,
IF($C40="tonne",1000,
IF(OR($C40="m³",$C40="m³"),INDEX('EPD List'!$A:$AB,MATCH($B40,'EPD List'!$D:$D,0),MATCH("Density (kg/m3)",'EPD List'!$7:$7,0)),
IF(OR($C40="m²",$C40="m2"),INDEX('EPD List'!$A:$AB,MATCH($B40,'EPD List'!$D:$D,0),MATCH("Area density (kg/m2)",'EPD List'!$7:$7,0)),
IF($C40="m",INDEX('EPD List'!$A:$AB,MATCH($B40,'EPD List'!$D:$D,0),MATCH("mass per m (kg/m)",'EPD List'!$7:$7,0)),
IF($C40="unit",INDEX('EPD List'!$A:$AB,MATCH($B40,'EPD List'!$D:$D,0),MATCH("Mass per unit (kg/unit)",'EPD List'!$7:$7,0)),NA())))))),"")</f>
        <v>500</v>
      </c>
    </row>
    <row r="41" spans="2:8" x14ac:dyDescent="0.25">
      <c r="B41" s="122" t="str">
        <v>GLT&amp;CLT (sw), NEXTIMBER GLT (UNTREATED), Timberlink, Australia</v>
      </c>
      <c r="C41" t="str">
        <v>m³</v>
      </c>
      <c r="D41" s="96">
        <v>308</v>
      </c>
      <c r="E41" s="96">
        <v>0.61599999999999988</v>
      </c>
      <c r="F41" s="96">
        <v>813.08333333333337</v>
      </c>
      <c r="G41" s="96">
        <v>1.6261666666666668</v>
      </c>
      <c r="H41" s="163">
        <f>IFERROR(IF($C41="kg",1,
IF($C41="tonne",1000,
IF(OR($C41="m³",$C41="m³"),INDEX('EPD List'!$A:$AB,MATCH($B41,'EPD List'!$D:$D,0),MATCH("Density (kg/m3)",'EPD List'!$7:$7,0)),
IF(OR($C41="m²",$C41="m2"),INDEX('EPD List'!$A:$AB,MATCH($B41,'EPD List'!$D:$D,0),MATCH("Area density (kg/m2)",'EPD List'!$7:$7,0)),
IF($C41="m",INDEX('EPD List'!$A:$AB,MATCH($B41,'EPD List'!$D:$D,0),MATCH("mass per m (kg/m)",'EPD List'!$7:$7,0)),
IF($C41="unit",INDEX('EPD List'!$A:$AB,MATCH($B41,'EPD List'!$D:$D,0),MATCH("Mass per unit (kg/unit)",'EPD List'!$7:$7,0)),NA())))))),"")</f>
        <v>500</v>
      </c>
    </row>
    <row r="42" spans="2:8" x14ac:dyDescent="0.25">
      <c r="B42" s="122" t="str">
        <v>GLT&amp;CLT (sw), NEXTIMBER GLT (TREATED) treated to H3 level, Timberlink, Australia</v>
      </c>
      <c r="C42" t="str">
        <v>m³</v>
      </c>
      <c r="D42" s="96">
        <v>352</v>
      </c>
      <c r="E42" s="96">
        <v>0.70399999999999996</v>
      </c>
      <c r="F42" s="96">
        <v>813.08333333333337</v>
      </c>
      <c r="G42" s="96">
        <v>1.6261666666666668</v>
      </c>
      <c r="H42" s="163">
        <f>IFERROR(IF($C42="kg",1,
IF($C42="tonne",1000,
IF(OR($C42="m³",$C42="m³"),INDEX('EPD List'!$A:$AB,MATCH($B42,'EPD List'!$D:$D,0),MATCH("Density (kg/m3)",'EPD List'!$7:$7,0)),
IF(OR($C42="m²",$C42="m2"),INDEX('EPD List'!$A:$AB,MATCH($B42,'EPD List'!$D:$D,0),MATCH("Area density (kg/m2)",'EPD List'!$7:$7,0)),
IF($C42="m",INDEX('EPD List'!$A:$AB,MATCH($B42,'EPD List'!$D:$D,0),MATCH("mass per m (kg/m)",'EPD List'!$7:$7,0)),
IF($C42="unit",INDEX('EPD List'!$A:$AB,MATCH($B42,'EPD List'!$D:$D,0),MATCH("Mass per unit (kg/unit)",'EPD List'!$7:$7,0)),NA())))))),"")</f>
        <v>500</v>
      </c>
    </row>
    <row r="43" spans="2:8" x14ac:dyDescent="0.25">
      <c r="B43" s="122" t="str">
        <v>softwood glulam (Abodo Wood Ltd) (New Zealand)</v>
      </c>
      <c r="C43" t="str">
        <v>m³</v>
      </c>
      <c r="D43" s="96">
        <v>339</v>
      </c>
      <c r="E43" s="96">
        <v>0.80714285714285716</v>
      </c>
      <c r="F43" s="96">
        <v>716.09999999999991</v>
      </c>
      <c r="G43" s="96">
        <v>1.7049999999999998</v>
      </c>
      <c r="H43" s="163">
        <f>IFERROR(IF($C43="kg",1,
IF($C43="tonne",1000,
IF(OR($C43="m³",$C43="m³"),INDEX('EPD List'!$A:$AB,MATCH($B43,'EPD List'!$D:$D,0),MATCH("Density (kg/m3)",'EPD List'!$7:$7,0)),
IF(OR($C43="m²",$C43="m2"),INDEX('EPD List'!$A:$AB,MATCH($B43,'EPD List'!$D:$D,0),MATCH("Area density (kg/m2)",'EPD List'!$7:$7,0)),
IF($C43="m",INDEX('EPD List'!$A:$AB,MATCH($B43,'EPD List'!$D:$D,0),MATCH("mass per m (kg/m)",'EPD List'!$7:$7,0)),
IF($C43="unit",INDEX('EPD List'!$A:$AB,MATCH($B43,'EPD List'!$D:$D,0),MATCH("Mass per unit (kg/unit)",'EPD List'!$7:$7,0)),NA())))))),"")</f>
        <v>420</v>
      </c>
    </row>
    <row r="44" spans="2:8" x14ac:dyDescent="0.25">
      <c r="B44" s="122" t="str">
        <v>Glued laminated timber (Jures Glulam) (Europe)</v>
      </c>
      <c r="C44" t="str">
        <v>m³</v>
      </c>
      <c r="D44" s="96">
        <v>117</v>
      </c>
      <c r="E44" s="96">
        <v>0.25053533190578148</v>
      </c>
      <c r="F44" s="96">
        <v>753.42666666666662</v>
      </c>
      <c r="G44" s="96">
        <v>1.6133333333333333</v>
      </c>
      <c r="H44" s="163">
        <f>IFERROR(IF($C44="kg",1,
IF($C44="tonne",1000,
IF(OR($C44="m³",$C44="m³"),INDEX('EPD List'!$A:$AB,MATCH($B44,'EPD List'!$D:$D,0),MATCH("Density (kg/m3)",'EPD List'!$7:$7,0)),
IF(OR($C44="m²",$C44="m2"),INDEX('EPD List'!$A:$AB,MATCH($B44,'EPD List'!$D:$D,0),MATCH("Area density (kg/m2)",'EPD List'!$7:$7,0)),
IF($C44="m",INDEX('EPD List'!$A:$AB,MATCH($B44,'EPD List'!$D:$D,0),MATCH("mass per m (kg/m)",'EPD List'!$7:$7,0)),
IF($C44="unit",INDEX('EPD List'!$A:$AB,MATCH($B44,'EPD List'!$D:$D,0),MATCH("Mass per unit (kg/unit)",'EPD List'!$7:$7,0)),NA())))))),"")</f>
        <v>467</v>
      </c>
    </row>
    <row r="45" spans="2:8" x14ac:dyDescent="0.25">
      <c r="B45" s="122" t="str">
        <v>Glued Laminated Timber (L.A. COST srl) (Global)</v>
      </c>
      <c r="C45" t="str">
        <v>m³</v>
      </c>
      <c r="D45" s="96">
        <v>338.1</v>
      </c>
      <c r="E45" s="96">
        <v>0.75133333333333341</v>
      </c>
      <c r="F45" s="96">
        <v>709.5</v>
      </c>
      <c r="G45" s="96">
        <v>1.5766666666666667</v>
      </c>
    </row>
    <row r="46" spans="2:8" x14ac:dyDescent="0.25">
      <c r="B46" s="122"/>
    </row>
    <row r="47" spans="2:8" x14ac:dyDescent="0.25">
      <c r="B47" s="122"/>
    </row>
    <row r="48" spans="2:8" x14ac:dyDescent="0.25">
      <c r="B48" s="122"/>
    </row>
    <row r="49" spans="2:2" x14ac:dyDescent="0.25">
      <c r="B49" s="122"/>
    </row>
    <row r="50" spans="2:2" x14ac:dyDescent="0.25">
      <c r="B50" s="122"/>
    </row>
    <row r="51" spans="2:2" x14ac:dyDescent="0.25">
      <c r="B51" s="122"/>
    </row>
    <row r="52" spans="2:2" x14ac:dyDescent="0.25">
      <c r="B52" s="122"/>
    </row>
    <row r="53" spans="2:2" x14ac:dyDescent="0.25">
      <c r="B53" s="122"/>
    </row>
    <row r="54" spans="2:2" x14ac:dyDescent="0.25">
      <c r="B54" s="122"/>
    </row>
    <row r="55" spans="2:2" x14ac:dyDescent="0.25">
      <c r="B55" s="122"/>
    </row>
    <row r="56" spans="2:2" x14ac:dyDescent="0.25">
      <c r="B56" s="122"/>
    </row>
    <row r="57" spans="2:2" x14ac:dyDescent="0.25">
      <c r="B57" s="122"/>
    </row>
    <row r="58" spans="2:2" x14ac:dyDescent="0.25">
      <c r="B58" s="122"/>
    </row>
    <row r="59" spans="2:2" x14ac:dyDescent="0.25">
      <c r="B59" s="122"/>
    </row>
    <row r="60" spans="2:2" x14ac:dyDescent="0.25">
      <c r="B60" s="122"/>
    </row>
    <row r="61" spans="2:2" x14ac:dyDescent="0.25">
      <c r="B61" s="122"/>
    </row>
    <row r="62" spans="2:2" x14ac:dyDescent="0.25">
      <c r="B62" s="122"/>
    </row>
    <row r="63" spans="2:2" x14ac:dyDescent="0.25">
      <c r="B63" s="122"/>
    </row>
    <row r="64" spans="2:2" x14ac:dyDescent="0.25">
      <c r="B64" s="122"/>
    </row>
    <row r="65" spans="2:2" x14ac:dyDescent="0.25">
      <c r="B65" s="122"/>
    </row>
    <row r="66" spans="2:2" x14ac:dyDescent="0.25">
      <c r="B66" s="122"/>
    </row>
    <row r="67" spans="2:2" x14ac:dyDescent="0.25">
      <c r="B67" s="122"/>
    </row>
    <row r="68" spans="2:2" x14ac:dyDescent="0.25">
      <c r="B68" s="122"/>
    </row>
    <row r="69" spans="2:2" x14ac:dyDescent="0.25">
      <c r="B69" s="122"/>
    </row>
    <row r="70" spans="2:2" x14ac:dyDescent="0.25">
      <c r="B70" s="122"/>
    </row>
    <row r="71" spans="2:2" x14ac:dyDescent="0.25">
      <c r="B71" s="122"/>
    </row>
    <row r="72" spans="2:2" x14ac:dyDescent="0.25">
      <c r="B72" s="122"/>
    </row>
    <row r="73" spans="2:2" x14ac:dyDescent="0.25">
      <c r="B73" s="122"/>
    </row>
    <row r="74" spans="2:2" x14ac:dyDescent="0.25">
      <c r="B74" s="122"/>
    </row>
    <row r="75" spans="2:2" x14ac:dyDescent="0.25">
      <c r="B75" s="122"/>
    </row>
    <row r="76" spans="2:2" x14ac:dyDescent="0.25">
      <c r="B76" s="122"/>
    </row>
    <row r="77" spans="2:2" x14ac:dyDescent="0.25">
      <c r="B77" s="122"/>
    </row>
    <row r="78" spans="2:2" x14ac:dyDescent="0.25">
      <c r="B78" s="122"/>
    </row>
    <row r="79" spans="2:2" x14ac:dyDescent="0.25">
      <c r="B79" s="122"/>
    </row>
    <row r="80" spans="2:2" x14ac:dyDescent="0.25">
      <c r="B80" s="122"/>
    </row>
    <row r="81" spans="2:10" x14ac:dyDescent="0.25">
      <c r="B81" s="122"/>
    </row>
    <row r="82" spans="2:10" x14ac:dyDescent="0.25">
      <c r="B82" s="122"/>
    </row>
    <row r="83" spans="2:10" x14ac:dyDescent="0.25">
      <c r="B83" s="122"/>
    </row>
    <row r="84" spans="2:10" x14ac:dyDescent="0.25">
      <c r="B84" s="122"/>
    </row>
    <row r="85" spans="2:10" x14ac:dyDescent="0.25">
      <c r="B85" s="122"/>
    </row>
    <row r="86" spans="2:10" x14ac:dyDescent="0.25">
      <c r="B86" s="122"/>
    </row>
    <row r="87" spans="2:10" x14ac:dyDescent="0.25">
      <c r="B87" s="122"/>
    </row>
    <row r="88" spans="2:10" x14ac:dyDescent="0.25">
      <c r="B88" s="122"/>
    </row>
    <row r="89" spans="2:10" x14ac:dyDescent="0.25">
      <c r="B89" s="122"/>
    </row>
    <row r="90" spans="2:10" x14ac:dyDescent="0.25">
      <c r="B90" s="122"/>
      <c r="J90" s="96"/>
    </row>
    <row r="91" spans="2:10" x14ac:dyDescent="0.25">
      <c r="B91" s="122"/>
    </row>
    <row r="92" spans="2:10" x14ac:dyDescent="0.25">
      <c r="B92" s="122"/>
    </row>
    <row r="93" spans="2:10" x14ac:dyDescent="0.25">
      <c r="B93" s="122"/>
    </row>
    <row r="94" spans="2:10" x14ac:dyDescent="0.25">
      <c r="B94" s="122"/>
    </row>
    <row r="95" spans="2:10" x14ac:dyDescent="0.25">
      <c r="B95" s="122"/>
    </row>
    <row r="96" spans="2:10" x14ac:dyDescent="0.25">
      <c r="B96" s="122"/>
    </row>
    <row r="97" spans="2:2" x14ac:dyDescent="0.25">
      <c r="B97" s="122"/>
    </row>
    <row r="98" spans="2:2" x14ac:dyDescent="0.25">
      <c r="B98" s="122"/>
    </row>
    <row r="99" spans="2:2" x14ac:dyDescent="0.25">
      <c r="B99" s="122"/>
    </row>
    <row r="100" spans="2:2" x14ac:dyDescent="0.25">
      <c r="B100" s="122"/>
    </row>
    <row r="101" spans="2:2" x14ac:dyDescent="0.25">
      <c r="B101" s="122"/>
    </row>
    <row r="102" spans="2:2" x14ac:dyDescent="0.25">
      <c r="B102" s="122"/>
    </row>
    <row r="103" spans="2:2" x14ac:dyDescent="0.25">
      <c r="B103" s="122"/>
    </row>
    <row r="104" spans="2:2" x14ac:dyDescent="0.25">
      <c r="B104" s="122"/>
    </row>
    <row r="105" spans="2:2" x14ac:dyDescent="0.25">
      <c r="B105" s="122"/>
    </row>
    <row r="106" spans="2:2" x14ac:dyDescent="0.25">
      <c r="B106" s="122"/>
    </row>
    <row r="107" spans="2:2" x14ac:dyDescent="0.25">
      <c r="B107" s="122"/>
    </row>
    <row r="108" spans="2:2" x14ac:dyDescent="0.25">
      <c r="B108" s="122"/>
    </row>
    <row r="109" spans="2:2" x14ac:dyDescent="0.25">
      <c r="B109" s="122"/>
    </row>
    <row r="110" spans="2:2" x14ac:dyDescent="0.25">
      <c r="B110" s="122"/>
    </row>
    <row r="111" spans="2:2" x14ac:dyDescent="0.25">
      <c r="B111" s="122"/>
    </row>
    <row r="112" spans="2:2" x14ac:dyDescent="0.25">
      <c r="B112" s="122"/>
    </row>
    <row r="113" spans="2:2" x14ac:dyDescent="0.25">
      <c r="B113" s="122"/>
    </row>
    <row r="114" spans="2:2" x14ac:dyDescent="0.25">
      <c r="B114" s="122"/>
    </row>
    <row r="115" spans="2:2" x14ac:dyDescent="0.25">
      <c r="B115" s="122"/>
    </row>
    <row r="116" spans="2:2" x14ac:dyDescent="0.25">
      <c r="B116" s="122"/>
    </row>
    <row r="117" spans="2:2" x14ac:dyDescent="0.25">
      <c r="B117" s="122"/>
    </row>
    <row r="118" spans="2:2" x14ac:dyDescent="0.25">
      <c r="B118" s="122"/>
    </row>
    <row r="119" spans="2:2" x14ac:dyDescent="0.25">
      <c r="B119" s="122"/>
    </row>
    <row r="120" spans="2:2" x14ac:dyDescent="0.25">
      <c r="B120" s="122"/>
    </row>
    <row r="121" spans="2:2" x14ac:dyDescent="0.25">
      <c r="B121" s="122"/>
    </row>
    <row r="122" spans="2:2" x14ac:dyDescent="0.25">
      <c r="B122" s="122"/>
    </row>
    <row r="123" spans="2:2" x14ac:dyDescent="0.25">
      <c r="B123" s="122"/>
    </row>
    <row r="124" spans="2:2" x14ac:dyDescent="0.25">
      <c r="B124" s="122"/>
    </row>
    <row r="125" spans="2:2" x14ac:dyDescent="0.25">
      <c r="B125" s="122"/>
    </row>
    <row r="126" spans="2:2" x14ac:dyDescent="0.25">
      <c r="B126" s="122"/>
    </row>
    <row r="127" spans="2:2" x14ac:dyDescent="0.25">
      <c r="B127" s="122"/>
    </row>
    <row r="128" spans="2:2" x14ac:dyDescent="0.25">
      <c r="B128" s="122"/>
    </row>
    <row r="129" spans="2:2" x14ac:dyDescent="0.25">
      <c r="B129" s="122"/>
    </row>
    <row r="130" spans="2:2" x14ac:dyDescent="0.25">
      <c r="B130" s="122"/>
    </row>
    <row r="131" spans="2:2" x14ac:dyDescent="0.25">
      <c r="B131" s="122"/>
    </row>
    <row r="132" spans="2:2" x14ac:dyDescent="0.25">
      <c r="B132" s="122"/>
    </row>
    <row r="133" spans="2:2" x14ac:dyDescent="0.25">
      <c r="B133" s="122"/>
    </row>
    <row r="134" spans="2:2" x14ac:dyDescent="0.25">
      <c r="B134" s="122"/>
    </row>
    <row r="135" spans="2:2" x14ac:dyDescent="0.25">
      <c r="B135" s="122"/>
    </row>
    <row r="136" spans="2:2" x14ac:dyDescent="0.25">
      <c r="B136" s="122"/>
    </row>
    <row r="137" spans="2:2" x14ac:dyDescent="0.25">
      <c r="B137" s="122"/>
    </row>
    <row r="138" spans="2:2" x14ac:dyDescent="0.25">
      <c r="B138" s="122"/>
    </row>
    <row r="139" spans="2:2" x14ac:dyDescent="0.25">
      <c r="B139" s="122"/>
    </row>
    <row r="140" spans="2:2" x14ac:dyDescent="0.25">
      <c r="B140" s="122"/>
    </row>
    <row r="141" spans="2:2" x14ac:dyDescent="0.25">
      <c r="B141" s="122"/>
    </row>
    <row r="142" spans="2:2" x14ac:dyDescent="0.25">
      <c r="B142" s="122"/>
    </row>
    <row r="143" spans="2:2" x14ac:dyDescent="0.25">
      <c r="B143" s="122"/>
    </row>
    <row r="144" spans="2:2" x14ac:dyDescent="0.25">
      <c r="B144" s="122"/>
    </row>
    <row r="145" spans="2:2" x14ac:dyDescent="0.25">
      <c r="B145" s="122"/>
    </row>
    <row r="146" spans="2:2" x14ac:dyDescent="0.25">
      <c r="B146" s="122"/>
    </row>
    <row r="147" spans="2:2" x14ac:dyDescent="0.25">
      <c r="B147" s="122"/>
    </row>
    <row r="148" spans="2:2" x14ac:dyDescent="0.25">
      <c r="B148" s="122"/>
    </row>
    <row r="149" spans="2:2" x14ac:dyDescent="0.25">
      <c r="B149" s="122"/>
    </row>
    <row r="150" spans="2:2" x14ac:dyDescent="0.25">
      <c r="B150" s="122"/>
    </row>
    <row r="151" spans="2:2" x14ac:dyDescent="0.25">
      <c r="B151" s="122"/>
    </row>
    <row r="152" spans="2:2" x14ac:dyDescent="0.25">
      <c r="B152" s="122"/>
    </row>
    <row r="153" spans="2:2" x14ac:dyDescent="0.25">
      <c r="B153" s="122"/>
    </row>
    <row r="154" spans="2:2" x14ac:dyDescent="0.25">
      <c r="B154" s="122"/>
    </row>
    <row r="155" spans="2:2" x14ac:dyDescent="0.25">
      <c r="B155" s="122"/>
    </row>
    <row r="156" spans="2:2" x14ac:dyDescent="0.25">
      <c r="B156" s="122"/>
    </row>
    <row r="157" spans="2:2" x14ac:dyDescent="0.25">
      <c r="B157" s="122"/>
    </row>
    <row r="158" spans="2:2" x14ac:dyDescent="0.25">
      <c r="B158" s="122"/>
    </row>
    <row r="159" spans="2:2" x14ac:dyDescent="0.25">
      <c r="B159" s="122"/>
    </row>
    <row r="160" spans="2:2" x14ac:dyDescent="0.25">
      <c r="B160" s="122"/>
    </row>
    <row r="161" spans="2:7" x14ac:dyDescent="0.25">
      <c r="B161" s="122"/>
    </row>
    <row r="162" spans="2:7" x14ac:dyDescent="0.25">
      <c r="B162" s="122"/>
    </row>
    <row r="163" spans="2:7" x14ac:dyDescent="0.25">
      <c r="B163" s="122"/>
    </row>
    <row r="164" spans="2:7" x14ac:dyDescent="0.25">
      <c r="B164" s="122"/>
    </row>
    <row r="165" spans="2:7" x14ac:dyDescent="0.25">
      <c r="B165" s="122"/>
    </row>
    <row r="166" spans="2:7" x14ac:dyDescent="0.25">
      <c r="B166" s="125"/>
      <c r="C166" s="126"/>
      <c r="D166" s="127"/>
      <c r="E166" s="127"/>
      <c r="F166" s="127"/>
      <c r="G166" s="127"/>
    </row>
  </sheetData>
  <dataValidations count="1">
    <dataValidation type="list" allowBlank="1" showInputMessage="1" showErrorMessage="1" sqref="B6:B9" xr:uid="{6B5B5E6D-1E1E-485B-9E6A-3F313ACBA220}">
      <formula1>"Tier 1,Tier 2,Tier 3,Tier 4"</formula1>
    </dataValidation>
  </dataValidations>
  <pageMargins left="0.7" right="0.7" top="0.75" bottom="0.75" header="0.3" footer="0.3"/>
  <legacyDrawing r:id="rId1"/>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A805F4-0D82-4498-81C1-6C9CCB4CB007}">
  <sheetPr codeName="Sheet79">
    <tabColor rgb="FF00CCFF"/>
  </sheetPr>
  <dimension ref="A1:J166"/>
  <sheetViews>
    <sheetView showGridLines="0" zoomScale="80" zoomScaleNormal="80" workbookViewId="0"/>
  </sheetViews>
  <sheetFormatPr defaultRowHeight="13.2" x14ac:dyDescent="0.25"/>
  <cols>
    <col min="1" max="1" width="26.109375" customWidth="1"/>
    <col min="2" max="2" width="128.88671875" customWidth="1"/>
    <col min="3" max="3" width="21" customWidth="1"/>
    <col min="4" max="6" width="19.88671875" style="96" customWidth="1"/>
    <col min="7" max="7" width="23.5546875" style="96" customWidth="1"/>
    <col min="8" max="8" width="14.44140625" style="161" customWidth="1"/>
    <col min="9" max="9" width="14.44140625" customWidth="1"/>
    <col min="10" max="10" width="13.109375" customWidth="1"/>
  </cols>
  <sheetData>
    <row r="1" spans="1:8" x14ac:dyDescent="0.25">
      <c r="A1" s="4" t="str" cm="1">
        <f t="array" aca="1" ref="A1" ca="1">MID(CELL("filename",A1),FIND("]",CELL("filename",A1))+1,255)</f>
        <v>Eng_Timber_GLT_CLT_Hard</v>
      </c>
      <c r="H1"/>
    </row>
    <row r="2" spans="1:8" x14ac:dyDescent="0.25">
      <c r="A2" s="4"/>
      <c r="C2" s="4"/>
      <c r="H2"/>
    </row>
    <row r="3" spans="1:8" x14ac:dyDescent="0.25">
      <c r="A3" s="4" t="s">
        <v>4048</v>
      </c>
      <c r="B3" t="s">
        <v>4225</v>
      </c>
      <c r="H3"/>
    </row>
    <row r="4" spans="1:8" x14ac:dyDescent="0.25">
      <c r="A4" s="4"/>
      <c r="H4"/>
    </row>
    <row r="5" spans="1:8" ht="92.25" customHeight="1" x14ac:dyDescent="0.25">
      <c r="A5" s="26" t="s">
        <v>4050</v>
      </c>
      <c r="B5" s="14" t="s">
        <v>4226</v>
      </c>
      <c r="D5" s="14"/>
      <c r="E5" s="43"/>
      <c r="H5"/>
    </row>
    <row r="6" spans="1:8" x14ac:dyDescent="0.25">
      <c r="A6" s="26" t="s">
        <v>4052</v>
      </c>
      <c r="B6" t="s">
        <v>70</v>
      </c>
      <c r="D6"/>
      <c r="H6"/>
    </row>
    <row r="7" spans="1:8" x14ac:dyDescent="0.25">
      <c r="A7" s="26" t="s">
        <v>4053</v>
      </c>
      <c r="B7" s="27" t="s">
        <v>68</v>
      </c>
      <c r="H7"/>
    </row>
    <row r="8" spans="1:8" x14ac:dyDescent="0.25">
      <c r="A8" s="26" t="s">
        <v>4054</v>
      </c>
      <c r="B8" s="27" t="s">
        <v>69</v>
      </c>
      <c r="H8"/>
    </row>
    <row r="9" spans="1:8" x14ac:dyDescent="0.25">
      <c r="A9" s="26" t="s">
        <v>4055</v>
      </c>
      <c r="B9" s="4" t="s">
        <v>70</v>
      </c>
      <c r="H9"/>
    </row>
    <row r="10" spans="1:8" x14ac:dyDescent="0.25">
      <c r="A10" s="26"/>
      <c r="B10" s="4"/>
      <c r="H10"/>
    </row>
    <row r="11" spans="1:8" x14ac:dyDescent="0.25">
      <c r="A11" s="26" t="s">
        <v>4056</v>
      </c>
      <c r="B11" s="14"/>
      <c r="H11"/>
    </row>
    <row r="12" spans="1:8" x14ac:dyDescent="0.25">
      <c r="A12" s="101"/>
      <c r="H12"/>
    </row>
    <row r="13" spans="1:8" x14ac:dyDescent="0.25">
      <c r="A13" s="101"/>
      <c r="H13"/>
    </row>
    <row r="14" spans="1:8" x14ac:dyDescent="0.25">
      <c r="A14" s="26" t="s">
        <v>4057</v>
      </c>
      <c r="H14"/>
    </row>
    <row r="15" spans="1:8" x14ac:dyDescent="0.25">
      <c r="A15" s="26"/>
      <c r="D15" s="112" t="s">
        <v>4058</v>
      </c>
      <c r="E15" s="113"/>
      <c r="F15" s="114" t="s">
        <v>4059</v>
      </c>
      <c r="G15" s="113"/>
      <c r="H15"/>
    </row>
    <row r="16" spans="1:8" ht="39.6" x14ac:dyDescent="0.25">
      <c r="B16" s="28" t="s">
        <v>3551</v>
      </c>
      <c r="C16" s="23" t="s">
        <v>23</v>
      </c>
      <c r="D16" s="24" t="s">
        <v>141</v>
      </c>
      <c r="E16" s="25" t="s">
        <v>148</v>
      </c>
      <c r="F16" s="24" t="s">
        <v>142</v>
      </c>
      <c r="G16" s="45" t="s">
        <v>149</v>
      </c>
      <c r="H16" s="44" t="s">
        <v>4201</v>
      </c>
    </row>
    <row r="17" spans="2:10" x14ac:dyDescent="0.25">
      <c r="B17" s="29"/>
      <c r="C17" s="30" t="s">
        <v>4060</v>
      </c>
      <c r="D17" s="118" t="str" cm="1">
        <f t="array" ref="D17">IF(AND(_xlfn.ANCHORARRAY(C23)=C23),C23,"Mixed")</f>
        <v>m³</v>
      </c>
      <c r="E17" s="118" t="s">
        <v>219</v>
      </c>
      <c r="F17" s="118" t="str" cm="1">
        <f t="array" ref="F17">IF(AND(_xlfn.ANCHORARRAY(C23)=C23),C23,"Mixed")</f>
        <v>m³</v>
      </c>
      <c r="G17" s="118" t="s">
        <v>219</v>
      </c>
    </row>
    <row r="18" spans="2:10" s="14" customFormat="1" x14ac:dyDescent="0.25">
      <c r="B18" s="31"/>
      <c r="C18" s="4" t="s">
        <v>4061</v>
      </c>
      <c r="D18" s="96">
        <f>MAX(_xlfn.ANCHORARRAY(D23))</f>
        <v>764.76066666666645</v>
      </c>
      <c r="E18" s="96">
        <f t="shared" ref="E18" si="0">MAX(_xlfn.ANCHORARRAY(E23))</f>
        <v>1.1346597428288818</v>
      </c>
      <c r="F18" s="162">
        <f>VLOOKUP($D18,$D$23:$F$211,3,FALSE)</f>
        <v>1087.3866666666665</v>
      </c>
      <c r="G18" s="162">
        <f>VLOOKUP($D18,$D$23:$G$211,4,FALSE)</f>
        <v>1.6133333333333331</v>
      </c>
      <c r="H18" s="163">
        <f>D18/E18</f>
        <v>674.00000000000011</v>
      </c>
      <c r="I18"/>
      <c r="J18"/>
    </row>
    <row r="19" spans="2:10" x14ac:dyDescent="0.25">
      <c r="B19" s="122"/>
      <c r="C19" s="4" t="s">
        <v>4062</v>
      </c>
      <c r="D19" s="96">
        <f>MIN(_xlfn.ANCHORARRAY(D23))</f>
        <v>626.6866666666665</v>
      </c>
      <c r="E19" s="96">
        <f t="shared" ref="E19:G19" si="1">MIN(_xlfn.ANCHORARRAY(E23))</f>
        <v>0.92980217606330329</v>
      </c>
      <c r="F19" s="96">
        <f t="shared" si="1"/>
        <v>1087.3866666666665</v>
      </c>
      <c r="G19" s="96">
        <f t="shared" si="1"/>
        <v>1.6133333333333331</v>
      </c>
      <c r="H19" s="163">
        <f>D19/E19</f>
        <v>674.00000000000011</v>
      </c>
    </row>
    <row r="20" spans="2:10" x14ac:dyDescent="0.25">
      <c r="B20" s="122"/>
      <c r="C20" s="35" t="s">
        <v>4203</v>
      </c>
      <c r="D20" s="96">
        <f>AVERAGE(_xlfn.ANCHORARRAY(D23))</f>
        <v>690.27799999999991</v>
      </c>
      <c r="E20" s="96">
        <f t="shared" ref="E20:G20" si="2">AVERAGE(_xlfn.ANCHORARRAY(E23))</f>
        <v>1.0241513353115723</v>
      </c>
      <c r="F20" s="96">
        <f t="shared" si="2"/>
        <v>1087.3866666666665</v>
      </c>
      <c r="G20" s="96">
        <f t="shared" si="2"/>
        <v>1.6133333333333331</v>
      </c>
      <c r="H20" s="163">
        <f>D20/E20</f>
        <v>674.00000000000011</v>
      </c>
    </row>
    <row r="21" spans="2:10" x14ac:dyDescent="0.25">
      <c r="B21" s="122"/>
      <c r="C21" s="4" t="s">
        <v>4063</v>
      </c>
      <c r="D21" s="96">
        <f>AVERAGE(_xlfn.ANCHORARRAY(D23))</f>
        <v>690.27799999999991</v>
      </c>
      <c r="E21" s="96">
        <f t="shared" ref="E21:G21" si="3">AVERAGE(_xlfn.ANCHORARRAY(E23))</f>
        <v>1.0241513353115723</v>
      </c>
      <c r="F21" s="96">
        <f t="shared" si="3"/>
        <v>1087.3866666666665</v>
      </c>
      <c r="G21" s="96">
        <f t="shared" si="3"/>
        <v>1.6133333333333331</v>
      </c>
      <c r="H21" s="163">
        <f>D21/E21</f>
        <v>674.00000000000011</v>
      </c>
    </row>
    <row r="22" spans="2:10" x14ac:dyDescent="0.25">
      <c r="B22" s="32" t="s">
        <v>4064</v>
      </c>
      <c r="D22"/>
      <c r="E22"/>
      <c r="F22"/>
      <c r="G22"/>
      <c r="H22" s="163"/>
    </row>
    <row r="23" spans="2:10" x14ac:dyDescent="0.25">
      <c r="B23" s="122" t="str" cm="1">
        <f t="array" ref="B23:B25">_xlfn.UNIQUE(_xlfn._xlws.FILTER('EPD List'!D:D,ISNUMBER(SEARCH(B16,'EPD List'!C:C)),0))</f>
        <v>GLT&amp;CLT (hw), , Min variaton for  hardwood Glulam FWPA, Australia (FWPA) (Australia)</v>
      </c>
      <c r="C23" t="str" cm="1">
        <f t="array" ref="C23:C25">_xlfn.IFNA(INDEX('EPD List'!$A:$AB,MATCH(_xlfn.ANCHORARRAY(B23),'EPD List'!$D:$D,0),MATCH(C$16,'EPD List'!$7:$7,0)),"")</f>
        <v>m³</v>
      </c>
      <c r="D23" s="96" cm="1">
        <f t="array" ref="D23:D25">_xlfn.IFNA(VALUE((INDEX('EPD List'!$A:$AD,MATCH(_xlfn.ANCHORARRAY($B23),'EPD List'!$D:$D,0),MATCH(D$16,'EPD List'!$7:$7,0)))),"")</f>
        <v>626.6866666666665</v>
      </c>
      <c r="E23" s="96" cm="1">
        <f t="array" ref="E23:E25">_xlfn.IFNA(VALUE((INDEX('EPD List'!$A:$AD,MATCH(_xlfn.ANCHORARRAY($B23),'EPD List'!$D:$D,0),MATCH(E$16,'EPD List'!$7:$7,0)))),"")</f>
        <v>0.92980217606330329</v>
      </c>
      <c r="F23" s="96" cm="1">
        <f t="array" ref="F23:F25">_xlfn.IFNA(VALUE((INDEX('EPD List'!$A:$AD,MATCH(_xlfn.ANCHORARRAY($B23),'EPD List'!$D:$D,0),MATCH(F$16,'EPD List'!$7:$7,0)))),"")</f>
        <v>1087.3866666666665</v>
      </c>
      <c r="G23" s="96" cm="1">
        <f t="array" ref="G23:G25">_xlfn.IFNA(VALUE((INDEX('EPD List'!$A:$AD,MATCH(_xlfn.ANCHORARRAY($B23),'EPD List'!$D:$D,0),MATCH(G$16,'EPD List'!$7:$7,0)))),"")</f>
        <v>1.6133333333333331</v>
      </c>
      <c r="H23" s="163">
        <f>IFERROR(IF($C23="kg",1,
IF($C23="tonne",1000,
IF(OR($C23="m³",$C23="m³"),INDEX('EPD List'!$A:$AB,MATCH($B23,'EPD List'!$D:$D,0),MATCH("Density (kg/m3)",'EPD List'!$7:$7,0)),
IF(OR($C23="m²",$C23="m2"),INDEX('EPD List'!$A:$AB,MATCH($B23,'EPD List'!$D:$D,0),MATCH("Area density (kg/m2)",'EPD List'!$7:$7,0)),
IF($C23="m",INDEX('EPD List'!$A:$AB,MATCH($B23,'EPD List'!$D:$D,0),MATCH("mass per m (kg/m)",'EPD List'!$7:$7,0)),
IF($C23="unit",INDEX('EPD List'!$A:$AB,MATCH($B23,'EPD List'!$D:$D,0),MATCH("Mass per unit (kg/unit)",'EPD List'!$7:$7,0)),NA())))))),"")</f>
        <v>674</v>
      </c>
    </row>
    <row r="24" spans="2:10" x14ac:dyDescent="0.25">
      <c r="B24" s="122" t="str">
        <v>Max variaton for  hardwood Glulam FWPA, Australia</v>
      </c>
      <c r="C24" t="str">
        <v>m³</v>
      </c>
      <c r="D24" s="96">
        <v>764.76066666666645</v>
      </c>
      <c r="E24" s="96">
        <v>1.1346597428288818</v>
      </c>
      <c r="F24" s="96">
        <v>1087.3866666666665</v>
      </c>
      <c r="G24" s="96">
        <v>1.6133333333333331</v>
      </c>
      <c r="H24" s="163">
        <f>IFERROR(IF($C24="kg",1,
IF($C24="tonne",1000,
IF(OR($C24="m³",$C24="m³"),INDEX('EPD List'!$A:$AB,MATCH($B24,'EPD List'!$D:$D,0),MATCH("Density (kg/m3)",'EPD List'!$7:$7,0)),
IF(OR($C24="m²",$C24="m2"),INDEX('EPD List'!$A:$AB,MATCH($B24,'EPD List'!$D:$D,0),MATCH("Area density (kg/m2)",'EPD List'!$7:$7,0)),
IF($C24="m",INDEX('EPD List'!$A:$AB,MATCH($B24,'EPD List'!$D:$D,0),MATCH("mass per m (kg/m)",'EPD List'!$7:$7,0)),
IF($C24="unit",INDEX('EPD List'!$A:$AB,MATCH($B24,'EPD List'!$D:$D,0),MATCH("Mass per unit (kg/unit)",'EPD List'!$7:$7,0)),NA())))))),"")</f>
        <v>674</v>
      </c>
    </row>
    <row r="25" spans="2:10" x14ac:dyDescent="0.25">
      <c r="B25" s="122" t="str">
        <v>Glulam, hw or cypress pine, Wood solutions, FWPA, Australia</v>
      </c>
      <c r="C25" t="str">
        <v>m³</v>
      </c>
      <c r="D25" s="96">
        <v>679.38666666666654</v>
      </c>
      <c r="E25" s="96">
        <v>1.0079920870425316</v>
      </c>
      <c r="F25" s="96">
        <v>1087.3866666666665</v>
      </c>
      <c r="G25" s="96">
        <v>1.6133333333333331</v>
      </c>
      <c r="H25" s="163">
        <f>IFERROR(IF($C25="kg",1,
IF($C25="tonne",1000,
IF(OR($C25="m³",$C25="m³"),INDEX('EPD List'!$A:$AB,MATCH($B25,'EPD List'!$D:$D,0),MATCH("Density (kg/m3)",'EPD List'!$7:$7,0)),
IF(OR($C25="m²",$C25="m2"),INDEX('EPD List'!$A:$AB,MATCH($B25,'EPD List'!$D:$D,0),MATCH("Area density (kg/m2)",'EPD List'!$7:$7,0)),
IF($C25="m",INDEX('EPD List'!$A:$AB,MATCH($B25,'EPD List'!$D:$D,0),MATCH("mass per m (kg/m)",'EPD List'!$7:$7,0)),
IF($C25="unit",INDEX('EPD List'!$A:$AB,MATCH($B25,'EPD List'!$D:$D,0),MATCH("Mass per unit (kg/unit)",'EPD List'!$7:$7,0)),NA())))))),"")</f>
        <v>674</v>
      </c>
    </row>
    <row r="26" spans="2:10" x14ac:dyDescent="0.25">
      <c r="B26" s="122"/>
      <c r="H26" s="163" t="str">
        <f>IFERROR(IF($C26="kg",1,
IF($C26="tonne",1000,
IF(OR($C26="m³",$C26="m³"),INDEX('EPD List'!$A:$AB,MATCH($B26,'EPD List'!$D:$D,0),MATCH("Density (kg/m3)",'EPD List'!$7:$7,0)),
IF(OR($C26="m²",$C26="m2"),INDEX('EPD List'!$A:$AB,MATCH($B26,'EPD List'!$D:$D,0),MATCH("Area density (kg/m2)",'EPD List'!$7:$7,0)),
IF($C26="m",INDEX('EPD List'!$A:$AB,MATCH($B26,'EPD List'!$D:$D,0),MATCH("mass per m (kg/m)",'EPD List'!$7:$7,0)),
IF($C26="unit",INDEX('EPD List'!$A:$AB,MATCH($B26,'EPD List'!$D:$D,0),MATCH("Mass per unit (kg/unit)",'EPD List'!$7:$7,0)),NA())))))),"")</f>
        <v/>
      </c>
    </row>
    <row r="27" spans="2:10" x14ac:dyDescent="0.25">
      <c r="B27" s="122"/>
      <c r="H27" s="163" t="str">
        <f>IFERROR(IF($C27="kg",1,
IF($C27="tonne",1000,
IF(OR($C27="m³",$C27="m³"),INDEX('EPD List'!$A:$AB,MATCH($B27,'EPD List'!$D:$D,0),MATCH("Density (kg/m3)",'EPD List'!$7:$7,0)),
IF(OR($C27="m²",$C27="m2"),INDEX('EPD List'!$A:$AB,MATCH($B27,'EPD List'!$D:$D,0),MATCH("Area density (kg/m2)",'EPD List'!$7:$7,0)),
IF($C27="m",INDEX('EPD List'!$A:$AB,MATCH($B27,'EPD List'!$D:$D,0),MATCH("mass per m (kg/m)",'EPD List'!$7:$7,0)),
IF($C27="unit",INDEX('EPD List'!$A:$AB,MATCH($B27,'EPD List'!$D:$D,0),MATCH("Mass per unit (kg/unit)",'EPD List'!$7:$7,0)),NA())))))),"")</f>
        <v/>
      </c>
    </row>
    <row r="28" spans="2:10" x14ac:dyDescent="0.25">
      <c r="B28" s="122"/>
      <c r="H28" s="163" t="str">
        <f>IFERROR(IF($C28="kg",1,
IF($C28="tonne",1000,
IF(OR($C28="m³",$C28="m³"),INDEX('EPD List'!$A:$AB,MATCH($B28,'EPD List'!$D:$D,0),MATCH("Density (kg/m3)",'EPD List'!$7:$7,0)),
IF(OR($C28="m²",$C28="m2"),INDEX('EPD List'!$A:$AB,MATCH($B28,'EPD List'!$D:$D,0),MATCH("Area density (kg/m2)",'EPD List'!$7:$7,0)),
IF($C28="m",INDEX('EPD List'!$A:$AB,MATCH($B28,'EPD List'!$D:$D,0),MATCH("mass per m (kg/m)",'EPD List'!$7:$7,0)),
IF($C28="unit",INDEX('EPD List'!$A:$AB,MATCH($B28,'EPD List'!$D:$D,0),MATCH("Mass per unit (kg/unit)",'EPD List'!$7:$7,0)),NA())))))),"")</f>
        <v/>
      </c>
    </row>
    <row r="29" spans="2:10" x14ac:dyDescent="0.25">
      <c r="B29" s="122"/>
      <c r="H29" s="163" t="str">
        <f>IFERROR(IF($C29="kg",1,
IF($C29="tonne",1000,
IF(OR($C29="m³",$C29="m³"),INDEX('EPD List'!$A:$AB,MATCH($B29,'EPD List'!$D:$D,0),MATCH("Density (kg/m3)",'EPD List'!$7:$7,0)),
IF(OR($C29="m²",$C29="m2"),INDEX('EPD List'!$A:$AB,MATCH($B29,'EPD List'!$D:$D,0),MATCH("Area density (kg/m2)",'EPD List'!$7:$7,0)),
IF($C29="m",INDEX('EPD List'!$A:$AB,MATCH($B29,'EPD List'!$D:$D,0),MATCH("mass per m (kg/m)",'EPD List'!$7:$7,0)),
IF($C29="unit",INDEX('EPD List'!$A:$AB,MATCH($B29,'EPD List'!$D:$D,0),MATCH("Mass per unit (kg/unit)",'EPD List'!$7:$7,0)),NA())))))),"")</f>
        <v/>
      </c>
    </row>
    <row r="30" spans="2:10" x14ac:dyDescent="0.25">
      <c r="B30" s="122"/>
      <c r="H30" s="163" t="str">
        <f>IFERROR(IF($C30="kg",1,
IF($C30="tonne",1000,
IF(OR($C30="m³",$C30="m³"),INDEX('EPD List'!$A:$AB,MATCH($B30,'EPD List'!$D:$D,0),MATCH("Density (kg/m3)",'EPD List'!$7:$7,0)),
IF(OR($C30="m²",$C30="m2"),INDEX('EPD List'!$A:$AB,MATCH($B30,'EPD List'!$D:$D,0),MATCH("Area density (kg/m2)",'EPD List'!$7:$7,0)),
IF($C30="m",INDEX('EPD List'!$A:$AB,MATCH($B30,'EPD List'!$D:$D,0),MATCH("mass per m (kg/m)",'EPD List'!$7:$7,0)),
IF($C30="unit",INDEX('EPD List'!$A:$AB,MATCH($B30,'EPD List'!$D:$D,0),MATCH("Mass per unit (kg/unit)",'EPD List'!$7:$7,0)),NA())))))),"")</f>
        <v/>
      </c>
    </row>
    <row r="31" spans="2:10" x14ac:dyDescent="0.25">
      <c r="B31" s="122"/>
      <c r="H31" s="163" t="str">
        <f>IFERROR(IF($C31="kg",1,
IF($C31="tonne",1000,
IF(OR($C31="m³",$C31="m³"),INDEX('EPD List'!$A:$AB,MATCH($B31,'EPD List'!$D:$D,0),MATCH("Density (kg/m3)",'EPD List'!$7:$7,0)),
IF(OR($C31="m²",$C31="m2"),INDEX('EPD List'!$A:$AB,MATCH($B31,'EPD List'!$D:$D,0),MATCH("Area density (kg/m2)",'EPD List'!$7:$7,0)),
IF($C31="m",INDEX('EPD List'!$A:$AB,MATCH($B31,'EPD List'!$D:$D,0),MATCH("mass per m (kg/m)",'EPD List'!$7:$7,0)),
IF($C31="unit",INDEX('EPD List'!$A:$AB,MATCH($B31,'EPD List'!$D:$D,0),MATCH("Mass per unit (kg/unit)",'EPD List'!$7:$7,0)),NA())))))),"")</f>
        <v/>
      </c>
    </row>
    <row r="32" spans="2:10" x14ac:dyDescent="0.25">
      <c r="B32" s="122"/>
      <c r="H32" s="163" t="str">
        <f>IFERROR(IF($C32="kg",1,
IF($C32="tonne",1000,
IF(OR($C32="m³",$C32="m³"),INDEX('EPD List'!$A:$AB,MATCH($B32,'EPD List'!$D:$D,0),MATCH("Density (kg/m3)",'EPD List'!$7:$7,0)),
IF(OR($C32="m²",$C32="m2"),INDEX('EPD List'!$A:$AB,MATCH($B32,'EPD List'!$D:$D,0),MATCH("Area density (kg/m2)",'EPD List'!$7:$7,0)),
IF($C32="m",INDEX('EPD List'!$A:$AB,MATCH($B32,'EPD List'!$D:$D,0),MATCH("mass per m (kg/m)",'EPD List'!$7:$7,0)),
IF($C32="unit",INDEX('EPD List'!$A:$AB,MATCH($B32,'EPD List'!$D:$D,0),MATCH("Mass per unit (kg/unit)",'EPD List'!$7:$7,0)),NA())))))),"")</f>
        <v/>
      </c>
    </row>
    <row r="33" spans="2:8" x14ac:dyDescent="0.25">
      <c r="B33" s="122"/>
      <c r="H33" s="163" t="str">
        <f>IFERROR(IF($C33="kg",1,
IF($C33="tonne",1000,
IF(OR($C33="m³",$C33="m³"),INDEX('EPD List'!$A:$AB,MATCH($B33,'EPD List'!$D:$D,0),MATCH("Density (kg/m3)",'EPD List'!$7:$7,0)),
IF(OR($C33="m²",$C33="m2"),INDEX('EPD List'!$A:$AB,MATCH($B33,'EPD List'!$D:$D,0),MATCH("Area density (kg/m2)",'EPD List'!$7:$7,0)),
IF($C33="m",INDEX('EPD List'!$A:$AB,MATCH($B33,'EPD List'!$D:$D,0),MATCH("mass per m (kg/m)",'EPD List'!$7:$7,0)),
IF($C33="unit",INDEX('EPD List'!$A:$AB,MATCH($B33,'EPD List'!$D:$D,0),MATCH("Mass per unit (kg/unit)",'EPD List'!$7:$7,0)),NA())))))),"")</f>
        <v/>
      </c>
    </row>
    <row r="34" spans="2:8" x14ac:dyDescent="0.25">
      <c r="B34" s="122"/>
      <c r="H34" s="163" t="str">
        <f>IFERROR(IF($C34="kg",1,
IF($C34="tonne",1000,
IF(OR($C34="m³",$C34="m³"),INDEX('EPD List'!$A:$AB,MATCH($B34,'EPD List'!$D:$D,0),MATCH("Density (kg/m3)",'EPD List'!$7:$7,0)),
IF(OR($C34="m²",$C34="m2"),INDEX('EPD List'!$A:$AB,MATCH($B34,'EPD List'!$D:$D,0),MATCH("Area density (kg/m2)",'EPD List'!$7:$7,0)),
IF($C34="m",INDEX('EPD List'!$A:$AB,MATCH($B34,'EPD List'!$D:$D,0),MATCH("mass per m (kg/m)",'EPD List'!$7:$7,0)),
IF($C34="unit",INDEX('EPD List'!$A:$AB,MATCH($B34,'EPD List'!$D:$D,0),MATCH("Mass per unit (kg/unit)",'EPD List'!$7:$7,0)),NA())))))),"")</f>
        <v/>
      </c>
    </row>
    <row r="35" spans="2:8" x14ac:dyDescent="0.25">
      <c r="B35" s="122"/>
      <c r="H35" s="163" t="str">
        <f>IFERROR(IF($C35="kg",1,
IF($C35="tonne",1000,
IF(OR($C35="m³",$C35="m³"),INDEX('EPD List'!$A:$AB,MATCH($B35,'EPD List'!$D:$D,0),MATCH("Density (kg/m3)",'EPD List'!$7:$7,0)),
IF(OR($C35="m²",$C35="m2"),INDEX('EPD List'!$A:$AB,MATCH($B35,'EPD List'!$D:$D,0),MATCH("Area density (kg/m2)",'EPD List'!$7:$7,0)),
IF($C35="m",INDEX('EPD List'!$A:$AB,MATCH($B35,'EPD List'!$D:$D,0),MATCH("mass per m (kg/m)",'EPD List'!$7:$7,0)),
IF($C35="unit",INDEX('EPD List'!$A:$AB,MATCH($B35,'EPD List'!$D:$D,0),MATCH("Mass per unit (kg/unit)",'EPD List'!$7:$7,0)),NA())))))),"")</f>
        <v/>
      </c>
    </row>
    <row r="36" spans="2:8" x14ac:dyDescent="0.25">
      <c r="B36" s="122"/>
      <c r="H36" s="163" t="str">
        <f>IFERROR(IF($C36="kg",1,
IF($C36="tonne",1000,
IF(OR($C36="m³",$C36="m³"),INDEX('EPD List'!$A:$AB,MATCH($B36,'EPD List'!$D:$D,0),MATCH("Density (kg/m3)",'EPD List'!$7:$7,0)),
IF(OR($C36="m²",$C36="m2"),INDEX('EPD List'!$A:$AB,MATCH($B36,'EPD List'!$D:$D,0),MATCH("Area density (kg/m2)",'EPD List'!$7:$7,0)),
IF($C36="m",INDEX('EPD List'!$A:$AB,MATCH($B36,'EPD List'!$D:$D,0),MATCH("mass per m (kg/m)",'EPD List'!$7:$7,0)),
IF($C36="unit",INDEX('EPD List'!$A:$AB,MATCH($B36,'EPD List'!$D:$D,0),MATCH("Mass per unit (kg/unit)",'EPD List'!$7:$7,0)),NA())))))),"")</f>
        <v/>
      </c>
    </row>
    <row r="37" spans="2:8" x14ac:dyDescent="0.25">
      <c r="B37" s="122"/>
      <c r="H37" s="163" t="str">
        <f>IFERROR(IF($C37="kg",1,
IF($C37="tonne",1000,
IF(OR($C37="m³",$C37="m³"),INDEX('EPD List'!$A:$AB,MATCH($B37,'EPD List'!$D:$D,0),MATCH("Density (kg/m3)",'EPD List'!$7:$7,0)),
IF(OR($C37="m²",$C37="m2"),INDEX('EPD List'!$A:$AB,MATCH($B37,'EPD List'!$D:$D,0),MATCH("Area density (kg/m2)",'EPD List'!$7:$7,0)),
IF($C37="m",INDEX('EPD List'!$A:$AB,MATCH($B37,'EPD List'!$D:$D,0),MATCH("mass per m (kg/m)",'EPD List'!$7:$7,0)),
IF($C37="unit",INDEX('EPD List'!$A:$AB,MATCH($B37,'EPD List'!$D:$D,0),MATCH("Mass per unit (kg/unit)",'EPD List'!$7:$7,0)),NA())))))),"")</f>
        <v/>
      </c>
    </row>
    <row r="38" spans="2:8" x14ac:dyDescent="0.25">
      <c r="B38" s="122"/>
      <c r="H38" s="163" t="str">
        <f>IFERROR(IF($C38="kg",1,
IF($C38="tonne",1000,
IF(OR($C38="m³",$C38="m³"),INDEX('EPD List'!$A:$AB,MATCH($B38,'EPD List'!$D:$D,0),MATCH("Density (kg/m3)",'EPD List'!$7:$7,0)),
IF(OR($C38="m²",$C38="m2"),INDEX('EPD List'!$A:$AB,MATCH($B38,'EPD List'!$D:$D,0),MATCH("Area density (kg/m2)",'EPD List'!$7:$7,0)),
IF($C38="m",INDEX('EPD List'!$A:$AB,MATCH($B38,'EPD List'!$D:$D,0),MATCH("mass per m (kg/m)",'EPD List'!$7:$7,0)),
IF($C38="unit",INDEX('EPD List'!$A:$AB,MATCH($B38,'EPD List'!$D:$D,0),MATCH("Mass per unit (kg/unit)",'EPD List'!$7:$7,0)),NA())))))),"")</f>
        <v/>
      </c>
    </row>
    <row r="39" spans="2:8" x14ac:dyDescent="0.25">
      <c r="B39" s="122"/>
      <c r="H39" s="163" t="str">
        <f>IFERROR(IF($C39="kg",1,
IF($C39="tonne",1000,
IF(OR($C39="m³",$C39="m³"),INDEX('EPD List'!$A:$AB,MATCH($B39,'EPD List'!$D:$D,0),MATCH("Density (kg/m3)",'EPD List'!$7:$7,0)),
IF(OR($C39="m²",$C39="m2"),INDEX('EPD List'!$A:$AB,MATCH($B39,'EPD List'!$D:$D,0),MATCH("Area density (kg/m2)",'EPD List'!$7:$7,0)),
IF($C39="m",INDEX('EPD List'!$A:$AB,MATCH($B39,'EPD List'!$D:$D,0),MATCH("mass per m (kg/m)",'EPD List'!$7:$7,0)),
IF($C39="unit",INDEX('EPD List'!$A:$AB,MATCH($B39,'EPD List'!$D:$D,0),MATCH("Mass per unit (kg/unit)",'EPD List'!$7:$7,0)),NA())))))),"")</f>
        <v/>
      </c>
    </row>
    <row r="40" spans="2:8" x14ac:dyDescent="0.25">
      <c r="B40" s="122"/>
      <c r="H40" s="163" t="str">
        <f>IFERROR(IF($C40="kg",1,
IF($C40="tonne",1000,
IF(OR($C40="m³",$C40="m³"),INDEX('EPD List'!$A:$AB,MATCH($B40,'EPD List'!$D:$D,0),MATCH("Density (kg/m3)",'EPD List'!$7:$7,0)),
IF(OR($C40="m²",$C40="m2"),INDEX('EPD List'!$A:$AB,MATCH($B40,'EPD List'!$D:$D,0),MATCH("Area density (kg/m2)",'EPD List'!$7:$7,0)),
IF($C40="m",INDEX('EPD List'!$A:$AB,MATCH($B40,'EPD List'!$D:$D,0),MATCH("mass per m (kg/m)",'EPD List'!$7:$7,0)),
IF($C40="unit",INDEX('EPD List'!$A:$AB,MATCH($B40,'EPD List'!$D:$D,0),MATCH("Mass per unit (kg/unit)",'EPD List'!$7:$7,0)),NA())))))),"")</f>
        <v/>
      </c>
    </row>
    <row r="41" spans="2:8" x14ac:dyDescent="0.25">
      <c r="B41" s="122"/>
      <c r="H41" s="163" t="str">
        <f>IFERROR(IF($C41="kg",1,
IF($C41="tonne",1000,
IF(OR($C41="m³",$C41="m³"),INDEX('EPD List'!$A:$AB,MATCH($B41,'EPD List'!$D:$D,0),MATCH("Density (kg/m3)",'EPD List'!$7:$7,0)),
IF(OR($C41="m²",$C41="m2"),INDEX('EPD List'!$A:$AB,MATCH($B41,'EPD List'!$D:$D,0),MATCH("Area density (kg/m2)",'EPD List'!$7:$7,0)),
IF($C41="m",INDEX('EPD List'!$A:$AB,MATCH($B41,'EPD List'!$D:$D,0),MATCH("mass per m (kg/m)",'EPD List'!$7:$7,0)),
IF($C41="unit",INDEX('EPD List'!$A:$AB,MATCH($B41,'EPD List'!$D:$D,0),MATCH("Mass per unit (kg/unit)",'EPD List'!$7:$7,0)),NA())))))),"")</f>
        <v/>
      </c>
    </row>
    <row r="42" spans="2:8" x14ac:dyDescent="0.25">
      <c r="B42" s="122"/>
      <c r="H42" s="163" t="str">
        <f>IFERROR(IF($C42="kg",1,
IF($C42="tonne",1000,
IF(OR($C42="m³",$C42="m³"),INDEX('EPD List'!$A:$AB,MATCH($B42,'EPD List'!$D:$D,0),MATCH("Density (kg/m3)",'EPD List'!$7:$7,0)),
IF(OR($C42="m²",$C42="m2"),INDEX('EPD List'!$A:$AB,MATCH($B42,'EPD List'!$D:$D,0),MATCH("Area density (kg/m2)",'EPD List'!$7:$7,0)),
IF($C42="m",INDEX('EPD List'!$A:$AB,MATCH($B42,'EPD List'!$D:$D,0),MATCH("mass per m (kg/m)",'EPD List'!$7:$7,0)),
IF($C42="unit",INDEX('EPD List'!$A:$AB,MATCH($B42,'EPD List'!$D:$D,0),MATCH("Mass per unit (kg/unit)",'EPD List'!$7:$7,0)),NA())))))),"")</f>
        <v/>
      </c>
    </row>
    <row r="43" spans="2:8" x14ac:dyDescent="0.25">
      <c r="B43" s="122"/>
      <c r="H43" s="163" t="str">
        <f>IFERROR(IF($C43="kg",1,
IF($C43="tonne",1000,
IF(OR($C43="m³",$C43="m³"),INDEX('EPD List'!$A:$AB,MATCH($B43,'EPD List'!$D:$D,0),MATCH("Density (kg/m3)",'EPD List'!$7:$7,0)),
IF(OR($C43="m²",$C43="m2"),INDEX('EPD List'!$A:$AB,MATCH($B43,'EPD List'!$D:$D,0),MATCH("Area density (kg/m2)",'EPD List'!$7:$7,0)),
IF($C43="m",INDEX('EPD List'!$A:$AB,MATCH($B43,'EPD List'!$D:$D,0),MATCH("mass per m (kg/m)",'EPD List'!$7:$7,0)),
IF($C43="unit",INDEX('EPD List'!$A:$AB,MATCH($B43,'EPD List'!$D:$D,0),MATCH("Mass per unit (kg/unit)",'EPD List'!$7:$7,0)),NA())))))),"")</f>
        <v/>
      </c>
    </row>
    <row r="44" spans="2:8" x14ac:dyDescent="0.25">
      <c r="B44" s="122"/>
      <c r="H44" s="163" t="str">
        <f>IFERROR(IF($C44="kg",1,
IF($C44="tonne",1000,
IF(OR($C44="m³",$C44="m³"),INDEX('EPD List'!$A:$AB,MATCH($B44,'EPD List'!$D:$D,0),MATCH("Density (kg/m3)",'EPD List'!$7:$7,0)),
IF(OR($C44="m²",$C44="m2"),INDEX('EPD List'!$A:$AB,MATCH($B44,'EPD List'!$D:$D,0),MATCH("Area density (kg/m2)",'EPD List'!$7:$7,0)),
IF($C44="m",INDEX('EPD List'!$A:$AB,MATCH($B44,'EPD List'!$D:$D,0),MATCH("mass per m (kg/m)",'EPD List'!$7:$7,0)),
IF($C44="unit",INDEX('EPD List'!$A:$AB,MATCH($B44,'EPD List'!$D:$D,0),MATCH("Mass per unit (kg/unit)",'EPD List'!$7:$7,0)),NA())))))),"")</f>
        <v/>
      </c>
    </row>
    <row r="45" spans="2:8" x14ac:dyDescent="0.25">
      <c r="B45" s="122"/>
    </row>
    <row r="46" spans="2:8" x14ac:dyDescent="0.25">
      <c r="B46" s="122"/>
    </row>
    <row r="47" spans="2:8" x14ac:dyDescent="0.25">
      <c r="B47" s="122"/>
    </row>
    <row r="48" spans="2:8" x14ac:dyDescent="0.25">
      <c r="B48" s="122"/>
    </row>
    <row r="49" spans="2:2" x14ac:dyDescent="0.25">
      <c r="B49" s="122"/>
    </row>
    <row r="50" spans="2:2" x14ac:dyDescent="0.25">
      <c r="B50" s="122"/>
    </row>
    <row r="51" spans="2:2" x14ac:dyDescent="0.25">
      <c r="B51" s="122"/>
    </row>
    <row r="52" spans="2:2" x14ac:dyDescent="0.25">
      <c r="B52" s="122"/>
    </row>
    <row r="53" spans="2:2" x14ac:dyDescent="0.25">
      <c r="B53" s="122"/>
    </row>
    <row r="54" spans="2:2" x14ac:dyDescent="0.25">
      <c r="B54" s="122"/>
    </row>
    <row r="55" spans="2:2" x14ac:dyDescent="0.25">
      <c r="B55" s="122"/>
    </row>
    <row r="56" spans="2:2" x14ac:dyDescent="0.25">
      <c r="B56" s="122"/>
    </row>
    <row r="57" spans="2:2" x14ac:dyDescent="0.25">
      <c r="B57" s="122"/>
    </row>
    <row r="58" spans="2:2" x14ac:dyDescent="0.25">
      <c r="B58" s="122"/>
    </row>
    <row r="59" spans="2:2" x14ac:dyDescent="0.25">
      <c r="B59" s="122"/>
    </row>
    <row r="60" spans="2:2" x14ac:dyDescent="0.25">
      <c r="B60" s="122"/>
    </row>
    <row r="61" spans="2:2" x14ac:dyDescent="0.25">
      <c r="B61" s="122"/>
    </row>
    <row r="62" spans="2:2" x14ac:dyDescent="0.25">
      <c r="B62" s="122"/>
    </row>
    <row r="63" spans="2:2" x14ac:dyDescent="0.25">
      <c r="B63" s="122"/>
    </row>
    <row r="64" spans="2:2" x14ac:dyDescent="0.25">
      <c r="B64" s="122"/>
    </row>
    <row r="65" spans="2:2" x14ac:dyDescent="0.25">
      <c r="B65" s="122"/>
    </row>
    <row r="66" spans="2:2" x14ac:dyDescent="0.25">
      <c r="B66" s="122"/>
    </row>
    <row r="67" spans="2:2" x14ac:dyDescent="0.25">
      <c r="B67" s="122"/>
    </row>
    <row r="68" spans="2:2" x14ac:dyDescent="0.25">
      <c r="B68" s="122"/>
    </row>
    <row r="69" spans="2:2" x14ac:dyDescent="0.25">
      <c r="B69" s="122"/>
    </row>
    <row r="70" spans="2:2" x14ac:dyDescent="0.25">
      <c r="B70" s="122"/>
    </row>
    <row r="71" spans="2:2" x14ac:dyDescent="0.25">
      <c r="B71" s="122"/>
    </row>
    <row r="72" spans="2:2" x14ac:dyDescent="0.25">
      <c r="B72" s="122"/>
    </row>
    <row r="73" spans="2:2" x14ac:dyDescent="0.25">
      <c r="B73" s="122"/>
    </row>
    <row r="74" spans="2:2" x14ac:dyDescent="0.25">
      <c r="B74" s="122"/>
    </row>
    <row r="75" spans="2:2" x14ac:dyDescent="0.25">
      <c r="B75" s="122"/>
    </row>
    <row r="76" spans="2:2" x14ac:dyDescent="0.25">
      <c r="B76" s="122"/>
    </row>
    <row r="77" spans="2:2" x14ac:dyDescent="0.25">
      <c r="B77" s="122"/>
    </row>
    <row r="78" spans="2:2" x14ac:dyDescent="0.25">
      <c r="B78" s="122"/>
    </row>
    <row r="79" spans="2:2" x14ac:dyDescent="0.25">
      <c r="B79" s="122"/>
    </row>
    <row r="80" spans="2:2" x14ac:dyDescent="0.25">
      <c r="B80" s="122"/>
    </row>
    <row r="81" spans="2:10" x14ac:dyDescent="0.25">
      <c r="B81" s="122"/>
    </row>
    <row r="82" spans="2:10" x14ac:dyDescent="0.25">
      <c r="B82" s="122"/>
    </row>
    <row r="83" spans="2:10" x14ac:dyDescent="0.25">
      <c r="B83" s="122"/>
    </row>
    <row r="84" spans="2:10" x14ac:dyDescent="0.25">
      <c r="B84" s="122"/>
    </row>
    <row r="85" spans="2:10" x14ac:dyDescent="0.25">
      <c r="B85" s="122"/>
    </row>
    <row r="86" spans="2:10" x14ac:dyDescent="0.25">
      <c r="B86" s="122"/>
    </row>
    <row r="87" spans="2:10" x14ac:dyDescent="0.25">
      <c r="B87" s="122"/>
    </row>
    <row r="88" spans="2:10" x14ac:dyDescent="0.25">
      <c r="B88" s="122"/>
    </row>
    <row r="89" spans="2:10" x14ac:dyDescent="0.25">
      <c r="B89" s="122"/>
    </row>
    <row r="90" spans="2:10" x14ac:dyDescent="0.25">
      <c r="B90" s="122"/>
      <c r="J90" s="96"/>
    </row>
    <row r="91" spans="2:10" x14ac:dyDescent="0.25">
      <c r="B91" s="122"/>
    </row>
    <row r="92" spans="2:10" x14ac:dyDescent="0.25">
      <c r="B92" s="122"/>
    </row>
    <row r="93" spans="2:10" x14ac:dyDescent="0.25">
      <c r="B93" s="122"/>
    </row>
    <row r="94" spans="2:10" x14ac:dyDescent="0.25">
      <c r="B94" s="122"/>
    </row>
    <row r="95" spans="2:10" x14ac:dyDescent="0.25">
      <c r="B95" s="122"/>
    </row>
    <row r="96" spans="2:10" x14ac:dyDescent="0.25">
      <c r="B96" s="122"/>
    </row>
    <row r="97" spans="2:2" x14ac:dyDescent="0.25">
      <c r="B97" s="122"/>
    </row>
    <row r="98" spans="2:2" x14ac:dyDescent="0.25">
      <c r="B98" s="122"/>
    </row>
    <row r="99" spans="2:2" x14ac:dyDescent="0.25">
      <c r="B99" s="122"/>
    </row>
    <row r="100" spans="2:2" x14ac:dyDescent="0.25">
      <c r="B100" s="122"/>
    </row>
    <row r="101" spans="2:2" x14ac:dyDescent="0.25">
      <c r="B101" s="122"/>
    </row>
    <row r="102" spans="2:2" x14ac:dyDescent="0.25">
      <c r="B102" s="122"/>
    </row>
    <row r="103" spans="2:2" x14ac:dyDescent="0.25">
      <c r="B103" s="122"/>
    </row>
    <row r="104" spans="2:2" x14ac:dyDescent="0.25">
      <c r="B104" s="122"/>
    </row>
    <row r="105" spans="2:2" x14ac:dyDescent="0.25">
      <c r="B105" s="122"/>
    </row>
    <row r="106" spans="2:2" x14ac:dyDescent="0.25">
      <c r="B106" s="122"/>
    </row>
    <row r="107" spans="2:2" x14ac:dyDescent="0.25">
      <c r="B107" s="122"/>
    </row>
    <row r="108" spans="2:2" x14ac:dyDescent="0.25">
      <c r="B108" s="122"/>
    </row>
    <row r="109" spans="2:2" x14ac:dyDescent="0.25">
      <c r="B109" s="122"/>
    </row>
    <row r="110" spans="2:2" x14ac:dyDescent="0.25">
      <c r="B110" s="122"/>
    </row>
    <row r="111" spans="2:2" x14ac:dyDescent="0.25">
      <c r="B111" s="122"/>
    </row>
    <row r="112" spans="2:2" x14ac:dyDescent="0.25">
      <c r="B112" s="122"/>
    </row>
    <row r="113" spans="2:2" x14ac:dyDescent="0.25">
      <c r="B113" s="122"/>
    </row>
    <row r="114" spans="2:2" x14ac:dyDescent="0.25">
      <c r="B114" s="122"/>
    </row>
    <row r="115" spans="2:2" x14ac:dyDescent="0.25">
      <c r="B115" s="122"/>
    </row>
    <row r="116" spans="2:2" x14ac:dyDescent="0.25">
      <c r="B116" s="122"/>
    </row>
    <row r="117" spans="2:2" x14ac:dyDescent="0.25">
      <c r="B117" s="122"/>
    </row>
    <row r="118" spans="2:2" x14ac:dyDescent="0.25">
      <c r="B118" s="122"/>
    </row>
    <row r="119" spans="2:2" x14ac:dyDescent="0.25">
      <c r="B119" s="122"/>
    </row>
    <row r="120" spans="2:2" x14ac:dyDescent="0.25">
      <c r="B120" s="122"/>
    </row>
    <row r="121" spans="2:2" x14ac:dyDescent="0.25">
      <c r="B121" s="122"/>
    </row>
    <row r="122" spans="2:2" x14ac:dyDescent="0.25">
      <c r="B122" s="122"/>
    </row>
    <row r="123" spans="2:2" x14ac:dyDescent="0.25">
      <c r="B123" s="122"/>
    </row>
    <row r="124" spans="2:2" x14ac:dyDescent="0.25">
      <c r="B124" s="122"/>
    </row>
    <row r="125" spans="2:2" x14ac:dyDescent="0.25">
      <c r="B125" s="122"/>
    </row>
    <row r="126" spans="2:2" x14ac:dyDescent="0.25">
      <c r="B126" s="122"/>
    </row>
    <row r="127" spans="2:2" x14ac:dyDescent="0.25">
      <c r="B127" s="122"/>
    </row>
    <row r="128" spans="2:2" x14ac:dyDescent="0.25">
      <c r="B128" s="122"/>
    </row>
    <row r="129" spans="2:2" x14ac:dyDescent="0.25">
      <c r="B129" s="122"/>
    </row>
    <row r="130" spans="2:2" x14ac:dyDescent="0.25">
      <c r="B130" s="122"/>
    </row>
    <row r="131" spans="2:2" x14ac:dyDescent="0.25">
      <c r="B131" s="122"/>
    </row>
    <row r="132" spans="2:2" x14ac:dyDescent="0.25">
      <c r="B132" s="122"/>
    </row>
    <row r="133" spans="2:2" x14ac:dyDescent="0.25">
      <c r="B133" s="122"/>
    </row>
    <row r="134" spans="2:2" x14ac:dyDescent="0.25">
      <c r="B134" s="122"/>
    </row>
    <row r="135" spans="2:2" x14ac:dyDescent="0.25">
      <c r="B135" s="122"/>
    </row>
    <row r="136" spans="2:2" x14ac:dyDescent="0.25">
      <c r="B136" s="122"/>
    </row>
    <row r="137" spans="2:2" x14ac:dyDescent="0.25">
      <c r="B137" s="122"/>
    </row>
    <row r="138" spans="2:2" x14ac:dyDescent="0.25">
      <c r="B138" s="122"/>
    </row>
    <row r="139" spans="2:2" x14ac:dyDescent="0.25">
      <c r="B139" s="122"/>
    </row>
    <row r="140" spans="2:2" x14ac:dyDescent="0.25">
      <c r="B140" s="122"/>
    </row>
    <row r="141" spans="2:2" x14ac:dyDescent="0.25">
      <c r="B141" s="122"/>
    </row>
    <row r="142" spans="2:2" x14ac:dyDescent="0.25">
      <c r="B142" s="122"/>
    </row>
    <row r="143" spans="2:2" x14ac:dyDescent="0.25">
      <c r="B143" s="122"/>
    </row>
    <row r="144" spans="2:2" x14ac:dyDescent="0.25">
      <c r="B144" s="122"/>
    </row>
    <row r="145" spans="2:2" x14ac:dyDescent="0.25">
      <c r="B145" s="122"/>
    </row>
    <row r="146" spans="2:2" x14ac:dyDescent="0.25">
      <c r="B146" s="122"/>
    </row>
    <row r="147" spans="2:2" x14ac:dyDescent="0.25">
      <c r="B147" s="122"/>
    </row>
    <row r="148" spans="2:2" x14ac:dyDescent="0.25">
      <c r="B148" s="122"/>
    </row>
    <row r="149" spans="2:2" x14ac:dyDescent="0.25">
      <c r="B149" s="122"/>
    </row>
    <row r="150" spans="2:2" x14ac:dyDescent="0.25">
      <c r="B150" s="122"/>
    </row>
    <row r="151" spans="2:2" x14ac:dyDescent="0.25">
      <c r="B151" s="122"/>
    </row>
    <row r="152" spans="2:2" x14ac:dyDescent="0.25">
      <c r="B152" s="122"/>
    </row>
    <row r="153" spans="2:2" x14ac:dyDescent="0.25">
      <c r="B153" s="122"/>
    </row>
    <row r="154" spans="2:2" x14ac:dyDescent="0.25">
      <c r="B154" s="122"/>
    </row>
    <row r="155" spans="2:2" x14ac:dyDescent="0.25">
      <c r="B155" s="122"/>
    </row>
    <row r="156" spans="2:2" x14ac:dyDescent="0.25">
      <c r="B156" s="122"/>
    </row>
    <row r="157" spans="2:2" x14ac:dyDescent="0.25">
      <c r="B157" s="122"/>
    </row>
    <row r="158" spans="2:2" x14ac:dyDescent="0.25">
      <c r="B158" s="122"/>
    </row>
    <row r="159" spans="2:2" x14ac:dyDescent="0.25">
      <c r="B159" s="122"/>
    </row>
    <row r="160" spans="2:2" x14ac:dyDescent="0.25">
      <c r="B160" s="122"/>
    </row>
    <row r="161" spans="2:7" x14ac:dyDescent="0.25">
      <c r="B161" s="122"/>
    </row>
    <row r="162" spans="2:7" x14ac:dyDescent="0.25">
      <c r="B162" s="122"/>
    </row>
    <row r="163" spans="2:7" x14ac:dyDescent="0.25">
      <c r="B163" s="122"/>
    </row>
    <row r="164" spans="2:7" x14ac:dyDescent="0.25">
      <c r="B164" s="122"/>
    </row>
    <row r="165" spans="2:7" x14ac:dyDescent="0.25">
      <c r="B165" s="122"/>
    </row>
    <row r="166" spans="2:7" x14ac:dyDescent="0.25">
      <c r="B166" s="125"/>
      <c r="C166" s="126"/>
      <c r="D166" s="127"/>
      <c r="E166" s="127"/>
      <c r="F166" s="127"/>
      <c r="G166" s="127"/>
    </row>
  </sheetData>
  <dataValidations count="1">
    <dataValidation type="list" allowBlank="1" showInputMessage="1" showErrorMessage="1" sqref="B6:B9" xr:uid="{1DCADFC2-82A1-4FBC-A23A-5B1E1B227892}">
      <formula1>"Tier 1,Tier 2,Tier 3,Tier 4"</formula1>
    </dataValidation>
  </dataValidations>
  <pageMargins left="0.7" right="0.7" top="0.75" bottom="0.75" header="0.3" footer="0.3"/>
  <legacyDrawing r:id="rId1"/>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B4CACF-E751-450B-ABF3-B6FBC1D7D2A8}">
  <sheetPr codeName="Sheet80">
    <tabColor rgb="FF00CCFF"/>
  </sheetPr>
  <dimension ref="A1:J166"/>
  <sheetViews>
    <sheetView showGridLines="0" zoomScale="80" zoomScaleNormal="80" workbookViewId="0"/>
  </sheetViews>
  <sheetFormatPr defaultRowHeight="13.2" x14ac:dyDescent="0.25"/>
  <cols>
    <col min="1" max="1" width="26.109375" customWidth="1"/>
    <col min="2" max="2" width="128.88671875" customWidth="1"/>
    <col min="3" max="3" width="21" customWidth="1"/>
    <col min="4" max="6" width="19.88671875" style="96" customWidth="1"/>
    <col min="7" max="7" width="23.5546875" style="96" customWidth="1"/>
    <col min="8" max="8" width="14.44140625" style="161" customWidth="1"/>
    <col min="9" max="9" width="14.44140625" customWidth="1"/>
    <col min="10" max="10" width="13.109375" customWidth="1"/>
  </cols>
  <sheetData>
    <row r="1" spans="1:8" x14ac:dyDescent="0.25">
      <c r="A1" s="4" t="str" cm="1">
        <f t="array" aca="1" ref="A1" ca="1">MID(CELL("filename",A1),FIND("]",CELL("filename",A1))+1,255)</f>
        <v>Eng_Timber_LVL</v>
      </c>
      <c r="H1"/>
    </row>
    <row r="2" spans="1:8" x14ac:dyDescent="0.25">
      <c r="A2" s="4"/>
      <c r="C2" s="4"/>
      <c r="H2"/>
    </row>
    <row r="3" spans="1:8" x14ac:dyDescent="0.25">
      <c r="A3" s="4" t="s">
        <v>4048</v>
      </c>
      <c r="B3" t="s">
        <v>4227</v>
      </c>
      <c r="H3"/>
    </row>
    <row r="4" spans="1:8" x14ac:dyDescent="0.25">
      <c r="A4" s="4"/>
      <c r="H4"/>
    </row>
    <row r="5" spans="1:8" ht="92.25" customHeight="1" x14ac:dyDescent="0.25">
      <c r="A5" s="26" t="s">
        <v>4050</v>
      </c>
      <c r="B5" s="14" t="s">
        <v>4228</v>
      </c>
      <c r="D5" s="14"/>
      <c r="E5" s="43"/>
      <c r="H5"/>
    </row>
    <row r="6" spans="1:8" x14ac:dyDescent="0.25">
      <c r="A6" s="26" t="s">
        <v>4052</v>
      </c>
      <c r="B6" t="s">
        <v>70</v>
      </c>
      <c r="D6"/>
      <c r="H6"/>
    </row>
    <row r="7" spans="1:8" x14ac:dyDescent="0.25">
      <c r="A7" s="26" t="s">
        <v>4053</v>
      </c>
      <c r="B7" s="27" t="s">
        <v>68</v>
      </c>
      <c r="H7"/>
    </row>
    <row r="8" spans="1:8" x14ac:dyDescent="0.25">
      <c r="A8" s="26" t="s">
        <v>4054</v>
      </c>
      <c r="B8" s="27" t="s">
        <v>70</v>
      </c>
      <c r="H8"/>
    </row>
    <row r="9" spans="1:8" x14ac:dyDescent="0.25">
      <c r="A9" s="26" t="s">
        <v>4055</v>
      </c>
      <c r="B9" s="4" t="s">
        <v>70</v>
      </c>
      <c r="H9"/>
    </row>
    <row r="10" spans="1:8" x14ac:dyDescent="0.25">
      <c r="A10" s="26"/>
      <c r="B10" s="4"/>
      <c r="H10"/>
    </row>
    <row r="11" spans="1:8" x14ac:dyDescent="0.25">
      <c r="A11" s="26" t="s">
        <v>4056</v>
      </c>
      <c r="B11" s="14"/>
      <c r="H11"/>
    </row>
    <row r="12" spans="1:8" x14ac:dyDescent="0.25">
      <c r="A12" s="101"/>
      <c r="H12"/>
    </row>
    <row r="13" spans="1:8" x14ac:dyDescent="0.25">
      <c r="A13" s="101"/>
      <c r="H13"/>
    </row>
    <row r="14" spans="1:8" x14ac:dyDescent="0.25">
      <c r="A14" s="26" t="s">
        <v>4057</v>
      </c>
      <c r="H14"/>
    </row>
    <row r="15" spans="1:8" x14ac:dyDescent="0.25">
      <c r="A15" s="26"/>
      <c r="D15" s="112" t="s">
        <v>4058</v>
      </c>
      <c r="E15" s="113"/>
      <c r="F15" s="114" t="s">
        <v>4059</v>
      </c>
      <c r="G15" s="113"/>
      <c r="H15"/>
    </row>
    <row r="16" spans="1:8" ht="39.6" x14ac:dyDescent="0.25">
      <c r="B16" s="28" t="s">
        <v>3520</v>
      </c>
      <c r="C16" s="23" t="s">
        <v>23</v>
      </c>
      <c r="D16" s="24" t="s">
        <v>141</v>
      </c>
      <c r="E16" s="25" t="s">
        <v>148</v>
      </c>
      <c r="F16" s="24" t="s">
        <v>142</v>
      </c>
      <c r="G16" s="45" t="s">
        <v>149</v>
      </c>
      <c r="H16" s="44" t="s">
        <v>4201</v>
      </c>
    </row>
    <row r="17" spans="2:10" x14ac:dyDescent="0.25">
      <c r="B17" s="29"/>
      <c r="C17" s="30" t="s">
        <v>4060</v>
      </c>
      <c r="D17" s="118" t="str" cm="1">
        <f t="array" ref="D17">IF(AND(_xlfn.ANCHORARRAY(C23)=C23),C23,"Mixed")</f>
        <v>m³</v>
      </c>
      <c r="E17" s="118" t="s">
        <v>219</v>
      </c>
      <c r="F17" s="118" t="str" cm="1">
        <f t="array" ref="F17">IF(AND(_xlfn.ANCHORARRAY(C23)=C23),C23,"Mixed")</f>
        <v>m³</v>
      </c>
      <c r="G17" s="118" t="s">
        <v>219</v>
      </c>
    </row>
    <row r="18" spans="2:10" s="14" customFormat="1" x14ac:dyDescent="0.25">
      <c r="B18" s="31"/>
      <c r="C18" s="4" t="s">
        <v>4061</v>
      </c>
      <c r="D18" s="96">
        <f>MAX(_xlfn.ANCHORARRAY(D23))</f>
        <v>401.66666666666663</v>
      </c>
      <c r="E18" s="96">
        <f t="shared" ref="E18" si="0">MAX(_xlfn.ANCHORARRAY(E23))</f>
        <v>0.91287878787878773</v>
      </c>
      <c r="F18" s="162">
        <f>VLOOKUP($D18,$D$23:$F$211,3,FALSE)</f>
        <v>784.66666666666663</v>
      </c>
      <c r="G18" s="162">
        <f>VLOOKUP($D18,$D$23:$G$211,4,FALSE)</f>
        <v>1.5385620915032678</v>
      </c>
      <c r="H18" s="163">
        <f>D18/E18</f>
        <v>440</v>
      </c>
      <c r="I18"/>
      <c r="J18"/>
    </row>
    <row r="19" spans="2:10" x14ac:dyDescent="0.25">
      <c r="B19" s="122"/>
      <c r="C19" s="4" t="s">
        <v>4062</v>
      </c>
      <c r="D19" s="96">
        <f>MIN(_xlfn.ANCHORARRAY(D23))</f>
        <v>94.399999999999977</v>
      </c>
      <c r="E19" s="96">
        <f t="shared" ref="E19:G19" si="1">MIN(_xlfn.ANCHORARRAY(E23))</f>
        <v>0.15500821018062383</v>
      </c>
      <c r="F19" s="96">
        <f t="shared" si="1"/>
        <v>765.30508474576266</v>
      </c>
      <c r="G19" s="96">
        <f t="shared" si="1"/>
        <v>1.4745762711864405</v>
      </c>
      <c r="H19" s="163">
        <f>D19/E19</f>
        <v>609.00000000000045</v>
      </c>
    </row>
    <row r="20" spans="2:10" x14ac:dyDescent="0.25">
      <c r="B20" s="122"/>
      <c r="C20" s="4" t="s">
        <v>4063</v>
      </c>
      <c r="D20" s="96">
        <f>AVERAGE(_xlfn.ANCHORARRAY(D23))</f>
        <v>269.41072926531581</v>
      </c>
      <c r="E20" s="96">
        <f t="shared" ref="E20:G20" si="2">AVERAGE(_xlfn.ANCHORARRAY(E23))</f>
        <v>0.53063640689789171</v>
      </c>
      <c r="F20" s="96">
        <f t="shared" si="2"/>
        <v>835.46322787193981</v>
      </c>
      <c r="G20" s="96">
        <f t="shared" si="2"/>
        <v>1.5985877166755444</v>
      </c>
      <c r="H20" s="163">
        <f>D20/E20</f>
        <v>507.71248591911535</v>
      </c>
    </row>
    <row r="21" spans="2:10" x14ac:dyDescent="0.25">
      <c r="B21" s="122"/>
      <c r="C21" s="4"/>
      <c r="H21" s="163"/>
    </row>
    <row r="22" spans="2:10" x14ac:dyDescent="0.25">
      <c r="B22" s="32" t="s">
        <v>4064</v>
      </c>
      <c r="D22"/>
      <c r="E22"/>
      <c r="F22"/>
      <c r="G22"/>
      <c r="H22" s="163"/>
    </row>
    <row r="23" spans="2:10" x14ac:dyDescent="0.25">
      <c r="B23" s="122" t="str" cm="1">
        <f t="array" ref="B23:B37">_xlfn.UNIQUE(_xlfn._xlws.FILTER('EPD List'!D:D,ISNUMBER(SEARCH(B16,'EPD List'!C:C)),0))</f>
        <v>S-beam LVL (Kerto) (Finland)</v>
      </c>
      <c r="C23" t="str" cm="1">
        <f t="array" ref="C23:C37">_xlfn.IFNA(INDEX('EPD List'!$A:$AB,MATCH(_xlfn.ANCHORARRAY(B23),'EPD List'!$D:$D,0),MATCH(C$16,'EPD List'!$7:$7,0)),"")</f>
        <v>m³</v>
      </c>
      <c r="D23" s="96" cm="1">
        <f t="array" ref="D23:D37">_xlfn.IFNA(VALUE((INDEX('EPD List'!$A:$AD,MATCH(_xlfn.ANCHORARRAY($B23),'EPD List'!$D:$D,0),MATCH(D$16,'EPD List'!$7:$7,0)))),"")</f>
        <v>401.66666666666663</v>
      </c>
      <c r="E23" s="96" cm="1">
        <f t="array" ref="E23:E37">_xlfn.IFNA(VALUE((INDEX('EPD List'!$A:$AD,MATCH(_xlfn.ANCHORARRAY($B23),'EPD List'!$D:$D,0),MATCH(E$16,'EPD List'!$7:$7,0)))),"")</f>
        <v>0.7875816993464051</v>
      </c>
      <c r="F23" s="96" cm="1">
        <f t="array" ref="F23:F37">_xlfn.IFNA(VALUE((INDEX('EPD List'!$A:$AD,MATCH(_xlfn.ANCHORARRAY($B23),'EPD List'!$D:$D,0),MATCH(F$16,'EPD List'!$7:$7,0)))),"")</f>
        <v>784.66666666666663</v>
      </c>
      <c r="G23" s="96" cm="1">
        <f t="array" ref="G23:G37">_xlfn.IFNA(VALUE((INDEX('EPD List'!$A:$AD,MATCH(_xlfn.ANCHORARRAY($B23),'EPD List'!$D:$D,0),MATCH(G$16,'EPD List'!$7:$7,0)))),"")</f>
        <v>1.5385620915032678</v>
      </c>
      <c r="H23" s="163">
        <f>IFERROR(IF($C23="kg",1,
IF($C23="tonne",1000,
IF(OR($C23="m³",$C23="m³"),INDEX('EPD List'!$A:$AB,MATCH($B23,'EPD List'!$D:$D,0),MATCH("Density (kg/m3)",'EPD List'!$7:$7,0)),
IF(OR($C23="m²",$C23="m2"),INDEX('EPD List'!$A:$AB,MATCH($B23,'EPD List'!$D:$D,0),MATCH("Area density (kg/m2)",'EPD List'!$7:$7,0)),
IF($C23="m",INDEX('EPD List'!$A:$AB,MATCH($B23,'EPD List'!$D:$D,0),MATCH("mass per m (kg/m)",'EPD List'!$7:$7,0)),
IF($C23="unit",INDEX('EPD List'!$A:$AB,MATCH($B23,'EPD List'!$D:$D,0),MATCH("Mass per unit (kg/unit)",'EPD List'!$7:$7,0)),NA())))))),"")</f>
        <v>510</v>
      </c>
    </row>
    <row r="24" spans="2:10" x14ac:dyDescent="0.25">
      <c r="B24" s="122" t="str">
        <v>Q-panel LVL (Kerto) (Finland)</v>
      </c>
      <c r="C24" t="str">
        <v>m³</v>
      </c>
      <c r="D24" s="96">
        <v>401.66666666666663</v>
      </c>
      <c r="E24" s="96">
        <v>0.7875816993464051</v>
      </c>
      <c r="F24" s="96">
        <v>784.66666666666663</v>
      </c>
      <c r="G24" s="96">
        <v>1.5385620915032678</v>
      </c>
      <c r="H24" s="163">
        <f>IFERROR(IF($C24="kg",1,
IF($C24="tonne",1000,
IF(OR($C24="m³",$C24="m³"),INDEX('EPD List'!$A:$AB,MATCH($B24,'EPD List'!$D:$D,0),MATCH("Density (kg/m3)",'EPD List'!$7:$7,0)),
IF(OR($C24="m²",$C24="m2"),INDEX('EPD List'!$A:$AB,MATCH($B24,'EPD List'!$D:$D,0),MATCH("Area density (kg/m2)",'EPD List'!$7:$7,0)),
IF($C24="m",INDEX('EPD List'!$A:$AB,MATCH($B24,'EPD List'!$D:$D,0),MATCH("mass per m (kg/m)",'EPD List'!$7:$7,0)),
IF($C24="unit",INDEX('EPD List'!$A:$AB,MATCH($B24,'EPD List'!$D:$D,0),MATCH("Mass per unit (kg/unit)",'EPD List'!$7:$7,0)),NA())))))),"")</f>
        <v>510</v>
      </c>
    </row>
    <row r="25" spans="2:10" x14ac:dyDescent="0.25">
      <c r="B25" s="122" t="str">
        <v>Qp-beam LVL (Kerto) (Finland)</v>
      </c>
      <c r="C25" t="str">
        <v>m³</v>
      </c>
      <c r="D25" s="96">
        <v>401.66666666666663</v>
      </c>
      <c r="E25" s="96">
        <v>0.7875816993464051</v>
      </c>
      <c r="F25" s="96">
        <v>784.66666666666663</v>
      </c>
      <c r="G25" s="96">
        <v>1.5385620915032678</v>
      </c>
      <c r="H25" s="163">
        <f>IFERROR(IF($C25="kg",1,
IF($C25="tonne",1000,
IF(OR($C25="m³",$C25="m³"),INDEX('EPD List'!$A:$AB,MATCH($B25,'EPD List'!$D:$D,0),MATCH("Density (kg/m3)",'EPD List'!$7:$7,0)),
IF(OR($C25="m²",$C25="m2"),INDEX('EPD List'!$A:$AB,MATCH($B25,'EPD List'!$D:$D,0),MATCH("Area density (kg/m2)",'EPD List'!$7:$7,0)),
IF($C25="m",INDEX('EPD List'!$A:$AB,MATCH($B25,'EPD List'!$D:$D,0),MATCH("mass per m (kg/m)",'EPD List'!$7:$7,0)),
IF($C25="unit",INDEX('EPD List'!$A:$AB,MATCH($B25,'EPD List'!$D:$D,0),MATCH("Mass per unit (kg/unit)",'EPD List'!$7:$7,0)),NA())))))),"")</f>
        <v>510</v>
      </c>
    </row>
    <row r="26" spans="2:10" x14ac:dyDescent="0.25">
      <c r="B26" s="122" t="str">
        <v>Kate LVL (Kerto) (Finland)</v>
      </c>
      <c r="C26" t="str">
        <v>m³</v>
      </c>
      <c r="D26" s="96">
        <v>401.66666666666663</v>
      </c>
      <c r="E26" s="96">
        <v>0.7875816993464051</v>
      </c>
      <c r="F26" s="96">
        <v>784.66666666666663</v>
      </c>
      <c r="G26" s="96">
        <v>1.5385620915032678</v>
      </c>
      <c r="H26" s="163">
        <f>IFERROR(IF($C26="kg",1,
IF($C26="tonne",1000,
IF(OR($C26="m³",$C26="m³"),INDEX('EPD List'!$A:$AB,MATCH($B26,'EPD List'!$D:$D,0),MATCH("Density (kg/m3)",'EPD List'!$7:$7,0)),
IF(OR($C26="m²",$C26="m2"),INDEX('EPD List'!$A:$AB,MATCH($B26,'EPD List'!$D:$D,0),MATCH("Area density (kg/m2)",'EPD List'!$7:$7,0)),
IF($C26="m",INDEX('EPD List'!$A:$AB,MATCH($B26,'EPD List'!$D:$D,0),MATCH("mass per m (kg/m)",'EPD List'!$7:$7,0)),
IF($C26="unit",INDEX('EPD List'!$A:$AB,MATCH($B26,'EPD List'!$D:$D,0),MATCH("Mass per unit (kg/unit)",'EPD List'!$7:$7,0)),NA())))))),"")</f>
        <v>510</v>
      </c>
    </row>
    <row r="27" spans="2:10" x14ac:dyDescent="0.25">
      <c r="B27" s="122" t="str">
        <v>L-panel LVL (Kerto) (Finland)</v>
      </c>
      <c r="C27" t="str">
        <v>m³</v>
      </c>
      <c r="D27" s="96">
        <v>401.66666666666663</v>
      </c>
      <c r="E27" s="96">
        <v>0.91287878787878773</v>
      </c>
      <c r="F27" s="96">
        <v>784.66666666666663</v>
      </c>
      <c r="G27" s="96">
        <v>1.7833333333333332</v>
      </c>
      <c r="H27" s="163">
        <f>IFERROR(IF($C27="kg",1,
IF($C27="tonne",1000,
IF(OR($C27="m³",$C27="m³"),INDEX('EPD List'!$A:$AB,MATCH($B27,'EPD List'!$D:$D,0),MATCH("Density (kg/m3)",'EPD List'!$7:$7,0)),
IF(OR($C27="m²",$C27="m2"),INDEX('EPD List'!$A:$AB,MATCH($B27,'EPD List'!$D:$D,0),MATCH("Area density (kg/m2)",'EPD List'!$7:$7,0)),
IF($C27="m",INDEX('EPD List'!$A:$AB,MATCH($B27,'EPD List'!$D:$D,0),MATCH("mass per m (kg/m)",'EPD List'!$7:$7,0)),
IF($C27="unit",INDEX('EPD List'!$A:$AB,MATCH($B27,'EPD List'!$D:$D,0),MATCH("Mass per unit (kg/unit)",'EPD List'!$7:$7,0)),NA())))))),"")</f>
        <v>440</v>
      </c>
    </row>
    <row r="28" spans="2:10" x14ac:dyDescent="0.25">
      <c r="B28" s="122" t="str">
        <v>T-Stud LVL (Kerto) (Finland)</v>
      </c>
      <c r="C28" t="str">
        <v>m³</v>
      </c>
      <c r="D28" s="96">
        <v>401.66666666666663</v>
      </c>
      <c r="E28" s="96">
        <v>0.91287878787878773</v>
      </c>
      <c r="F28" s="96">
        <v>784.66666666666663</v>
      </c>
      <c r="G28" s="96">
        <v>1.7833333333333332</v>
      </c>
      <c r="H28" s="163">
        <f>IFERROR(IF($C28="kg",1,
IF($C28="tonne",1000,
IF(OR($C28="m³",$C28="m³"),INDEX('EPD List'!$A:$AB,MATCH($B28,'EPD List'!$D:$D,0),MATCH("Density (kg/m3)",'EPD List'!$7:$7,0)),
IF(OR($C28="m²",$C28="m2"),INDEX('EPD List'!$A:$AB,MATCH($B28,'EPD List'!$D:$D,0),MATCH("Area density (kg/m2)",'EPD List'!$7:$7,0)),
IF($C28="m",INDEX('EPD List'!$A:$AB,MATCH($B28,'EPD List'!$D:$D,0),MATCH("mass per m (kg/m)",'EPD List'!$7:$7,0)),
IF($C28="unit",INDEX('EPD List'!$A:$AB,MATCH($B28,'EPD List'!$D:$D,0),MATCH("Mass per unit (kg/unit)",'EPD List'!$7:$7,0)),NA())))))),"")</f>
        <v>440</v>
      </c>
    </row>
    <row r="29" spans="2:10" x14ac:dyDescent="0.25">
      <c r="B29" s="122" t="str">
        <v>LVL (Stora Enso) (Finland)</v>
      </c>
      <c r="C29" t="str">
        <v>m³</v>
      </c>
      <c r="D29" s="96">
        <v>122.33333333333337</v>
      </c>
      <c r="E29" s="96">
        <v>0.23986928104575167</v>
      </c>
      <c r="F29" s="96">
        <v>766.33333333333337</v>
      </c>
      <c r="G29" s="96">
        <v>1.5026143790849673</v>
      </c>
      <c r="H29" s="163">
        <f>IFERROR(IF($C29="kg",1,
IF($C29="tonne",1000,
IF(OR($C29="m³",$C29="m³"),INDEX('EPD List'!$A:$AB,MATCH($B29,'EPD List'!$D:$D,0),MATCH("Density (kg/m3)",'EPD List'!$7:$7,0)),
IF(OR($C29="m²",$C29="m2"),INDEX('EPD List'!$A:$AB,MATCH($B29,'EPD List'!$D:$D,0),MATCH("Area density (kg/m2)",'EPD List'!$7:$7,0)),
IF($C29="m",INDEX('EPD List'!$A:$AB,MATCH($B29,'EPD List'!$D:$D,0),MATCH("mass per m (kg/m)",'EPD List'!$7:$7,0)),
IF($C29="unit",INDEX('EPD List'!$A:$AB,MATCH($B29,'EPD List'!$D:$D,0),MATCH("Mass per unit (kg/unit)",'EPD List'!$7:$7,0)),NA())))))),"")</f>
        <v>510</v>
      </c>
    </row>
    <row r="30" spans="2:10" x14ac:dyDescent="0.25">
      <c r="B30" s="122" t="str">
        <v>LVL (Laminated Veneer Lumber) (Stora Enso) (Finland)</v>
      </c>
      <c r="C30" t="str">
        <v>m³</v>
      </c>
      <c r="D30" s="96">
        <v>140</v>
      </c>
      <c r="E30" s="96">
        <v>0.27450980392156854</v>
      </c>
      <c r="F30" s="96">
        <v>804</v>
      </c>
      <c r="G30" s="96">
        <v>1.5764705882352941</v>
      </c>
      <c r="H30" s="163">
        <f>IFERROR(IF($C30="kg",1,
IF($C30="tonne",1000,
IF(OR($C30="m³",$C30="m³"),INDEX('EPD List'!$A:$AB,MATCH($B30,'EPD List'!$D:$D,0),MATCH("Density (kg/m3)",'EPD List'!$7:$7,0)),
IF(OR($C30="m²",$C30="m2"),INDEX('EPD List'!$A:$AB,MATCH($B30,'EPD List'!$D:$D,0),MATCH("Area density (kg/m2)",'EPD List'!$7:$7,0)),
IF($C30="m",INDEX('EPD List'!$A:$AB,MATCH($B30,'EPD List'!$D:$D,0),MATCH("mass per m (kg/m)",'EPD List'!$7:$7,0)),
IF($C30="unit",INDEX('EPD List'!$A:$AB,MATCH($B30,'EPD List'!$D:$D,0),MATCH("Mass per unit (kg/unit)",'EPD List'!$7:$7,0)),NA())))))),"")</f>
        <v>510</v>
      </c>
    </row>
    <row r="31" spans="2:10" x14ac:dyDescent="0.25">
      <c r="B31" s="122" t="str">
        <v>Multiple glued LVL G (Stora Enso) (Finland)</v>
      </c>
      <c r="C31" t="str">
        <v>m³</v>
      </c>
      <c r="D31" s="96">
        <v>140</v>
      </c>
      <c r="E31" s="96">
        <v>0.27450980392156854</v>
      </c>
      <c r="F31" s="96">
        <v>804</v>
      </c>
      <c r="G31" s="96">
        <v>1.5764705882352941</v>
      </c>
      <c r="H31" s="163">
        <f>IFERROR(IF($C31="kg",1,
IF($C31="tonne",1000,
IF(OR($C31="m³",$C31="m³"),INDEX('EPD List'!$A:$AB,MATCH($B31,'EPD List'!$D:$D,0),MATCH("Density (kg/m3)",'EPD List'!$7:$7,0)),
IF(OR($C31="m²",$C31="m2"),INDEX('EPD List'!$A:$AB,MATCH($B31,'EPD List'!$D:$D,0),MATCH("Area density (kg/m2)",'EPD List'!$7:$7,0)),
IF($C31="m",INDEX('EPD List'!$A:$AB,MATCH($B31,'EPD List'!$D:$D,0),MATCH("mass per m (kg/m)",'EPD List'!$7:$7,0)),
IF($C31="unit",INDEX('EPD List'!$A:$AB,MATCH($B31,'EPD List'!$D:$D,0),MATCH("Mass per unit (kg/unit)",'EPD List'!$7:$7,0)),NA())))))),"")</f>
        <v>510</v>
      </c>
    </row>
    <row r="32" spans="2:10" x14ac:dyDescent="0.25">
      <c r="B32" s="122" t="str">
        <v>LVL Rib panel (Stora Enso) (Finland)</v>
      </c>
      <c r="C32" t="str">
        <v>m³</v>
      </c>
      <c r="D32" s="96">
        <v>189.12096774193549</v>
      </c>
      <c r="E32" s="96">
        <v>0.37082542694497156</v>
      </c>
      <c r="F32" s="96">
        <v>804</v>
      </c>
      <c r="G32" s="96">
        <v>1.5764705882352941</v>
      </c>
      <c r="H32" s="163">
        <f>IFERROR(IF($C32="kg",1,
IF($C32="tonne",1000,
IF(OR($C32="m³",$C32="m³"),INDEX('EPD List'!$A:$AB,MATCH($B32,'EPD List'!$D:$D,0),MATCH("Density (kg/m3)",'EPD List'!$7:$7,0)),
IF(OR($C32="m²",$C32="m2"),INDEX('EPD List'!$A:$AB,MATCH($B32,'EPD List'!$D:$D,0),MATCH("Area density (kg/m2)",'EPD List'!$7:$7,0)),
IF($C32="m",INDEX('EPD List'!$A:$AB,MATCH($B32,'EPD List'!$D:$D,0),MATCH("mass per m (kg/m)",'EPD List'!$7:$7,0)),
IF($C32="unit",INDEX('EPD List'!$A:$AB,MATCH($B32,'EPD List'!$D:$D,0),MATCH("Mass per unit (kg/unit)",'EPD List'!$7:$7,0)),NA())))))),"")</f>
        <v>510</v>
      </c>
    </row>
    <row r="33" spans="2:8" x14ac:dyDescent="0.25">
      <c r="B33" s="122" t="str">
        <v>LVL, , LVL produced in North America (North American Laminated Veneer Lumber) (Global)</v>
      </c>
      <c r="C33" t="str">
        <v>m³</v>
      </c>
      <c r="D33" s="96">
        <v>361.45000000000005</v>
      </c>
      <c r="E33" s="96">
        <v>0.65958029197080315</v>
      </c>
      <c r="F33" s="96">
        <v>998.31</v>
      </c>
      <c r="G33" s="96">
        <v>1.8217335766423357</v>
      </c>
      <c r="H33" s="163">
        <f>IFERROR(IF($C33="kg",1,
IF($C33="tonne",1000,
IF(OR($C33="m³",$C33="m³"),INDEX('EPD List'!$A:$AB,MATCH($B33,'EPD List'!$D:$D,0),MATCH("Density (kg/m3)",'EPD List'!$7:$7,0)),
IF(OR($C33="m²",$C33="m2"),INDEX('EPD List'!$A:$AB,MATCH($B33,'EPD List'!$D:$D,0),MATCH("Area density (kg/m2)",'EPD List'!$7:$7,0)),
IF($C33="m",INDEX('EPD List'!$A:$AB,MATCH($B33,'EPD List'!$D:$D,0),MATCH("mass per m (kg/m)",'EPD List'!$7:$7,0)),
IF($C33="unit",INDEX('EPD List'!$A:$AB,MATCH($B33,'EPD List'!$D:$D,0),MATCH("Mass per unit (kg/unit)",'EPD List'!$7:$7,0)),NA())))))),"")</f>
        <v>548</v>
      </c>
    </row>
    <row r="34" spans="2:8" x14ac:dyDescent="0.25">
      <c r="B34" s="122" t="str">
        <v>Sylva™ LVL Rib (Stora Enso) (Sweden)</v>
      </c>
      <c r="C34" t="str">
        <v>m³</v>
      </c>
      <c r="D34" s="96">
        <v>179.9946379044685</v>
      </c>
      <c r="E34" s="96">
        <v>0.34681047765793505</v>
      </c>
      <c r="F34" s="96">
        <v>765.30508474576266</v>
      </c>
      <c r="G34" s="96">
        <v>1.4745762711864405</v>
      </c>
      <c r="H34" s="163">
        <f>IFERROR(IF($C34="kg",1,
IF($C34="tonne",1000,
IF(OR($C34="m³",$C34="m³"),INDEX('EPD List'!$A:$AB,MATCH($B34,'EPD List'!$D:$D,0),MATCH("Density (kg/m3)",'EPD List'!$7:$7,0)),
IF(OR($C34="m²",$C34="m2"),INDEX('EPD List'!$A:$AB,MATCH($B34,'EPD List'!$D:$D,0),MATCH("Area density (kg/m2)",'EPD List'!$7:$7,0)),
IF($C34="m",INDEX('EPD List'!$A:$AB,MATCH($B34,'EPD List'!$D:$D,0),MATCH("mass per m (kg/m)",'EPD List'!$7:$7,0)),
IF($C34="unit",INDEX('EPD List'!$A:$AB,MATCH($B34,'EPD List'!$D:$D,0),MATCH("Mass per unit (kg/unit)",'EPD List'!$7:$7,0)),NA())))))),"")</f>
        <v>519</v>
      </c>
    </row>
    <row r="35" spans="2:8" x14ac:dyDescent="0.25">
      <c r="B35" s="122" t="str">
        <v>Treated LVL (Carter Holt Harvey) (New Zealand)</v>
      </c>
      <c r="C35" t="str">
        <v>m³</v>
      </c>
      <c r="D35" s="96">
        <v>103.86199999999997</v>
      </c>
      <c r="E35" s="96">
        <v>0.1705451559934319</v>
      </c>
      <c r="F35" s="96">
        <v>924</v>
      </c>
      <c r="G35" s="96">
        <v>1.5172413793103448</v>
      </c>
      <c r="H35" s="163">
        <f>IFERROR(IF($C35="kg",1,
IF($C35="tonne",1000,
IF(OR($C35="m³",$C35="m³"),INDEX('EPD List'!$A:$AB,MATCH($B35,'EPD List'!$D:$D,0),MATCH("Density (kg/m3)",'EPD List'!$7:$7,0)),
IF(OR($C35="m²",$C35="m2"),INDEX('EPD List'!$A:$AB,MATCH($B35,'EPD List'!$D:$D,0),MATCH("Area density (kg/m2)",'EPD List'!$7:$7,0)),
IF($C35="m",INDEX('EPD List'!$A:$AB,MATCH($B35,'EPD List'!$D:$D,0),MATCH("mass per m (kg/m)",'EPD List'!$7:$7,0)),
IF($C35="unit",INDEX('EPD List'!$A:$AB,MATCH($B35,'EPD List'!$D:$D,0),MATCH("Mass per unit (kg/unit)",'EPD List'!$7:$7,0)),NA())))))),"")</f>
        <v>609</v>
      </c>
    </row>
    <row r="36" spans="2:8" x14ac:dyDescent="0.25">
      <c r="B36" s="122" t="str">
        <v>Untreated LVL (Carter Holt Harvey) (New Zealand)</v>
      </c>
      <c r="C36" t="str">
        <v>m³</v>
      </c>
      <c r="D36" s="96">
        <v>94.399999999999977</v>
      </c>
      <c r="E36" s="96">
        <v>0.15500821018062383</v>
      </c>
      <c r="F36" s="96">
        <v>924</v>
      </c>
      <c r="G36" s="96">
        <v>1.5172413793103448</v>
      </c>
      <c r="H36" s="163">
        <f>IFERROR(IF($C36="kg",1,
IF($C36="tonne",1000,
IF(OR($C36="m³",$C36="m³"),INDEX('EPD List'!$A:$AB,MATCH($B36,'EPD List'!$D:$D,0),MATCH("Density (kg/m3)",'EPD List'!$7:$7,0)),
IF(OR($C36="m²",$C36="m2"),INDEX('EPD List'!$A:$AB,MATCH($B36,'EPD List'!$D:$D,0),MATCH("Area density (kg/m2)",'EPD List'!$7:$7,0)),
IF($C36="m",INDEX('EPD List'!$A:$AB,MATCH($B36,'EPD List'!$D:$D,0),MATCH("mass per m (kg/m)",'EPD List'!$7:$7,0)),
IF($C36="unit",INDEX('EPD List'!$A:$AB,MATCH($B36,'EPD List'!$D:$D,0),MATCH("Mass per unit (kg/unit)",'EPD List'!$7:$7,0)),NA())))))),"")</f>
        <v>609</v>
      </c>
    </row>
    <row r="37" spans="2:8" x14ac:dyDescent="0.25">
      <c r="B37" s="122" t="str">
        <v>LVL (VMG Lingnum) (Sweden)</v>
      </c>
      <c r="C37" t="str">
        <v>m³</v>
      </c>
      <c r="D37" s="96">
        <v>300</v>
      </c>
      <c r="E37" s="96">
        <v>0.49180327868852447</v>
      </c>
      <c r="F37" s="96">
        <v>1034</v>
      </c>
      <c r="G37" s="96">
        <v>1.6950819672131148</v>
      </c>
      <c r="H37" s="163">
        <f>IFERROR(IF($C37="kg",1,
IF($C37="tonne",1000,
IF(OR($C37="m³",$C37="m³"),INDEX('EPD List'!$A:$AB,MATCH($B37,'EPD List'!$D:$D,0),MATCH("Density (kg/m3)",'EPD List'!$7:$7,0)),
IF(OR($C37="m²",$C37="m2"),INDEX('EPD List'!$A:$AB,MATCH($B37,'EPD List'!$D:$D,0),MATCH("Area density (kg/m2)",'EPD List'!$7:$7,0)),
IF($C37="m",INDEX('EPD List'!$A:$AB,MATCH($B37,'EPD List'!$D:$D,0),MATCH("mass per m (kg/m)",'EPD List'!$7:$7,0)),
IF($C37="unit",INDEX('EPD List'!$A:$AB,MATCH($B37,'EPD List'!$D:$D,0),MATCH("Mass per unit (kg/unit)",'EPD List'!$7:$7,0)),NA())))))),"")</f>
        <v>610</v>
      </c>
    </row>
    <row r="38" spans="2:8" x14ac:dyDescent="0.25">
      <c r="B38" s="122"/>
      <c r="H38" s="163" t="str">
        <f>IFERROR(IF($C38="kg",1,
IF($C38="tonne",1000,
IF(OR($C38="m³",$C38="m³"),INDEX('EPD List'!$A:$AB,MATCH($B38,'EPD List'!$D:$D,0),MATCH("Density (kg/m3)",'EPD List'!$7:$7,0)),
IF(OR($C38="m²",$C38="m2"),INDEX('EPD List'!$A:$AB,MATCH($B38,'EPD List'!$D:$D,0),MATCH("Area density (kg/m2)",'EPD List'!$7:$7,0)),
IF($C38="m",INDEX('EPD List'!$A:$AB,MATCH($B38,'EPD List'!$D:$D,0),MATCH("mass per m (kg/m)",'EPD List'!$7:$7,0)),
IF($C38="unit",INDEX('EPD List'!$A:$AB,MATCH($B38,'EPD List'!$D:$D,0),MATCH("Mass per unit (kg/unit)",'EPD List'!$7:$7,0)),NA())))))),"")</f>
        <v/>
      </c>
    </row>
    <row r="39" spans="2:8" x14ac:dyDescent="0.25">
      <c r="B39" s="122"/>
      <c r="H39" s="163" t="str">
        <f>IFERROR(IF($C39="kg",1,
IF($C39="tonne",1000,
IF(OR($C39="m³",$C39="m³"),INDEX('EPD List'!$A:$AB,MATCH($B39,'EPD List'!$D:$D,0),MATCH("Density (kg/m3)",'EPD List'!$7:$7,0)),
IF(OR($C39="m²",$C39="m2"),INDEX('EPD List'!$A:$AB,MATCH($B39,'EPD List'!$D:$D,0),MATCH("Area density (kg/m2)",'EPD List'!$7:$7,0)),
IF($C39="m",INDEX('EPD List'!$A:$AB,MATCH($B39,'EPD List'!$D:$D,0),MATCH("mass per m (kg/m)",'EPD List'!$7:$7,0)),
IF($C39="unit",INDEX('EPD List'!$A:$AB,MATCH($B39,'EPD List'!$D:$D,0),MATCH("Mass per unit (kg/unit)",'EPD List'!$7:$7,0)),NA())))))),"")</f>
        <v/>
      </c>
    </row>
    <row r="40" spans="2:8" x14ac:dyDescent="0.25">
      <c r="B40" s="122"/>
      <c r="H40" s="163" t="str">
        <f>IFERROR(IF($C40="kg",1,
IF($C40="tonne",1000,
IF(OR($C40="m³",$C40="m³"),INDEX('EPD List'!$A:$AB,MATCH($B40,'EPD List'!$D:$D,0),MATCH("Density (kg/m3)",'EPD List'!$7:$7,0)),
IF(OR($C40="m²",$C40="m2"),INDEX('EPD List'!$A:$AB,MATCH($B40,'EPD List'!$D:$D,0),MATCH("Area density (kg/m2)",'EPD List'!$7:$7,0)),
IF($C40="m",INDEX('EPD List'!$A:$AB,MATCH($B40,'EPD List'!$D:$D,0),MATCH("mass per m (kg/m)",'EPD List'!$7:$7,0)),
IF($C40="unit",INDEX('EPD List'!$A:$AB,MATCH($B40,'EPD List'!$D:$D,0),MATCH("Mass per unit (kg/unit)",'EPD List'!$7:$7,0)),NA())))))),"")</f>
        <v/>
      </c>
    </row>
    <row r="41" spans="2:8" x14ac:dyDescent="0.25">
      <c r="B41" s="122"/>
      <c r="H41" s="163" t="str">
        <f>IFERROR(IF($C41="kg",1,
IF($C41="tonne",1000,
IF(OR($C41="m³",$C41="m³"),INDEX('EPD List'!$A:$AB,MATCH($B41,'EPD List'!$D:$D,0),MATCH("Density (kg/m3)",'EPD List'!$7:$7,0)),
IF(OR($C41="m²",$C41="m2"),INDEX('EPD List'!$A:$AB,MATCH($B41,'EPD List'!$D:$D,0),MATCH("Area density (kg/m2)",'EPD List'!$7:$7,0)),
IF($C41="m",INDEX('EPD List'!$A:$AB,MATCH($B41,'EPD List'!$D:$D,0),MATCH("mass per m (kg/m)",'EPD List'!$7:$7,0)),
IF($C41="unit",INDEX('EPD List'!$A:$AB,MATCH($B41,'EPD List'!$D:$D,0),MATCH("Mass per unit (kg/unit)",'EPD List'!$7:$7,0)),NA())))))),"")</f>
        <v/>
      </c>
    </row>
    <row r="42" spans="2:8" x14ac:dyDescent="0.25">
      <c r="B42" s="122"/>
      <c r="H42" s="163" t="str">
        <f>IFERROR(IF($C42="kg",1,
IF($C42="tonne",1000,
IF(OR($C42="m³",$C42="m³"),INDEX('EPD List'!$A:$AB,MATCH($B42,'EPD List'!$D:$D,0),MATCH("Density (kg/m3)",'EPD List'!$7:$7,0)),
IF(OR($C42="m²",$C42="m2"),INDEX('EPD List'!$A:$AB,MATCH($B42,'EPD List'!$D:$D,0),MATCH("Area density (kg/m2)",'EPD List'!$7:$7,0)),
IF($C42="m",INDEX('EPD List'!$A:$AB,MATCH($B42,'EPD List'!$D:$D,0),MATCH("mass per m (kg/m)",'EPD List'!$7:$7,0)),
IF($C42="unit",INDEX('EPD List'!$A:$AB,MATCH($B42,'EPD List'!$D:$D,0),MATCH("Mass per unit (kg/unit)",'EPD List'!$7:$7,0)),NA())))))),"")</f>
        <v/>
      </c>
    </row>
    <row r="43" spans="2:8" x14ac:dyDescent="0.25">
      <c r="B43" s="122"/>
      <c r="H43" s="163" t="str">
        <f>IFERROR(IF($C43="kg",1,
IF($C43="tonne",1000,
IF(OR($C43="m³",$C43="m³"),INDEX('EPD List'!$A:$AB,MATCH($B43,'EPD List'!$D:$D,0),MATCH("Density (kg/m3)",'EPD List'!$7:$7,0)),
IF(OR($C43="m²",$C43="m2"),INDEX('EPD List'!$A:$AB,MATCH($B43,'EPD List'!$D:$D,0),MATCH("Area density (kg/m2)",'EPD List'!$7:$7,0)),
IF($C43="m",INDEX('EPD List'!$A:$AB,MATCH($B43,'EPD List'!$D:$D,0),MATCH("mass per m (kg/m)",'EPD List'!$7:$7,0)),
IF($C43="unit",INDEX('EPD List'!$A:$AB,MATCH($B43,'EPD List'!$D:$D,0),MATCH("Mass per unit (kg/unit)",'EPD List'!$7:$7,0)),NA())))))),"")</f>
        <v/>
      </c>
    </row>
    <row r="44" spans="2:8" x14ac:dyDescent="0.25">
      <c r="B44" s="122"/>
      <c r="H44" s="163" t="str">
        <f>IFERROR(IF($C44="kg",1,
IF($C44="tonne",1000,
IF(OR($C44="m³",$C44="m³"),INDEX('EPD List'!$A:$AB,MATCH($B44,'EPD List'!$D:$D,0),MATCH("Density (kg/m3)",'EPD List'!$7:$7,0)),
IF(OR($C44="m²",$C44="m2"),INDEX('EPD List'!$A:$AB,MATCH($B44,'EPD List'!$D:$D,0),MATCH("Area density (kg/m2)",'EPD List'!$7:$7,0)),
IF($C44="m",INDEX('EPD List'!$A:$AB,MATCH($B44,'EPD List'!$D:$D,0),MATCH("mass per m (kg/m)",'EPD List'!$7:$7,0)),
IF($C44="unit",INDEX('EPD List'!$A:$AB,MATCH($B44,'EPD List'!$D:$D,0),MATCH("Mass per unit (kg/unit)",'EPD List'!$7:$7,0)),NA())))))),"")</f>
        <v/>
      </c>
    </row>
    <row r="45" spans="2:8" x14ac:dyDescent="0.25">
      <c r="B45" s="122"/>
    </row>
    <row r="46" spans="2:8" x14ac:dyDescent="0.25">
      <c r="B46" s="122"/>
    </row>
    <row r="47" spans="2:8" x14ac:dyDescent="0.25">
      <c r="B47" s="122"/>
    </row>
    <row r="48" spans="2:8" x14ac:dyDescent="0.25">
      <c r="B48" s="122"/>
    </row>
    <row r="49" spans="2:2" x14ac:dyDescent="0.25">
      <c r="B49" s="122"/>
    </row>
    <row r="50" spans="2:2" x14ac:dyDescent="0.25">
      <c r="B50" s="122"/>
    </row>
    <row r="51" spans="2:2" x14ac:dyDescent="0.25">
      <c r="B51" s="122"/>
    </row>
    <row r="52" spans="2:2" x14ac:dyDescent="0.25">
      <c r="B52" s="122"/>
    </row>
    <row r="53" spans="2:2" x14ac:dyDescent="0.25">
      <c r="B53" s="122"/>
    </row>
    <row r="54" spans="2:2" x14ac:dyDescent="0.25">
      <c r="B54" s="122"/>
    </row>
    <row r="55" spans="2:2" x14ac:dyDescent="0.25">
      <c r="B55" s="122"/>
    </row>
    <row r="56" spans="2:2" x14ac:dyDescent="0.25">
      <c r="B56" s="122"/>
    </row>
    <row r="57" spans="2:2" x14ac:dyDescent="0.25">
      <c r="B57" s="122"/>
    </row>
    <row r="58" spans="2:2" x14ac:dyDescent="0.25">
      <c r="B58" s="122"/>
    </row>
    <row r="59" spans="2:2" x14ac:dyDescent="0.25">
      <c r="B59" s="122"/>
    </row>
    <row r="60" spans="2:2" x14ac:dyDescent="0.25">
      <c r="B60" s="122"/>
    </row>
    <row r="61" spans="2:2" x14ac:dyDescent="0.25">
      <c r="B61" s="122"/>
    </row>
    <row r="62" spans="2:2" x14ac:dyDescent="0.25">
      <c r="B62" s="122"/>
    </row>
    <row r="63" spans="2:2" x14ac:dyDescent="0.25">
      <c r="B63" s="122"/>
    </row>
    <row r="64" spans="2:2" x14ac:dyDescent="0.25">
      <c r="B64" s="122"/>
    </row>
    <row r="65" spans="2:2" x14ac:dyDescent="0.25">
      <c r="B65" s="122"/>
    </row>
    <row r="66" spans="2:2" x14ac:dyDescent="0.25">
      <c r="B66" s="122"/>
    </row>
    <row r="67" spans="2:2" x14ac:dyDescent="0.25">
      <c r="B67" s="122"/>
    </row>
    <row r="68" spans="2:2" x14ac:dyDescent="0.25">
      <c r="B68" s="122"/>
    </row>
    <row r="69" spans="2:2" x14ac:dyDescent="0.25">
      <c r="B69" s="122"/>
    </row>
    <row r="70" spans="2:2" x14ac:dyDescent="0.25">
      <c r="B70" s="122"/>
    </row>
    <row r="71" spans="2:2" x14ac:dyDescent="0.25">
      <c r="B71" s="122"/>
    </row>
    <row r="72" spans="2:2" x14ac:dyDescent="0.25">
      <c r="B72" s="122"/>
    </row>
    <row r="73" spans="2:2" x14ac:dyDescent="0.25">
      <c r="B73" s="122"/>
    </row>
    <row r="74" spans="2:2" x14ac:dyDescent="0.25">
      <c r="B74" s="122"/>
    </row>
    <row r="75" spans="2:2" x14ac:dyDescent="0.25">
      <c r="B75" s="122"/>
    </row>
    <row r="76" spans="2:2" x14ac:dyDescent="0.25">
      <c r="B76" s="122"/>
    </row>
    <row r="77" spans="2:2" x14ac:dyDescent="0.25">
      <c r="B77" s="122"/>
    </row>
    <row r="78" spans="2:2" x14ac:dyDescent="0.25">
      <c r="B78" s="122"/>
    </row>
    <row r="79" spans="2:2" x14ac:dyDescent="0.25">
      <c r="B79" s="122"/>
    </row>
    <row r="80" spans="2:2" x14ac:dyDescent="0.25">
      <c r="B80" s="122"/>
    </row>
    <row r="81" spans="2:10" x14ac:dyDescent="0.25">
      <c r="B81" s="122"/>
    </row>
    <row r="82" spans="2:10" x14ac:dyDescent="0.25">
      <c r="B82" s="122"/>
    </row>
    <row r="83" spans="2:10" x14ac:dyDescent="0.25">
      <c r="B83" s="122"/>
    </row>
    <row r="84" spans="2:10" x14ac:dyDescent="0.25">
      <c r="B84" s="122"/>
    </row>
    <row r="85" spans="2:10" x14ac:dyDescent="0.25">
      <c r="B85" s="122"/>
    </row>
    <row r="86" spans="2:10" x14ac:dyDescent="0.25">
      <c r="B86" s="122"/>
    </row>
    <row r="87" spans="2:10" x14ac:dyDescent="0.25">
      <c r="B87" s="122"/>
    </row>
    <row r="88" spans="2:10" x14ac:dyDescent="0.25">
      <c r="B88" s="122"/>
    </row>
    <row r="89" spans="2:10" x14ac:dyDescent="0.25">
      <c r="B89" s="122"/>
    </row>
    <row r="90" spans="2:10" x14ac:dyDescent="0.25">
      <c r="B90" s="122"/>
      <c r="J90" s="96"/>
    </row>
    <row r="91" spans="2:10" x14ac:dyDescent="0.25">
      <c r="B91" s="122"/>
    </row>
    <row r="92" spans="2:10" x14ac:dyDescent="0.25">
      <c r="B92" s="122"/>
    </row>
    <row r="93" spans="2:10" x14ac:dyDescent="0.25">
      <c r="B93" s="122"/>
    </row>
    <row r="94" spans="2:10" x14ac:dyDescent="0.25">
      <c r="B94" s="122"/>
    </row>
    <row r="95" spans="2:10" x14ac:dyDescent="0.25">
      <c r="B95" s="122"/>
    </row>
    <row r="96" spans="2:10" x14ac:dyDescent="0.25">
      <c r="B96" s="122"/>
    </row>
    <row r="97" spans="2:2" x14ac:dyDescent="0.25">
      <c r="B97" s="122"/>
    </row>
    <row r="98" spans="2:2" x14ac:dyDescent="0.25">
      <c r="B98" s="122"/>
    </row>
    <row r="99" spans="2:2" x14ac:dyDescent="0.25">
      <c r="B99" s="122"/>
    </row>
    <row r="100" spans="2:2" x14ac:dyDescent="0.25">
      <c r="B100" s="122"/>
    </row>
    <row r="101" spans="2:2" x14ac:dyDescent="0.25">
      <c r="B101" s="122"/>
    </row>
    <row r="102" spans="2:2" x14ac:dyDescent="0.25">
      <c r="B102" s="122"/>
    </row>
    <row r="103" spans="2:2" x14ac:dyDescent="0.25">
      <c r="B103" s="122"/>
    </row>
    <row r="104" spans="2:2" x14ac:dyDescent="0.25">
      <c r="B104" s="122"/>
    </row>
    <row r="105" spans="2:2" x14ac:dyDescent="0.25">
      <c r="B105" s="122"/>
    </row>
    <row r="106" spans="2:2" x14ac:dyDescent="0.25">
      <c r="B106" s="122"/>
    </row>
    <row r="107" spans="2:2" x14ac:dyDescent="0.25">
      <c r="B107" s="122"/>
    </row>
    <row r="108" spans="2:2" x14ac:dyDescent="0.25">
      <c r="B108" s="122"/>
    </row>
    <row r="109" spans="2:2" x14ac:dyDescent="0.25">
      <c r="B109" s="122"/>
    </row>
    <row r="110" spans="2:2" x14ac:dyDescent="0.25">
      <c r="B110" s="122"/>
    </row>
    <row r="111" spans="2:2" x14ac:dyDescent="0.25">
      <c r="B111" s="122"/>
    </row>
    <row r="112" spans="2:2" x14ac:dyDescent="0.25">
      <c r="B112" s="122"/>
    </row>
    <row r="113" spans="2:2" x14ac:dyDescent="0.25">
      <c r="B113" s="122"/>
    </row>
    <row r="114" spans="2:2" x14ac:dyDescent="0.25">
      <c r="B114" s="122"/>
    </row>
    <row r="115" spans="2:2" x14ac:dyDescent="0.25">
      <c r="B115" s="122"/>
    </row>
    <row r="116" spans="2:2" x14ac:dyDescent="0.25">
      <c r="B116" s="122"/>
    </row>
    <row r="117" spans="2:2" x14ac:dyDescent="0.25">
      <c r="B117" s="122"/>
    </row>
    <row r="118" spans="2:2" x14ac:dyDescent="0.25">
      <c r="B118" s="122"/>
    </row>
    <row r="119" spans="2:2" x14ac:dyDescent="0.25">
      <c r="B119" s="122"/>
    </row>
    <row r="120" spans="2:2" x14ac:dyDescent="0.25">
      <c r="B120" s="122"/>
    </row>
    <row r="121" spans="2:2" x14ac:dyDescent="0.25">
      <c r="B121" s="122"/>
    </row>
    <row r="122" spans="2:2" x14ac:dyDescent="0.25">
      <c r="B122" s="122"/>
    </row>
    <row r="123" spans="2:2" x14ac:dyDescent="0.25">
      <c r="B123" s="122"/>
    </row>
    <row r="124" spans="2:2" x14ac:dyDescent="0.25">
      <c r="B124" s="122"/>
    </row>
    <row r="125" spans="2:2" x14ac:dyDescent="0.25">
      <c r="B125" s="122"/>
    </row>
    <row r="126" spans="2:2" x14ac:dyDescent="0.25">
      <c r="B126" s="122"/>
    </row>
    <row r="127" spans="2:2" x14ac:dyDescent="0.25">
      <c r="B127" s="122"/>
    </row>
    <row r="128" spans="2:2" x14ac:dyDescent="0.25">
      <c r="B128" s="122"/>
    </row>
    <row r="129" spans="2:2" x14ac:dyDescent="0.25">
      <c r="B129" s="122"/>
    </row>
    <row r="130" spans="2:2" x14ac:dyDescent="0.25">
      <c r="B130" s="122"/>
    </row>
    <row r="131" spans="2:2" x14ac:dyDescent="0.25">
      <c r="B131" s="122"/>
    </row>
    <row r="132" spans="2:2" x14ac:dyDescent="0.25">
      <c r="B132" s="122"/>
    </row>
    <row r="133" spans="2:2" x14ac:dyDescent="0.25">
      <c r="B133" s="122"/>
    </row>
    <row r="134" spans="2:2" x14ac:dyDescent="0.25">
      <c r="B134" s="122"/>
    </row>
    <row r="135" spans="2:2" x14ac:dyDescent="0.25">
      <c r="B135" s="122"/>
    </row>
    <row r="136" spans="2:2" x14ac:dyDescent="0.25">
      <c r="B136" s="122"/>
    </row>
    <row r="137" spans="2:2" x14ac:dyDescent="0.25">
      <c r="B137" s="122"/>
    </row>
    <row r="138" spans="2:2" x14ac:dyDescent="0.25">
      <c r="B138" s="122"/>
    </row>
    <row r="139" spans="2:2" x14ac:dyDescent="0.25">
      <c r="B139" s="122"/>
    </row>
    <row r="140" spans="2:2" x14ac:dyDescent="0.25">
      <c r="B140" s="122"/>
    </row>
    <row r="141" spans="2:2" x14ac:dyDescent="0.25">
      <c r="B141" s="122"/>
    </row>
    <row r="142" spans="2:2" x14ac:dyDescent="0.25">
      <c r="B142" s="122"/>
    </row>
    <row r="143" spans="2:2" x14ac:dyDescent="0.25">
      <c r="B143" s="122"/>
    </row>
    <row r="144" spans="2:2" x14ac:dyDescent="0.25">
      <c r="B144" s="122"/>
    </row>
    <row r="145" spans="2:2" x14ac:dyDescent="0.25">
      <c r="B145" s="122"/>
    </row>
    <row r="146" spans="2:2" x14ac:dyDescent="0.25">
      <c r="B146" s="122"/>
    </row>
    <row r="147" spans="2:2" x14ac:dyDescent="0.25">
      <c r="B147" s="122"/>
    </row>
    <row r="148" spans="2:2" x14ac:dyDescent="0.25">
      <c r="B148" s="122"/>
    </row>
    <row r="149" spans="2:2" x14ac:dyDescent="0.25">
      <c r="B149" s="122"/>
    </row>
    <row r="150" spans="2:2" x14ac:dyDescent="0.25">
      <c r="B150" s="122"/>
    </row>
    <row r="151" spans="2:2" x14ac:dyDescent="0.25">
      <c r="B151" s="122"/>
    </row>
    <row r="152" spans="2:2" x14ac:dyDescent="0.25">
      <c r="B152" s="122"/>
    </row>
    <row r="153" spans="2:2" x14ac:dyDescent="0.25">
      <c r="B153" s="122"/>
    </row>
    <row r="154" spans="2:2" x14ac:dyDescent="0.25">
      <c r="B154" s="122"/>
    </row>
    <row r="155" spans="2:2" x14ac:dyDescent="0.25">
      <c r="B155" s="122"/>
    </row>
    <row r="156" spans="2:2" x14ac:dyDescent="0.25">
      <c r="B156" s="122"/>
    </row>
    <row r="157" spans="2:2" x14ac:dyDescent="0.25">
      <c r="B157" s="122"/>
    </row>
    <row r="158" spans="2:2" x14ac:dyDescent="0.25">
      <c r="B158" s="122"/>
    </row>
    <row r="159" spans="2:2" x14ac:dyDescent="0.25">
      <c r="B159" s="122"/>
    </row>
    <row r="160" spans="2:2" x14ac:dyDescent="0.25">
      <c r="B160" s="122"/>
    </row>
    <row r="161" spans="2:7" x14ac:dyDescent="0.25">
      <c r="B161" s="122"/>
    </row>
    <row r="162" spans="2:7" x14ac:dyDescent="0.25">
      <c r="B162" s="122"/>
    </row>
    <row r="163" spans="2:7" x14ac:dyDescent="0.25">
      <c r="B163" s="122"/>
    </row>
    <row r="164" spans="2:7" x14ac:dyDescent="0.25">
      <c r="B164" s="122"/>
    </row>
    <row r="165" spans="2:7" x14ac:dyDescent="0.25">
      <c r="B165" s="122"/>
    </row>
    <row r="166" spans="2:7" x14ac:dyDescent="0.25">
      <c r="B166" s="125"/>
      <c r="C166" s="126"/>
      <c r="D166" s="127"/>
      <c r="E166" s="127"/>
      <c r="F166" s="127"/>
      <c r="G166" s="127"/>
    </row>
  </sheetData>
  <dataValidations count="1">
    <dataValidation type="list" allowBlank="1" showInputMessage="1" showErrorMessage="1" sqref="B6:B9" xr:uid="{B56BCA47-2732-4F68-B9E7-B5B514BCD8BF}">
      <formula1>"Tier 1,Tier 2,Tier 3,Tier 4"</formula1>
    </dataValidation>
  </dataValidations>
  <pageMargins left="0.7" right="0.7" top="0.75" bottom="0.75" header="0.3" footer="0.3"/>
  <legacy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14BC0F-4A5A-46EA-B5AA-247112EEBE52}">
  <sheetPr codeName="Sheet86">
    <tabColor theme="0"/>
  </sheetPr>
  <dimension ref="A1:AF143"/>
  <sheetViews>
    <sheetView showGridLines="0" zoomScale="85" zoomScaleNormal="85" workbookViewId="0">
      <pane ySplit="6" topLeftCell="A7" activePane="bottomLeft" state="frozen"/>
      <selection pane="bottomLeft"/>
    </sheetView>
  </sheetViews>
  <sheetFormatPr defaultColWidth="9.109375" defaultRowHeight="13.2" x14ac:dyDescent="0.25"/>
  <cols>
    <col min="1" max="1" width="39.44140625" bestFit="1" customWidth="1"/>
    <col min="2" max="2" width="50.88671875" customWidth="1"/>
    <col min="3" max="3" width="55.109375" style="75" customWidth="1"/>
    <col min="4" max="4" width="37" customWidth="1"/>
    <col min="5" max="5" width="15.44140625" customWidth="1"/>
    <col min="6" max="6" width="13.88671875" customWidth="1"/>
    <col min="7" max="7" width="13.109375" customWidth="1"/>
    <col min="8" max="10" width="10.5546875" customWidth="1"/>
    <col min="11" max="11" width="13.44140625" customWidth="1"/>
    <col min="12" max="12" width="14.44140625" customWidth="1"/>
    <col min="13" max="14" width="10.5546875" customWidth="1"/>
    <col min="15" max="15" width="10.5546875" style="231" customWidth="1"/>
    <col min="16" max="16" width="14.109375" style="231" customWidth="1"/>
    <col min="17" max="17" width="10.5546875" style="231" customWidth="1"/>
    <col min="18" max="18" width="4.88671875" customWidth="1"/>
    <col min="19" max="20" width="10.5546875" customWidth="1"/>
    <col min="21" max="21" width="13.88671875" customWidth="1"/>
    <col min="22" max="22" width="14.44140625" customWidth="1"/>
    <col min="23" max="24" width="10.5546875" customWidth="1"/>
    <col min="25" max="25" width="14" customWidth="1"/>
    <col min="26" max="26" width="11.88671875" customWidth="1"/>
    <col min="27" max="27" width="3.88671875" customWidth="1"/>
    <col min="28" max="29" width="14.44140625" customWidth="1"/>
    <col min="30" max="30" width="72.88671875" style="75" customWidth="1"/>
    <col min="31" max="31" width="14.44140625" customWidth="1"/>
    <col min="32" max="32" width="5" customWidth="1"/>
    <col min="33" max="33" width="8.88671875" customWidth="1"/>
  </cols>
  <sheetData>
    <row r="1" spans="1:32" ht="15.75" customHeight="1" x14ac:dyDescent="0.25">
      <c r="B1" s="75"/>
      <c r="D1" s="75"/>
      <c r="E1" s="75"/>
      <c r="F1" s="75"/>
      <c r="G1" s="75"/>
      <c r="H1" s="75"/>
      <c r="I1" s="75"/>
      <c r="J1" s="75"/>
      <c r="K1" s="75"/>
      <c r="L1" s="75"/>
      <c r="M1" s="75"/>
      <c r="N1" s="75"/>
      <c r="O1" s="75"/>
      <c r="P1" s="263"/>
      <c r="Q1" s="263"/>
      <c r="R1" s="75"/>
      <c r="S1" s="75"/>
      <c r="T1" s="75"/>
      <c r="U1" s="75"/>
      <c r="V1" s="75"/>
      <c r="W1" s="75"/>
      <c r="X1" s="75"/>
      <c r="Y1" s="75"/>
      <c r="Z1" s="75"/>
      <c r="AA1" s="75"/>
      <c r="AB1" s="75"/>
      <c r="AC1" s="75"/>
      <c r="AE1" s="75"/>
      <c r="AF1" s="75"/>
    </row>
    <row r="2" spans="1:32" ht="15.75" customHeight="1" x14ac:dyDescent="0.25">
      <c r="B2" s="183"/>
      <c r="C2" s="183"/>
      <c r="D2" s="183"/>
      <c r="E2" s="4"/>
      <c r="F2" s="4"/>
      <c r="G2" s="4"/>
      <c r="H2" s="495" t="s">
        <v>3849</v>
      </c>
      <c r="I2" s="496"/>
      <c r="J2" s="496"/>
      <c r="K2" s="496"/>
      <c r="L2" s="496"/>
      <c r="M2" s="496"/>
      <c r="N2" s="496"/>
      <c r="O2" s="496"/>
      <c r="P2" s="496"/>
      <c r="Q2" s="496"/>
      <c r="R2" s="496"/>
      <c r="S2" s="496"/>
      <c r="T2" s="496"/>
      <c r="U2" s="496"/>
      <c r="V2" s="496"/>
      <c r="W2" s="496"/>
      <c r="X2" s="496"/>
      <c r="Y2" s="496"/>
      <c r="Z2" s="496"/>
      <c r="AA2" s="496"/>
      <c r="AB2" s="496"/>
      <c r="AC2" s="496"/>
      <c r="AD2" s="496"/>
      <c r="AE2" s="497"/>
    </row>
    <row r="3" spans="1:32" ht="30" customHeight="1" x14ac:dyDescent="0.25">
      <c r="H3" s="498" t="s">
        <v>74</v>
      </c>
      <c r="I3" s="499"/>
      <c r="J3" s="499"/>
      <c r="K3" s="499"/>
      <c r="L3" s="499"/>
      <c r="M3" s="499"/>
      <c r="N3" s="499"/>
      <c r="O3" s="499"/>
      <c r="P3" s="499"/>
      <c r="Q3" s="500"/>
      <c r="R3" s="199"/>
      <c r="S3" s="498" t="s">
        <v>3843</v>
      </c>
      <c r="T3" s="499"/>
      <c r="U3" s="499"/>
      <c r="V3" s="499"/>
      <c r="W3" s="499"/>
      <c r="X3" s="499"/>
      <c r="Y3" s="499"/>
      <c r="Z3" s="500"/>
      <c r="AA3" s="75"/>
      <c r="AB3" s="498" t="s">
        <v>3850</v>
      </c>
      <c r="AC3" s="499"/>
      <c r="AD3" s="499"/>
      <c r="AE3" s="500"/>
      <c r="AF3" s="54"/>
    </row>
    <row r="4" spans="1:32" ht="15.75" customHeight="1" x14ac:dyDescent="0.25">
      <c r="H4" s="501" t="s">
        <v>3844</v>
      </c>
      <c r="I4" s="499"/>
      <c r="J4" s="499"/>
      <c r="K4" s="499"/>
      <c r="L4" s="500"/>
      <c r="M4" s="499" t="s">
        <v>3845</v>
      </c>
      <c r="N4" s="499"/>
      <c r="O4" s="499"/>
      <c r="P4" s="499"/>
      <c r="Q4" s="500"/>
      <c r="R4" s="199"/>
      <c r="S4" s="498" t="s">
        <v>3846</v>
      </c>
      <c r="T4" s="499"/>
      <c r="U4" s="499"/>
      <c r="V4" s="500"/>
      <c r="W4" s="498" t="s">
        <v>3845</v>
      </c>
      <c r="X4" s="499"/>
      <c r="Y4" s="499"/>
      <c r="Z4" s="500"/>
      <c r="AA4" s="199"/>
      <c r="AB4" s="122"/>
      <c r="AE4" s="124"/>
      <c r="AF4" s="54"/>
    </row>
    <row r="5" spans="1:32" ht="52.8" x14ac:dyDescent="0.25">
      <c r="A5" s="215" t="s">
        <v>3851</v>
      </c>
      <c r="B5" s="58" t="s">
        <v>3852</v>
      </c>
      <c r="C5" s="59" t="s">
        <v>93</v>
      </c>
      <c r="D5" s="58" t="s">
        <v>3853</v>
      </c>
      <c r="E5" s="59" t="s">
        <v>23</v>
      </c>
      <c r="F5" s="59" t="s">
        <v>3854</v>
      </c>
      <c r="G5" s="189" t="s">
        <v>27</v>
      </c>
      <c r="H5" s="55" t="s">
        <v>31</v>
      </c>
      <c r="I5" s="56" t="s">
        <v>33</v>
      </c>
      <c r="J5" s="56" t="s">
        <v>35</v>
      </c>
      <c r="K5" s="260" t="s">
        <v>3855</v>
      </c>
      <c r="L5" s="57" t="s">
        <v>29</v>
      </c>
      <c r="M5" s="55" t="s">
        <v>31</v>
      </c>
      <c r="N5" s="56" t="s">
        <v>33</v>
      </c>
      <c r="O5" s="56" t="s">
        <v>35</v>
      </c>
      <c r="P5" s="264" t="s">
        <v>3855</v>
      </c>
      <c r="Q5" s="352" t="s">
        <v>29</v>
      </c>
      <c r="R5" s="199"/>
      <c r="S5" s="347" t="s">
        <v>31</v>
      </c>
      <c r="T5" s="348" t="s">
        <v>35</v>
      </c>
      <c r="U5" s="260" t="s">
        <v>3855</v>
      </c>
      <c r="V5" s="355" t="s">
        <v>29</v>
      </c>
      <c r="W5" s="55" t="s">
        <v>31</v>
      </c>
      <c r="X5" s="56" t="s">
        <v>35</v>
      </c>
      <c r="Y5" s="260" t="s">
        <v>3855</v>
      </c>
      <c r="Z5" s="355" t="s">
        <v>29</v>
      </c>
      <c r="AA5" s="199"/>
      <c r="AB5" s="356" t="s">
        <v>3856</v>
      </c>
      <c r="AC5" s="357" t="s">
        <v>3857</v>
      </c>
      <c r="AD5" s="59" t="s">
        <v>3858</v>
      </c>
      <c r="AE5" s="364" t="s">
        <v>3859</v>
      </c>
      <c r="AF5" s="12"/>
    </row>
    <row r="6" spans="1:32" s="340" customFormat="1" ht="76.5" customHeight="1" x14ac:dyDescent="0.25">
      <c r="A6" s="340" t="s">
        <v>3860</v>
      </c>
      <c r="B6" s="340" t="s">
        <v>3861</v>
      </c>
      <c r="C6" s="340" t="s">
        <v>93</v>
      </c>
      <c r="D6" s="340" t="s">
        <v>3862</v>
      </c>
      <c r="E6" s="340" t="s">
        <v>3863</v>
      </c>
      <c r="F6" s="340" t="s">
        <v>3854</v>
      </c>
      <c r="G6" s="368" t="s">
        <v>27</v>
      </c>
      <c r="H6" s="349" t="s">
        <v>3864</v>
      </c>
      <c r="I6" s="349" t="s">
        <v>3865</v>
      </c>
      <c r="J6" s="349" t="s">
        <v>3866</v>
      </c>
      <c r="K6" s="382" t="s">
        <v>3867</v>
      </c>
      <c r="L6" s="345" t="s">
        <v>3868</v>
      </c>
      <c r="M6" s="349" t="s">
        <v>3869</v>
      </c>
      <c r="N6" s="349" t="s">
        <v>3870</v>
      </c>
      <c r="O6" s="349" t="s">
        <v>3871</v>
      </c>
      <c r="P6" s="383" t="s">
        <v>3872</v>
      </c>
      <c r="Q6" s="365" t="s">
        <v>3873</v>
      </c>
      <c r="R6" s="339"/>
      <c r="S6" s="385" t="s">
        <v>3874</v>
      </c>
      <c r="T6" s="350" t="s">
        <v>3875</v>
      </c>
      <c r="U6" s="349" t="s">
        <v>3876</v>
      </c>
      <c r="V6" s="350" t="s">
        <v>3877</v>
      </c>
      <c r="W6" s="349" t="s">
        <v>3878</v>
      </c>
      <c r="X6" s="349" t="s">
        <v>3879</v>
      </c>
      <c r="Y6" s="384" t="s">
        <v>3880</v>
      </c>
      <c r="Z6" s="350" t="s">
        <v>3881</v>
      </c>
      <c r="AA6" s="339"/>
      <c r="AB6" s="367" t="s">
        <v>3882</v>
      </c>
      <c r="AC6" s="368" t="s">
        <v>3857</v>
      </c>
      <c r="AD6" s="340" t="s">
        <v>3862</v>
      </c>
      <c r="AE6" s="366" t="s">
        <v>3883</v>
      </c>
    </row>
    <row r="7" spans="1:32" ht="45" customHeight="1" x14ac:dyDescent="0.25">
      <c r="A7" s="192" t="s">
        <v>3884</v>
      </c>
      <c r="B7" s="193" t="s">
        <v>1237</v>
      </c>
      <c r="C7" s="193" t="str" cm="1">
        <f t="array" aca="1" ref="C7" ca="1">INDIRECT(""&amp;$D7&amp;"!R"&amp;C$142&amp;"C"&amp;C$143,FALSE)</f>
        <v xml:space="preserve">Any concrete mix with a strength rating of 10 MPa or lower. </v>
      </c>
      <c r="D7" s="192" t="s">
        <v>3885</v>
      </c>
      <c r="E7" s="192" t="str" cm="1">
        <f t="array" aca="1" ref="E7" ca="1">INDIRECT(""&amp;$D7&amp;"!R"&amp;E$142&amp;"C"&amp;E$143,FALSE)</f>
        <v>m³</v>
      </c>
      <c r="F7" s="192" t="str" cm="1">
        <f t="array" aca="1" ref="F7" ca="1">INDIRECT(""&amp;$D7&amp;"!R"&amp;F$142&amp;"C"&amp;F$143,FALSE)</f>
        <v>Tier 3</v>
      </c>
      <c r="G7" s="194">
        <f ca="1">INDEX(Methodology!$B$26:$D$31,MATCH('EF Table_detail'!$F7,Methodology!$B$26:$B$31,0),MATCH('EF Table_detail'!$G$5,Methodology!$B$26:$D$26,0))</f>
        <v>1.1000000000000001</v>
      </c>
      <c r="H7" s="237" cm="1">
        <f t="array" aca="1" ref="H7" ca="1">INDIRECT(""&amp;$D7&amp;"!R"&amp;H$142&amp;"C"&amp;H$143,FALSE)</f>
        <v>248.18700000000001</v>
      </c>
      <c r="I7" s="235" cm="1">
        <f t="array" aca="1" ref="I7" ca="1">INDIRECT(""&amp;$D7&amp;"!R"&amp;I$142&amp;"C"&amp;I$143,FALSE)</f>
        <v>141.56505999999999</v>
      </c>
      <c r="J7" s="99" cm="1">
        <f t="array" aca="1" ref="J7" ca="1">INDIRECT(""&amp;$D7&amp;"!R"&amp;J$142&amp;"C"&amp;J$143,FALSE)</f>
        <v>181.26921999999999</v>
      </c>
      <c r="K7" s="341">
        <f ca="1">$J7*(1+INDEX(Methodology!$B$26:$E$31,MATCH($F7,Methodology!$B$26:$B$31,0),MATCH(L$5,Methodology!$B$26:$E$26,0)))</f>
        <v>199.396142</v>
      </c>
      <c r="L7" s="342">
        <f ca="1">$H7*(1+INDEX(Methodology!$B$26:$E$31,MATCH($F7,Methodology!$B$26:$B$31,0),MATCH(L$5,Methodology!$B$26:$E$26,0)))</f>
        <v>273.00570000000005</v>
      </c>
      <c r="M7" s="234" cm="1">
        <f t="array" aca="1" ref="M7" ca="1">INDIRECT(""&amp;$D7&amp;"!R"&amp;M$142&amp;"C"&amp;M$143,FALSE)</f>
        <v>0.10341125</v>
      </c>
      <c r="N7" s="234" cm="1">
        <f t="array" aca="1" ref="N7" ca="1">INDIRECT(""&amp;$D7&amp;"!R"&amp;N$142&amp;"C"&amp;N$143,FALSE)</f>
        <v>5.8985441666666666E-2</v>
      </c>
      <c r="O7" s="231" cm="1">
        <f t="array" aca="1" ref="O7" ca="1">INDIRECT(""&amp;$D7&amp;"!R"&amp;O$142&amp;"C"&amp;O$143,FALSE)</f>
        <v>7.5528841666666666E-2</v>
      </c>
      <c r="P7" s="354">
        <f ca="1">$O7*(1+INDEX(Methodology!$B$26:$E$31,MATCH($F7,Methodology!$B$26:$B$31,0),MATCH(Q$5,Methodology!$B$26:$E$26,0)))</f>
        <v>8.3081725833333342E-2</v>
      </c>
      <c r="Q7" s="353">
        <f ca="1">$M7*(1+INDEX(Methodology!$B$26:$E$31,MATCH($F7,Methodology!$B$26:$B$31,0),MATCH(Q$5,Methodology!$B$26:$E$26,0)))</f>
        <v>0.113752375</v>
      </c>
      <c r="R7" s="199"/>
      <c r="S7" s="351" cm="1">
        <f t="array" aca="1" ref="S7" ca="1">INDIRECT(""&amp;$D7&amp;"!R"&amp;S$142&amp;"C"&amp;S$143,FALSE)</f>
        <v>0</v>
      </c>
      <c r="T7" s="386" cm="1">
        <f t="array" aca="1" ref="T7" ca="1">INDIRECT(""&amp;$D7&amp;"!R"&amp;T$142&amp;"C"&amp;T$143,FALSE)</f>
        <v>0</v>
      </c>
      <c r="U7" s="346">
        <f ca="1">$T7*(1+INDEX(Methodology!$B$26:$E$31,MATCH($F7,Methodology!$B$26:$B$31,0),MATCH(V$5,Methodology!$B$26:$E$26,0)))</f>
        <v>0</v>
      </c>
      <c r="V7" s="342">
        <f ca="1">$S7*(1+INDEX(Methodology!$B$26:$E$31,MATCH($F7,Methodology!$B$26:$B$31,0),MATCH(V$5,Methodology!$B$26:$E$26,0)))</f>
        <v>0</v>
      </c>
      <c r="W7" s="196" cm="1">
        <f t="array" aca="1" ref="W7" ca="1">INDIRECT(""&amp;$D7&amp;"!R"&amp;W$142&amp;"C"&amp;W$143,FALSE)</f>
        <v>0</v>
      </c>
      <c r="X7" s="195" cm="1">
        <f t="array" aca="1" ref="X7" ca="1">INDIRECT(""&amp;$D7&amp;"!R"&amp;X$142&amp;"C"&amp;X$143,FALSE)</f>
        <v>0</v>
      </c>
      <c r="Y7" s="343">
        <f ca="1">$X7*(1+INDEX(Methodology!$B$26:$E$31,MATCH($F7,Methodology!$B$26:$B$31,0),MATCH(Z$5,Methodology!$B$26:$E$26,0)))</f>
        <v>0</v>
      </c>
      <c r="Z7" s="369">
        <f ca="1">$W7*(1+INDEX(Methodology!$B$26:$E$31,MATCH($F7,Methodology!$B$26:$B$31,0),MATCH(Z$5,Methodology!$B$26:$E$26,0)))</f>
        <v>0</v>
      </c>
      <c r="AA7" s="199"/>
      <c r="AB7" s="358">
        <f t="shared" ref="AB7:AB38" ca="1" si="0">IFERROR(J7/O7,"")</f>
        <v>2400</v>
      </c>
      <c r="AC7" s="359" t="str">
        <f t="shared" ref="AC7:AC38" ca="1" si="1">"kg/"&amp;E7</f>
        <v>kg/m³</v>
      </c>
      <c r="AD7" s="360" t="str" cm="1">
        <f t="array" aca="1" ref="AD7" ca="1">IF(INDIRECT(""&amp;$D7&amp;"!R"&amp;AD$142&amp;"C"&amp;AD$143,FALSE)=0,"",INDIRECT(""&amp;$D7&amp;"!R"&amp;AD$142&amp;"C"&amp;AD$143,FALSE))</f>
        <v/>
      </c>
      <c r="AE7" s="214" t="str" cm="1">
        <f t="array" aca="1" ref="AE7" ca="1">IFERROR(IF(INDIRECT(""&amp;$D7&amp;"!R"&amp;AE$142&amp;"C"&amp;AE$143,FALSE)="Average (weighted)","Yes","No"),"")</f>
        <v>No</v>
      </c>
      <c r="AF7" s="96"/>
    </row>
    <row r="8" spans="1:32" ht="45" customHeight="1" x14ac:dyDescent="0.25">
      <c r="A8" s="7" t="s">
        <v>3884</v>
      </c>
      <c r="B8" s="1" t="s">
        <v>595</v>
      </c>
      <c r="C8" s="193" t="str" cm="1">
        <f t="array" aca="1" ref="C8" ca="1">INDIRECT(""&amp;$D8&amp;"!R"&amp;C$142&amp;"C"&amp;C$143,FALSE)</f>
        <v>Any concrete mix with a strength rating of 20 MPa or lower and greater than 10MPa</v>
      </c>
      <c r="D8" s="7" t="s">
        <v>3886</v>
      </c>
      <c r="E8" s="7" t="str" cm="1">
        <f t="array" aca="1" ref="E8" ca="1">INDIRECT(""&amp;$D8&amp;"!R"&amp;E$142&amp;"C"&amp;E$143,FALSE)</f>
        <v>m³</v>
      </c>
      <c r="F8" s="7" t="str" cm="1">
        <f t="array" aca="1" ref="F8" ca="1">INDIRECT(""&amp;$D8&amp;"!R"&amp;F$142&amp;"C"&amp;F$143,FALSE)</f>
        <v>Tier 1</v>
      </c>
      <c r="G8" s="188">
        <f ca="1">INDEX(Methodology!$B$26:$D$31,MATCH('EF Table_detail'!$F8,Methodology!$B$26:$B$31,0),MATCH('EF Table_detail'!$G$5,Methodology!$B$26:$D$26,0))</f>
        <v>1.02</v>
      </c>
      <c r="H8" s="237" cm="1">
        <f t="array" aca="1" ref="H8" ca="1">INDIRECT(""&amp;$D8&amp;"!R"&amp;H$142&amp;"C"&amp;H$143,FALSE)</f>
        <v>364.12599999999998</v>
      </c>
      <c r="I8" s="235" cm="1">
        <f t="array" aca="1" ref="I8" ca="1">INDIRECT(""&amp;$D8&amp;"!R"&amp;I$142&amp;"C"&amp;I$143,FALSE)</f>
        <v>136.11000000000001</v>
      </c>
      <c r="J8" s="99" cm="1">
        <f t="array" aca="1" ref="J8" ca="1">INDIRECT(""&amp;$D8&amp;"!R"&amp;J$142&amp;"C"&amp;J$143,FALSE)</f>
        <v>198.45502513888883</v>
      </c>
      <c r="K8" s="262">
        <f ca="1">$J8*(1+INDEX(Methodology!$B$26:$E$31,MATCH($F8,Methodology!$B$26:$B$31,0),MATCH(L$5,Methodology!$B$26:$E$26,0)))</f>
        <v>202.42412564166662</v>
      </c>
      <c r="L8" s="261">
        <f ca="1">$H8*(1+INDEX(Methodology!$B$26:$E$31,MATCH($F8,Methodology!$B$26:$B$31,0),MATCH(L$5,Methodology!$B$26:$E$26,0)))</f>
        <v>371.40852000000001</v>
      </c>
      <c r="M8" s="234" cm="1">
        <f t="array" aca="1" ref="M8" ca="1">INDIRECT(""&amp;$D8&amp;"!R"&amp;M$142&amp;"C"&amp;M$143,FALSE)</f>
        <v>0.15171916666666668</v>
      </c>
      <c r="N8" s="234" cm="1">
        <f t="array" aca="1" ref="N8" ca="1">INDIRECT(""&amp;$D8&amp;"!R"&amp;N$142&amp;"C"&amp;N$143,FALSE)</f>
        <v>5.6712499999999999E-2</v>
      </c>
      <c r="O8" s="231" cm="1">
        <f t="array" aca="1" ref="O8" ca="1">INDIRECT(""&amp;$D8&amp;"!R"&amp;O$142&amp;"C"&amp;O$143,FALSE)</f>
        <v>8.268959380787036E-2</v>
      </c>
      <c r="P8" s="265">
        <f ca="1">$O8*(1+INDEX(Methodology!$B$26:$E$31,MATCH($F8,Methodology!$B$26:$B$31,0),MATCH(Q$5,Methodology!$B$26:$E$26,0)))</f>
        <v>8.4343385684027772E-2</v>
      </c>
      <c r="Q8" s="344">
        <f ca="1">$M8*(1+INDEX(Methodology!$B$26:$E$31,MATCH($F8,Methodology!$B$26:$B$31,0),MATCH(Q$5,Methodology!$B$26:$E$26,0)))</f>
        <v>0.15475355000000002</v>
      </c>
      <c r="R8" s="199"/>
      <c r="S8" s="196" cm="1">
        <f t="array" aca="1" ref="S8" ca="1">INDIRECT(""&amp;$D8&amp;"!R"&amp;S$142&amp;"C"&amp;S$143,FALSE)</f>
        <v>0</v>
      </c>
      <c r="T8" s="195" cm="1">
        <f t="array" aca="1" ref="T8" ca="1">INDIRECT(""&amp;$D8&amp;"!R"&amp;T$142&amp;"C"&amp;T$143,FALSE)</f>
        <v>0</v>
      </c>
      <c r="U8" s="265">
        <f ca="1">$T8*(1+INDEX(Methodology!$B$26:$E$31,MATCH($F8,Methodology!$B$26:$B$31,0),MATCH(V$5,Methodology!$B$26:$E$26,0)))</f>
        <v>0</v>
      </c>
      <c r="V8" s="261">
        <f ca="1">$S8*(1+INDEX(Methodology!$B$26:$E$31,MATCH($F8,Methodology!$B$26:$B$31,0),MATCH(V$5,Methodology!$B$26:$E$26,0)))</f>
        <v>0</v>
      </c>
      <c r="W8" s="63" cm="1">
        <f t="array" aca="1" ref="W8" ca="1">INDIRECT(""&amp;$D8&amp;"!R"&amp;W$142&amp;"C"&amp;W$143,FALSE)</f>
        <v>0</v>
      </c>
      <c r="X8" s="62" cm="1">
        <f t="array" aca="1" ref="X8" ca="1">INDIRECT(""&amp;$D8&amp;"!R"&amp;X$142&amp;"C"&amp;X$143,FALSE)</f>
        <v>0</v>
      </c>
      <c r="Y8" s="265">
        <f ca="1">$X8*(1+INDEX(Methodology!$B$26:$E$31,MATCH($F8,Methodology!$B$26:$B$31,0),MATCH(Z$5,Methodology!$B$26:$E$26,0)))</f>
        <v>0</v>
      </c>
      <c r="Z8" s="261">
        <f t="shared" ref="Z8:Z37" ca="1" si="2">W8</f>
        <v>0</v>
      </c>
      <c r="AA8" s="199"/>
      <c r="AB8" s="197">
        <f t="shared" ca="1" si="0"/>
        <v>2399.9999999999995</v>
      </c>
      <c r="AC8" s="198" t="str">
        <f t="shared" ca="1" si="1"/>
        <v>kg/m³</v>
      </c>
      <c r="AD8" s="213" t="str" cm="1">
        <f t="array" aca="1" ref="AD8" ca="1">IF(INDIRECT(""&amp;$D8&amp;"!R"&amp;AD$142&amp;"C"&amp;AD$143,FALSE)=0,"",INDIRECT(""&amp;$D8&amp;"!R"&amp;AD$142&amp;"C"&amp;AD$143,FALSE))</f>
        <v>The material category is based on the strength of concrete. Concrete mixes from all states and territories and with or without supplementary cementious materials are included in this dataset. This provides a conservative default value for the material category. Promoting the use of specific published EFs based on the concrete product used.</v>
      </c>
      <c r="AE8" s="214" t="str" cm="1">
        <f t="array" aca="1" ref="AE8" ca="1">IFERROR(IF(INDIRECT(""&amp;$D8&amp;"!R"&amp;AE$142&amp;"C"&amp;AE$143,FALSE)="Average (weighted)","Yes","No"),"")</f>
        <v>No</v>
      </c>
      <c r="AF8" s="96"/>
    </row>
    <row r="9" spans="1:32" ht="45" customHeight="1" x14ac:dyDescent="0.25">
      <c r="A9" s="7" t="s">
        <v>3884</v>
      </c>
      <c r="B9" s="1" t="s">
        <v>629</v>
      </c>
      <c r="C9" s="193" t="str" cm="1">
        <f t="array" aca="1" ref="C9" ca="1">INDIRECT(""&amp;$D9&amp;"!R"&amp;C$142&amp;"C"&amp;C$143,FALSE)</f>
        <v>Any concrete mix with a strength rating of 25 MPa or lower and greater than 20 MPa</v>
      </c>
      <c r="D9" s="7" t="s">
        <v>3887</v>
      </c>
      <c r="E9" s="7" t="str" cm="1">
        <f t="array" aca="1" ref="E9" ca="1">INDIRECT(""&amp;$D9&amp;"!R"&amp;E$142&amp;"C"&amp;E$143,FALSE)</f>
        <v>m³</v>
      </c>
      <c r="F9" s="7" t="str" cm="1">
        <f t="array" aca="1" ref="F9" ca="1">INDIRECT(""&amp;$D9&amp;"!R"&amp;F$142&amp;"C"&amp;F$143,FALSE)</f>
        <v>Tier 1</v>
      </c>
      <c r="G9" s="188">
        <f ca="1">INDEX(Methodology!$B$26:$D$31,MATCH('EF Table_detail'!$F9,Methodology!$B$26:$B$31,0),MATCH('EF Table_detail'!$G$5,Methodology!$B$26:$D$26,0))</f>
        <v>1.02</v>
      </c>
      <c r="H9" s="237" cm="1">
        <f t="array" aca="1" ref="H9" ca="1">INDIRECT(""&amp;$D9&amp;"!R"&amp;H$142&amp;"C"&amp;H$143,FALSE)</f>
        <v>388.137</v>
      </c>
      <c r="I9" s="235" cm="1">
        <f t="array" aca="1" ref="I9" ca="1">INDIRECT(""&amp;$D9&amp;"!R"&amp;I$142&amp;"C"&amp;I$143,FALSE)</f>
        <v>149.12</v>
      </c>
      <c r="J9" s="99" cm="1">
        <f t="array" aca="1" ref="J9" ca="1">INDIRECT(""&amp;$D9&amp;"!R"&amp;J$142&amp;"C"&amp;J$143,FALSE)</f>
        <v>219.77587662857141</v>
      </c>
      <c r="K9" s="262">
        <f ca="1">$J9*(1+INDEX(Methodology!$B$26:$E$31,MATCH($F9,Methodology!$B$26:$B$31,0),MATCH(L$5,Methodology!$B$26:$E$26,0)))</f>
        <v>224.17139416114284</v>
      </c>
      <c r="L9" s="261">
        <f ca="1">$H9*(1+INDEX(Methodology!$B$26:$E$31,MATCH($F9,Methodology!$B$26:$B$31,0),MATCH(L$5,Methodology!$B$26:$E$26,0)))</f>
        <v>395.89974000000001</v>
      </c>
      <c r="M9" s="234" cm="1">
        <f t="array" aca="1" ref="M9" ca="1">INDIRECT(""&amp;$D9&amp;"!R"&amp;M$142&amp;"C"&amp;M$143,FALSE)</f>
        <v>0.16172375</v>
      </c>
      <c r="N9" s="234" cm="1">
        <f t="array" aca="1" ref="N9" ca="1">INDIRECT(""&amp;$D9&amp;"!R"&amp;N$142&amp;"C"&amp;N$143,FALSE)</f>
        <v>6.2133333333333332E-2</v>
      </c>
      <c r="O9" s="231" cm="1">
        <f t="array" aca="1" ref="O9" ca="1">INDIRECT(""&amp;$D9&amp;"!R"&amp;O$142&amp;"C"&amp;O$143,FALSE)</f>
        <v>9.1573281928571407E-2</v>
      </c>
      <c r="P9" s="265">
        <f ca="1">$O9*(1+INDEX(Methodology!$B$26:$E$31,MATCH($F9,Methodology!$B$26:$B$31,0),MATCH(Q$5,Methodology!$B$26:$E$26,0)))</f>
        <v>9.3404747567142843E-2</v>
      </c>
      <c r="Q9" s="266">
        <f ca="1">$M9*(1+INDEX(Methodology!$B$26:$E$31,MATCH($F9,Methodology!$B$26:$B$31,0),MATCH(Q$5,Methodology!$B$26:$E$26,0)))</f>
        <v>0.16495822500000001</v>
      </c>
      <c r="R9" s="199"/>
      <c r="S9" s="63" cm="1">
        <f t="array" aca="1" ref="S9" ca="1">INDIRECT(""&amp;$D9&amp;"!R"&amp;S$142&amp;"C"&amp;S$143,FALSE)</f>
        <v>0</v>
      </c>
      <c r="T9" s="62" cm="1">
        <f t="array" aca="1" ref="T9" ca="1">INDIRECT(""&amp;$D9&amp;"!R"&amp;T$142&amp;"C"&amp;T$143,FALSE)</f>
        <v>0</v>
      </c>
      <c r="U9" s="265">
        <f ca="1">$T9*(1+INDEX(Methodology!$B$26:$E$31,MATCH($F9,Methodology!$B$26:$B$31,0),MATCH(V$5,Methodology!$B$26:$E$26,0)))</f>
        <v>0</v>
      </c>
      <c r="V9" s="261">
        <f ca="1">$S9*(1+INDEX(Methodology!$B$26:$E$31,MATCH($F9,Methodology!$B$26:$B$31,0),MATCH(V$5,Methodology!$B$26:$E$26,0)))</f>
        <v>0</v>
      </c>
      <c r="W9" s="63" cm="1">
        <f t="array" aca="1" ref="W9" ca="1">INDIRECT(""&amp;$D9&amp;"!R"&amp;W$142&amp;"C"&amp;W$143,FALSE)</f>
        <v>0</v>
      </c>
      <c r="X9" s="62" cm="1">
        <f t="array" aca="1" ref="X9" ca="1">INDIRECT(""&amp;$D9&amp;"!R"&amp;X$142&amp;"C"&amp;X$143,FALSE)</f>
        <v>0</v>
      </c>
      <c r="Y9" s="265">
        <f ca="1">$X9*(1+INDEX(Methodology!$B$26:$E$31,MATCH($F9,Methodology!$B$26:$B$31,0),MATCH(Z$5,Methodology!$B$26:$E$26,0)))</f>
        <v>0</v>
      </c>
      <c r="Z9" s="261">
        <f t="shared" ca="1" si="2"/>
        <v>0</v>
      </c>
      <c r="AA9" s="199"/>
      <c r="AB9" s="10">
        <f t="shared" ca="1" si="0"/>
        <v>2400.0000000000005</v>
      </c>
      <c r="AC9" s="190" t="str">
        <f t="shared" ca="1" si="1"/>
        <v>kg/m³</v>
      </c>
      <c r="AD9" s="213" t="str" cm="1">
        <f t="array" aca="1" ref="AD9" ca="1">IF(INDIRECT(""&amp;$D9&amp;"!R"&amp;AD$142&amp;"C"&amp;AD$143,FALSE)=0,"",INDIRECT(""&amp;$D9&amp;"!R"&amp;AD$142&amp;"C"&amp;AD$143,FALSE))</f>
        <v xml:space="preserve">The material category is based on the strength of concrete.  Concrete mixes from all states and territories and with or without supplementary cementious materials are included in this dataset.  This provides a conservative default value for the material category. Promoting the use of specific published EFs based on the concrete product used. </v>
      </c>
      <c r="AE9" s="214" t="str" cm="1">
        <f t="array" aca="1" ref="AE9" ca="1">IFERROR(IF(INDIRECT(""&amp;$D9&amp;"!R"&amp;AE$142&amp;"C"&amp;AE$143,FALSE)="Average (weighted)","Yes","No"),"")</f>
        <v>No</v>
      </c>
      <c r="AF9" s="96"/>
    </row>
    <row r="10" spans="1:32" ht="45" customHeight="1" x14ac:dyDescent="0.25">
      <c r="A10" s="7" t="s">
        <v>3884</v>
      </c>
      <c r="B10" s="1" t="s">
        <v>612</v>
      </c>
      <c r="C10" s="193" t="str" cm="1">
        <f t="array" aca="1" ref="C10" ca="1">INDIRECT(""&amp;$D10&amp;"!R"&amp;C$142&amp;"C"&amp;C$143,FALSE)</f>
        <v>Any concrete mix with a strength rating of 32 MPa or lower and greater than 25 MPa</v>
      </c>
      <c r="D10" s="7" t="s">
        <v>3888</v>
      </c>
      <c r="E10" s="7" t="str" cm="1">
        <f t="array" aca="1" ref="E10" ca="1">INDIRECT(""&amp;$D10&amp;"!R"&amp;E$142&amp;"C"&amp;E$143,FALSE)</f>
        <v>m³</v>
      </c>
      <c r="F10" s="7" t="str" cm="1">
        <f t="array" aca="1" ref="F10" ca="1">INDIRECT(""&amp;$D10&amp;"!R"&amp;F$142&amp;"C"&amp;F$143,FALSE)</f>
        <v>Tier 1</v>
      </c>
      <c r="G10" s="188">
        <f ca="1">INDEX(Methodology!$B$26:$D$31,MATCH('EF Table_detail'!$F10,Methodology!$B$26:$B$31,0),MATCH('EF Table_detail'!$G$5,Methodology!$B$26:$D$26,0))</f>
        <v>1.02</v>
      </c>
      <c r="H10" s="237" cm="1">
        <f t="array" aca="1" ref="H10" ca="1">INDIRECT(""&amp;$D10&amp;"!R"&amp;H$142&amp;"C"&amp;H$143,FALSE)</f>
        <v>459.166</v>
      </c>
      <c r="I10" s="235" cm="1">
        <f t="array" aca="1" ref="I10" ca="1">INDIRECT(""&amp;$D10&amp;"!R"&amp;I$142&amp;"C"&amp;I$143,FALSE)</f>
        <v>167.14</v>
      </c>
      <c r="J10" s="99" cm="1">
        <f t="array" aca="1" ref="J10" ca="1">INDIRECT(""&amp;$D10&amp;"!R"&amp;J$142&amp;"C"&amp;J$143,FALSE)</f>
        <v>249.09220948598124</v>
      </c>
      <c r="K10" s="262">
        <f ca="1">$J10*(1+INDEX(Methodology!$B$26:$E$31,MATCH($F10,Methodology!$B$26:$B$31,0),MATCH(L$5,Methodology!$B$26:$E$26,0)))</f>
        <v>254.07405367570087</v>
      </c>
      <c r="L10" s="261">
        <f ca="1">$H10*(1+INDEX(Methodology!$B$26:$E$31,MATCH($F10,Methodology!$B$26:$B$31,0),MATCH(L$5,Methodology!$B$26:$E$26,0)))</f>
        <v>468.34931999999998</v>
      </c>
      <c r="M10" s="234" cm="1">
        <f t="array" aca="1" ref="M10" ca="1">INDIRECT(""&amp;$D10&amp;"!R"&amp;M$142&amp;"C"&amp;M$143,FALSE)</f>
        <v>0.19131916666666668</v>
      </c>
      <c r="N10" s="234" cm="1">
        <f t="array" aca="1" ref="N10" ca="1">INDIRECT(""&amp;$D10&amp;"!R"&amp;N$142&amp;"C"&amp;N$143,FALSE)</f>
        <v>6.9641666666666657E-2</v>
      </c>
      <c r="O10" s="231" cm="1">
        <f t="array" aca="1" ref="O10" ca="1">INDIRECT(""&amp;$D10&amp;"!R"&amp;O$142&amp;"C"&amp;O$143,FALSE)</f>
        <v>0.10378842061915888</v>
      </c>
      <c r="P10" s="265">
        <f ca="1">$O10*(1+INDEX(Methodology!$B$26:$E$31,MATCH($F10,Methodology!$B$26:$B$31,0),MATCH(Q$5,Methodology!$B$26:$E$26,0)))</f>
        <v>0.10586418903154206</v>
      </c>
      <c r="Q10" s="266">
        <f ca="1">$M10*(1+INDEX(Methodology!$B$26:$E$31,MATCH($F10,Methodology!$B$26:$B$31,0),MATCH(Q$5,Methodology!$B$26:$E$26,0)))</f>
        <v>0.19514555000000003</v>
      </c>
      <c r="R10" s="199"/>
      <c r="S10" s="63" cm="1">
        <f t="array" aca="1" ref="S10" ca="1">INDIRECT(""&amp;$D10&amp;"!R"&amp;S$142&amp;"C"&amp;S$143,FALSE)</f>
        <v>0</v>
      </c>
      <c r="T10" s="62" cm="1">
        <f t="array" aca="1" ref="T10" ca="1">INDIRECT(""&amp;$D10&amp;"!R"&amp;T$142&amp;"C"&amp;T$143,FALSE)</f>
        <v>0</v>
      </c>
      <c r="U10" s="265">
        <f ca="1">$T10*(1+INDEX(Methodology!$B$26:$E$31,MATCH($F10,Methodology!$B$26:$B$31,0),MATCH(V$5,Methodology!$B$26:$E$26,0)))</f>
        <v>0</v>
      </c>
      <c r="V10" s="261">
        <f ca="1">$S10*(1+INDEX(Methodology!$B$26:$E$31,MATCH($F10,Methodology!$B$26:$B$31,0),MATCH(V$5,Methodology!$B$26:$E$26,0)))</f>
        <v>0</v>
      </c>
      <c r="W10" s="63" cm="1">
        <f t="array" aca="1" ref="W10" ca="1">INDIRECT(""&amp;$D10&amp;"!R"&amp;W$142&amp;"C"&amp;W$143,FALSE)</f>
        <v>0</v>
      </c>
      <c r="X10" s="62" cm="1">
        <f t="array" aca="1" ref="X10" ca="1">INDIRECT(""&amp;$D10&amp;"!R"&amp;X$142&amp;"C"&amp;X$143,FALSE)</f>
        <v>0</v>
      </c>
      <c r="Y10" s="265">
        <f ca="1">$X10*(1+INDEX(Methodology!$B$26:$E$31,MATCH($F10,Methodology!$B$26:$B$31,0),MATCH(Z$5,Methodology!$B$26:$E$26,0)))</f>
        <v>0</v>
      </c>
      <c r="Z10" s="261">
        <f t="shared" ca="1" si="2"/>
        <v>0</v>
      </c>
      <c r="AA10" s="199"/>
      <c r="AB10" s="10">
        <f t="shared" ca="1" si="0"/>
        <v>2399.9999999999991</v>
      </c>
      <c r="AC10" s="190" t="str">
        <f t="shared" ca="1" si="1"/>
        <v>kg/m³</v>
      </c>
      <c r="AD10" s="213" t="str" cm="1">
        <f t="array" aca="1" ref="AD10" ca="1">IF(INDIRECT(""&amp;$D10&amp;"!R"&amp;AD$142&amp;"C"&amp;AD$143,FALSE)=0,"",INDIRECT(""&amp;$D10&amp;"!R"&amp;AD$142&amp;"C"&amp;AD$143,FALSE))</f>
        <v xml:space="preserve">The material category is based on the strength of concrete.  Concrete mixes from all states and territories and with or without supplementary cementious materials are included in this dataset.  This provides a conservative default value for the material category. Promoting the use of specific published EFs based on the concrete product used. </v>
      </c>
      <c r="AE10" s="214" t="str" cm="1">
        <f t="array" aca="1" ref="AE10" ca="1">IFERROR(IF(INDIRECT(""&amp;$D10&amp;"!R"&amp;AE$142&amp;"C"&amp;AE$143,FALSE)="Average (weighted)","Yes","No"),"")</f>
        <v>No</v>
      </c>
      <c r="AF10" s="96"/>
    </row>
    <row r="11" spans="1:32" ht="45" customHeight="1" x14ac:dyDescent="0.25">
      <c r="A11" s="7" t="s">
        <v>3884</v>
      </c>
      <c r="B11" s="1" t="s">
        <v>586</v>
      </c>
      <c r="C11" s="193" t="str" cm="1">
        <f t="array" aca="1" ref="C11" ca="1">INDIRECT(""&amp;$D11&amp;"!R"&amp;C$142&amp;"C"&amp;C$143,FALSE)</f>
        <v>Any concrete mix with a strength rating of 40 MPa or lower and greater than 32 MPa</v>
      </c>
      <c r="D11" s="7" t="s">
        <v>3889</v>
      </c>
      <c r="E11" s="7" t="str" cm="1">
        <f t="array" aca="1" ref="E11" ca="1">INDIRECT(""&amp;$D11&amp;"!R"&amp;E$142&amp;"C"&amp;E$143,FALSE)</f>
        <v>m³</v>
      </c>
      <c r="F11" s="7" t="str" cm="1">
        <f t="array" aca="1" ref="F11" ca="1">INDIRECT(""&amp;$D11&amp;"!R"&amp;F$142&amp;"C"&amp;F$143,FALSE)</f>
        <v>Tier 1</v>
      </c>
      <c r="G11" s="188">
        <f ca="1">INDEX(Methodology!$B$26:$D$31,MATCH('EF Table_detail'!$F11,Methodology!$B$26:$B$31,0),MATCH('EF Table_detail'!$G$5,Methodology!$B$26:$D$26,0))</f>
        <v>1.02</v>
      </c>
      <c r="H11" s="237" cm="1">
        <f t="array" aca="1" ref="H11" ca="1">INDIRECT(""&amp;$D11&amp;"!R"&amp;H$142&amp;"C"&amp;H$143,FALSE)</f>
        <v>545.20299999999997</v>
      </c>
      <c r="I11" s="235" cm="1">
        <f t="array" aca="1" ref="I11" ca="1">INDIRECT(""&amp;$D11&amp;"!R"&amp;I$142&amp;"C"&amp;I$143,FALSE)</f>
        <v>185.14599999999999</v>
      </c>
      <c r="J11" s="99" cm="1">
        <f t="array" aca="1" ref="J11" ca="1">INDIRECT(""&amp;$D11&amp;"!R"&amp;J$142&amp;"C"&amp;J$143,FALSE)</f>
        <v>299.95764584905663</v>
      </c>
      <c r="K11" s="262">
        <f ca="1">$J11*(1+INDEX(Methodology!$B$26:$E$31,MATCH($F11,Methodology!$B$26:$B$31,0),MATCH(L$5,Methodology!$B$26:$E$26,0)))</f>
        <v>305.95679876603776</v>
      </c>
      <c r="L11" s="261">
        <f ca="1">$H11*(1+INDEX(Methodology!$B$26:$E$31,MATCH($F11,Methodology!$B$26:$B$31,0),MATCH(L$5,Methodology!$B$26:$E$26,0)))</f>
        <v>556.10705999999993</v>
      </c>
      <c r="M11" s="234" cm="1">
        <f t="array" aca="1" ref="M11" ca="1">INDIRECT(""&amp;$D11&amp;"!R"&amp;M$142&amp;"C"&amp;M$143,FALSE)</f>
        <v>0.22716791666666666</v>
      </c>
      <c r="N11" s="234" cm="1">
        <f t="array" aca="1" ref="N11" ca="1">INDIRECT(""&amp;$D11&amp;"!R"&amp;N$142&amp;"C"&amp;N$143,FALSE)</f>
        <v>7.7144166666666666E-2</v>
      </c>
      <c r="O11" s="231" cm="1">
        <f t="array" aca="1" ref="O11" ca="1">INDIRECT(""&amp;$D11&amp;"!R"&amp;O$142&amp;"C"&amp;O$143,FALSE)</f>
        <v>0.12498235243710686</v>
      </c>
      <c r="P11" s="265">
        <f ca="1">$O11*(1+INDEX(Methodology!$B$26:$E$31,MATCH($F11,Methodology!$B$26:$B$31,0),MATCH(Q$5,Methodology!$B$26:$E$26,0)))</f>
        <v>0.12748199948584898</v>
      </c>
      <c r="Q11" s="266">
        <f ca="1">$M11*(1+INDEX(Methodology!$B$26:$E$31,MATCH($F11,Methodology!$B$26:$B$31,0),MATCH(Q$5,Methodology!$B$26:$E$26,0)))</f>
        <v>0.23171127499999999</v>
      </c>
      <c r="R11" s="199"/>
      <c r="S11" s="63" cm="1">
        <f t="array" aca="1" ref="S11" ca="1">INDIRECT(""&amp;$D11&amp;"!R"&amp;S$142&amp;"C"&amp;S$143,FALSE)</f>
        <v>0</v>
      </c>
      <c r="T11" s="62" cm="1">
        <f t="array" aca="1" ref="T11" ca="1">INDIRECT(""&amp;$D11&amp;"!R"&amp;T$142&amp;"C"&amp;T$143,FALSE)</f>
        <v>0</v>
      </c>
      <c r="U11" s="265">
        <f ca="1">$T11*(1+INDEX(Methodology!$B$26:$E$31,MATCH($F11,Methodology!$B$26:$B$31,0),MATCH(V$5,Methodology!$B$26:$E$26,0)))</f>
        <v>0</v>
      </c>
      <c r="V11" s="261">
        <f ca="1">$S11*(1+INDEX(Methodology!$B$26:$E$31,MATCH($F11,Methodology!$B$26:$B$31,0),MATCH(V$5,Methodology!$B$26:$E$26,0)))</f>
        <v>0</v>
      </c>
      <c r="W11" s="63" cm="1">
        <f t="array" aca="1" ref="W11" ca="1">INDIRECT(""&amp;$D11&amp;"!R"&amp;W$142&amp;"C"&amp;W$143,FALSE)</f>
        <v>0</v>
      </c>
      <c r="X11" s="62" cm="1">
        <f t="array" aca="1" ref="X11" ca="1">INDIRECT(""&amp;$D11&amp;"!R"&amp;X$142&amp;"C"&amp;X$143,FALSE)</f>
        <v>0</v>
      </c>
      <c r="Y11" s="265">
        <f ca="1">$X11*(1+INDEX(Methodology!$B$26:$E$31,MATCH($F11,Methodology!$B$26:$B$31,0),MATCH(Z$5,Methodology!$B$26:$E$26,0)))</f>
        <v>0</v>
      </c>
      <c r="Z11" s="261">
        <f t="shared" ca="1" si="2"/>
        <v>0</v>
      </c>
      <c r="AA11" s="199"/>
      <c r="AB11" s="10">
        <f t="shared" ca="1" si="0"/>
        <v>2400.0000000000014</v>
      </c>
      <c r="AC11" s="190" t="str">
        <f t="shared" ca="1" si="1"/>
        <v>kg/m³</v>
      </c>
      <c r="AD11" s="213" t="str" cm="1">
        <f t="array" aca="1" ref="AD11" ca="1">IF(INDIRECT(""&amp;$D11&amp;"!R"&amp;AD$142&amp;"C"&amp;AD$143,FALSE)=0,"",INDIRECT(""&amp;$D11&amp;"!R"&amp;AD$142&amp;"C"&amp;AD$143,FALSE))</f>
        <v xml:space="preserve">The material category is based on the strength of concrete.  Concrete mixes from all states and territories and with or without supplementary cementious materials are included in this dataset.  This provides a conservative default value for the material category. Promoting the use of specific published EFs based on the concrete product used. </v>
      </c>
      <c r="AE11" s="214" t="str" cm="1">
        <f t="array" aca="1" ref="AE11" ca="1">IFERROR(IF(INDIRECT(""&amp;$D11&amp;"!R"&amp;AE$142&amp;"C"&amp;AE$143,FALSE)="Average (weighted)","Yes","No"),"")</f>
        <v>No</v>
      </c>
      <c r="AF11" s="96"/>
    </row>
    <row r="12" spans="1:32" ht="45" customHeight="1" x14ac:dyDescent="0.25">
      <c r="A12" s="7" t="s">
        <v>3884</v>
      </c>
      <c r="B12" s="1" t="s">
        <v>617</v>
      </c>
      <c r="C12" s="193" t="str" cm="1">
        <f t="array" aca="1" ref="C12" ca="1">INDIRECT(""&amp;$D12&amp;"!R"&amp;C$142&amp;"C"&amp;C$143,FALSE)</f>
        <v>Any concrete mix with a strength rating of 50 MPa or lower and greater than 40 MPa</v>
      </c>
      <c r="D12" s="7" t="s">
        <v>3890</v>
      </c>
      <c r="E12" s="7" t="str" cm="1">
        <f t="array" aca="1" ref="E12" ca="1">INDIRECT(""&amp;$D12&amp;"!R"&amp;E$142&amp;"C"&amp;E$143,FALSE)</f>
        <v>m³</v>
      </c>
      <c r="F12" s="7" t="str" cm="1">
        <f t="array" aca="1" ref="F12" ca="1">INDIRECT(""&amp;$D12&amp;"!R"&amp;F$142&amp;"C"&amp;F$143,FALSE)</f>
        <v>Tier 1</v>
      </c>
      <c r="G12" s="188">
        <f ca="1">INDEX(Methodology!$B$26:$D$31,MATCH('EF Table_detail'!$F12,Methodology!$B$26:$B$31,0),MATCH('EF Table_detail'!$G$5,Methodology!$B$26:$D$26,0))</f>
        <v>1.02</v>
      </c>
      <c r="H12" s="237" cm="1">
        <f t="array" aca="1" ref="H12" ca="1">INDIRECT(""&amp;$D12&amp;"!R"&amp;H$142&amp;"C"&amp;H$143,FALSE)</f>
        <v>609.23299999999995</v>
      </c>
      <c r="I12" s="235" cm="1">
        <f t="array" aca="1" ref="I12" ca="1">INDIRECT(""&amp;$D12&amp;"!R"&amp;I$142&amp;"C"&amp;I$143,FALSE)</f>
        <v>101</v>
      </c>
      <c r="J12" s="99" cm="1">
        <f t="array" aca="1" ref="J12" ca="1">INDIRECT(""&amp;$D12&amp;"!R"&amp;J$142&amp;"C"&amp;J$143,FALSE)</f>
        <v>356.96685004608298</v>
      </c>
      <c r="K12" s="262">
        <f ca="1">$J12*(1+INDEX(Methodology!$B$26:$E$31,MATCH($F12,Methodology!$B$26:$B$31,0),MATCH(L$5,Methodology!$B$26:$E$26,0)))</f>
        <v>364.10618704700465</v>
      </c>
      <c r="L12" s="261">
        <f ca="1">$H12*(1+INDEX(Methodology!$B$26:$E$31,MATCH($F12,Methodology!$B$26:$B$31,0),MATCH(L$5,Methodology!$B$26:$E$26,0)))</f>
        <v>621.41765999999996</v>
      </c>
      <c r="M12" s="234" cm="1">
        <f t="array" aca="1" ref="M12" ca="1">INDIRECT(""&amp;$D12&amp;"!R"&amp;M$142&amp;"C"&amp;M$143,FALSE)</f>
        <v>0.25384708333333333</v>
      </c>
      <c r="N12" s="234" cm="1">
        <f t="array" aca="1" ref="N12" ca="1">INDIRECT(""&amp;$D12&amp;"!R"&amp;N$142&amp;"C"&amp;N$143,FALSE)</f>
        <v>4.2083333333333334E-2</v>
      </c>
      <c r="O12" s="231" cm="1">
        <f t="array" aca="1" ref="O12" ca="1">INDIRECT(""&amp;$D12&amp;"!R"&amp;O$142&amp;"C"&amp;O$143,FALSE)</f>
        <v>0.14873618751920123</v>
      </c>
      <c r="P12" s="265">
        <f ca="1">$O12*(1+INDEX(Methodology!$B$26:$E$31,MATCH($F12,Methodology!$B$26:$B$31,0),MATCH(Q$5,Methodology!$B$26:$E$26,0)))</f>
        <v>0.15171091126958525</v>
      </c>
      <c r="Q12" s="266">
        <f ca="1">$M12*(1+INDEX(Methodology!$B$26:$E$31,MATCH($F12,Methodology!$B$26:$B$31,0),MATCH(Q$5,Methodology!$B$26:$E$26,0)))</f>
        <v>0.258924025</v>
      </c>
      <c r="R12" s="199"/>
      <c r="S12" s="63" cm="1">
        <f t="array" aca="1" ref="S12" ca="1">INDIRECT(""&amp;$D12&amp;"!R"&amp;S$142&amp;"C"&amp;S$143,FALSE)</f>
        <v>0</v>
      </c>
      <c r="T12" s="62" cm="1">
        <f t="array" aca="1" ref="T12" ca="1">INDIRECT(""&amp;$D12&amp;"!R"&amp;T$142&amp;"C"&amp;T$143,FALSE)</f>
        <v>0</v>
      </c>
      <c r="U12" s="265">
        <f ca="1">$T12*(1+INDEX(Methodology!$B$26:$E$31,MATCH($F12,Methodology!$B$26:$B$31,0),MATCH(V$5,Methodology!$B$26:$E$26,0)))</f>
        <v>0</v>
      </c>
      <c r="V12" s="261">
        <f ca="1">$S12*(1+INDEX(Methodology!$B$26:$E$31,MATCH($F12,Methodology!$B$26:$B$31,0),MATCH(V$5,Methodology!$B$26:$E$26,0)))</f>
        <v>0</v>
      </c>
      <c r="W12" s="63" cm="1">
        <f t="array" aca="1" ref="W12" ca="1">INDIRECT(""&amp;$D12&amp;"!R"&amp;W$142&amp;"C"&amp;W$143,FALSE)</f>
        <v>0</v>
      </c>
      <c r="X12" s="62" cm="1">
        <f t="array" aca="1" ref="X12" ca="1">INDIRECT(""&amp;$D12&amp;"!R"&amp;X$142&amp;"C"&amp;X$143,FALSE)</f>
        <v>0</v>
      </c>
      <c r="Y12" s="265">
        <f ca="1">$X12*(1+INDEX(Methodology!$B$26:$E$31,MATCH($F12,Methodology!$B$26:$B$31,0),MATCH(Z$5,Methodology!$B$26:$E$26,0)))</f>
        <v>0</v>
      </c>
      <c r="Z12" s="261">
        <f t="shared" ca="1" si="2"/>
        <v>0</v>
      </c>
      <c r="AA12" s="199"/>
      <c r="AB12" s="10">
        <f t="shared" ca="1" si="0"/>
        <v>2400</v>
      </c>
      <c r="AC12" s="190" t="str">
        <f t="shared" ca="1" si="1"/>
        <v>kg/m³</v>
      </c>
      <c r="AD12" s="213" t="str" cm="1">
        <f t="array" aca="1" ref="AD12" ca="1">IF(INDIRECT(""&amp;$D12&amp;"!R"&amp;AD$142&amp;"C"&amp;AD$143,FALSE)=0,"",INDIRECT(""&amp;$D12&amp;"!R"&amp;AD$142&amp;"C"&amp;AD$143,FALSE))</f>
        <v xml:space="preserve">The material category is based on the strength of concrete.  Concrete mixes from all states and territories and with or without supplementary cementious materials are included in this dataset.  This provides a conservative default value for the material category. Promoting the use of specific published EFs based on the concrete product used. </v>
      </c>
      <c r="AE12" s="214" t="str" cm="1">
        <f t="array" aca="1" ref="AE12" ca="1">IFERROR(IF(INDIRECT(""&amp;$D12&amp;"!R"&amp;AE$142&amp;"C"&amp;AE$143,FALSE)="Average (weighted)","Yes","No"),"")</f>
        <v>No</v>
      </c>
      <c r="AF12" s="96"/>
    </row>
    <row r="13" spans="1:32" ht="45" customHeight="1" x14ac:dyDescent="0.25">
      <c r="A13" s="7" t="s">
        <v>3884</v>
      </c>
      <c r="B13" s="1" t="s">
        <v>696</v>
      </c>
      <c r="C13" s="193" t="str" cm="1">
        <f t="array" aca="1" ref="C13" ca="1">INDIRECT(""&amp;$D13&amp;"!R"&amp;C$142&amp;"C"&amp;C$143,FALSE)</f>
        <v>Any concrete mix with a strength rating of 65 MPa or lower and greater than 50 MPa</v>
      </c>
      <c r="D13" s="7" t="s">
        <v>3891</v>
      </c>
      <c r="E13" s="7" t="str" cm="1">
        <f t="array" aca="1" ref="E13" ca="1">INDIRECT(""&amp;$D13&amp;"!R"&amp;E$142&amp;"C"&amp;E$143,FALSE)</f>
        <v>m³</v>
      </c>
      <c r="F13" s="7" t="str" cm="1">
        <f t="array" aca="1" ref="F13" ca="1">INDIRECT(""&amp;$D13&amp;"!R"&amp;F$142&amp;"C"&amp;F$143,FALSE)</f>
        <v>Tier 2</v>
      </c>
      <c r="G13" s="188">
        <f ca="1">INDEX(Methodology!$B$26:$D$31,MATCH('EF Table_detail'!$F13,Methodology!$B$26:$B$31,0),MATCH('EF Table_detail'!$G$5,Methodology!$B$26:$D$26,0))</f>
        <v>1.05</v>
      </c>
      <c r="H13" s="237" cm="1">
        <f t="array" aca="1" ref="H13" ca="1">INDIRECT(""&amp;$D13&amp;"!R"&amp;H$142&amp;"C"&amp;H$143,FALSE)</f>
        <v>609.23299999999995</v>
      </c>
      <c r="I13" s="235" cm="1">
        <f t="array" aca="1" ref="I13" ca="1">INDIRECT(""&amp;$D13&amp;"!R"&amp;I$142&amp;"C"&amp;I$143,FALSE)</f>
        <v>274</v>
      </c>
      <c r="J13" s="99" cm="1">
        <f t="array" aca="1" ref="J13" ca="1">INDIRECT(""&amp;$D13&amp;"!R"&amp;J$142&amp;"C"&amp;J$143,FALSE)</f>
        <v>381.51169047619049</v>
      </c>
      <c r="K13" s="262">
        <f ca="1">$J13*(1+INDEX(Methodology!$B$26:$E$31,MATCH($F13,Methodology!$B$26:$B$31,0),MATCH(L$5,Methodology!$B$26:$E$26,0)))</f>
        <v>400.58727500000003</v>
      </c>
      <c r="L13" s="261">
        <f ca="1">$H13*(1+INDEX(Methodology!$B$26:$E$31,MATCH($F13,Methodology!$B$26:$B$31,0),MATCH(L$5,Methodology!$B$26:$E$26,0)))</f>
        <v>639.69465000000002</v>
      </c>
      <c r="M13" s="234" cm="1">
        <f t="array" aca="1" ref="M13" ca="1">INDIRECT(""&amp;$D13&amp;"!R"&amp;M$142&amp;"C"&amp;M$143,FALSE)</f>
        <v>0.25384708333333333</v>
      </c>
      <c r="N13" s="234" cm="1">
        <f t="array" aca="1" ref="N13" ca="1">INDIRECT(""&amp;$D13&amp;"!R"&amp;N$142&amp;"C"&amp;N$143,FALSE)</f>
        <v>0.11416666666666667</v>
      </c>
      <c r="O13" s="231" cm="1">
        <f t="array" aca="1" ref="O13" ca="1">INDIRECT(""&amp;$D13&amp;"!R"&amp;O$142&amp;"C"&amp;O$143,FALSE)</f>
        <v>0.15896320436507938</v>
      </c>
      <c r="P13" s="265">
        <f ca="1">$O13*(1+INDEX(Methodology!$B$26:$E$31,MATCH($F13,Methodology!$B$26:$B$31,0),MATCH(Q$5,Methodology!$B$26:$E$26,0)))</f>
        <v>0.16691136458333336</v>
      </c>
      <c r="Q13" s="266">
        <f ca="1">$M13*(1+INDEX(Methodology!$B$26:$E$31,MATCH($F13,Methodology!$B$26:$B$31,0),MATCH(Q$5,Methodology!$B$26:$E$26,0)))</f>
        <v>0.26653943750000003</v>
      </c>
      <c r="R13" s="199"/>
      <c r="S13" s="63" cm="1">
        <f t="array" aca="1" ref="S13" ca="1">INDIRECT(""&amp;$D13&amp;"!R"&amp;S$142&amp;"C"&amp;S$143,FALSE)</f>
        <v>0</v>
      </c>
      <c r="T13" s="62" cm="1">
        <f t="array" aca="1" ref="T13" ca="1">INDIRECT(""&amp;$D13&amp;"!R"&amp;T$142&amp;"C"&amp;T$143,FALSE)</f>
        <v>0</v>
      </c>
      <c r="U13" s="265">
        <f ca="1">$T13*(1+INDEX(Methodology!$B$26:$E$31,MATCH($F13,Methodology!$B$26:$B$31,0),MATCH(V$5,Methodology!$B$26:$E$26,0)))</f>
        <v>0</v>
      </c>
      <c r="V13" s="261">
        <f ca="1">$S13*(1+INDEX(Methodology!$B$26:$E$31,MATCH($F13,Methodology!$B$26:$B$31,0),MATCH(V$5,Methodology!$B$26:$E$26,0)))</f>
        <v>0</v>
      </c>
      <c r="W13" s="63" cm="1">
        <f t="array" aca="1" ref="W13" ca="1">INDIRECT(""&amp;$D13&amp;"!R"&amp;W$142&amp;"C"&amp;W$143,FALSE)</f>
        <v>0</v>
      </c>
      <c r="X13" s="62" cm="1">
        <f t="array" aca="1" ref="X13" ca="1">INDIRECT(""&amp;$D13&amp;"!R"&amp;X$142&amp;"C"&amp;X$143,FALSE)</f>
        <v>0</v>
      </c>
      <c r="Y13" s="265">
        <f ca="1">$X13*(1+INDEX(Methodology!$B$26:$E$31,MATCH($F13,Methodology!$B$26:$B$31,0),MATCH(Z$5,Methodology!$B$26:$E$26,0)))</f>
        <v>0</v>
      </c>
      <c r="Z13" s="261">
        <f t="shared" ca="1" si="2"/>
        <v>0</v>
      </c>
      <c r="AA13" s="199"/>
      <c r="AB13" s="10">
        <f t="shared" ca="1" si="0"/>
        <v>2400</v>
      </c>
      <c r="AC13" s="190" t="str">
        <f t="shared" ca="1" si="1"/>
        <v>kg/m³</v>
      </c>
      <c r="AD13" s="213" t="str" cm="1">
        <f t="array" aca="1" ref="AD13" ca="1">IF(INDIRECT(""&amp;$D13&amp;"!R"&amp;AD$142&amp;"C"&amp;AD$143,FALSE)=0,"",INDIRECT(""&amp;$D13&amp;"!R"&amp;AD$142&amp;"C"&amp;AD$143,FALSE))</f>
        <v xml:space="preserve">Maximum of data source falls below the maximum for 50 MPa. Likely due to a limited source of market coverage at this strength rating. The max from 50 MPa has been used. The material category is based on the strength of concrete.  Concrete mixes from all states and territories and with or without supplementary cementious materials are included in this dataset.  This provides a conservative default value for the material category. Promoting the use of specific published EFs based on the concrete product used. </v>
      </c>
      <c r="AE13" s="214" t="str" cm="1">
        <f t="array" aca="1" ref="AE13" ca="1">IFERROR(IF(INDIRECT(""&amp;$D13&amp;"!R"&amp;AE$142&amp;"C"&amp;AE$143,FALSE)="Average (weighted)","Yes","No"),"")</f>
        <v>No</v>
      </c>
      <c r="AF13" s="96"/>
    </row>
    <row r="14" spans="1:32" ht="45" customHeight="1" x14ac:dyDescent="0.25">
      <c r="A14" s="7" t="s">
        <v>3884</v>
      </c>
      <c r="B14" s="1" t="s">
        <v>840</v>
      </c>
      <c r="C14" s="193" t="str" cm="1">
        <f t="array" aca="1" ref="C14" ca="1">INDIRECT(""&amp;$D14&amp;"!R"&amp;C$142&amp;"C"&amp;C$143,FALSE)</f>
        <v>Any concrete mix with a strength rating of 80 MPa or lower and greater than 65 MPa</v>
      </c>
      <c r="D14" s="7" t="s">
        <v>3892</v>
      </c>
      <c r="E14" s="7" t="str" cm="1">
        <f t="array" aca="1" ref="E14" ca="1">INDIRECT(""&amp;$D14&amp;"!R"&amp;E$142&amp;"C"&amp;E$143,FALSE)</f>
        <v>m³</v>
      </c>
      <c r="F14" s="7" t="str" cm="1">
        <f t="array" aca="1" ref="F14" ca="1">INDIRECT(""&amp;$D14&amp;"!R"&amp;F$142&amp;"C"&amp;F$143,FALSE)</f>
        <v>Tier 3</v>
      </c>
      <c r="G14" s="188">
        <f ca="1">INDEX(Methodology!$B$26:$D$31,MATCH('EF Table_detail'!$F14,Methodology!$B$26:$B$31,0),MATCH('EF Table_detail'!$G$5,Methodology!$B$26:$D$26,0))</f>
        <v>1.1000000000000001</v>
      </c>
      <c r="H14" s="237" cm="1">
        <f t="array" aca="1" ref="H14" ca="1">INDIRECT(""&amp;$D14&amp;"!R"&amp;H$142&amp;"C"&amp;H$143,FALSE)</f>
        <v>609.23299999999995</v>
      </c>
      <c r="I14" s="235" cm="1">
        <f t="array" aca="1" ref="I14" ca="1">INDIRECT(""&amp;$D14&amp;"!R"&amp;I$142&amp;"C"&amp;I$143,FALSE)</f>
        <v>301</v>
      </c>
      <c r="J14" s="99" cm="1">
        <f t="array" aca="1" ref="J14" ca="1">INDIRECT(""&amp;$D14&amp;"!R"&amp;J$142&amp;"C"&amp;J$143,FALSE)</f>
        <v>425.98784000000006</v>
      </c>
      <c r="K14" s="262">
        <f ca="1">$J14*(1+INDEX(Methodology!$B$26:$E$31,MATCH($F14,Methodology!$B$26:$B$31,0),MATCH(L$5,Methodology!$B$26:$E$26,0)))</f>
        <v>468.58662400000009</v>
      </c>
      <c r="L14" s="261">
        <f ca="1">$H14*(1+INDEX(Methodology!$B$26:$E$31,MATCH($F14,Methodology!$B$26:$B$31,0),MATCH(L$5,Methodology!$B$26:$E$26,0)))</f>
        <v>670.15629999999999</v>
      </c>
      <c r="M14" s="234" cm="1">
        <f t="array" aca="1" ref="M14" ca="1">INDIRECT(""&amp;$D14&amp;"!R"&amp;M$142&amp;"C"&amp;M$143,FALSE)</f>
        <v>0.25384708333333333</v>
      </c>
      <c r="N14" s="234" cm="1">
        <f t="array" aca="1" ref="N14" ca="1">INDIRECT(""&amp;$D14&amp;"!R"&amp;N$142&amp;"C"&amp;N$143,FALSE)</f>
        <v>0.12541666666666668</v>
      </c>
      <c r="O14" s="231" cm="1">
        <f t="array" aca="1" ref="O14" ca="1">INDIRECT(""&amp;$D14&amp;"!R"&amp;O$142&amp;"C"&amp;O$143,FALSE)</f>
        <v>0.17749493333333333</v>
      </c>
      <c r="P14" s="265">
        <f ca="1">$O14*(1+INDEX(Methodology!$B$26:$E$31,MATCH($F14,Methodology!$B$26:$B$31,0),MATCH(Q$5,Methodology!$B$26:$E$26,0)))</f>
        <v>0.19524442666666667</v>
      </c>
      <c r="Q14" s="266">
        <f ca="1">$M14*(1+INDEX(Methodology!$B$26:$E$31,MATCH($F14,Methodology!$B$26:$B$31,0),MATCH(Q$5,Methodology!$B$26:$E$26,0)))</f>
        <v>0.27923179166666667</v>
      </c>
      <c r="R14" s="199"/>
      <c r="S14" s="63" cm="1">
        <f t="array" aca="1" ref="S14" ca="1">INDIRECT(""&amp;$D14&amp;"!R"&amp;S$142&amp;"C"&amp;S$143,FALSE)</f>
        <v>0</v>
      </c>
      <c r="T14" s="62" cm="1">
        <f t="array" aca="1" ref="T14" ca="1">INDIRECT(""&amp;$D14&amp;"!R"&amp;T$142&amp;"C"&amp;T$143,FALSE)</f>
        <v>0</v>
      </c>
      <c r="U14" s="265">
        <f ca="1">$T14*(1+INDEX(Methodology!$B$26:$E$31,MATCH($F14,Methodology!$B$26:$B$31,0),MATCH(V$5,Methodology!$B$26:$E$26,0)))</f>
        <v>0</v>
      </c>
      <c r="V14" s="261">
        <f ca="1">$S14*(1+INDEX(Methodology!$B$26:$E$31,MATCH($F14,Methodology!$B$26:$B$31,0),MATCH(V$5,Methodology!$B$26:$E$26,0)))</f>
        <v>0</v>
      </c>
      <c r="W14" s="63" cm="1">
        <f t="array" aca="1" ref="W14" ca="1">INDIRECT(""&amp;$D14&amp;"!R"&amp;W$142&amp;"C"&amp;W$143,FALSE)</f>
        <v>0</v>
      </c>
      <c r="X14" s="62" cm="1">
        <f t="array" aca="1" ref="X14" ca="1">INDIRECT(""&amp;$D14&amp;"!R"&amp;X$142&amp;"C"&amp;X$143,FALSE)</f>
        <v>0</v>
      </c>
      <c r="Y14" s="265">
        <f ca="1">$X14*(1+INDEX(Methodology!$B$26:$E$31,MATCH($F14,Methodology!$B$26:$B$31,0),MATCH(Z$5,Methodology!$B$26:$E$26,0)))</f>
        <v>0</v>
      </c>
      <c r="Z14" s="261">
        <f t="shared" ca="1" si="2"/>
        <v>0</v>
      </c>
      <c r="AA14" s="199"/>
      <c r="AB14" s="10">
        <f t="shared" ca="1" si="0"/>
        <v>2400.0000000000005</v>
      </c>
      <c r="AC14" s="190" t="str">
        <f t="shared" ca="1" si="1"/>
        <v>kg/m³</v>
      </c>
      <c r="AD14" s="213" t="str" cm="1">
        <f t="array" aca="1" ref="AD14" ca="1">IF(INDIRECT(""&amp;$D14&amp;"!R"&amp;AD$142&amp;"C"&amp;AD$143,FALSE)=0,"",INDIRECT(""&amp;$D14&amp;"!R"&amp;AD$142&amp;"C"&amp;AD$143,FALSE))</f>
        <v>Maximum of data source falls below the maximum for 50 MPa. Likely due to a limited source of market coverage at this strength rating. The max from 50 MPa has been used. Concrete mixes from all states and territories and with or without supplementary cementious materials are included in this dataset.  This provides a conservative default value for the material category. Promoting the use of specific published EFs based on the concrete product used.</v>
      </c>
      <c r="AE14" s="214" t="str" cm="1">
        <f t="array" aca="1" ref="AE14" ca="1">IFERROR(IF(INDIRECT(""&amp;$D14&amp;"!R"&amp;AE$142&amp;"C"&amp;AE$143,FALSE)="Average (weighted)","Yes","No"),"")</f>
        <v>No</v>
      </c>
      <c r="AF14" s="96"/>
    </row>
    <row r="15" spans="1:32" ht="45" customHeight="1" x14ac:dyDescent="0.25">
      <c r="A15" s="7" t="s">
        <v>3884</v>
      </c>
      <c r="B15" s="1" t="s">
        <v>1197</v>
      </c>
      <c r="C15" s="193" t="str" cm="1">
        <f t="array" aca="1" ref="C15" ca="1">INDIRECT(""&amp;$D15&amp;"!R"&amp;C$142&amp;"C"&amp;C$143,FALSE)</f>
        <v>Any concrete mix with a strength rating above 80 Mpa</v>
      </c>
      <c r="D15" s="7" t="s">
        <v>3893</v>
      </c>
      <c r="E15" s="7" t="str" cm="1">
        <f t="array" aca="1" ref="E15" ca="1">INDIRECT(""&amp;$D15&amp;"!R"&amp;E$142&amp;"C"&amp;E$143,FALSE)</f>
        <v>m³</v>
      </c>
      <c r="F15" s="7" t="str" cm="1">
        <f t="array" aca="1" ref="F15" ca="1">INDIRECT(""&amp;$D15&amp;"!R"&amp;F$142&amp;"C"&amp;F$143,FALSE)</f>
        <v>Tier 4</v>
      </c>
      <c r="G15" s="188">
        <f ca="1">INDEX(Methodology!$B$26:$D$31,MATCH('EF Table_detail'!$F15,Methodology!$B$26:$B$31,0),MATCH('EF Table_detail'!$G$5,Methodology!$B$26:$D$26,0))</f>
        <v>1.2</v>
      </c>
      <c r="H15" s="237" cm="1">
        <f t="array" aca="1" ref="H15" ca="1">INDIRECT(""&amp;$D15&amp;"!R"&amp;H$142&amp;"C"&amp;H$143,FALSE)</f>
        <v>609.23299999999995</v>
      </c>
      <c r="I15" s="235" cm="1">
        <f t="array" aca="1" ref="I15" ca="1">INDIRECT(""&amp;$D15&amp;"!R"&amp;I$142&amp;"C"&amp;I$143,FALSE)</f>
        <v>444.10300000000001</v>
      </c>
      <c r="J15" s="99" cm="1">
        <f t="array" aca="1" ref="J15" ca="1">INDIRECT(""&amp;$D15&amp;"!R"&amp;J$142&amp;"C"&amp;J$143,FALSE)</f>
        <v>444.10300000000001</v>
      </c>
      <c r="K15" s="262">
        <f ca="1">$J15*(1+INDEX(Methodology!$B$26:$E$31,MATCH($F15,Methodology!$B$26:$B$31,0),MATCH(L$5,Methodology!$B$26:$E$26,0)))</f>
        <v>532.92359999999996</v>
      </c>
      <c r="L15" s="261">
        <f ca="1">$H15*(1+INDEX(Methodology!$B$26:$E$31,MATCH($F15,Methodology!$B$26:$B$31,0),MATCH(L$5,Methodology!$B$26:$E$26,0)))</f>
        <v>731.07959999999991</v>
      </c>
      <c r="M15" s="234" cm="1">
        <f t="array" aca="1" ref="M15" ca="1">INDIRECT(""&amp;$D15&amp;"!R"&amp;M$142&amp;"C"&amp;M$143,FALSE)</f>
        <v>0.25384708333333333</v>
      </c>
      <c r="N15" s="234" cm="1">
        <f t="array" aca="1" ref="N15" ca="1">INDIRECT(""&amp;$D15&amp;"!R"&amp;N$142&amp;"C"&amp;N$143,FALSE)</f>
        <v>0.18504291666666667</v>
      </c>
      <c r="O15" s="231" cm="1">
        <f t="array" aca="1" ref="O15" ca="1">INDIRECT(""&amp;$D15&amp;"!R"&amp;O$142&amp;"C"&amp;O$143,FALSE)</f>
        <v>0.18504291666666667</v>
      </c>
      <c r="P15" s="265">
        <f ca="1">$O15*(1+INDEX(Methodology!$B$26:$E$31,MATCH($F15,Methodology!$B$26:$B$31,0),MATCH(Q$5,Methodology!$B$26:$E$26,0)))</f>
        <v>0.22205149999999999</v>
      </c>
      <c r="Q15" s="266">
        <f ca="1">$M15*(1+INDEX(Methodology!$B$26:$E$31,MATCH($F15,Methodology!$B$26:$B$31,0),MATCH(Q$5,Methodology!$B$26:$E$26,0)))</f>
        <v>0.30461650000000001</v>
      </c>
      <c r="R15" s="199"/>
      <c r="S15" s="63" cm="1">
        <f t="array" aca="1" ref="S15" ca="1">INDIRECT(""&amp;$D15&amp;"!R"&amp;S$142&amp;"C"&amp;S$143,FALSE)</f>
        <v>0</v>
      </c>
      <c r="T15" s="62" cm="1">
        <f t="array" aca="1" ref="T15" ca="1">INDIRECT(""&amp;$D15&amp;"!R"&amp;T$142&amp;"C"&amp;T$143,FALSE)</f>
        <v>0</v>
      </c>
      <c r="U15" s="265">
        <f ca="1">$T15*(1+INDEX(Methodology!$B$26:$E$31,MATCH($F15,Methodology!$B$26:$B$31,0),MATCH(V$5,Methodology!$B$26:$E$26,0)))</f>
        <v>0</v>
      </c>
      <c r="V15" s="261">
        <f ca="1">$S15*(1+INDEX(Methodology!$B$26:$E$31,MATCH($F15,Methodology!$B$26:$B$31,0),MATCH(V$5,Methodology!$B$26:$E$26,0)))</f>
        <v>0</v>
      </c>
      <c r="W15" s="63" cm="1">
        <f t="array" aca="1" ref="W15" ca="1">INDIRECT(""&amp;$D15&amp;"!R"&amp;W$142&amp;"C"&amp;W$143,FALSE)</f>
        <v>0</v>
      </c>
      <c r="X15" s="62" cm="1">
        <f t="array" aca="1" ref="X15" ca="1">INDIRECT(""&amp;$D15&amp;"!R"&amp;X$142&amp;"C"&amp;X$143,FALSE)</f>
        <v>0</v>
      </c>
      <c r="Y15" s="265">
        <f ca="1">$X15*(1+INDEX(Methodology!$B$26:$E$31,MATCH($F15,Methodology!$B$26:$B$31,0),MATCH(Z$5,Methodology!$B$26:$E$26,0)))</f>
        <v>0</v>
      </c>
      <c r="Z15" s="261">
        <f t="shared" ca="1" si="2"/>
        <v>0</v>
      </c>
      <c r="AA15" s="199"/>
      <c r="AB15" s="10">
        <f t="shared" ca="1" si="0"/>
        <v>2400</v>
      </c>
      <c r="AC15" s="190" t="str">
        <f t="shared" ca="1" si="1"/>
        <v>kg/m³</v>
      </c>
      <c r="AD15" s="213" t="str" cm="1">
        <f t="array" aca="1" ref="AD15" ca="1">IF(INDIRECT(""&amp;$D15&amp;"!R"&amp;AD$142&amp;"C"&amp;AD$143,FALSE)=0,"",INDIRECT(""&amp;$D15&amp;"!R"&amp;AD$142&amp;"C"&amp;AD$143,FALSE))</f>
        <v>Maximum of data source falls below the maximum for 50 MPa. Likely due to a limited source of market coverage at this strength rating. The max from 50 MPa has been used.</v>
      </c>
      <c r="AE15" s="214" t="str" cm="1">
        <f t="array" aca="1" ref="AE15" ca="1">IFERROR(IF(INDIRECT(""&amp;$D15&amp;"!R"&amp;AE$142&amp;"C"&amp;AE$143,FALSE)="Average (weighted)","Yes","No"),"")</f>
        <v>No</v>
      </c>
      <c r="AF15" s="96"/>
    </row>
    <row r="16" spans="1:32" ht="45" customHeight="1" x14ac:dyDescent="0.25">
      <c r="A16" s="7" t="s">
        <v>3894</v>
      </c>
      <c r="B16" s="3" t="s">
        <v>3895</v>
      </c>
      <c r="C16" s="193" t="str" cm="1">
        <f t="array" aca="1" ref="C16" ca="1">INDIRECT(""&amp;$D16&amp;"!R"&amp;C$142&amp;"C"&amp;C$143,FALSE)</f>
        <v>Any precaste concrete panel i.e. wall, deck, or balcony panel.</v>
      </c>
      <c r="D16" s="2" t="s">
        <v>3896</v>
      </c>
      <c r="E16" s="7" t="str" cm="1">
        <f t="array" aca="1" ref="E16" ca="1">INDIRECT(""&amp;$D16&amp;"!R"&amp;E$142&amp;"C"&amp;E$143,FALSE)</f>
        <v>tonne</v>
      </c>
      <c r="F16" s="7" t="str" cm="1">
        <f t="array" aca="1" ref="F16" ca="1">INDIRECT(""&amp;$D16&amp;"!R"&amp;F$142&amp;"C"&amp;F$143,FALSE)</f>
        <v>Tier 4</v>
      </c>
      <c r="G16" s="188">
        <f ca="1">INDEX(Methodology!$B$26:$D$31,MATCH('EF Table_detail'!$F16,Methodology!$B$26:$B$31,0),MATCH('EF Table_detail'!$G$5,Methodology!$B$26:$D$26,0))</f>
        <v>1.2</v>
      </c>
      <c r="H16" s="237" cm="1">
        <f t="array" aca="1" ref="H16" ca="1">INDIRECT(""&amp;$D16&amp;"!R"&amp;H$142&amp;"C"&amp;H$143,FALSE)</f>
        <v>217.85472099999998</v>
      </c>
      <c r="I16" s="235" cm="1">
        <f t="array" aca="1" ref="I16" ca="1">INDIRECT(""&amp;$D16&amp;"!R"&amp;I$142&amp;"C"&amp;I$143,FALSE)</f>
        <v>183.09399999999999</v>
      </c>
      <c r="J16" s="99" cm="1">
        <f t="array" aca="1" ref="J16" ca="1">INDIRECT(""&amp;$D16&amp;"!R"&amp;J$142&amp;"C"&amp;J$143,FALSE)</f>
        <v>207.67277429999996</v>
      </c>
      <c r="K16" s="262">
        <f ca="1">$J16*(1+INDEX(Methodology!$B$26:$E$31,MATCH($F16,Methodology!$B$26:$B$31,0),MATCH(L$5,Methodology!$B$26:$E$26,0)))</f>
        <v>249.20732915999994</v>
      </c>
      <c r="L16" s="261">
        <f ca="1">$H16*(1+INDEX(Methodology!$B$26:$E$31,MATCH($F16,Methodology!$B$26:$B$31,0),MATCH(L$5,Methodology!$B$26:$E$26,0)))</f>
        <v>261.42566519999997</v>
      </c>
      <c r="M16" s="234" cm="1">
        <f t="array" aca="1" ref="M16" ca="1">INDIRECT(""&amp;$D16&amp;"!R"&amp;M$142&amp;"C"&amp;M$143,FALSE)</f>
        <v>0.21785472099999997</v>
      </c>
      <c r="N16" s="234" cm="1">
        <f t="array" aca="1" ref="N16" ca="1">INDIRECT(""&amp;$D16&amp;"!R"&amp;N$142&amp;"C"&amp;N$143,FALSE)</f>
        <v>0.18309399999999998</v>
      </c>
      <c r="O16" s="231" cm="1">
        <f t="array" aca="1" ref="O16" ca="1">INDIRECT(""&amp;$D16&amp;"!R"&amp;O$142&amp;"C"&amp;O$143,FALSE)</f>
        <v>0.2076727743</v>
      </c>
      <c r="P16" s="265">
        <f ca="1">$O16*(1+INDEX(Methodology!$B$26:$E$31,MATCH($F16,Methodology!$B$26:$B$31,0),MATCH(Q$5,Methodology!$B$26:$E$26,0)))</f>
        <v>0.24920732915999999</v>
      </c>
      <c r="Q16" s="266">
        <f ca="1">$M16*(1+INDEX(Methodology!$B$26:$E$31,MATCH($F16,Methodology!$B$26:$B$31,0),MATCH(Q$5,Methodology!$B$26:$E$26,0)))</f>
        <v>0.26142566519999993</v>
      </c>
      <c r="R16" s="199"/>
      <c r="S16" s="63" cm="1">
        <f t="array" aca="1" ref="S16" ca="1">INDIRECT(""&amp;$D16&amp;"!R"&amp;S$142&amp;"C"&amp;S$143,FALSE)</f>
        <v>0</v>
      </c>
      <c r="T16" s="62" cm="1">
        <f t="array" aca="1" ref="T16" ca="1">INDIRECT(""&amp;$D16&amp;"!R"&amp;T$142&amp;"C"&amp;T$143,FALSE)</f>
        <v>0</v>
      </c>
      <c r="U16" s="265">
        <f ca="1">$T16*(1+INDEX(Methodology!$B$26:$E$31,MATCH($F16,Methodology!$B$26:$B$31,0),MATCH(V$5,Methodology!$B$26:$E$26,0)))</f>
        <v>0</v>
      </c>
      <c r="V16" s="261">
        <f ca="1">$S16*(1+INDEX(Methodology!$B$26:$E$31,MATCH($F16,Methodology!$B$26:$B$31,0),MATCH(V$5,Methodology!$B$26:$E$26,0)))</f>
        <v>0</v>
      </c>
      <c r="W16" s="63" cm="1">
        <f t="array" aca="1" ref="W16" ca="1">INDIRECT(""&amp;$D16&amp;"!R"&amp;W$142&amp;"C"&amp;W$143,FALSE)</f>
        <v>0</v>
      </c>
      <c r="X16" s="62" cm="1">
        <f t="array" aca="1" ref="X16" ca="1">INDIRECT(""&amp;$D16&amp;"!R"&amp;X$142&amp;"C"&amp;X$143,FALSE)</f>
        <v>0</v>
      </c>
      <c r="Y16" s="265">
        <f ca="1">$X16*(1+INDEX(Methodology!$B$26:$E$31,MATCH($F16,Methodology!$B$26:$B$31,0),MATCH(Z$5,Methodology!$B$26:$E$26,0)))</f>
        <v>0</v>
      </c>
      <c r="Z16" s="261">
        <f t="shared" ca="1" si="2"/>
        <v>0</v>
      </c>
      <c r="AA16" s="199"/>
      <c r="AB16" s="10">
        <f t="shared" ca="1" si="0"/>
        <v>999.99999999999977</v>
      </c>
      <c r="AC16" s="190" t="str">
        <f t="shared" ca="1" si="1"/>
        <v>kg/tonne</v>
      </c>
      <c r="AD16" s="213" t="str" cm="1">
        <f t="array" aca="1" ref="AD16" ca="1">IF(INDIRECT(""&amp;$D16&amp;"!R"&amp;AD$142&amp;"C"&amp;AD$143,FALSE)=0,"",INDIRECT(""&amp;$D16&amp;"!R"&amp;AD$142&amp;"C"&amp;AD$143,FALSE))</f>
        <v>Includes steel reinforcing.</v>
      </c>
      <c r="AE16" s="214" t="str" cm="1">
        <f t="array" aca="1" ref="AE16" ca="1">IFERROR(IF(INDIRECT(""&amp;$D16&amp;"!R"&amp;AE$142&amp;"C"&amp;AE$143,FALSE)="Average (weighted)","Yes","No"),"")</f>
        <v>No</v>
      </c>
      <c r="AF16" s="96"/>
    </row>
    <row r="17" spans="1:32" ht="45" customHeight="1" x14ac:dyDescent="0.25">
      <c r="A17" s="7" t="s">
        <v>3894</v>
      </c>
      <c r="B17" s="3" t="s">
        <v>3897</v>
      </c>
      <c r="C17" s="193" t="str" cm="1">
        <f t="array" aca="1" ref="C17" ca="1">INDIRECT(""&amp;$D17&amp;"!R"&amp;C$142&amp;"C"&amp;C$143,FALSE)</f>
        <v>Any precaste concrete panel i.e. wall, deck, or balcony panel.</v>
      </c>
      <c r="D17" s="2" t="s">
        <v>3896</v>
      </c>
      <c r="E17" s="7" t="str" cm="1">
        <f t="array" aca="1" ref="E17" ca="1">INDIRECT(""&amp;$D17&amp;"!R"&amp;E$142&amp;"C"&amp;E$143,FALSE)</f>
        <v>tonne</v>
      </c>
      <c r="F17" s="7" t="str" cm="1">
        <f t="array" aca="1" ref="F17" ca="1">INDIRECT(""&amp;$D17&amp;"!R"&amp;F$142&amp;"C"&amp;F$143,FALSE)</f>
        <v>Tier 4</v>
      </c>
      <c r="G17" s="188">
        <f ca="1">INDEX(Methodology!$B$26:$D$31,MATCH('EF Table_detail'!$F17,Methodology!$B$26:$B$31,0),MATCH('EF Table_detail'!$G$5,Methodology!$B$26:$D$26,0))</f>
        <v>1.2</v>
      </c>
      <c r="H17" s="237" cm="1">
        <f t="array" aca="1" ref="H17" ca="1">INDIRECT(""&amp;$D17&amp;"!R"&amp;H$142&amp;"C"&amp;H$143,FALSE)</f>
        <v>217.85472099999998</v>
      </c>
      <c r="I17" s="235" cm="1">
        <f t="array" aca="1" ref="I17" ca="1">INDIRECT(""&amp;$D17&amp;"!R"&amp;I$142&amp;"C"&amp;I$143,FALSE)</f>
        <v>183.09399999999999</v>
      </c>
      <c r="J17" s="99" cm="1">
        <f t="array" aca="1" ref="J17" ca="1">INDIRECT(""&amp;$D17&amp;"!R"&amp;J$142&amp;"C"&amp;J$143,FALSE)</f>
        <v>207.67277429999996</v>
      </c>
      <c r="K17" s="262">
        <f ca="1">$J17*(1+INDEX(Methodology!$B$26:$E$31,MATCH($F17,Methodology!$B$26:$B$31,0),MATCH(L$5,Methodology!$B$26:$E$26,0)))</f>
        <v>249.20732915999994</v>
      </c>
      <c r="L17" s="261">
        <f ca="1">$H17*(1+INDEX(Methodology!$B$26:$E$31,MATCH($F17,Methodology!$B$26:$B$31,0),MATCH(L$5,Methodology!$B$26:$E$26,0)))</f>
        <v>261.42566519999997</v>
      </c>
      <c r="M17" s="234" cm="1">
        <f t="array" aca="1" ref="M17" ca="1">INDIRECT(""&amp;$D17&amp;"!R"&amp;M$142&amp;"C"&amp;M$143,FALSE)</f>
        <v>0.21785472099999997</v>
      </c>
      <c r="N17" s="234" cm="1">
        <f t="array" aca="1" ref="N17" ca="1">INDIRECT(""&amp;$D17&amp;"!R"&amp;N$142&amp;"C"&amp;N$143,FALSE)</f>
        <v>0.18309399999999998</v>
      </c>
      <c r="O17" s="231" cm="1">
        <f t="array" aca="1" ref="O17" ca="1">INDIRECT(""&amp;$D17&amp;"!R"&amp;O$142&amp;"C"&amp;O$143,FALSE)</f>
        <v>0.2076727743</v>
      </c>
      <c r="P17" s="265">
        <f ca="1">$O17*(1+INDEX(Methodology!$B$26:$E$31,MATCH($F17,Methodology!$B$26:$B$31,0),MATCH(Q$5,Methodology!$B$26:$E$26,0)))</f>
        <v>0.24920732915999999</v>
      </c>
      <c r="Q17" s="266">
        <f ca="1">$M17*(1+INDEX(Methodology!$B$26:$E$31,MATCH($F17,Methodology!$B$26:$B$31,0),MATCH(Q$5,Methodology!$B$26:$E$26,0)))</f>
        <v>0.26142566519999993</v>
      </c>
      <c r="R17" s="199"/>
      <c r="S17" s="63" cm="1">
        <f t="array" aca="1" ref="S17" ca="1">INDIRECT(""&amp;$D17&amp;"!R"&amp;S$142&amp;"C"&amp;S$143,FALSE)</f>
        <v>0</v>
      </c>
      <c r="T17" s="62" cm="1">
        <f t="array" aca="1" ref="T17" ca="1">INDIRECT(""&amp;$D17&amp;"!R"&amp;T$142&amp;"C"&amp;T$143,FALSE)</f>
        <v>0</v>
      </c>
      <c r="U17" s="265">
        <f ca="1">$T17*(1+INDEX(Methodology!$B$26:$E$31,MATCH($F17,Methodology!$B$26:$B$31,0),MATCH(V$5,Methodology!$B$26:$E$26,0)))</f>
        <v>0</v>
      </c>
      <c r="V17" s="261">
        <f ca="1">$S17*(1+INDEX(Methodology!$B$26:$E$31,MATCH($F17,Methodology!$B$26:$B$31,0),MATCH(V$5,Methodology!$B$26:$E$26,0)))</f>
        <v>0</v>
      </c>
      <c r="W17" s="63" cm="1">
        <f t="array" aca="1" ref="W17" ca="1">INDIRECT(""&amp;$D17&amp;"!R"&amp;W$142&amp;"C"&amp;W$143,FALSE)</f>
        <v>0</v>
      </c>
      <c r="X17" s="62" cm="1">
        <f t="array" aca="1" ref="X17" ca="1">INDIRECT(""&amp;$D17&amp;"!R"&amp;X$142&amp;"C"&amp;X$143,FALSE)</f>
        <v>0</v>
      </c>
      <c r="Y17" s="265">
        <f ca="1">$X17*(1+INDEX(Methodology!$B$26:$E$31,MATCH($F17,Methodology!$B$26:$B$31,0),MATCH(Z$5,Methodology!$B$26:$E$26,0)))</f>
        <v>0</v>
      </c>
      <c r="Z17" s="261">
        <f t="shared" ca="1" si="2"/>
        <v>0</v>
      </c>
      <c r="AA17" s="199"/>
      <c r="AB17" s="10">
        <f t="shared" ca="1" si="0"/>
        <v>999.99999999999977</v>
      </c>
      <c r="AC17" s="190" t="str">
        <f t="shared" ca="1" si="1"/>
        <v>kg/tonne</v>
      </c>
      <c r="AD17" s="213" t="str" cm="1">
        <f t="array" aca="1" ref="AD17" ca="1">IF(INDIRECT(""&amp;$D17&amp;"!R"&amp;AD$142&amp;"C"&amp;AD$143,FALSE)=0,"",INDIRECT(""&amp;$D17&amp;"!R"&amp;AD$142&amp;"C"&amp;AD$143,FALSE))</f>
        <v>Includes steel reinforcing.</v>
      </c>
      <c r="AE17" s="214" t="str" cm="1">
        <f t="array" aca="1" ref="AE17" ca="1">IFERROR(IF(INDIRECT(""&amp;$D17&amp;"!R"&amp;AE$142&amp;"C"&amp;AE$143,FALSE)="Average (weighted)","Yes","No"),"")</f>
        <v>No</v>
      </c>
      <c r="AF17" s="96"/>
    </row>
    <row r="18" spans="1:32" ht="45" customHeight="1" x14ac:dyDescent="0.25">
      <c r="A18" s="7" t="s">
        <v>3894</v>
      </c>
      <c r="B18" s="3" t="s">
        <v>2209</v>
      </c>
      <c r="C18" s="193" t="str" cm="1">
        <f t="array" aca="1" ref="C18" ca="1">INDIRECT(""&amp;$D18&amp;"!R"&amp;C$142&amp;"C"&amp;C$143,FALSE)</f>
        <v>Precast hollowcore concrete slabs</v>
      </c>
      <c r="D18" s="2" t="s">
        <v>3898</v>
      </c>
      <c r="E18" s="7" t="str" cm="1">
        <f t="array" aca="1" ref="E18" ca="1">INDIRECT(""&amp;$D18&amp;"!R"&amp;E$142&amp;"C"&amp;E$143,FALSE)</f>
        <v>m³</v>
      </c>
      <c r="F18" s="7" t="str" cm="1">
        <f t="array" aca="1" ref="F18" ca="1">INDIRECT(""&amp;$D18&amp;"!R"&amp;F$142&amp;"C"&amp;F$143,FALSE)</f>
        <v>Tier 4</v>
      </c>
      <c r="G18" s="188">
        <f ca="1">INDEX(Methodology!$B$26:$D$31,MATCH('EF Table_detail'!$F18,Methodology!$B$26:$B$31,0),MATCH('EF Table_detail'!$G$5,Methodology!$B$26:$D$26,0))</f>
        <v>1.2</v>
      </c>
      <c r="H18" s="237" cm="1">
        <f t="array" aca="1" ref="H18" ca="1">INDIRECT(""&amp;$D18&amp;"!R"&amp;H$142&amp;"C"&amp;H$143,FALSE)</f>
        <v>357</v>
      </c>
      <c r="I18" s="235" cm="1">
        <f t="array" aca="1" ref="I18" ca="1">INDIRECT(""&amp;$D18&amp;"!R"&amp;I$142&amp;"C"&amp;I$143,FALSE)</f>
        <v>317</v>
      </c>
      <c r="J18" s="99" cm="1">
        <f t="array" aca="1" ref="J18" ca="1">INDIRECT(""&amp;$D18&amp;"!R"&amp;J$142&amp;"C"&amp;J$143,FALSE)</f>
        <v>338.5</v>
      </c>
      <c r="K18" s="262">
        <f ca="1">$J18*(1+INDEX(Methodology!$B$26:$E$31,MATCH($F18,Methodology!$B$26:$B$31,0),MATCH(L$5,Methodology!$B$26:$E$26,0)))</f>
        <v>406.2</v>
      </c>
      <c r="L18" s="261">
        <f ca="1">$H18*(1+INDEX(Methodology!$B$26:$E$31,MATCH($F18,Methodology!$B$26:$B$31,0),MATCH(L$5,Methodology!$B$26:$E$26,0)))</f>
        <v>428.4</v>
      </c>
      <c r="M18" s="234" cm="1">
        <f t="array" aca="1" ref="M18" ca="1">INDIRECT(""&amp;$D18&amp;"!R"&amp;M$142&amp;"C"&amp;M$143,FALSE)</f>
        <v>0.24203389830508473</v>
      </c>
      <c r="N18" s="234" cm="1">
        <f t="array" aca="1" ref="N18" ca="1">INDIRECT(""&amp;$D18&amp;"!R"&amp;N$142&amp;"C"&amp;N$143,FALSE)</f>
        <v>0.21491525423728813</v>
      </c>
      <c r="O18" s="231" cm="1">
        <f t="array" aca="1" ref="O18" ca="1">INDIRECT(""&amp;$D18&amp;"!R"&amp;O$142&amp;"C"&amp;O$143,FALSE)</f>
        <v>0.2294915254237288</v>
      </c>
      <c r="P18" s="265">
        <f ca="1">$O18*(1+INDEX(Methodology!$B$26:$E$31,MATCH($F18,Methodology!$B$26:$B$31,0),MATCH(Q$5,Methodology!$B$26:$E$26,0)))</f>
        <v>0.27538983050847454</v>
      </c>
      <c r="Q18" s="266">
        <f ca="1">$M18*(1+INDEX(Methodology!$B$26:$E$31,MATCH($F18,Methodology!$B$26:$B$31,0),MATCH(Q$5,Methodology!$B$26:$E$26,0)))</f>
        <v>0.29044067796610168</v>
      </c>
      <c r="R18" s="199"/>
      <c r="S18" s="63" cm="1">
        <f t="array" aca="1" ref="S18" ca="1">INDIRECT(""&amp;$D18&amp;"!R"&amp;S$142&amp;"C"&amp;S$143,FALSE)</f>
        <v>0</v>
      </c>
      <c r="T18" s="62" cm="1">
        <f t="array" aca="1" ref="T18" ca="1">INDIRECT(""&amp;$D18&amp;"!R"&amp;T$142&amp;"C"&amp;T$143,FALSE)</f>
        <v>0</v>
      </c>
      <c r="U18" s="265">
        <f ca="1">$T18*(1+INDEX(Methodology!$B$26:$E$31,MATCH($F18,Methodology!$B$26:$B$31,0),MATCH(V$5,Methodology!$B$26:$E$26,0)))</f>
        <v>0</v>
      </c>
      <c r="V18" s="261">
        <f ca="1">$S18*(1+INDEX(Methodology!$B$26:$E$31,MATCH($F18,Methodology!$B$26:$B$31,0),MATCH(V$5,Methodology!$B$26:$E$26,0)))</f>
        <v>0</v>
      </c>
      <c r="W18" s="63" cm="1">
        <f t="array" aca="1" ref="W18" ca="1">INDIRECT(""&amp;$D18&amp;"!R"&amp;W$142&amp;"C"&amp;W$143,FALSE)</f>
        <v>0</v>
      </c>
      <c r="X18" s="62" cm="1">
        <f t="array" aca="1" ref="X18" ca="1">INDIRECT(""&amp;$D18&amp;"!R"&amp;X$142&amp;"C"&amp;X$143,FALSE)</f>
        <v>0</v>
      </c>
      <c r="Y18" s="265">
        <f ca="1">$X18*(1+INDEX(Methodology!$B$26:$E$31,MATCH($F18,Methodology!$B$26:$B$31,0),MATCH(Z$5,Methodology!$B$26:$E$26,0)))</f>
        <v>0</v>
      </c>
      <c r="Z18" s="261">
        <f t="shared" ca="1" si="2"/>
        <v>0</v>
      </c>
      <c r="AA18" s="199"/>
      <c r="AB18" s="10">
        <f t="shared" ca="1" si="0"/>
        <v>1475</v>
      </c>
      <c r="AC18" s="190" t="str">
        <f t="shared" ca="1" si="1"/>
        <v>kg/m³</v>
      </c>
      <c r="AD18" s="213" t="str" cm="1">
        <f t="array" aca="1" ref="AD18" ca="1">IF(INDIRECT(""&amp;$D18&amp;"!R"&amp;AD$142&amp;"C"&amp;AD$143,FALSE)=0,"",INDIRECT(""&amp;$D18&amp;"!R"&amp;AD$142&amp;"C"&amp;AD$143,FALSE))</f>
        <v>Declared unit is per cubic meters of slab including hollows/voids</v>
      </c>
      <c r="AE18" s="214" t="str" cm="1">
        <f t="array" aca="1" ref="AE18" ca="1">IFERROR(IF(INDIRECT(""&amp;$D18&amp;"!R"&amp;AE$142&amp;"C"&amp;AE$143,FALSE)="Average (weighted)","Yes","No"),"")</f>
        <v>No</v>
      </c>
      <c r="AF18" s="96"/>
    </row>
    <row r="19" spans="1:32" ht="45" customHeight="1" x14ac:dyDescent="0.25">
      <c r="A19" s="7" t="s">
        <v>3899</v>
      </c>
      <c r="B19" s="3" t="s">
        <v>3899</v>
      </c>
      <c r="C19" s="193" t="str" cm="1">
        <f t="array" aca="1" ref="C19" ca="1">INDIRECT(""&amp;$D19&amp;"!R"&amp;C$142&amp;"C"&amp;C$143,FALSE)</f>
        <v>Concrete brick or block i.e. cinder block or concrete finishing brick used in masonry. Not including any core fill material or reinforcing.</v>
      </c>
      <c r="D19" s="2" t="s">
        <v>3900</v>
      </c>
      <c r="E19" s="7" t="str" cm="1">
        <f t="array" aca="1" ref="E19" ca="1">INDIRECT(""&amp;$D19&amp;"!R"&amp;E$142&amp;"C"&amp;E$143,FALSE)</f>
        <v>tonne</v>
      </c>
      <c r="F19" s="7" t="str" cm="1">
        <f t="array" aca="1" ref="F19" ca="1">INDIRECT(""&amp;$D19&amp;"!R"&amp;F$142&amp;"C"&amp;F$143,FALSE)</f>
        <v>Tier 3</v>
      </c>
      <c r="G19" s="188">
        <f ca="1">INDEX(Methodology!$B$26:$D$31,MATCH('EF Table_detail'!$F19,Methodology!$B$26:$B$31,0),MATCH('EF Table_detail'!$G$5,Methodology!$B$26:$D$26,0))</f>
        <v>1.1000000000000001</v>
      </c>
      <c r="H19" s="237" cm="1">
        <f t="array" aca="1" ref="H19" ca="1">INDIRECT(""&amp;$D19&amp;"!R"&amp;H$142&amp;"C"&amp;H$143,FALSE)</f>
        <v>240.39</v>
      </c>
      <c r="I19" s="235" cm="1">
        <f t="array" aca="1" ref="I19" ca="1">INDIRECT(""&amp;$D19&amp;"!R"&amp;I$142&amp;"C"&amp;I$143,FALSE)</f>
        <v>111.67</v>
      </c>
      <c r="J19" s="99" cm="1">
        <f t="array" aca="1" ref="J19" ca="1">INDIRECT(""&amp;$D19&amp;"!R"&amp;J$142&amp;"C"&amp;J$143,FALSE)</f>
        <v>158.68923076923076</v>
      </c>
      <c r="K19" s="262">
        <f ca="1">$J19*(1+INDEX(Methodology!$B$26:$E$31,MATCH($F19,Methodology!$B$26:$B$31,0),MATCH(L$5,Methodology!$B$26:$E$26,0)))</f>
        <v>174.55815384615386</v>
      </c>
      <c r="L19" s="261">
        <f ca="1">$H19*(1+INDEX(Methodology!$B$26:$E$31,MATCH($F19,Methodology!$B$26:$B$31,0),MATCH(L$5,Methodology!$B$26:$E$26,0)))</f>
        <v>264.42900000000003</v>
      </c>
      <c r="M19" s="234" cm="1">
        <f t="array" aca="1" ref="M19" ca="1">INDIRECT(""&amp;$D19&amp;"!R"&amp;M$142&amp;"C"&amp;M$143,FALSE)</f>
        <v>0.24038999999999999</v>
      </c>
      <c r="N19" s="234" cm="1">
        <f t="array" aca="1" ref="N19" ca="1">INDIRECT(""&amp;$D19&amp;"!R"&amp;N$142&amp;"C"&amp;N$143,FALSE)</f>
        <v>0.11167000000000001</v>
      </c>
      <c r="O19" s="231" cm="1">
        <f t="array" aca="1" ref="O19" ca="1">INDIRECT(""&amp;$D19&amp;"!R"&amp;O$142&amp;"C"&amp;O$143,FALSE)</f>
        <v>0.1586892307692308</v>
      </c>
      <c r="P19" s="265">
        <f ca="1">$O19*(1+INDEX(Methodology!$B$26:$E$31,MATCH($F19,Methodology!$B$26:$B$31,0),MATCH(Q$5,Methodology!$B$26:$E$26,0)))</f>
        <v>0.17455815384615389</v>
      </c>
      <c r="Q19" s="266">
        <f ca="1">$M19*(1+INDEX(Methodology!$B$26:$E$31,MATCH($F19,Methodology!$B$26:$B$31,0),MATCH(Q$5,Methodology!$B$26:$E$26,0)))</f>
        <v>0.26442900000000003</v>
      </c>
      <c r="R19" s="199"/>
      <c r="S19" s="63" cm="1">
        <f t="array" aca="1" ref="S19" ca="1">INDIRECT(""&amp;$D19&amp;"!R"&amp;S$142&amp;"C"&amp;S$143,FALSE)</f>
        <v>0</v>
      </c>
      <c r="T19" s="62" cm="1">
        <f t="array" aca="1" ref="T19" ca="1">INDIRECT(""&amp;$D19&amp;"!R"&amp;T$142&amp;"C"&amp;T$143,FALSE)</f>
        <v>0</v>
      </c>
      <c r="U19" s="265">
        <f ca="1">$T19*(1+INDEX(Methodology!$B$26:$E$31,MATCH($F19,Methodology!$B$26:$B$31,0),MATCH(V$5,Methodology!$B$26:$E$26,0)))</f>
        <v>0</v>
      </c>
      <c r="V19" s="261">
        <f ca="1">$S19*(1+INDEX(Methodology!$B$26:$E$31,MATCH($F19,Methodology!$B$26:$B$31,0),MATCH(V$5,Methodology!$B$26:$E$26,0)))</f>
        <v>0</v>
      </c>
      <c r="W19" s="63" cm="1">
        <f t="array" aca="1" ref="W19" ca="1">INDIRECT(""&amp;$D19&amp;"!R"&amp;W$142&amp;"C"&amp;W$143,FALSE)</f>
        <v>0</v>
      </c>
      <c r="X19" s="62" cm="1">
        <f t="array" aca="1" ref="X19" ca="1">INDIRECT(""&amp;$D19&amp;"!R"&amp;X$142&amp;"C"&amp;X$143,FALSE)</f>
        <v>0</v>
      </c>
      <c r="Y19" s="265">
        <f ca="1">$X19*(1+INDEX(Methodology!$B$26:$E$31,MATCH($F19,Methodology!$B$26:$B$31,0),MATCH(Z$5,Methodology!$B$26:$E$26,0)))</f>
        <v>0</v>
      </c>
      <c r="Z19" s="261">
        <f t="shared" ca="1" si="2"/>
        <v>0</v>
      </c>
      <c r="AA19" s="199"/>
      <c r="AB19" s="10">
        <f t="shared" ca="1" si="0"/>
        <v>999.99999999999977</v>
      </c>
      <c r="AC19" s="190" t="str">
        <f t="shared" ca="1" si="1"/>
        <v>kg/tonne</v>
      </c>
      <c r="AD19" s="213" t="str" cm="1">
        <f t="array" aca="1" ref="AD19" ca="1">IF(INDIRECT(""&amp;$D19&amp;"!R"&amp;AD$142&amp;"C"&amp;AD$143,FALSE)=0,"",INDIRECT(""&amp;$D19&amp;"!R"&amp;AD$142&amp;"C"&amp;AD$143,FALSE))</f>
        <v>Not including any core fill material or reinforcing.</v>
      </c>
      <c r="AE19" s="214" t="str" cm="1">
        <f t="array" aca="1" ref="AE19" ca="1">IFERROR(IF(INDIRECT(""&amp;$D19&amp;"!R"&amp;AE$142&amp;"C"&amp;AE$143,FALSE)="Average (weighted)","Yes","No"),"")</f>
        <v>No</v>
      </c>
      <c r="AF19" s="96"/>
    </row>
    <row r="20" spans="1:32" ht="45" customHeight="1" x14ac:dyDescent="0.25">
      <c r="A20" s="7" t="s">
        <v>3901</v>
      </c>
      <c r="B20" s="3" t="s">
        <v>3901</v>
      </c>
      <c r="C20" s="193" t="str" cm="1">
        <f t="array" aca="1" ref="C20" ca="1">INDIRECT(""&amp;$D20&amp;"!R"&amp;C$142&amp;"C"&amp;C$143,FALSE)</f>
        <v>Concrete brick or block i.e. cinder block or concrete finishing brick used in masonry. Not including any core fill material or reinforcing.</v>
      </c>
      <c r="D20" s="2" t="s">
        <v>3900</v>
      </c>
      <c r="E20" s="7" t="str" cm="1">
        <f t="array" aca="1" ref="E20" ca="1">INDIRECT(""&amp;$D20&amp;"!R"&amp;E$142&amp;"C"&amp;E$143,FALSE)</f>
        <v>tonne</v>
      </c>
      <c r="F20" s="7" t="str" cm="1">
        <f t="array" aca="1" ref="F20" ca="1">INDIRECT(""&amp;$D20&amp;"!R"&amp;F$142&amp;"C"&amp;F$143,FALSE)</f>
        <v>Tier 3</v>
      </c>
      <c r="G20" s="188">
        <f ca="1">INDEX(Methodology!$B$26:$D$31,MATCH('EF Table_detail'!$F20,Methodology!$B$26:$B$31,0),MATCH('EF Table_detail'!$G$5,Methodology!$B$26:$D$26,0))</f>
        <v>1.1000000000000001</v>
      </c>
      <c r="H20" s="237" cm="1">
        <f t="array" aca="1" ref="H20" ca="1">INDIRECT(""&amp;$D20&amp;"!R"&amp;H$142&amp;"C"&amp;H$143,FALSE)</f>
        <v>240.39</v>
      </c>
      <c r="I20" s="235" cm="1">
        <f t="array" aca="1" ref="I20" ca="1">INDIRECT(""&amp;$D20&amp;"!R"&amp;I$142&amp;"C"&amp;I$143,FALSE)</f>
        <v>111.67</v>
      </c>
      <c r="J20" s="99" cm="1">
        <f t="array" aca="1" ref="J20" ca="1">INDIRECT(""&amp;$D20&amp;"!R"&amp;J$142&amp;"C"&amp;J$143,FALSE)</f>
        <v>158.68923076923076</v>
      </c>
      <c r="K20" s="262">
        <f ca="1">$J20*(1+INDEX(Methodology!$B$26:$E$31,MATCH($F20,Methodology!$B$26:$B$31,0),MATCH(L$5,Methodology!$B$26:$E$26,0)))</f>
        <v>174.55815384615386</v>
      </c>
      <c r="L20" s="261">
        <f ca="1">$H20*(1+INDEX(Methodology!$B$26:$E$31,MATCH($F20,Methodology!$B$26:$B$31,0),MATCH(L$5,Methodology!$B$26:$E$26,0)))</f>
        <v>264.42900000000003</v>
      </c>
      <c r="M20" s="234" cm="1">
        <f t="array" aca="1" ref="M20" ca="1">INDIRECT(""&amp;$D20&amp;"!R"&amp;M$142&amp;"C"&amp;M$143,FALSE)</f>
        <v>0.24038999999999999</v>
      </c>
      <c r="N20" s="234" cm="1">
        <f t="array" aca="1" ref="N20" ca="1">INDIRECT(""&amp;$D20&amp;"!R"&amp;N$142&amp;"C"&amp;N$143,FALSE)</f>
        <v>0.11167000000000001</v>
      </c>
      <c r="O20" s="231" cm="1">
        <f t="array" aca="1" ref="O20" ca="1">INDIRECT(""&amp;$D20&amp;"!R"&amp;O$142&amp;"C"&amp;O$143,FALSE)</f>
        <v>0.1586892307692308</v>
      </c>
      <c r="P20" s="265">
        <f ca="1">$O20*(1+INDEX(Methodology!$B$26:$E$31,MATCH($F20,Methodology!$B$26:$B$31,0),MATCH(Q$5,Methodology!$B$26:$E$26,0)))</f>
        <v>0.17455815384615389</v>
      </c>
      <c r="Q20" s="266">
        <f ca="1">$M20*(1+INDEX(Methodology!$B$26:$E$31,MATCH($F20,Methodology!$B$26:$B$31,0),MATCH(Q$5,Methodology!$B$26:$E$26,0)))</f>
        <v>0.26442900000000003</v>
      </c>
      <c r="R20" s="199"/>
      <c r="S20" s="63" cm="1">
        <f t="array" aca="1" ref="S20" ca="1">INDIRECT(""&amp;$D20&amp;"!R"&amp;S$142&amp;"C"&amp;S$143,FALSE)</f>
        <v>0</v>
      </c>
      <c r="T20" s="62" cm="1">
        <f t="array" aca="1" ref="T20" ca="1">INDIRECT(""&amp;$D20&amp;"!R"&amp;T$142&amp;"C"&amp;T$143,FALSE)</f>
        <v>0</v>
      </c>
      <c r="U20" s="265">
        <f ca="1">$T20*(1+INDEX(Methodology!$B$26:$E$31,MATCH($F20,Methodology!$B$26:$B$31,0),MATCH(V$5,Methodology!$B$26:$E$26,0)))</f>
        <v>0</v>
      </c>
      <c r="V20" s="261">
        <f ca="1">$S20*(1+INDEX(Methodology!$B$26:$E$31,MATCH($F20,Methodology!$B$26:$B$31,0),MATCH(V$5,Methodology!$B$26:$E$26,0)))</f>
        <v>0</v>
      </c>
      <c r="W20" s="63" cm="1">
        <f t="array" aca="1" ref="W20" ca="1">INDIRECT(""&amp;$D20&amp;"!R"&amp;W$142&amp;"C"&amp;W$143,FALSE)</f>
        <v>0</v>
      </c>
      <c r="X20" s="62" cm="1">
        <f t="array" aca="1" ref="X20" ca="1">INDIRECT(""&amp;$D20&amp;"!R"&amp;X$142&amp;"C"&amp;X$143,FALSE)</f>
        <v>0</v>
      </c>
      <c r="Y20" s="265">
        <f ca="1">$X20*(1+INDEX(Methodology!$B$26:$E$31,MATCH($F20,Methodology!$B$26:$B$31,0),MATCH(Z$5,Methodology!$B$26:$E$26,0)))</f>
        <v>0</v>
      </c>
      <c r="Z20" s="261">
        <f t="shared" ca="1" si="2"/>
        <v>0</v>
      </c>
      <c r="AA20" s="199"/>
      <c r="AB20" s="10">
        <f t="shared" ca="1" si="0"/>
        <v>999.99999999999977</v>
      </c>
      <c r="AC20" s="190" t="str">
        <f t="shared" ca="1" si="1"/>
        <v>kg/tonne</v>
      </c>
      <c r="AD20" s="213" t="str" cm="1">
        <f t="array" aca="1" ref="AD20" ca="1">IF(INDIRECT(""&amp;$D20&amp;"!R"&amp;AD$142&amp;"C"&amp;AD$143,FALSE)=0,"",INDIRECT(""&amp;$D20&amp;"!R"&amp;AD$142&amp;"C"&amp;AD$143,FALSE))</f>
        <v>Not including any core fill material or reinforcing.</v>
      </c>
      <c r="AE20" s="214" t="str" cm="1">
        <f t="array" aca="1" ref="AE20" ca="1">IFERROR(IF(INDIRECT(""&amp;$D20&amp;"!R"&amp;AE$142&amp;"C"&amp;AE$143,FALSE)="Average (weighted)","Yes","No"),"")</f>
        <v>No</v>
      </c>
      <c r="AF20" s="96"/>
    </row>
    <row r="21" spans="1:32" ht="45" customHeight="1" x14ac:dyDescent="0.25">
      <c r="A21" s="7" t="s">
        <v>3902</v>
      </c>
      <c r="B21" s="3" t="s">
        <v>570</v>
      </c>
      <c r="C21" s="193" t="str" cm="1">
        <f t="array" aca="1" ref="C21" ca="1">INDIRECT(""&amp;$D21&amp;"!R"&amp;C$142&amp;"C"&amp;C$143,FALSE)</f>
        <v>Autoclaved Aerated Concrete (AAC) blocks/bricks</v>
      </c>
      <c r="D21" s="2" t="s">
        <v>3903</v>
      </c>
      <c r="E21" s="7" t="str" cm="1">
        <f t="array" aca="1" ref="E21" ca="1">INDIRECT(""&amp;$D21&amp;"!R"&amp;E$142&amp;"C"&amp;E$143,FALSE)</f>
        <v>m³</v>
      </c>
      <c r="F21" s="7" t="str" cm="1">
        <f t="array" aca="1" ref="F21" ca="1">INDIRECT(""&amp;$D21&amp;"!R"&amp;F$142&amp;"C"&amp;F$143,FALSE)</f>
        <v>Tier 4</v>
      </c>
      <c r="G21" s="188">
        <f ca="1">INDEX(Methodology!$B$26:$D$31,MATCH('EF Table_detail'!$F21,Methodology!$B$26:$B$31,0),MATCH('EF Table_detail'!$G$5,Methodology!$B$26:$D$26,0))</f>
        <v>1.2</v>
      </c>
      <c r="H21" s="237" cm="1">
        <f t="array" aca="1" ref="H21" ca="1">INDIRECT(""&amp;$D21&amp;"!R"&amp;H$142&amp;"C"&amp;H$143,FALSE)</f>
        <v>232</v>
      </c>
      <c r="I21" s="235" cm="1">
        <f t="array" aca="1" ref="I21" ca="1">INDIRECT(""&amp;$D21&amp;"!R"&amp;I$142&amp;"C"&amp;I$143,FALSE)</f>
        <v>150.24699999999999</v>
      </c>
      <c r="J21" s="99" cm="1">
        <f t="array" aca="1" ref="J21" ca="1">INDIRECT(""&amp;$D21&amp;"!R"&amp;J$142&amp;"C"&amp;J$143,FALSE)</f>
        <v>190.06174999999999</v>
      </c>
      <c r="K21" s="262">
        <f ca="1">$J21*(1+INDEX(Methodology!$B$26:$E$31,MATCH($F21,Methodology!$B$26:$B$31,0),MATCH(L$5,Methodology!$B$26:$E$26,0)))</f>
        <v>228.07409999999999</v>
      </c>
      <c r="L21" s="261">
        <f ca="1">$H21*(1+INDEX(Methodology!$B$26:$E$31,MATCH($F21,Methodology!$B$26:$B$31,0),MATCH(L$5,Methodology!$B$26:$E$26,0)))</f>
        <v>278.39999999999998</v>
      </c>
      <c r="M21" s="234" cm="1">
        <f t="array" aca="1" ref="M21" ca="1">INDIRECT(""&amp;$D21&amp;"!R"&amp;M$142&amp;"C"&amp;M$143,FALSE)</f>
        <v>0.60333333333333339</v>
      </c>
      <c r="N21" s="234" cm="1">
        <f t="array" aca="1" ref="N21" ca="1">INDIRECT(""&amp;$D21&amp;"!R"&amp;N$142&amp;"C"&amp;N$143,FALSE)</f>
        <v>0.33388222222222219</v>
      </c>
      <c r="O21" s="231" cm="1">
        <f t="array" aca="1" ref="O21" ca="1">INDIRECT(""&amp;$D21&amp;"!R"&amp;O$142&amp;"C"&amp;O$143,FALSE)</f>
        <v>0.43690805555555556</v>
      </c>
      <c r="P21" s="265">
        <f ca="1">$O21*(1+INDEX(Methodology!$B$26:$E$31,MATCH($F21,Methodology!$B$26:$B$31,0),MATCH(Q$5,Methodology!$B$26:$E$26,0)))</f>
        <v>0.52428966666666665</v>
      </c>
      <c r="Q21" s="266">
        <f ca="1">$M21*(1+INDEX(Methodology!$B$26:$E$31,MATCH($F21,Methodology!$B$26:$B$31,0),MATCH(Q$5,Methodology!$B$26:$E$26,0)))</f>
        <v>0.72400000000000009</v>
      </c>
      <c r="R21" s="199"/>
      <c r="S21" s="63" cm="1">
        <f t="array" aca="1" ref="S21" ca="1">INDIRECT(""&amp;$D21&amp;"!R"&amp;S$142&amp;"C"&amp;S$143,FALSE)</f>
        <v>0</v>
      </c>
      <c r="T21" s="62" cm="1">
        <f t="array" aca="1" ref="T21" ca="1">INDIRECT(""&amp;$D21&amp;"!R"&amp;T$142&amp;"C"&amp;T$143,FALSE)</f>
        <v>0</v>
      </c>
      <c r="U21" s="265">
        <f ca="1">$T21*(1+INDEX(Methodology!$B$26:$E$31,MATCH($F21,Methodology!$B$26:$B$31,0),MATCH(V$5,Methodology!$B$26:$E$26,0)))</f>
        <v>0</v>
      </c>
      <c r="V21" s="261">
        <f ca="1">$S21*(1+INDEX(Methodology!$B$26:$E$31,MATCH($F21,Methodology!$B$26:$B$31,0),MATCH(V$5,Methodology!$B$26:$E$26,0)))</f>
        <v>0</v>
      </c>
      <c r="W21" s="63" cm="1">
        <f t="array" aca="1" ref="W21" ca="1">INDIRECT(""&amp;$D21&amp;"!R"&amp;W$142&amp;"C"&amp;W$143,FALSE)</f>
        <v>0</v>
      </c>
      <c r="X21" s="62" cm="1">
        <f t="array" aca="1" ref="X21" ca="1">INDIRECT(""&amp;$D21&amp;"!R"&amp;X$142&amp;"C"&amp;X$143,FALSE)</f>
        <v>0</v>
      </c>
      <c r="Y21" s="265">
        <f ca="1">$X21*(1+INDEX(Methodology!$B$26:$E$31,MATCH($F21,Methodology!$B$26:$B$31,0),MATCH(Z$5,Methodology!$B$26:$E$26,0)))</f>
        <v>0</v>
      </c>
      <c r="Z21" s="261">
        <f t="shared" ca="1" si="2"/>
        <v>0</v>
      </c>
      <c r="AA21" s="199"/>
      <c r="AB21" s="10">
        <f t="shared" ca="1" si="0"/>
        <v>435.01543993810037</v>
      </c>
      <c r="AC21" s="190" t="str">
        <f t="shared" ca="1" si="1"/>
        <v>kg/m³</v>
      </c>
      <c r="AD21" s="213" t="str" cm="1">
        <f t="array" aca="1" ref="AD21" ca="1">IF(INDIRECT(""&amp;$D21&amp;"!R"&amp;AD$142&amp;"C"&amp;AD$143,FALSE)=0,"",INDIRECT(""&amp;$D21&amp;"!R"&amp;AD$142&amp;"C"&amp;AD$143,FALSE))</f>
        <v/>
      </c>
      <c r="AE21" s="214" t="str" cm="1">
        <f t="array" aca="1" ref="AE21" ca="1">IFERROR(IF(INDIRECT(""&amp;$D21&amp;"!R"&amp;AE$142&amp;"C"&amp;AE$143,FALSE)="Average (weighted)","Yes","No"),"")</f>
        <v>No</v>
      </c>
      <c r="AF21" s="96"/>
    </row>
    <row r="22" spans="1:32" ht="45" customHeight="1" x14ac:dyDescent="0.25">
      <c r="A22" s="7" t="s">
        <v>3904</v>
      </c>
      <c r="B22" s="3" t="s">
        <v>3905</v>
      </c>
      <c r="C22" s="193" t="str" cm="1">
        <f t="array" aca="1" ref="C22" ca="1">INDIRECT(""&amp;$D22&amp;"!R"&amp;C$142&amp;"C"&amp;C$143,FALSE)</f>
        <v>Steel used to reinforce concrete structures (bar, mesh, cages, fibre, strand etc.)</v>
      </c>
      <c r="D22" s="2" t="s">
        <v>3906</v>
      </c>
      <c r="E22" s="7" t="str" cm="1">
        <f t="array" aca="1" ref="E22" ca="1">INDIRECT(""&amp;$D22&amp;"!R"&amp;E$142&amp;"C"&amp;E$143,FALSE)</f>
        <v>tonne</v>
      </c>
      <c r="F22" s="7" t="str" cm="1">
        <f t="array" aca="1" ref="F22" ca="1">INDIRECT(""&amp;$D22&amp;"!R"&amp;F$142&amp;"C"&amp;F$143,FALSE)</f>
        <v>Tier 2</v>
      </c>
      <c r="G22" s="188">
        <f ca="1">INDEX(Methodology!$B$26:$D$31,MATCH('EF Table_detail'!$F22,Methodology!$B$26:$B$31,0),MATCH('EF Table_detail'!$G$5,Methodology!$B$26:$D$26,0))</f>
        <v>1.05</v>
      </c>
      <c r="H22" s="237" cm="1">
        <f t="array" aca="1" ref="H22" ca="1">INDIRECT(""&amp;$D22&amp;"!R"&amp;H$142&amp;"C"&amp;H$143,FALSE)</f>
        <v>3480.3890000000001</v>
      </c>
      <c r="I22" s="235" cm="1">
        <f t="array" aca="1" ref="I22" ca="1">INDIRECT(""&amp;$D22&amp;"!R"&amp;I$142&amp;"C"&amp;I$143,FALSE)</f>
        <v>309</v>
      </c>
      <c r="J22" s="99" cm="1">
        <f t="array" aca="1" ref="J22" ca="1">INDIRECT(""&amp;$D22&amp;"!R"&amp;J$142&amp;"C"&amp;J$143,FALSE)</f>
        <v>1747.296896115628</v>
      </c>
      <c r="K22" s="262">
        <f ca="1">$J22*(1+INDEX(Methodology!$B$26:$E$31,MATCH($F22,Methodology!$B$26:$B$31,0),MATCH(L$5,Methodology!$B$26:$E$26,0)))</f>
        <v>1834.6617409214095</v>
      </c>
      <c r="L22" s="261">
        <f ca="1">$H22*(1+INDEX(Methodology!$B$26:$E$31,MATCH($F22,Methodology!$B$26:$B$31,0),MATCH(L$5,Methodology!$B$26:$E$26,0)))</f>
        <v>3654.4084500000004</v>
      </c>
      <c r="M22" s="234" cm="1">
        <f t="array" aca="1" ref="M22" ca="1">INDIRECT(""&amp;$D22&amp;"!R"&amp;M$142&amp;"C"&amp;M$143,FALSE)</f>
        <v>3.4803890000000002</v>
      </c>
      <c r="N22" s="234" cm="1">
        <f t="array" aca="1" ref="N22" ca="1">INDIRECT(""&amp;$D22&amp;"!R"&amp;N$142&amp;"C"&amp;N$143,FALSE)</f>
        <v>0.309</v>
      </c>
      <c r="O22" s="231" cm="1">
        <f t="array" aca="1" ref="O22" ca="1">INDIRECT(""&amp;$D22&amp;"!R"&amp;O$142&amp;"C"&amp;O$143,FALSE)</f>
        <v>1.7472968961156279</v>
      </c>
      <c r="P22" s="265">
        <f ca="1">$O22*(1+INDEX(Methodology!$B$26:$E$31,MATCH($F22,Methodology!$B$26:$B$31,0),MATCH(Q$5,Methodology!$B$26:$E$26,0)))</f>
        <v>1.8346617409214094</v>
      </c>
      <c r="Q22" s="266">
        <f ca="1">$M22*(1+INDEX(Methodology!$B$26:$E$31,MATCH($F22,Methodology!$B$26:$B$31,0),MATCH(Q$5,Methodology!$B$26:$E$26,0)))</f>
        <v>3.6544084500000005</v>
      </c>
      <c r="R22" s="199"/>
      <c r="S22" s="63" cm="1">
        <f t="array" aca="1" ref="S22" ca="1">INDIRECT(""&amp;$D22&amp;"!R"&amp;S$142&amp;"C"&amp;S$143,FALSE)</f>
        <v>0</v>
      </c>
      <c r="T22" s="62" cm="1">
        <f t="array" aca="1" ref="T22" ca="1">INDIRECT(""&amp;$D22&amp;"!R"&amp;T$142&amp;"C"&amp;T$143,FALSE)</f>
        <v>0</v>
      </c>
      <c r="U22" s="265">
        <f ca="1">$T22*(1+INDEX(Methodology!$B$26:$E$31,MATCH($F22,Methodology!$B$26:$B$31,0),MATCH(V$5,Methodology!$B$26:$E$26,0)))</f>
        <v>0</v>
      </c>
      <c r="V22" s="261">
        <f ca="1">$S22*(1+INDEX(Methodology!$B$26:$E$31,MATCH($F22,Methodology!$B$26:$B$31,0),MATCH(V$5,Methodology!$B$26:$E$26,0)))</f>
        <v>0</v>
      </c>
      <c r="W22" s="63" cm="1">
        <f t="array" aca="1" ref="W22" ca="1">INDIRECT(""&amp;$D22&amp;"!R"&amp;W$142&amp;"C"&amp;W$143,FALSE)</f>
        <v>0</v>
      </c>
      <c r="X22" s="62" cm="1">
        <f t="array" aca="1" ref="X22" ca="1">INDIRECT(""&amp;$D22&amp;"!R"&amp;X$142&amp;"C"&amp;X$143,FALSE)</f>
        <v>0</v>
      </c>
      <c r="Y22" s="265">
        <f ca="1">$X22*(1+INDEX(Methodology!$B$26:$E$31,MATCH($F22,Methodology!$B$26:$B$31,0),MATCH(Z$5,Methodology!$B$26:$E$26,0)))</f>
        <v>0</v>
      </c>
      <c r="Z22" s="261">
        <f t="shared" ca="1" si="2"/>
        <v>0</v>
      </c>
      <c r="AA22" s="199"/>
      <c r="AB22" s="10">
        <f t="shared" ca="1" si="0"/>
        <v>1000.0000000000001</v>
      </c>
      <c r="AC22" s="190" t="str">
        <f t="shared" ca="1" si="1"/>
        <v>kg/tonne</v>
      </c>
      <c r="AD22" s="213" t="str" cm="1">
        <f t="array" aca="1" ref="AD22" ca="1">IF(INDIRECT(""&amp;$D22&amp;"!R"&amp;AD$142&amp;"C"&amp;AD$143,FALSE)=0,"",INDIRECT(""&amp;$D22&amp;"!R"&amp;AD$142&amp;"C"&amp;AD$143,FALSE))</f>
        <v/>
      </c>
      <c r="AE22" s="214" t="str" cm="1">
        <f t="array" aca="1" ref="AE22" ca="1">IFERROR(IF(INDIRECT(""&amp;$D22&amp;"!R"&amp;AE$142&amp;"C"&amp;AE$143,FALSE)="Average (weighted)","Yes","No"),"")</f>
        <v>Yes</v>
      </c>
      <c r="AF22" s="96"/>
    </row>
    <row r="23" spans="1:32" ht="57" customHeight="1" x14ac:dyDescent="0.25">
      <c r="A23" s="7" t="s">
        <v>3904</v>
      </c>
      <c r="B23" s="3" t="s">
        <v>3907</v>
      </c>
      <c r="C23" s="193" t="str" cm="1">
        <f t="array" aca="1" ref="C23" ca="1">INDIRECT(""&amp;$D23&amp;"!R"&amp;C$142&amp;"C"&amp;C$143,FALSE)</f>
        <v>Steel used to reinforce concrete structures (bar, mesh, cages, fibre, strand etc.)</v>
      </c>
      <c r="D23" s="2" t="s">
        <v>3906</v>
      </c>
      <c r="E23" s="7" t="str" cm="1">
        <f t="array" aca="1" ref="E23" ca="1">INDIRECT(""&amp;$D23&amp;"!R"&amp;E$142&amp;"C"&amp;E$143,FALSE)</f>
        <v>tonne</v>
      </c>
      <c r="F23" s="7" t="str" cm="1">
        <f t="array" aca="1" ref="F23" ca="1">INDIRECT(""&amp;$D23&amp;"!R"&amp;F$142&amp;"C"&amp;F$143,FALSE)</f>
        <v>Tier 2</v>
      </c>
      <c r="G23" s="188">
        <f ca="1">INDEX(Methodology!$B$26:$D$31,MATCH('EF Table_detail'!$F23,Methodology!$B$26:$B$31,0),MATCH('EF Table_detail'!$G$5,Methodology!$B$26:$D$26,0))</f>
        <v>1.05</v>
      </c>
      <c r="H23" s="237" cm="1">
        <f t="array" aca="1" ref="H23" ca="1">INDIRECT(""&amp;$D23&amp;"!R"&amp;H$142&amp;"C"&amp;H$143,FALSE)</f>
        <v>3480.3890000000001</v>
      </c>
      <c r="I23" s="235" cm="1">
        <f t="array" aca="1" ref="I23" ca="1">INDIRECT(""&amp;$D23&amp;"!R"&amp;I$142&amp;"C"&amp;I$143,FALSE)</f>
        <v>309</v>
      </c>
      <c r="J23" s="99" cm="1">
        <f t="array" aca="1" ref="J23" ca="1">INDIRECT(""&amp;$D23&amp;"!R"&amp;J$142&amp;"C"&amp;J$143,FALSE)</f>
        <v>1747.296896115628</v>
      </c>
      <c r="K23" s="262">
        <f ca="1">$J23*(1+INDEX(Methodology!$B$26:$E$31,MATCH($F23,Methodology!$B$26:$B$31,0),MATCH(L$5,Methodology!$B$26:$E$26,0)))</f>
        <v>1834.6617409214095</v>
      </c>
      <c r="L23" s="261">
        <f ca="1">$H23*(1+INDEX(Methodology!$B$26:$E$31,MATCH($F23,Methodology!$B$26:$B$31,0),MATCH(L$5,Methodology!$B$26:$E$26,0)))</f>
        <v>3654.4084500000004</v>
      </c>
      <c r="M23" s="234" cm="1">
        <f t="array" aca="1" ref="M23" ca="1">INDIRECT(""&amp;$D23&amp;"!R"&amp;M$142&amp;"C"&amp;M$143,FALSE)</f>
        <v>3.4803890000000002</v>
      </c>
      <c r="N23" s="234" cm="1">
        <f t="array" aca="1" ref="N23" ca="1">INDIRECT(""&amp;$D23&amp;"!R"&amp;N$142&amp;"C"&amp;N$143,FALSE)</f>
        <v>0.309</v>
      </c>
      <c r="O23" s="231" cm="1">
        <f t="array" aca="1" ref="O23" ca="1">INDIRECT(""&amp;$D23&amp;"!R"&amp;O$142&amp;"C"&amp;O$143,FALSE)</f>
        <v>1.7472968961156279</v>
      </c>
      <c r="P23" s="265">
        <f ca="1">$O23*(1+INDEX(Methodology!$B$26:$E$31,MATCH($F23,Methodology!$B$26:$B$31,0),MATCH(Q$5,Methodology!$B$26:$E$26,0)))</f>
        <v>1.8346617409214094</v>
      </c>
      <c r="Q23" s="266">
        <f ca="1">$M23*(1+INDEX(Methodology!$B$26:$E$31,MATCH($F23,Methodology!$B$26:$B$31,0),MATCH(Q$5,Methodology!$B$26:$E$26,0)))</f>
        <v>3.6544084500000005</v>
      </c>
      <c r="R23" s="199"/>
      <c r="S23" s="63" cm="1">
        <f t="array" aca="1" ref="S23" ca="1">INDIRECT(""&amp;$D23&amp;"!R"&amp;S$142&amp;"C"&amp;S$143,FALSE)</f>
        <v>0</v>
      </c>
      <c r="T23" s="62" cm="1">
        <f t="array" aca="1" ref="T23" ca="1">INDIRECT(""&amp;$D23&amp;"!R"&amp;T$142&amp;"C"&amp;T$143,FALSE)</f>
        <v>0</v>
      </c>
      <c r="U23" s="265">
        <f ca="1">$T23*(1+INDEX(Methodology!$B$26:$E$31,MATCH($F23,Methodology!$B$26:$B$31,0),MATCH(V$5,Methodology!$B$26:$E$26,0)))</f>
        <v>0</v>
      </c>
      <c r="V23" s="261">
        <f ca="1">$S23*(1+INDEX(Methodology!$B$26:$E$31,MATCH($F23,Methodology!$B$26:$B$31,0),MATCH(V$5,Methodology!$B$26:$E$26,0)))</f>
        <v>0</v>
      </c>
      <c r="W23" s="63" cm="1">
        <f t="array" aca="1" ref="W23" ca="1">INDIRECT(""&amp;$D23&amp;"!R"&amp;W$142&amp;"C"&amp;W$143,FALSE)</f>
        <v>0</v>
      </c>
      <c r="X23" s="62" cm="1">
        <f t="array" aca="1" ref="X23" ca="1">INDIRECT(""&amp;$D23&amp;"!R"&amp;X$142&amp;"C"&amp;X$143,FALSE)</f>
        <v>0</v>
      </c>
      <c r="Y23" s="265">
        <f ca="1">$X23*(1+INDEX(Methodology!$B$26:$E$31,MATCH($F23,Methodology!$B$26:$B$31,0),MATCH(Z$5,Methodology!$B$26:$E$26,0)))</f>
        <v>0</v>
      </c>
      <c r="Z23" s="261">
        <f t="shared" ca="1" si="2"/>
        <v>0</v>
      </c>
      <c r="AA23" s="199"/>
      <c r="AB23" s="10">
        <f t="shared" ca="1" si="0"/>
        <v>1000.0000000000001</v>
      </c>
      <c r="AC23" s="190" t="str">
        <f t="shared" ca="1" si="1"/>
        <v>kg/tonne</v>
      </c>
      <c r="AD23" s="213" t="str" cm="1">
        <f t="array" aca="1" ref="AD23" ca="1">IF(INDIRECT(""&amp;$D23&amp;"!R"&amp;AD$142&amp;"C"&amp;AD$143,FALSE)=0,"",INDIRECT(""&amp;$D23&amp;"!R"&amp;AD$142&amp;"C"&amp;AD$143,FALSE))</f>
        <v/>
      </c>
      <c r="AE23" s="214" t="str" cm="1">
        <f t="array" aca="1" ref="AE23" ca="1">IFERROR(IF(INDIRECT(""&amp;$D23&amp;"!R"&amp;AE$142&amp;"C"&amp;AE$143,FALSE)="Average (weighted)","Yes","No"),"")</f>
        <v>Yes</v>
      </c>
      <c r="AF23" s="96"/>
    </row>
    <row r="24" spans="1:32" ht="45" customHeight="1" x14ac:dyDescent="0.25">
      <c r="A24" s="7" t="s">
        <v>3908</v>
      </c>
      <c r="B24" s="3" t="s">
        <v>3909</v>
      </c>
      <c r="C24" s="193" t="str" cm="1">
        <f t="array" aca="1" ref="C24" ca="1">INDIRECT(""&amp;$D24&amp;"!R"&amp;C$142&amp;"C"&amp;C$143,FALSE)</f>
        <v>Steel used for structural purposes (unpainted, not galavanized) that has undergone hot-rolled steel production route. Including beams, columns, angles, flange channels, hollow sections.</v>
      </c>
      <c r="D24" s="2" t="s">
        <v>3910</v>
      </c>
      <c r="E24" s="7" t="str" cm="1">
        <f t="array" aca="1" ref="E24" ca="1">INDIRECT(""&amp;$D24&amp;"!R"&amp;E$142&amp;"C"&amp;E$143,FALSE)</f>
        <v>tonne</v>
      </c>
      <c r="F24" s="7" t="str" cm="1">
        <f t="array" aca="1" ref="F24" ca="1">INDIRECT(""&amp;$D24&amp;"!R"&amp;F$142&amp;"C"&amp;F$143,FALSE)</f>
        <v>Tier 2</v>
      </c>
      <c r="G24" s="188">
        <f ca="1">INDEX(Methodology!$B$26:$D$31,MATCH('EF Table_detail'!$F24,Methodology!$B$26:$B$31,0),MATCH('EF Table_detail'!$G$5,Methodology!$B$26:$D$26,0))</f>
        <v>1.05</v>
      </c>
      <c r="H24" s="237" cm="1">
        <f t="array" aca="1" ref="H24" ca="1">INDIRECT(""&amp;$D24&amp;"!R"&amp;H$142&amp;"C"&amp;H$143,FALSE)</f>
        <v>3720</v>
      </c>
      <c r="I24" s="235" cm="1">
        <f t="array" aca="1" ref="I24" ca="1">INDIRECT(""&amp;$D24&amp;"!R"&amp;I$142&amp;"C"&amp;I$143,FALSE)</f>
        <v>2410</v>
      </c>
      <c r="J24" s="99" cm="1">
        <f t="array" aca="1" ref="J24" ca="1">INDIRECT(""&amp;$D24&amp;"!R"&amp;J$142&amp;"C"&amp;J$143,FALSE)</f>
        <v>3036.5061426043794</v>
      </c>
      <c r="K24" s="262">
        <f ca="1">$J24*(1+INDEX(Methodology!$B$26:$E$31,MATCH($F24,Methodology!$B$26:$B$31,0),MATCH(L$5,Methodology!$B$26:$E$26,0)))</f>
        <v>3188.3314497345987</v>
      </c>
      <c r="L24" s="261">
        <f ca="1">$H24*(1+INDEX(Methodology!$B$26:$E$31,MATCH($F24,Methodology!$B$26:$B$31,0),MATCH(L$5,Methodology!$B$26:$E$26,0)))</f>
        <v>3906</v>
      </c>
      <c r="M24" s="234" cm="1">
        <f t="array" aca="1" ref="M24" ca="1">INDIRECT(""&amp;$D24&amp;"!R"&amp;M$142&amp;"C"&amp;M$143,FALSE)</f>
        <v>3.72</v>
      </c>
      <c r="N24" s="234" cm="1">
        <f t="array" aca="1" ref="N24" ca="1">INDIRECT(""&amp;$D24&amp;"!R"&amp;N$142&amp;"C"&amp;N$143,FALSE)</f>
        <v>2.41</v>
      </c>
      <c r="O24" s="231" cm="1">
        <f t="array" aca="1" ref="O24" ca="1">INDIRECT(""&amp;$D24&amp;"!R"&amp;O$142&amp;"C"&amp;O$143,FALSE)</f>
        <v>3.0365061426043796</v>
      </c>
      <c r="P24" s="265">
        <f ca="1">$O24*(1+INDEX(Methodology!$B$26:$E$31,MATCH($F24,Methodology!$B$26:$B$31,0),MATCH(Q$5,Methodology!$B$26:$E$26,0)))</f>
        <v>3.1883314497345987</v>
      </c>
      <c r="Q24" s="266">
        <f ca="1">$M24*(1+INDEX(Methodology!$B$26:$E$31,MATCH($F24,Methodology!$B$26:$B$31,0),MATCH(Q$5,Methodology!$B$26:$E$26,0)))</f>
        <v>3.9060000000000006</v>
      </c>
      <c r="R24" s="199"/>
      <c r="S24" s="63" cm="1">
        <f t="array" aca="1" ref="S24" ca="1">INDIRECT(""&amp;$D24&amp;"!R"&amp;S$142&amp;"C"&amp;S$143,FALSE)</f>
        <v>0</v>
      </c>
      <c r="T24" s="62" cm="1">
        <f t="array" aca="1" ref="T24" ca="1">INDIRECT(""&amp;$D24&amp;"!R"&amp;T$142&amp;"C"&amp;T$143,FALSE)</f>
        <v>0</v>
      </c>
      <c r="U24" s="265">
        <f ca="1">$T24*(1+INDEX(Methodology!$B$26:$E$31,MATCH($F24,Methodology!$B$26:$B$31,0),MATCH(V$5,Methodology!$B$26:$E$26,0)))</f>
        <v>0</v>
      </c>
      <c r="V24" s="261">
        <f ca="1">$S24*(1+INDEX(Methodology!$B$26:$E$31,MATCH($F24,Methodology!$B$26:$B$31,0),MATCH(V$5,Methodology!$B$26:$E$26,0)))</f>
        <v>0</v>
      </c>
      <c r="W24" s="63" cm="1">
        <f t="array" aca="1" ref="W24" ca="1">INDIRECT(""&amp;$D24&amp;"!R"&amp;W$142&amp;"C"&amp;W$143,FALSE)</f>
        <v>0</v>
      </c>
      <c r="X24" s="62" cm="1">
        <f t="array" aca="1" ref="X24" ca="1">INDIRECT(""&amp;$D24&amp;"!R"&amp;X$142&amp;"C"&amp;X$143,FALSE)</f>
        <v>0</v>
      </c>
      <c r="Y24" s="265">
        <f ca="1">$X24*(1+INDEX(Methodology!$B$26:$E$31,MATCH($F24,Methodology!$B$26:$B$31,0),MATCH(Z$5,Methodology!$B$26:$E$26,0)))</f>
        <v>0</v>
      </c>
      <c r="Z24" s="261">
        <f t="shared" ca="1" si="2"/>
        <v>0</v>
      </c>
      <c r="AA24" s="199"/>
      <c r="AB24" s="10">
        <f t="shared" ca="1" si="0"/>
        <v>1000</v>
      </c>
      <c r="AC24" s="190" t="str">
        <f t="shared" ca="1" si="1"/>
        <v>kg/tonne</v>
      </c>
      <c r="AD24" s="213" t="str" cm="1">
        <f t="array" aca="1" ref="AD24" ca="1">IF(INDIRECT(""&amp;$D24&amp;"!R"&amp;AD$142&amp;"C"&amp;AD$143,FALSE)=0,"",INDIRECT(""&amp;$D24&amp;"!R"&amp;AD$142&amp;"C"&amp;AD$143,FALSE))</f>
        <v/>
      </c>
      <c r="AE24" s="214" t="str" cm="1">
        <f t="array" aca="1" ref="AE24" ca="1">IFERROR(IF(INDIRECT(""&amp;$D24&amp;"!R"&amp;AE$142&amp;"C"&amp;AE$143,FALSE)="Average (weighted)","Yes","No"),"")</f>
        <v>Yes</v>
      </c>
      <c r="AF24" s="96"/>
    </row>
    <row r="25" spans="1:32" ht="45" customHeight="1" x14ac:dyDescent="0.25">
      <c r="A25" s="66" t="s">
        <v>3908</v>
      </c>
      <c r="B25" s="3" t="s">
        <v>3911</v>
      </c>
      <c r="C25" s="193" t="str" cm="1">
        <f t="array" aca="1" ref="C25" ca="1">INDIRECT(""&amp;$D25&amp;"!R"&amp;C$142&amp;"C"&amp;C$143,FALSE)</f>
        <v>Steel (upainted, not galvanized) used for structural purposes that has undergone cold-rolled steel production route. Including purlins, girts, stick frames, wall framing, merchant bar.</v>
      </c>
      <c r="D25" s="2" t="s">
        <v>3912</v>
      </c>
      <c r="E25" s="7" t="str" cm="1">
        <f t="array" aca="1" ref="E25" ca="1">INDIRECT(""&amp;$D25&amp;"!R"&amp;E$142&amp;"C"&amp;E$143,FALSE)</f>
        <v>tonne</v>
      </c>
      <c r="F25" s="7" t="str" cm="1">
        <f t="array" aca="1" ref="F25" ca="1">INDIRECT(""&amp;$D25&amp;"!R"&amp;F$142&amp;"C"&amp;F$143,FALSE)</f>
        <v>Tier 2</v>
      </c>
      <c r="G25" s="188">
        <f ca="1">INDEX(Methodology!$B$26:$D$31,MATCH('EF Table_detail'!$F25,Methodology!$B$26:$B$31,0),MATCH('EF Table_detail'!$G$5,Methodology!$B$26:$D$26,0))</f>
        <v>1.05</v>
      </c>
      <c r="H25" s="237" cm="1">
        <f t="array" aca="1" ref="H25" ca="1">INDIRECT(""&amp;$D25&amp;"!R"&amp;H$142&amp;"C"&amp;H$143,FALSE)</f>
        <v>3860</v>
      </c>
      <c r="I25" s="235" cm="1">
        <f t="array" aca="1" ref="I25" ca="1">INDIRECT(""&amp;$D25&amp;"!R"&amp;I$142&amp;"C"&amp;I$143,FALSE)</f>
        <v>1240</v>
      </c>
      <c r="J25" s="99" cm="1">
        <f t="array" aca="1" ref="J25" ca="1">INDIRECT(""&amp;$D25&amp;"!R"&amp;J$142&amp;"C"&amp;J$143,FALSE)</f>
        <v>2432.4630047525652</v>
      </c>
      <c r="K25" s="262">
        <f ca="1">$J25*(1+INDEX(Methodology!$B$26:$E$31,MATCH($F25,Methodology!$B$26:$B$31,0),MATCH(L$5,Methodology!$B$26:$E$26,0)))</f>
        <v>2554.0861549901938</v>
      </c>
      <c r="L25" s="261">
        <f ca="1">$H25*(1+INDEX(Methodology!$B$26:$E$31,MATCH($F25,Methodology!$B$26:$B$31,0),MATCH(L$5,Methodology!$B$26:$E$26,0)))</f>
        <v>4053</v>
      </c>
      <c r="M25" s="234" cm="1">
        <f t="array" aca="1" ref="M25" ca="1">INDIRECT(""&amp;$D25&amp;"!R"&amp;M$142&amp;"C"&amp;M$143,FALSE)</f>
        <v>3.86</v>
      </c>
      <c r="N25" s="234" cm="1">
        <f t="array" aca="1" ref="N25" ca="1">INDIRECT(""&amp;$D25&amp;"!R"&amp;N$142&amp;"C"&amp;N$143,FALSE)</f>
        <v>1.24</v>
      </c>
      <c r="O25" s="231" cm="1">
        <f t="array" aca="1" ref="O25" ca="1">INDIRECT(""&amp;$D25&amp;"!R"&amp;O$142&amp;"C"&amp;O$143,FALSE)</f>
        <v>2.4324630047525653</v>
      </c>
      <c r="P25" s="265">
        <f ca="1">$O25*(1+INDEX(Methodology!$B$26:$E$31,MATCH($F25,Methodology!$B$26:$B$31,0),MATCH(Q$5,Methodology!$B$26:$E$26,0)))</f>
        <v>2.5540861549901934</v>
      </c>
      <c r="Q25" s="266">
        <f ca="1">$M25*(1+INDEX(Methodology!$B$26:$E$31,MATCH($F25,Methodology!$B$26:$B$31,0),MATCH(Q$5,Methodology!$B$26:$E$26,0)))</f>
        <v>4.0529999999999999</v>
      </c>
      <c r="R25" s="199"/>
      <c r="S25" s="63" cm="1">
        <f t="array" aca="1" ref="S25" ca="1">INDIRECT(""&amp;$D25&amp;"!R"&amp;S$142&amp;"C"&amp;S$143,FALSE)</f>
        <v>0</v>
      </c>
      <c r="T25" s="62" cm="1">
        <f t="array" aca="1" ref="T25" ca="1">INDIRECT(""&amp;$D25&amp;"!R"&amp;T$142&amp;"C"&amp;T$143,FALSE)</f>
        <v>0</v>
      </c>
      <c r="U25" s="265">
        <f ca="1">$T25*(1+INDEX(Methodology!$B$26:$E$31,MATCH($F25,Methodology!$B$26:$B$31,0),MATCH(V$5,Methodology!$B$26:$E$26,0)))</f>
        <v>0</v>
      </c>
      <c r="V25" s="261">
        <f ca="1">$S25*(1+INDEX(Methodology!$B$26:$E$31,MATCH($F25,Methodology!$B$26:$B$31,0),MATCH(V$5,Methodology!$B$26:$E$26,0)))</f>
        <v>0</v>
      </c>
      <c r="W25" s="63" cm="1">
        <f t="array" aca="1" ref="W25" ca="1">INDIRECT(""&amp;$D25&amp;"!R"&amp;W$142&amp;"C"&amp;W$143,FALSE)</f>
        <v>0</v>
      </c>
      <c r="X25" s="62" cm="1">
        <f t="array" aca="1" ref="X25" ca="1">INDIRECT(""&amp;$D25&amp;"!R"&amp;X$142&amp;"C"&amp;X$143,FALSE)</f>
        <v>0</v>
      </c>
      <c r="Y25" s="265">
        <f ca="1">$X25*(1+INDEX(Methodology!$B$26:$E$31,MATCH($F25,Methodology!$B$26:$B$31,0),MATCH(Z$5,Methodology!$B$26:$E$26,0)))</f>
        <v>0</v>
      </c>
      <c r="Z25" s="261">
        <f t="shared" ca="1" si="2"/>
        <v>0</v>
      </c>
      <c r="AA25" s="199"/>
      <c r="AB25" s="10">
        <f t="shared" ca="1" si="0"/>
        <v>1000</v>
      </c>
      <c r="AC25" s="190" t="str">
        <f t="shared" ca="1" si="1"/>
        <v>kg/tonne</v>
      </c>
      <c r="AD25" s="213" t="str" cm="1">
        <f t="array" aca="1" ref="AD25" ca="1">IF(INDIRECT(""&amp;$D25&amp;"!R"&amp;AD$142&amp;"C"&amp;AD$143,FALSE)=0,"",INDIRECT(""&amp;$D25&amp;"!R"&amp;AD$142&amp;"C"&amp;AD$143,FALSE))</f>
        <v/>
      </c>
      <c r="AE25" s="214" t="str" cm="1">
        <f t="array" aca="1" ref="AE25" ca="1">IFERROR(IF(INDIRECT(""&amp;$D25&amp;"!R"&amp;AE$142&amp;"C"&amp;AE$143,FALSE)="Average (weighted)","Yes","No"),"")</f>
        <v>Yes</v>
      </c>
      <c r="AF25" s="96"/>
    </row>
    <row r="26" spans="1:32" ht="45" customHeight="1" x14ac:dyDescent="0.25">
      <c r="A26" s="66" t="s">
        <v>3908</v>
      </c>
      <c r="B26" s="3" t="s">
        <v>3913</v>
      </c>
      <c r="C26" s="193" t="str" cm="1">
        <f t="array" aca="1" ref="C26" ca="1">INDIRECT(""&amp;$D26&amp;"!R"&amp;C$142&amp;"C"&amp;C$143,FALSE)</f>
        <v>Steel (upainted, not galvanized) used for structural purposes that has undergone cold-rolled steel production route. Including purlins, girts, stick frames, wall framing, merchant bar.</v>
      </c>
      <c r="D26" s="2" t="s">
        <v>3912</v>
      </c>
      <c r="E26" s="7" t="str" cm="1">
        <f t="array" aca="1" ref="E26" ca="1">INDIRECT(""&amp;$D26&amp;"!R"&amp;E$142&amp;"C"&amp;E$143,FALSE)</f>
        <v>tonne</v>
      </c>
      <c r="F26" s="7" t="str" cm="1">
        <f t="array" aca="1" ref="F26" ca="1">INDIRECT(""&amp;$D26&amp;"!R"&amp;F$142&amp;"C"&amp;F$143,FALSE)</f>
        <v>Tier 2</v>
      </c>
      <c r="G26" s="188">
        <f ca="1">INDEX(Methodology!$B$26:$D$31,MATCH('EF Table_detail'!$F26,Methodology!$B$26:$B$31,0),MATCH('EF Table_detail'!$G$5,Methodology!$B$26:$D$26,0))</f>
        <v>1.05</v>
      </c>
      <c r="H26" s="237" cm="1">
        <f t="array" aca="1" ref="H26" ca="1">INDIRECT(""&amp;$D26&amp;"!R"&amp;H$142&amp;"C"&amp;H$143,FALSE)</f>
        <v>3860</v>
      </c>
      <c r="I26" s="235" cm="1">
        <f t="array" aca="1" ref="I26" ca="1">INDIRECT(""&amp;$D26&amp;"!R"&amp;I$142&amp;"C"&amp;I$143,FALSE)</f>
        <v>1240</v>
      </c>
      <c r="J26" s="99" cm="1">
        <f t="array" aca="1" ref="J26" ca="1">INDIRECT(""&amp;$D26&amp;"!R"&amp;J$142&amp;"C"&amp;J$143,FALSE)</f>
        <v>2432.4630047525652</v>
      </c>
      <c r="K26" s="262">
        <f ca="1">$J26*(1+INDEX(Methodology!$B$26:$E$31,MATCH($F26,Methodology!$B$26:$B$31,0),MATCH(L$5,Methodology!$B$26:$E$26,0)))</f>
        <v>2554.0861549901938</v>
      </c>
      <c r="L26" s="261">
        <f ca="1">$H26*(1+INDEX(Methodology!$B$26:$E$31,MATCH($F26,Methodology!$B$26:$B$31,0),MATCH(L$5,Methodology!$B$26:$E$26,0)))</f>
        <v>4053</v>
      </c>
      <c r="M26" s="234" cm="1">
        <f t="array" aca="1" ref="M26" ca="1">INDIRECT(""&amp;$D26&amp;"!R"&amp;M$142&amp;"C"&amp;M$143,FALSE)</f>
        <v>3.86</v>
      </c>
      <c r="N26" s="234" cm="1">
        <f t="array" aca="1" ref="N26" ca="1">INDIRECT(""&amp;$D26&amp;"!R"&amp;N$142&amp;"C"&amp;N$143,FALSE)</f>
        <v>1.24</v>
      </c>
      <c r="O26" s="231" cm="1">
        <f t="array" aca="1" ref="O26" ca="1">INDIRECT(""&amp;$D26&amp;"!R"&amp;O$142&amp;"C"&amp;O$143,FALSE)</f>
        <v>2.4324630047525653</v>
      </c>
      <c r="P26" s="265">
        <f ca="1">$O26*(1+INDEX(Methodology!$B$26:$E$31,MATCH($F26,Methodology!$B$26:$B$31,0),MATCH(Q$5,Methodology!$B$26:$E$26,0)))</f>
        <v>2.5540861549901934</v>
      </c>
      <c r="Q26" s="266">
        <f ca="1">$M26*(1+INDEX(Methodology!$B$26:$E$31,MATCH($F26,Methodology!$B$26:$B$31,0),MATCH(Q$5,Methodology!$B$26:$E$26,0)))</f>
        <v>4.0529999999999999</v>
      </c>
      <c r="R26" s="199"/>
      <c r="S26" s="63" cm="1">
        <f t="array" aca="1" ref="S26" ca="1">INDIRECT(""&amp;$D26&amp;"!R"&amp;S$142&amp;"C"&amp;S$143,FALSE)</f>
        <v>0</v>
      </c>
      <c r="T26" s="62" cm="1">
        <f t="array" aca="1" ref="T26" ca="1">INDIRECT(""&amp;$D26&amp;"!R"&amp;T$142&amp;"C"&amp;T$143,FALSE)</f>
        <v>0</v>
      </c>
      <c r="U26" s="265">
        <f ca="1">$T26*(1+INDEX(Methodology!$B$26:$E$31,MATCH($F26,Methodology!$B$26:$B$31,0),MATCH(V$5,Methodology!$B$26:$E$26,0)))</f>
        <v>0</v>
      </c>
      <c r="V26" s="261">
        <f ca="1">$S26*(1+INDEX(Methodology!$B$26:$E$31,MATCH($F26,Methodology!$B$26:$B$31,0),MATCH(V$5,Methodology!$B$26:$E$26,0)))</f>
        <v>0</v>
      </c>
      <c r="W26" s="63" cm="1">
        <f t="array" aca="1" ref="W26" ca="1">INDIRECT(""&amp;$D26&amp;"!R"&amp;W$142&amp;"C"&amp;W$143,FALSE)</f>
        <v>0</v>
      </c>
      <c r="X26" s="62" cm="1">
        <f t="array" aca="1" ref="X26" ca="1">INDIRECT(""&amp;$D26&amp;"!R"&amp;X$142&amp;"C"&amp;X$143,FALSE)</f>
        <v>0</v>
      </c>
      <c r="Y26" s="265">
        <f ca="1">$X26*(1+INDEX(Methodology!$B$26:$E$31,MATCH($F26,Methodology!$B$26:$B$31,0),MATCH(Z$5,Methodology!$B$26:$E$26,0)))</f>
        <v>0</v>
      </c>
      <c r="Z26" s="261">
        <f t="shared" ca="1" si="2"/>
        <v>0</v>
      </c>
      <c r="AA26" s="199"/>
      <c r="AB26" s="10">
        <f t="shared" ca="1" si="0"/>
        <v>1000</v>
      </c>
      <c r="AC26" s="190" t="str">
        <f t="shared" ca="1" si="1"/>
        <v>kg/tonne</v>
      </c>
      <c r="AD26" s="213" t="str" cm="1">
        <f t="array" aca="1" ref="AD26" ca="1">IF(INDIRECT(""&amp;$D26&amp;"!R"&amp;AD$142&amp;"C"&amp;AD$143,FALSE)=0,"",INDIRECT(""&amp;$D26&amp;"!R"&amp;AD$142&amp;"C"&amp;AD$143,FALSE))</f>
        <v/>
      </c>
      <c r="AE26" s="214" t="str" cm="1">
        <f t="array" aca="1" ref="AE26" ca="1">IFERROR(IF(INDIRECT(""&amp;$D26&amp;"!R"&amp;AE$142&amp;"C"&amp;AE$143,FALSE)="Average (weighted)","Yes","No"),"")</f>
        <v>Yes</v>
      </c>
      <c r="AF26" s="96"/>
    </row>
    <row r="27" spans="1:32" ht="45" customHeight="1" x14ac:dyDescent="0.25">
      <c r="A27" s="7" t="s">
        <v>3908</v>
      </c>
      <c r="B27" s="3" t="s">
        <v>3914</v>
      </c>
      <c r="C27" s="193" t="str" cm="1">
        <f t="array" aca="1" ref="C27" ca="1">INDIRECT(""&amp;$D27&amp;"!R"&amp;C$142&amp;"C"&amp;C$143,FALSE)</f>
        <v>Steel used for structural purposes (unpainted, not galavanized) that has undergone hot-rolled steel production route. Including beams, columns, angles, flange channels, hollow sections.</v>
      </c>
      <c r="D27" s="2" t="s">
        <v>3910</v>
      </c>
      <c r="E27" s="7" t="str" cm="1">
        <f t="array" aca="1" ref="E27" ca="1">INDIRECT(""&amp;$D27&amp;"!R"&amp;E$142&amp;"C"&amp;E$143,FALSE)</f>
        <v>tonne</v>
      </c>
      <c r="F27" s="7" t="str" cm="1">
        <f t="array" aca="1" ref="F27" ca="1">INDIRECT(""&amp;$D27&amp;"!R"&amp;F$142&amp;"C"&amp;F$143,FALSE)</f>
        <v>Tier 2</v>
      </c>
      <c r="G27" s="188">
        <f ca="1">INDEX(Methodology!$B$26:$D$31,MATCH('EF Table_detail'!$F27,Methodology!$B$26:$B$31,0),MATCH('EF Table_detail'!$G$5,Methodology!$B$26:$D$26,0))</f>
        <v>1.05</v>
      </c>
      <c r="H27" s="237" cm="1">
        <f t="array" aca="1" ref="H27" ca="1">INDIRECT(""&amp;$D27&amp;"!R"&amp;H$142&amp;"C"&amp;H$143,FALSE)</f>
        <v>3720</v>
      </c>
      <c r="I27" s="235" cm="1">
        <f t="array" aca="1" ref="I27" ca="1">INDIRECT(""&amp;$D27&amp;"!R"&amp;I$142&amp;"C"&amp;I$143,FALSE)</f>
        <v>2410</v>
      </c>
      <c r="J27" s="99" cm="1">
        <f t="array" aca="1" ref="J27" ca="1">INDIRECT(""&amp;$D27&amp;"!R"&amp;J$142&amp;"C"&amp;J$143,FALSE)</f>
        <v>3036.5061426043794</v>
      </c>
      <c r="K27" s="262">
        <f ca="1">$J27*(1+INDEX(Methodology!$B$26:$E$31,MATCH($F27,Methodology!$B$26:$B$31,0),MATCH(L$5,Methodology!$B$26:$E$26,0)))</f>
        <v>3188.3314497345987</v>
      </c>
      <c r="L27" s="261">
        <f ca="1">$H27*(1+INDEX(Methodology!$B$26:$E$31,MATCH($F27,Methodology!$B$26:$B$31,0),MATCH(L$5,Methodology!$B$26:$E$26,0)))</f>
        <v>3906</v>
      </c>
      <c r="M27" s="234" cm="1">
        <f t="array" aca="1" ref="M27" ca="1">INDIRECT(""&amp;$D27&amp;"!R"&amp;M$142&amp;"C"&amp;M$143,FALSE)</f>
        <v>3.72</v>
      </c>
      <c r="N27" s="234" cm="1">
        <f t="array" aca="1" ref="N27" ca="1">INDIRECT(""&amp;$D27&amp;"!R"&amp;N$142&amp;"C"&amp;N$143,FALSE)</f>
        <v>2.41</v>
      </c>
      <c r="O27" s="231" cm="1">
        <f t="array" aca="1" ref="O27" ca="1">INDIRECT(""&amp;$D27&amp;"!R"&amp;O$142&amp;"C"&amp;O$143,FALSE)</f>
        <v>3.0365061426043796</v>
      </c>
      <c r="P27" s="265">
        <f ca="1">$O27*(1+INDEX(Methodology!$B$26:$E$31,MATCH($F27,Methodology!$B$26:$B$31,0),MATCH(Q$5,Methodology!$B$26:$E$26,0)))</f>
        <v>3.1883314497345987</v>
      </c>
      <c r="Q27" s="266">
        <f ca="1">$M27*(1+INDEX(Methodology!$B$26:$E$31,MATCH($F27,Methodology!$B$26:$B$31,0),MATCH(Q$5,Methodology!$B$26:$E$26,0)))</f>
        <v>3.9060000000000006</v>
      </c>
      <c r="R27" s="199"/>
      <c r="S27" s="63" cm="1">
        <f t="array" aca="1" ref="S27" ca="1">INDIRECT(""&amp;$D27&amp;"!R"&amp;S$142&amp;"C"&amp;S$143,FALSE)</f>
        <v>0</v>
      </c>
      <c r="T27" s="62" cm="1">
        <f t="array" aca="1" ref="T27" ca="1">INDIRECT(""&amp;$D27&amp;"!R"&amp;T$142&amp;"C"&amp;T$143,FALSE)</f>
        <v>0</v>
      </c>
      <c r="U27" s="265">
        <f ca="1">$T27*(1+INDEX(Methodology!$B$26:$E$31,MATCH($F27,Methodology!$B$26:$B$31,0),MATCH(V$5,Methodology!$B$26:$E$26,0)))</f>
        <v>0</v>
      </c>
      <c r="V27" s="261">
        <f ca="1">$S27*(1+INDEX(Methodology!$B$26:$E$31,MATCH($F27,Methodology!$B$26:$B$31,0),MATCH(V$5,Methodology!$B$26:$E$26,0)))</f>
        <v>0</v>
      </c>
      <c r="W27" s="63" cm="1">
        <f t="array" aca="1" ref="W27" ca="1">INDIRECT(""&amp;$D27&amp;"!R"&amp;W$142&amp;"C"&amp;W$143,FALSE)</f>
        <v>0</v>
      </c>
      <c r="X27" s="62" cm="1">
        <f t="array" aca="1" ref="X27" ca="1">INDIRECT(""&amp;$D27&amp;"!R"&amp;X$142&amp;"C"&amp;X$143,FALSE)</f>
        <v>0</v>
      </c>
      <c r="Y27" s="265">
        <f ca="1">$X27*(1+INDEX(Methodology!$B$26:$E$31,MATCH($F27,Methodology!$B$26:$B$31,0),MATCH(Z$5,Methodology!$B$26:$E$26,0)))</f>
        <v>0</v>
      </c>
      <c r="Z27" s="261">
        <f t="shared" ca="1" si="2"/>
        <v>0</v>
      </c>
      <c r="AA27" s="199"/>
      <c r="AB27" s="10">
        <f t="shared" ca="1" si="0"/>
        <v>1000</v>
      </c>
      <c r="AC27" s="190" t="str">
        <f t="shared" ca="1" si="1"/>
        <v>kg/tonne</v>
      </c>
      <c r="AD27" s="213" t="str" cm="1">
        <f t="array" aca="1" ref="AD27" ca="1">IF(INDIRECT(""&amp;$D27&amp;"!R"&amp;AD$142&amp;"C"&amp;AD$143,FALSE)=0,"",INDIRECT(""&amp;$D27&amp;"!R"&amp;AD$142&amp;"C"&amp;AD$143,FALSE))</f>
        <v/>
      </c>
      <c r="AE27" s="214" t="str" cm="1">
        <f t="array" aca="1" ref="AE27" ca="1">IFERROR(IF(INDIRECT(""&amp;$D27&amp;"!R"&amp;AE$142&amp;"C"&amp;AE$143,FALSE)="Average (weighted)","Yes","No"),"")</f>
        <v>Yes</v>
      </c>
      <c r="AF27" s="96"/>
    </row>
    <row r="28" spans="1:32" ht="45" customHeight="1" x14ac:dyDescent="0.25">
      <c r="A28" s="7" t="s">
        <v>3908</v>
      </c>
      <c r="B28" s="3" t="s">
        <v>3915</v>
      </c>
      <c r="C28" s="193" t="str" cm="1">
        <f t="array" aca="1" ref="C28" ca="1">INDIRECT(""&amp;$D28&amp;"!R"&amp;C$142&amp;"C"&amp;C$143,FALSE)</f>
        <v>Steel used for structural purposes (unpainted, not galavanized) that has undergone hot-rolled steel production route. Including beams, columns, angles, flange channels, hollow sections.</v>
      </c>
      <c r="D28" s="2" t="s">
        <v>3910</v>
      </c>
      <c r="E28" s="7" t="str" cm="1">
        <f t="array" aca="1" ref="E28" ca="1">INDIRECT(""&amp;$D28&amp;"!R"&amp;E$142&amp;"C"&amp;E$143,FALSE)</f>
        <v>tonne</v>
      </c>
      <c r="F28" s="7" t="str" cm="1">
        <f t="array" aca="1" ref="F28" ca="1">INDIRECT(""&amp;$D28&amp;"!R"&amp;F$142&amp;"C"&amp;F$143,FALSE)</f>
        <v>Tier 2</v>
      </c>
      <c r="G28" s="188">
        <f ca="1">INDEX(Methodology!$B$26:$D$31,MATCH('EF Table_detail'!$F28,Methodology!$B$26:$B$31,0),MATCH('EF Table_detail'!$G$5,Methodology!$B$26:$D$26,0))</f>
        <v>1.05</v>
      </c>
      <c r="H28" s="237" cm="1">
        <f t="array" aca="1" ref="H28" ca="1">INDIRECT(""&amp;$D28&amp;"!R"&amp;H$142&amp;"C"&amp;H$143,FALSE)</f>
        <v>3720</v>
      </c>
      <c r="I28" s="235" cm="1">
        <f t="array" aca="1" ref="I28" ca="1">INDIRECT(""&amp;$D28&amp;"!R"&amp;I$142&amp;"C"&amp;I$143,FALSE)</f>
        <v>2410</v>
      </c>
      <c r="J28" s="99" cm="1">
        <f t="array" aca="1" ref="J28" ca="1">INDIRECT(""&amp;$D28&amp;"!R"&amp;J$142&amp;"C"&amp;J$143,FALSE)</f>
        <v>3036.5061426043794</v>
      </c>
      <c r="K28" s="262">
        <f ca="1">$J28*(1+INDEX(Methodology!$B$26:$E$31,MATCH($F28,Methodology!$B$26:$B$31,0),MATCH(L$5,Methodology!$B$26:$E$26,0)))</f>
        <v>3188.3314497345987</v>
      </c>
      <c r="L28" s="261">
        <f ca="1">$H28*(1+INDEX(Methodology!$B$26:$E$31,MATCH($F28,Methodology!$B$26:$B$31,0),MATCH(L$5,Methodology!$B$26:$E$26,0)))</f>
        <v>3906</v>
      </c>
      <c r="M28" s="234" cm="1">
        <f t="array" aca="1" ref="M28" ca="1">INDIRECT(""&amp;$D28&amp;"!R"&amp;M$142&amp;"C"&amp;M$143,FALSE)</f>
        <v>3.72</v>
      </c>
      <c r="N28" s="234" cm="1">
        <f t="array" aca="1" ref="N28" ca="1">INDIRECT(""&amp;$D28&amp;"!R"&amp;N$142&amp;"C"&amp;N$143,FALSE)</f>
        <v>2.41</v>
      </c>
      <c r="O28" s="231" cm="1">
        <f t="array" aca="1" ref="O28" ca="1">INDIRECT(""&amp;$D28&amp;"!R"&amp;O$142&amp;"C"&amp;O$143,FALSE)</f>
        <v>3.0365061426043796</v>
      </c>
      <c r="P28" s="265">
        <f ca="1">$O28*(1+INDEX(Methodology!$B$26:$E$31,MATCH($F28,Methodology!$B$26:$B$31,0),MATCH(Q$5,Methodology!$B$26:$E$26,0)))</f>
        <v>3.1883314497345987</v>
      </c>
      <c r="Q28" s="266">
        <f ca="1">$M28*(1+INDEX(Methodology!$B$26:$E$31,MATCH($F28,Methodology!$B$26:$B$31,0),MATCH(Q$5,Methodology!$B$26:$E$26,0)))</f>
        <v>3.9060000000000006</v>
      </c>
      <c r="R28" s="199"/>
      <c r="S28" s="63" cm="1">
        <f t="array" aca="1" ref="S28" ca="1">INDIRECT(""&amp;$D28&amp;"!R"&amp;S$142&amp;"C"&amp;S$143,FALSE)</f>
        <v>0</v>
      </c>
      <c r="T28" s="62" cm="1">
        <f t="array" aca="1" ref="T28" ca="1">INDIRECT(""&amp;$D28&amp;"!R"&amp;T$142&amp;"C"&amp;T$143,FALSE)</f>
        <v>0</v>
      </c>
      <c r="U28" s="265">
        <f ca="1">$T28*(1+INDEX(Methodology!$B$26:$E$31,MATCH($F28,Methodology!$B$26:$B$31,0),MATCH(V$5,Methodology!$B$26:$E$26,0)))</f>
        <v>0</v>
      </c>
      <c r="V28" s="261">
        <f ca="1">$S28*(1+INDEX(Methodology!$B$26:$E$31,MATCH($F28,Methodology!$B$26:$B$31,0),MATCH(V$5,Methodology!$B$26:$E$26,0)))</f>
        <v>0</v>
      </c>
      <c r="W28" s="63" cm="1">
        <f t="array" aca="1" ref="W28" ca="1">INDIRECT(""&amp;$D28&amp;"!R"&amp;W$142&amp;"C"&amp;W$143,FALSE)</f>
        <v>0</v>
      </c>
      <c r="X28" s="62" cm="1">
        <f t="array" aca="1" ref="X28" ca="1">INDIRECT(""&amp;$D28&amp;"!R"&amp;X$142&amp;"C"&amp;X$143,FALSE)</f>
        <v>0</v>
      </c>
      <c r="Y28" s="265">
        <f ca="1">$X28*(1+INDEX(Methodology!$B$26:$E$31,MATCH($F28,Methodology!$B$26:$B$31,0),MATCH(Z$5,Methodology!$B$26:$E$26,0)))</f>
        <v>0</v>
      </c>
      <c r="Z28" s="261">
        <f t="shared" ca="1" si="2"/>
        <v>0</v>
      </c>
      <c r="AA28" s="199"/>
      <c r="AB28" s="10">
        <f t="shared" ca="1" si="0"/>
        <v>1000</v>
      </c>
      <c r="AC28" s="190" t="str">
        <f t="shared" ca="1" si="1"/>
        <v>kg/tonne</v>
      </c>
      <c r="AD28" s="213" t="str" cm="1">
        <f t="array" aca="1" ref="AD28" ca="1">IF(INDIRECT(""&amp;$D28&amp;"!R"&amp;AD$142&amp;"C"&amp;AD$143,FALSE)=0,"",INDIRECT(""&amp;$D28&amp;"!R"&amp;AD$142&amp;"C"&amp;AD$143,FALSE))</f>
        <v/>
      </c>
      <c r="AE28" s="214" t="str" cm="1">
        <f t="array" aca="1" ref="AE28" ca="1">IFERROR(IF(INDIRECT(""&amp;$D28&amp;"!R"&amp;AE$142&amp;"C"&amp;AE$143,FALSE)="Average (weighted)","Yes","No"),"")</f>
        <v>Yes</v>
      </c>
      <c r="AF28" s="96"/>
    </row>
    <row r="29" spans="1:32" ht="45" customHeight="1" x14ac:dyDescent="0.25">
      <c r="A29" s="66" t="s">
        <v>3908</v>
      </c>
      <c r="B29" s="3" t="s">
        <v>3916</v>
      </c>
      <c r="C29" s="193" t="str" cm="1">
        <f t="array" aca="1" ref="C29" ca="1">INDIRECT(""&amp;$D29&amp;"!R"&amp;C$142&amp;"C"&amp;C$143,FALSE)</f>
        <v>Steel (Galvanized) used for structural purposes that has undergone hot-rolled steel production route. Including beams, columns, angles, flange channels, hollow sections.</v>
      </c>
      <c r="D29" s="2" t="s">
        <v>3917</v>
      </c>
      <c r="E29" s="7" t="str" cm="1">
        <f t="array" aca="1" ref="E29" ca="1">INDIRECT(""&amp;$D29&amp;"!R"&amp;E$142&amp;"C"&amp;E$143,FALSE)</f>
        <v>tonne</v>
      </c>
      <c r="F29" s="7" t="str" cm="1">
        <f t="array" aca="1" ref="F29" ca="1">INDIRECT(""&amp;$D29&amp;"!R"&amp;F$142&amp;"C"&amp;F$143,FALSE)</f>
        <v>Tier 2</v>
      </c>
      <c r="G29" s="188">
        <f ca="1">INDEX(Methodology!$B$26:$D$31,MATCH('EF Table_detail'!$F29,Methodology!$B$26:$B$31,0),MATCH('EF Table_detail'!$G$5,Methodology!$B$26:$D$26,0))</f>
        <v>1.05</v>
      </c>
      <c r="H29" s="237" cm="1">
        <f t="array" aca="1" ref="H29" ca="1">INDIRECT(""&amp;$D29&amp;"!R"&amp;H$142&amp;"C"&amp;H$143,FALSE)</f>
        <v>3892.2017804154302</v>
      </c>
      <c r="I29" s="235" cm="1">
        <f t="array" aca="1" ref="I29" ca="1">INDIRECT(""&amp;$D29&amp;"!R"&amp;I$142&amp;"C"&amp;I$143,FALSE)</f>
        <v>2410</v>
      </c>
      <c r="J29" s="99" cm="1">
        <f t="array" aca="1" ref="J29" ca="1">INDIRECT(""&amp;$D29&amp;"!R"&amp;J$142&amp;"C"&amp;J$143,FALSE)</f>
        <v>3177.0684447546118</v>
      </c>
      <c r="K29" s="262">
        <f ca="1">$J29*(1+INDEX(Methodology!$B$26:$E$31,MATCH($F29,Methodology!$B$26:$B$31,0),MATCH(L$5,Methodology!$B$26:$E$26,0)))</f>
        <v>3335.9218669923425</v>
      </c>
      <c r="L29" s="261">
        <f ca="1">$H29*(1+INDEX(Methodology!$B$26:$E$31,MATCH($F29,Methodology!$B$26:$B$31,0),MATCH(L$5,Methodology!$B$26:$E$26,0)))</f>
        <v>4086.811869436202</v>
      </c>
      <c r="M29" s="234" cm="1">
        <f t="array" aca="1" ref="M29" ca="1">INDIRECT(""&amp;$D29&amp;"!R"&amp;M$142&amp;"C"&amp;M$143,FALSE)</f>
        <v>3.8922017804154305</v>
      </c>
      <c r="N29" s="234" cm="1">
        <f t="array" aca="1" ref="N29" ca="1">INDIRECT(""&amp;$D29&amp;"!R"&amp;N$142&amp;"C"&amp;N$143,FALSE)</f>
        <v>2.41</v>
      </c>
      <c r="O29" s="231" cm="1">
        <f t="array" aca="1" ref="O29" ca="1">INDIRECT(""&amp;$D29&amp;"!R"&amp;O$142&amp;"C"&amp;O$143,FALSE)</f>
        <v>3.177068444754612</v>
      </c>
      <c r="P29" s="265">
        <f ca="1">$O29*(1+INDEX(Methodology!$B$26:$E$31,MATCH($F29,Methodology!$B$26:$B$31,0),MATCH(Q$5,Methodology!$B$26:$E$26,0)))</f>
        <v>3.3359218669923427</v>
      </c>
      <c r="Q29" s="266">
        <f ca="1">$M29*(1+INDEX(Methodology!$B$26:$E$31,MATCH($F29,Methodology!$B$26:$B$31,0),MATCH(Q$5,Methodology!$B$26:$E$26,0)))</f>
        <v>4.0868118694362021</v>
      </c>
      <c r="R29" s="199"/>
      <c r="S29" s="63" cm="1">
        <f t="array" aca="1" ref="S29" ca="1">INDIRECT(""&amp;$D29&amp;"!R"&amp;S$142&amp;"C"&amp;S$143,FALSE)</f>
        <v>0</v>
      </c>
      <c r="T29" s="62" cm="1">
        <f t="array" aca="1" ref="T29" ca="1">INDIRECT(""&amp;$D29&amp;"!R"&amp;T$142&amp;"C"&amp;T$143,FALSE)</f>
        <v>0</v>
      </c>
      <c r="U29" s="265">
        <f ca="1">$T29*(1+INDEX(Methodology!$B$26:$E$31,MATCH($F29,Methodology!$B$26:$B$31,0),MATCH(V$5,Methodology!$B$26:$E$26,0)))</f>
        <v>0</v>
      </c>
      <c r="V29" s="261">
        <f ca="1">$S29*(1+INDEX(Methodology!$B$26:$E$31,MATCH($F29,Methodology!$B$26:$B$31,0),MATCH(V$5,Methodology!$B$26:$E$26,0)))</f>
        <v>0</v>
      </c>
      <c r="W29" s="63" cm="1">
        <f t="array" aca="1" ref="W29" ca="1">INDIRECT(""&amp;$D29&amp;"!R"&amp;W$142&amp;"C"&amp;W$143,FALSE)</f>
        <v>0</v>
      </c>
      <c r="X29" s="62" cm="1">
        <f t="array" aca="1" ref="X29" ca="1">INDIRECT(""&amp;$D29&amp;"!R"&amp;X$142&amp;"C"&amp;X$143,FALSE)</f>
        <v>0</v>
      </c>
      <c r="Y29" s="265">
        <f ca="1">$X29*(1+INDEX(Methodology!$B$26:$E$31,MATCH($F29,Methodology!$B$26:$B$31,0),MATCH(Z$5,Methodology!$B$26:$E$26,0)))</f>
        <v>0</v>
      </c>
      <c r="Z29" s="261">
        <f t="shared" ca="1" si="2"/>
        <v>0</v>
      </c>
      <c r="AA29" s="199"/>
      <c r="AB29" s="10">
        <f t="shared" ca="1" si="0"/>
        <v>999.99999999999989</v>
      </c>
      <c r="AC29" s="190" t="str">
        <f t="shared" ca="1" si="1"/>
        <v>kg/tonne</v>
      </c>
      <c r="AD29" s="213" t="str" cm="1">
        <f t="array" aca="1" ref="AD29" ca="1">IF(INDIRECT(""&amp;$D29&amp;"!R"&amp;AD$142&amp;"C"&amp;AD$143,FALSE)=0,"",INDIRECT(""&amp;$D29&amp;"!R"&amp;AD$142&amp;"C"&amp;AD$143,FALSE))</f>
        <v>Using emission factors determined in structural steel hot rolled then multiplying by a factor for galvanising as determined using data found in additional data</v>
      </c>
      <c r="AE29" s="214" t="str" cm="1">
        <f t="array" aca="1" ref="AE29" ca="1">IFERROR(IF(INDIRECT(""&amp;$D29&amp;"!R"&amp;AE$142&amp;"C"&amp;AE$143,FALSE)="Average (weighted)","Yes","No"),"")</f>
        <v>Yes</v>
      </c>
      <c r="AF29" s="96"/>
    </row>
    <row r="30" spans="1:32" ht="45" customHeight="1" x14ac:dyDescent="0.25">
      <c r="A30" s="66" t="s">
        <v>3908</v>
      </c>
      <c r="B30" s="3" t="s">
        <v>3918</v>
      </c>
      <c r="C30" s="193" t="str" cm="1">
        <f t="array" aca="1" ref="C30" ca="1">INDIRECT(""&amp;$D30&amp;"!R"&amp;C$142&amp;"C"&amp;C$143,FALSE)</f>
        <v>Steel (Galvanized) used for structural purposes that has undergone cold-rolled steel production route. Including purlins, girts, stick frames, wall framing, merchant bar.</v>
      </c>
      <c r="D30" s="2" t="s">
        <v>3919</v>
      </c>
      <c r="E30" s="7" t="str" cm="1">
        <f t="array" aca="1" ref="E30" ca="1">INDIRECT(""&amp;$D30&amp;"!R"&amp;E$142&amp;"C"&amp;E$143,FALSE)</f>
        <v>tonne</v>
      </c>
      <c r="F30" s="7" t="str" cm="1">
        <f t="array" aca="1" ref="F30" ca="1">INDIRECT(""&amp;$D30&amp;"!R"&amp;F$142&amp;"C"&amp;F$143,FALSE)</f>
        <v>Tier 2</v>
      </c>
      <c r="G30" s="188">
        <f ca="1">INDEX(Methodology!$B$26:$D$31,MATCH('EF Table_detail'!$F30,Methodology!$B$26:$B$31,0),MATCH('EF Table_detail'!$G$5,Methodology!$B$26:$D$26,0))</f>
        <v>1.05</v>
      </c>
      <c r="H30" s="237" cm="1">
        <f t="array" aca="1" ref="H30" ca="1">INDIRECT(""&amp;$D30&amp;"!R"&amp;H$142&amp;"C"&amp;H$143,FALSE)</f>
        <v>4038.6824925816022</v>
      </c>
      <c r="I30" s="235" cm="1">
        <f t="array" aca="1" ref="I30" ca="1">INDIRECT(""&amp;$D30&amp;"!R"&amp;I$142&amp;"C"&amp;I$143,FALSE)</f>
        <v>1240</v>
      </c>
      <c r="J30" s="99" cm="1">
        <f t="array" aca="1" ref="J30" ca="1">INDIRECT(""&amp;$D30&amp;"!R"&amp;J$142&amp;"C"&amp;J$143,FALSE)</f>
        <v>2545.0636661001618</v>
      </c>
      <c r="K30" s="262">
        <f ca="1">$J30*(1+INDEX(Methodology!$B$26:$E$31,MATCH($F30,Methodology!$B$26:$B$31,0),MATCH(L$5,Methodology!$B$26:$E$26,0)))</f>
        <v>2672.3168494051702</v>
      </c>
      <c r="L30" s="261">
        <f ca="1">$H30*(1+INDEX(Methodology!$B$26:$E$31,MATCH($F30,Methodology!$B$26:$B$31,0),MATCH(L$5,Methodology!$B$26:$E$26,0)))</f>
        <v>4240.6166172106823</v>
      </c>
      <c r="M30" s="234" cm="1">
        <f t="array" aca="1" ref="M30" ca="1">INDIRECT(""&amp;$D30&amp;"!R"&amp;M$142&amp;"C"&amp;M$143,FALSE)</f>
        <v>4.0386824925816018</v>
      </c>
      <c r="N30" s="234" cm="1">
        <f t="array" aca="1" ref="N30" ca="1">INDIRECT(""&amp;$D30&amp;"!R"&amp;N$142&amp;"C"&amp;N$143,FALSE)</f>
        <v>1.24</v>
      </c>
      <c r="O30" s="231" cm="1">
        <f t="array" aca="1" ref="O30" ca="1">INDIRECT(""&amp;$D30&amp;"!R"&amp;O$142&amp;"C"&amp;O$143,FALSE)</f>
        <v>2.5450636661001615</v>
      </c>
      <c r="P30" s="265">
        <f ca="1">$O30*(1+INDEX(Methodology!$B$26:$E$31,MATCH($F30,Methodology!$B$26:$B$31,0),MATCH(Q$5,Methodology!$B$26:$E$26,0)))</f>
        <v>2.6723168494051697</v>
      </c>
      <c r="Q30" s="266">
        <f ca="1">$M30*(1+INDEX(Methodology!$B$26:$E$31,MATCH($F30,Methodology!$B$26:$B$31,0),MATCH(Q$5,Methodology!$B$26:$E$26,0)))</f>
        <v>4.2406166172106818</v>
      </c>
      <c r="R30" s="199"/>
      <c r="S30" s="63" cm="1">
        <f t="array" aca="1" ref="S30" ca="1">INDIRECT(""&amp;$D30&amp;"!R"&amp;S$142&amp;"C"&amp;S$143,FALSE)</f>
        <v>0</v>
      </c>
      <c r="T30" s="62" cm="1">
        <f t="array" aca="1" ref="T30" ca="1">INDIRECT(""&amp;$D30&amp;"!R"&amp;T$142&amp;"C"&amp;T$143,FALSE)</f>
        <v>0</v>
      </c>
      <c r="U30" s="265">
        <f ca="1">$T30*(1+INDEX(Methodology!$B$26:$E$31,MATCH($F30,Methodology!$B$26:$B$31,0),MATCH(V$5,Methodology!$B$26:$E$26,0)))</f>
        <v>0</v>
      </c>
      <c r="V30" s="261">
        <f ca="1">$S30*(1+INDEX(Methodology!$B$26:$E$31,MATCH($F30,Methodology!$B$26:$B$31,0),MATCH(V$5,Methodology!$B$26:$E$26,0)))</f>
        <v>0</v>
      </c>
      <c r="W30" s="63" cm="1">
        <f t="array" aca="1" ref="W30" ca="1">INDIRECT(""&amp;$D30&amp;"!R"&amp;W$142&amp;"C"&amp;W$143,FALSE)</f>
        <v>0</v>
      </c>
      <c r="X30" s="62" cm="1">
        <f t="array" aca="1" ref="X30" ca="1">INDIRECT(""&amp;$D30&amp;"!R"&amp;X$142&amp;"C"&amp;X$143,FALSE)</f>
        <v>0</v>
      </c>
      <c r="Y30" s="265">
        <f ca="1">$X30*(1+INDEX(Methodology!$B$26:$E$31,MATCH($F30,Methodology!$B$26:$B$31,0),MATCH(Z$5,Methodology!$B$26:$E$26,0)))</f>
        <v>0</v>
      </c>
      <c r="Z30" s="261">
        <f t="shared" ca="1" si="2"/>
        <v>0</v>
      </c>
      <c r="AA30" s="199"/>
      <c r="AB30" s="10">
        <f t="shared" ca="1" si="0"/>
        <v>1000.0000000000001</v>
      </c>
      <c r="AC30" s="190" t="str">
        <f t="shared" ca="1" si="1"/>
        <v>kg/tonne</v>
      </c>
      <c r="AD30" s="213" t="str" cm="1">
        <f t="array" aca="1" ref="AD30" ca="1">IF(INDIRECT(""&amp;$D30&amp;"!R"&amp;AD$142&amp;"C"&amp;AD$143,FALSE)=0,"",INDIRECT(""&amp;$D30&amp;"!R"&amp;AD$142&amp;"C"&amp;AD$143,FALSE))</f>
        <v>Using emission factors determined in structural steel hot rolled then multiplying by a factor for galvanising as determined using data found in additional data</v>
      </c>
      <c r="AE30" s="214" t="str" cm="1">
        <f t="array" aca="1" ref="AE30" ca="1">IFERROR(IF(INDIRECT(""&amp;$D30&amp;"!R"&amp;AE$142&amp;"C"&amp;AE$143,FALSE)="Average (weighted)","Yes","No"),"")</f>
        <v>Yes</v>
      </c>
      <c r="AF30" s="96"/>
    </row>
    <row r="31" spans="1:32" ht="45" customHeight="1" x14ac:dyDescent="0.25">
      <c r="A31" s="66" t="s">
        <v>3908</v>
      </c>
      <c r="B31" s="3" t="s">
        <v>3920</v>
      </c>
      <c r="C31" s="193" t="str" cm="1">
        <f t="array" aca="1" ref="C31" ca="1">INDIRECT(""&amp;$D31&amp;"!R"&amp;C$142&amp;"C"&amp;C$143,FALSE)</f>
        <v>Steel (Galvanized) used for structural purposes that has undergone cold-rolled steel production route. Including purlins, girts, stick frames, wall framing, merchant bar.</v>
      </c>
      <c r="D31" s="2" t="s">
        <v>3919</v>
      </c>
      <c r="E31" s="7" t="str" cm="1">
        <f t="array" aca="1" ref="E31" ca="1">INDIRECT(""&amp;$D31&amp;"!R"&amp;E$142&amp;"C"&amp;E$143,FALSE)</f>
        <v>tonne</v>
      </c>
      <c r="F31" s="7" t="str" cm="1">
        <f t="array" aca="1" ref="F31" ca="1">INDIRECT(""&amp;$D31&amp;"!R"&amp;F$142&amp;"C"&amp;F$143,FALSE)</f>
        <v>Tier 2</v>
      </c>
      <c r="G31" s="188">
        <f ca="1">INDEX(Methodology!$B$26:$D$31,MATCH('EF Table_detail'!$F31,Methodology!$B$26:$B$31,0),MATCH('EF Table_detail'!$G$5,Methodology!$B$26:$D$26,0))</f>
        <v>1.05</v>
      </c>
      <c r="H31" s="237" cm="1">
        <f t="array" aca="1" ref="H31" ca="1">INDIRECT(""&amp;$D31&amp;"!R"&amp;H$142&amp;"C"&amp;H$143,FALSE)</f>
        <v>4038.6824925816022</v>
      </c>
      <c r="I31" s="235" cm="1">
        <f t="array" aca="1" ref="I31" ca="1">INDIRECT(""&amp;$D31&amp;"!R"&amp;I$142&amp;"C"&amp;I$143,FALSE)</f>
        <v>1240</v>
      </c>
      <c r="J31" s="99" cm="1">
        <f t="array" aca="1" ref="J31" ca="1">INDIRECT(""&amp;$D31&amp;"!R"&amp;J$142&amp;"C"&amp;J$143,FALSE)</f>
        <v>2545.0636661001618</v>
      </c>
      <c r="K31" s="262">
        <f ca="1">$J31*(1+INDEX(Methodology!$B$26:$E$31,MATCH($F31,Methodology!$B$26:$B$31,0),MATCH(L$5,Methodology!$B$26:$E$26,0)))</f>
        <v>2672.3168494051702</v>
      </c>
      <c r="L31" s="261">
        <f ca="1">$H31*(1+INDEX(Methodology!$B$26:$E$31,MATCH($F31,Methodology!$B$26:$B$31,0),MATCH(L$5,Methodology!$B$26:$E$26,0)))</f>
        <v>4240.6166172106823</v>
      </c>
      <c r="M31" s="234" cm="1">
        <f t="array" aca="1" ref="M31" ca="1">INDIRECT(""&amp;$D31&amp;"!R"&amp;M$142&amp;"C"&amp;M$143,FALSE)</f>
        <v>4.0386824925816018</v>
      </c>
      <c r="N31" s="234" cm="1">
        <f t="array" aca="1" ref="N31" ca="1">INDIRECT(""&amp;$D31&amp;"!R"&amp;N$142&amp;"C"&amp;N$143,FALSE)</f>
        <v>1.24</v>
      </c>
      <c r="O31" s="231" cm="1">
        <f t="array" aca="1" ref="O31" ca="1">INDIRECT(""&amp;$D31&amp;"!R"&amp;O$142&amp;"C"&amp;O$143,FALSE)</f>
        <v>2.5450636661001615</v>
      </c>
      <c r="P31" s="265">
        <f ca="1">$O31*(1+INDEX(Methodology!$B$26:$E$31,MATCH($F31,Methodology!$B$26:$B$31,0),MATCH(Q$5,Methodology!$B$26:$E$26,0)))</f>
        <v>2.6723168494051697</v>
      </c>
      <c r="Q31" s="266">
        <f ca="1">$M31*(1+INDEX(Methodology!$B$26:$E$31,MATCH($F31,Methodology!$B$26:$B$31,0),MATCH(Q$5,Methodology!$B$26:$E$26,0)))</f>
        <v>4.2406166172106818</v>
      </c>
      <c r="R31" s="199"/>
      <c r="S31" s="63" cm="1">
        <f t="array" aca="1" ref="S31" ca="1">INDIRECT(""&amp;$D31&amp;"!R"&amp;S$142&amp;"C"&amp;S$143,FALSE)</f>
        <v>0</v>
      </c>
      <c r="T31" s="62" cm="1">
        <f t="array" aca="1" ref="T31" ca="1">INDIRECT(""&amp;$D31&amp;"!R"&amp;T$142&amp;"C"&amp;T$143,FALSE)</f>
        <v>0</v>
      </c>
      <c r="U31" s="265">
        <f ca="1">$T31*(1+INDEX(Methodology!$B$26:$E$31,MATCH($F31,Methodology!$B$26:$B$31,0),MATCH(V$5,Methodology!$B$26:$E$26,0)))</f>
        <v>0</v>
      </c>
      <c r="V31" s="261">
        <f ca="1">$S31*(1+INDEX(Methodology!$B$26:$E$31,MATCH($F31,Methodology!$B$26:$B$31,0),MATCH(V$5,Methodology!$B$26:$E$26,0)))</f>
        <v>0</v>
      </c>
      <c r="W31" s="63" cm="1">
        <f t="array" aca="1" ref="W31" ca="1">INDIRECT(""&amp;$D31&amp;"!R"&amp;W$142&amp;"C"&amp;W$143,FALSE)</f>
        <v>0</v>
      </c>
      <c r="X31" s="62" cm="1">
        <f t="array" aca="1" ref="X31" ca="1">INDIRECT(""&amp;$D31&amp;"!R"&amp;X$142&amp;"C"&amp;X$143,FALSE)</f>
        <v>0</v>
      </c>
      <c r="Y31" s="265">
        <f ca="1">$X31*(1+INDEX(Methodology!$B$26:$E$31,MATCH($F31,Methodology!$B$26:$B$31,0),MATCH(Z$5,Methodology!$B$26:$E$26,0)))</f>
        <v>0</v>
      </c>
      <c r="Z31" s="261">
        <f t="shared" ca="1" si="2"/>
        <v>0</v>
      </c>
      <c r="AA31" s="199"/>
      <c r="AB31" s="10">
        <f t="shared" ca="1" si="0"/>
        <v>1000.0000000000001</v>
      </c>
      <c r="AC31" s="190" t="str">
        <f t="shared" ca="1" si="1"/>
        <v>kg/tonne</v>
      </c>
      <c r="AD31" s="213" t="str" cm="1">
        <f t="array" aca="1" ref="AD31" ca="1">IF(INDIRECT(""&amp;$D31&amp;"!R"&amp;AD$142&amp;"C"&amp;AD$143,FALSE)=0,"",INDIRECT(""&amp;$D31&amp;"!R"&amp;AD$142&amp;"C"&amp;AD$143,FALSE))</f>
        <v>Using emission factors determined in structural steel hot rolled then multiplying by a factor for galvanising as determined using data found in additional data</v>
      </c>
      <c r="AE31" s="214" t="str" cm="1">
        <f t="array" aca="1" ref="AE31" ca="1">IFERROR(IF(INDIRECT(""&amp;$D31&amp;"!R"&amp;AE$142&amp;"C"&amp;AE$143,FALSE)="Average (weighted)","Yes","No"),"")</f>
        <v>Yes</v>
      </c>
      <c r="AF31" s="96"/>
    </row>
    <row r="32" spans="1:32" ht="45" customHeight="1" x14ac:dyDescent="0.25">
      <c r="A32" s="7" t="s">
        <v>3908</v>
      </c>
      <c r="B32" s="3" t="s">
        <v>3921</v>
      </c>
      <c r="C32" s="193" t="str" cm="1">
        <f t="array" aca="1" ref="C32" ca="1">INDIRECT(""&amp;$D32&amp;"!R"&amp;C$142&amp;"C"&amp;C$143,FALSE)</f>
        <v>Steel (Galvanized) used for structural purposes that has undergone hot-rolled steel production route. Including beams, columns, angles, flange channels, hollow sections.</v>
      </c>
      <c r="D32" s="2" t="s">
        <v>3917</v>
      </c>
      <c r="E32" s="7" t="str" cm="1">
        <f t="array" aca="1" ref="E32" ca="1">INDIRECT(""&amp;$D32&amp;"!R"&amp;E$142&amp;"C"&amp;E$143,FALSE)</f>
        <v>tonne</v>
      </c>
      <c r="F32" s="7" t="str" cm="1">
        <f t="array" aca="1" ref="F32" ca="1">INDIRECT(""&amp;$D32&amp;"!R"&amp;F$142&amp;"C"&amp;F$143,FALSE)</f>
        <v>Tier 2</v>
      </c>
      <c r="G32" s="188">
        <f ca="1">INDEX(Methodology!$B$26:$D$31,MATCH('EF Table_detail'!$F32,Methodology!$B$26:$B$31,0),MATCH('EF Table_detail'!$G$5,Methodology!$B$26:$D$26,0))</f>
        <v>1.05</v>
      </c>
      <c r="H32" s="237" cm="1">
        <f t="array" aca="1" ref="H32" ca="1">INDIRECT(""&amp;$D32&amp;"!R"&amp;H$142&amp;"C"&amp;H$143,FALSE)</f>
        <v>3892.2017804154302</v>
      </c>
      <c r="I32" s="235" cm="1">
        <f t="array" aca="1" ref="I32" ca="1">INDIRECT(""&amp;$D32&amp;"!R"&amp;I$142&amp;"C"&amp;I$143,FALSE)</f>
        <v>2410</v>
      </c>
      <c r="J32" s="99" cm="1">
        <f t="array" aca="1" ref="J32" ca="1">INDIRECT(""&amp;$D32&amp;"!R"&amp;J$142&amp;"C"&amp;J$143,FALSE)</f>
        <v>3177.0684447546118</v>
      </c>
      <c r="K32" s="262">
        <f ca="1">$J32*(1+INDEX(Methodology!$B$26:$E$31,MATCH($F32,Methodology!$B$26:$B$31,0),MATCH(L$5,Methodology!$B$26:$E$26,0)))</f>
        <v>3335.9218669923425</v>
      </c>
      <c r="L32" s="261">
        <f ca="1">$H32*(1+INDEX(Methodology!$B$26:$E$31,MATCH($F32,Methodology!$B$26:$B$31,0),MATCH(L$5,Methodology!$B$26:$E$26,0)))</f>
        <v>4086.811869436202</v>
      </c>
      <c r="M32" s="234" cm="1">
        <f t="array" aca="1" ref="M32" ca="1">INDIRECT(""&amp;$D32&amp;"!R"&amp;M$142&amp;"C"&amp;M$143,FALSE)</f>
        <v>3.8922017804154305</v>
      </c>
      <c r="N32" s="234" cm="1">
        <f t="array" aca="1" ref="N32" ca="1">INDIRECT(""&amp;$D32&amp;"!R"&amp;N$142&amp;"C"&amp;N$143,FALSE)</f>
        <v>2.41</v>
      </c>
      <c r="O32" s="231" cm="1">
        <f t="array" aca="1" ref="O32" ca="1">INDIRECT(""&amp;$D32&amp;"!R"&amp;O$142&amp;"C"&amp;O$143,FALSE)</f>
        <v>3.177068444754612</v>
      </c>
      <c r="P32" s="265">
        <f ca="1">$O32*(1+INDEX(Methodology!$B$26:$E$31,MATCH($F32,Methodology!$B$26:$B$31,0),MATCH(Q$5,Methodology!$B$26:$E$26,0)))</f>
        <v>3.3359218669923427</v>
      </c>
      <c r="Q32" s="266">
        <f ca="1">$M32*(1+INDEX(Methodology!$B$26:$E$31,MATCH($F32,Methodology!$B$26:$B$31,0),MATCH(Q$5,Methodology!$B$26:$E$26,0)))</f>
        <v>4.0868118694362021</v>
      </c>
      <c r="R32" s="199"/>
      <c r="S32" s="63" cm="1">
        <f t="array" aca="1" ref="S32" ca="1">INDIRECT(""&amp;$D32&amp;"!R"&amp;S$142&amp;"C"&amp;S$143,FALSE)</f>
        <v>0</v>
      </c>
      <c r="T32" s="62" cm="1">
        <f t="array" aca="1" ref="T32" ca="1">INDIRECT(""&amp;$D32&amp;"!R"&amp;T$142&amp;"C"&amp;T$143,FALSE)</f>
        <v>0</v>
      </c>
      <c r="U32" s="265">
        <f ca="1">$T32*(1+INDEX(Methodology!$B$26:$E$31,MATCH($F32,Methodology!$B$26:$B$31,0),MATCH(V$5,Methodology!$B$26:$E$26,0)))</f>
        <v>0</v>
      </c>
      <c r="V32" s="261">
        <f ca="1">$S32*(1+INDEX(Methodology!$B$26:$E$31,MATCH($F32,Methodology!$B$26:$B$31,0),MATCH(V$5,Methodology!$B$26:$E$26,0)))</f>
        <v>0</v>
      </c>
      <c r="W32" s="63" cm="1">
        <f t="array" aca="1" ref="W32" ca="1">INDIRECT(""&amp;$D32&amp;"!R"&amp;W$142&amp;"C"&amp;W$143,FALSE)</f>
        <v>0</v>
      </c>
      <c r="X32" s="62" cm="1">
        <f t="array" aca="1" ref="X32" ca="1">INDIRECT(""&amp;$D32&amp;"!R"&amp;X$142&amp;"C"&amp;X$143,FALSE)</f>
        <v>0</v>
      </c>
      <c r="Y32" s="265">
        <f ca="1">$X32*(1+INDEX(Methodology!$B$26:$E$31,MATCH($F32,Methodology!$B$26:$B$31,0),MATCH(Z$5,Methodology!$B$26:$E$26,0)))</f>
        <v>0</v>
      </c>
      <c r="Z32" s="261">
        <f t="shared" ca="1" si="2"/>
        <v>0</v>
      </c>
      <c r="AA32" s="199"/>
      <c r="AB32" s="10">
        <f t="shared" ca="1" si="0"/>
        <v>999.99999999999989</v>
      </c>
      <c r="AC32" s="190" t="str">
        <f t="shared" ca="1" si="1"/>
        <v>kg/tonne</v>
      </c>
      <c r="AD32" s="213" t="str" cm="1">
        <f t="array" aca="1" ref="AD32" ca="1">IF(INDIRECT(""&amp;$D32&amp;"!R"&amp;AD$142&amp;"C"&amp;AD$143,FALSE)=0,"",INDIRECT(""&amp;$D32&amp;"!R"&amp;AD$142&amp;"C"&amp;AD$143,FALSE))</f>
        <v>Using emission factors determined in structural steel hot rolled then multiplying by a factor for galvanising as determined using data found in additional data</v>
      </c>
      <c r="AE32" s="214" t="str" cm="1">
        <f t="array" aca="1" ref="AE32" ca="1">IFERROR(IF(INDIRECT(""&amp;$D32&amp;"!R"&amp;AE$142&amp;"C"&amp;AE$143,FALSE)="Average (weighted)","Yes","No"),"")</f>
        <v>Yes</v>
      </c>
      <c r="AF32" s="96"/>
    </row>
    <row r="33" spans="1:32" ht="45" customHeight="1" x14ac:dyDescent="0.25">
      <c r="A33" s="7" t="s">
        <v>3908</v>
      </c>
      <c r="B33" s="3" t="s">
        <v>3922</v>
      </c>
      <c r="C33" s="193" t="str" cm="1">
        <f t="array" aca="1" ref="C33" ca="1">INDIRECT(""&amp;$D33&amp;"!R"&amp;C$142&amp;"C"&amp;C$143,FALSE)</f>
        <v>Steel (Galvanized) used for structural purposes that has undergone hot-rolled steel production route. Including beams, columns, angles, flange channels, hollow sections.</v>
      </c>
      <c r="D33" s="2" t="s">
        <v>3917</v>
      </c>
      <c r="E33" s="7" t="str" cm="1">
        <f t="array" aca="1" ref="E33" ca="1">INDIRECT(""&amp;$D33&amp;"!R"&amp;E$142&amp;"C"&amp;E$143,FALSE)</f>
        <v>tonne</v>
      </c>
      <c r="F33" s="7" t="str" cm="1">
        <f t="array" aca="1" ref="F33" ca="1">INDIRECT(""&amp;$D33&amp;"!R"&amp;F$142&amp;"C"&amp;F$143,FALSE)</f>
        <v>Tier 2</v>
      </c>
      <c r="G33" s="188">
        <f ca="1">INDEX(Methodology!$B$26:$D$31,MATCH('EF Table_detail'!$F33,Methodology!$B$26:$B$31,0),MATCH('EF Table_detail'!$G$5,Methodology!$B$26:$D$26,0))</f>
        <v>1.05</v>
      </c>
      <c r="H33" s="237" cm="1">
        <f t="array" aca="1" ref="H33" ca="1">INDIRECT(""&amp;$D33&amp;"!R"&amp;H$142&amp;"C"&amp;H$143,FALSE)</f>
        <v>3892.2017804154302</v>
      </c>
      <c r="I33" s="235" cm="1">
        <f t="array" aca="1" ref="I33" ca="1">INDIRECT(""&amp;$D33&amp;"!R"&amp;I$142&amp;"C"&amp;I$143,FALSE)</f>
        <v>2410</v>
      </c>
      <c r="J33" s="99" cm="1">
        <f t="array" aca="1" ref="J33" ca="1">INDIRECT(""&amp;$D33&amp;"!R"&amp;J$142&amp;"C"&amp;J$143,FALSE)</f>
        <v>3177.0684447546118</v>
      </c>
      <c r="K33" s="262">
        <f ca="1">$J33*(1+INDEX(Methodology!$B$26:$E$31,MATCH($F33,Methodology!$B$26:$B$31,0),MATCH(L$5,Methodology!$B$26:$E$26,0)))</f>
        <v>3335.9218669923425</v>
      </c>
      <c r="L33" s="261">
        <f ca="1">$H33*(1+INDEX(Methodology!$B$26:$E$31,MATCH($F33,Methodology!$B$26:$B$31,0),MATCH(L$5,Methodology!$B$26:$E$26,0)))</f>
        <v>4086.811869436202</v>
      </c>
      <c r="M33" s="234" cm="1">
        <f t="array" aca="1" ref="M33" ca="1">INDIRECT(""&amp;$D33&amp;"!R"&amp;M$142&amp;"C"&amp;M$143,FALSE)</f>
        <v>3.8922017804154305</v>
      </c>
      <c r="N33" s="234" cm="1">
        <f t="array" aca="1" ref="N33" ca="1">INDIRECT(""&amp;$D33&amp;"!R"&amp;N$142&amp;"C"&amp;N$143,FALSE)</f>
        <v>2.41</v>
      </c>
      <c r="O33" s="231" cm="1">
        <f t="array" aca="1" ref="O33" ca="1">INDIRECT(""&amp;$D33&amp;"!R"&amp;O$142&amp;"C"&amp;O$143,FALSE)</f>
        <v>3.177068444754612</v>
      </c>
      <c r="P33" s="265">
        <f ca="1">$O33*(1+INDEX(Methodology!$B$26:$E$31,MATCH($F33,Methodology!$B$26:$B$31,0),MATCH(Q$5,Methodology!$B$26:$E$26,0)))</f>
        <v>3.3359218669923427</v>
      </c>
      <c r="Q33" s="266">
        <f ca="1">$M33*(1+INDEX(Methodology!$B$26:$E$31,MATCH($F33,Methodology!$B$26:$B$31,0),MATCH(Q$5,Methodology!$B$26:$E$26,0)))</f>
        <v>4.0868118694362021</v>
      </c>
      <c r="R33" s="199"/>
      <c r="S33" s="63" cm="1">
        <f t="array" aca="1" ref="S33" ca="1">INDIRECT(""&amp;$D33&amp;"!R"&amp;S$142&amp;"C"&amp;S$143,FALSE)</f>
        <v>0</v>
      </c>
      <c r="T33" s="62" cm="1">
        <f t="array" aca="1" ref="T33" ca="1">INDIRECT(""&amp;$D33&amp;"!R"&amp;T$142&amp;"C"&amp;T$143,FALSE)</f>
        <v>0</v>
      </c>
      <c r="U33" s="265">
        <f ca="1">$T33*(1+INDEX(Methodology!$B$26:$E$31,MATCH($F33,Methodology!$B$26:$B$31,0),MATCH(V$5,Methodology!$B$26:$E$26,0)))</f>
        <v>0</v>
      </c>
      <c r="V33" s="261">
        <f ca="1">$S33*(1+INDEX(Methodology!$B$26:$E$31,MATCH($F33,Methodology!$B$26:$B$31,0),MATCH(V$5,Methodology!$B$26:$E$26,0)))</f>
        <v>0</v>
      </c>
      <c r="W33" s="63" cm="1">
        <f t="array" aca="1" ref="W33" ca="1">INDIRECT(""&amp;$D33&amp;"!R"&amp;W$142&amp;"C"&amp;W$143,FALSE)</f>
        <v>0</v>
      </c>
      <c r="X33" s="62" cm="1">
        <f t="array" aca="1" ref="X33" ca="1">INDIRECT(""&amp;$D33&amp;"!R"&amp;X$142&amp;"C"&amp;X$143,FALSE)</f>
        <v>0</v>
      </c>
      <c r="Y33" s="265">
        <f ca="1">$X33*(1+INDEX(Methodology!$B$26:$E$31,MATCH($F33,Methodology!$B$26:$B$31,0),MATCH(Z$5,Methodology!$B$26:$E$26,0)))</f>
        <v>0</v>
      </c>
      <c r="Z33" s="261">
        <f t="shared" ca="1" si="2"/>
        <v>0</v>
      </c>
      <c r="AA33" s="199"/>
      <c r="AB33" s="10">
        <f t="shared" ca="1" si="0"/>
        <v>999.99999999999989</v>
      </c>
      <c r="AC33" s="190" t="str">
        <f t="shared" ca="1" si="1"/>
        <v>kg/tonne</v>
      </c>
      <c r="AD33" s="213" t="str" cm="1">
        <f t="array" aca="1" ref="AD33" ca="1">IF(INDIRECT(""&amp;$D33&amp;"!R"&amp;AD$142&amp;"C"&amp;AD$143,FALSE)=0,"",INDIRECT(""&amp;$D33&amp;"!R"&amp;AD$142&amp;"C"&amp;AD$143,FALSE))</f>
        <v>Using emission factors determined in structural steel hot rolled then multiplying by a factor for galvanising as determined using data found in additional data</v>
      </c>
      <c r="AE33" s="214" t="str" cm="1">
        <f t="array" aca="1" ref="AE33" ca="1">IFERROR(IF(INDIRECT(""&amp;$D33&amp;"!R"&amp;AE$142&amp;"C"&amp;AE$143,FALSE)="Average (weighted)","Yes","No"),"")</f>
        <v>Yes</v>
      </c>
      <c r="AF33" s="96"/>
    </row>
    <row r="34" spans="1:32" ht="45" customHeight="1" x14ac:dyDescent="0.25">
      <c r="A34" s="7" t="s">
        <v>3908</v>
      </c>
      <c r="B34" s="3" t="s">
        <v>3923</v>
      </c>
      <c r="C34" s="193" t="str" cm="1">
        <f t="array" aca="1" ref="C34" ca="1">INDIRECT(""&amp;$D34&amp;"!R"&amp;C$142&amp;"C"&amp;C$143,FALSE)</f>
        <v>Steel (Painted) used for structural purposes that has undergone hot-rolled steel production route. Including beams, columns, angles, flange channels, hollow sections.</v>
      </c>
      <c r="D34" s="2" t="s">
        <v>3924</v>
      </c>
      <c r="E34" s="7" t="str" cm="1">
        <f t="array" aca="1" ref="E34" ca="1">INDIRECT(""&amp;$D34&amp;"!R"&amp;E$142&amp;"C"&amp;E$143,FALSE)</f>
        <v>tonne</v>
      </c>
      <c r="F34" s="7" t="str" cm="1">
        <f t="array" aca="1" ref="F34" ca="1">INDIRECT(""&amp;$D34&amp;"!R"&amp;F$142&amp;"C"&amp;F$143,FALSE)</f>
        <v>Tier 2</v>
      </c>
      <c r="G34" s="188">
        <f ca="1">INDEX(Methodology!$B$26:$D$31,MATCH('EF Table_detail'!$F34,Methodology!$B$26:$B$31,0),MATCH('EF Table_detail'!$G$5,Methodology!$B$26:$D$26,0))</f>
        <v>1.05</v>
      </c>
      <c r="H34" s="237" cm="1">
        <f t="array" aca="1" ref="H34" ca="1">INDIRECT(""&amp;$D34&amp;"!R"&amp;H$142&amp;"C"&amp;H$143,FALSE)</f>
        <v>3808.2990104305964</v>
      </c>
      <c r="I34" s="235" cm="1">
        <f t="array" aca="1" ref="I34" ca="1">INDIRECT(""&amp;$D34&amp;"!R"&amp;I$142&amp;"C"&amp;I$143,FALSE)</f>
        <v>2410</v>
      </c>
      <c r="J34" s="99" cm="1">
        <f t="array" aca="1" ref="J34" ca="1">INDIRECT(""&amp;$D34&amp;"!R"&amp;J$142&amp;"C"&amp;J$143,FALSE)</f>
        <v>3108.5815424856683</v>
      </c>
      <c r="K34" s="262">
        <f ca="1">$J34*(1+INDEX(Methodology!$B$26:$E$31,MATCH($F34,Methodology!$B$26:$B$31,0),MATCH(L$5,Methodology!$B$26:$E$26,0)))</f>
        <v>3264.0106196099518</v>
      </c>
      <c r="L34" s="261">
        <f ca="1">$H34*(1+INDEX(Methodology!$B$26:$E$31,MATCH($F34,Methodology!$B$26:$B$31,0),MATCH(L$5,Methodology!$B$26:$E$26,0)))</f>
        <v>3998.7139609521264</v>
      </c>
      <c r="M34" s="234" cm="1">
        <f t="array" aca="1" ref="M34" ca="1">INDIRECT(""&amp;$D34&amp;"!R"&amp;M$142&amp;"C"&amp;M$143,FALSE)</f>
        <v>3.8082990104305967</v>
      </c>
      <c r="N34" s="234" cm="1">
        <f t="array" aca="1" ref="N34" ca="1">INDIRECT(""&amp;$D34&amp;"!R"&amp;N$142&amp;"C"&amp;N$143,FALSE)</f>
        <v>2.41</v>
      </c>
      <c r="O34" s="231" cm="1">
        <f t="array" aca="1" ref="O34" ca="1">INDIRECT(""&amp;$D34&amp;"!R"&amp;O$142&amp;"C"&amp;O$143,FALSE)</f>
        <v>3.1085815424856684</v>
      </c>
      <c r="P34" s="265">
        <f ca="1">$O34*(1+INDEX(Methodology!$B$26:$E$31,MATCH($F34,Methodology!$B$26:$B$31,0),MATCH(Q$5,Methodology!$B$26:$E$26,0)))</f>
        <v>3.2640106196099521</v>
      </c>
      <c r="Q34" s="266">
        <f ca="1">$M34*(1+INDEX(Methodology!$B$26:$E$31,MATCH($F34,Methodology!$B$26:$B$31,0),MATCH(Q$5,Methodology!$B$26:$E$26,0)))</f>
        <v>3.9987139609521267</v>
      </c>
      <c r="R34" s="199"/>
      <c r="S34" s="63" cm="1">
        <f t="array" aca="1" ref="S34" ca="1">INDIRECT(""&amp;$D34&amp;"!R"&amp;S$142&amp;"C"&amp;S$143,FALSE)</f>
        <v>0</v>
      </c>
      <c r="T34" s="62" cm="1">
        <f t="array" aca="1" ref="T34" ca="1">INDIRECT(""&amp;$D34&amp;"!R"&amp;T$142&amp;"C"&amp;T$143,FALSE)</f>
        <v>0</v>
      </c>
      <c r="U34" s="265">
        <f ca="1">$T34*(1+INDEX(Methodology!$B$26:$E$31,MATCH($F34,Methodology!$B$26:$B$31,0),MATCH(V$5,Methodology!$B$26:$E$26,0)))</f>
        <v>0</v>
      </c>
      <c r="V34" s="261">
        <f ca="1">$S34*(1+INDEX(Methodology!$B$26:$E$31,MATCH($F34,Methodology!$B$26:$B$31,0),MATCH(V$5,Methodology!$B$26:$E$26,0)))</f>
        <v>0</v>
      </c>
      <c r="W34" s="63" cm="1">
        <f t="array" aca="1" ref="W34" ca="1">INDIRECT(""&amp;$D34&amp;"!R"&amp;W$142&amp;"C"&amp;W$143,FALSE)</f>
        <v>0</v>
      </c>
      <c r="X34" s="62" cm="1">
        <f t="array" aca="1" ref="X34" ca="1">INDIRECT(""&amp;$D34&amp;"!R"&amp;X$142&amp;"C"&amp;X$143,FALSE)</f>
        <v>0</v>
      </c>
      <c r="Y34" s="265">
        <f ca="1">$X34*(1+INDEX(Methodology!$B$26:$E$31,MATCH($F34,Methodology!$B$26:$B$31,0),MATCH(Z$5,Methodology!$B$26:$E$26,0)))</f>
        <v>0</v>
      </c>
      <c r="Z34" s="261">
        <f t="shared" ca="1" si="2"/>
        <v>0</v>
      </c>
      <c r="AA34" s="199"/>
      <c r="AB34" s="10">
        <f t="shared" ca="1" si="0"/>
        <v>1000</v>
      </c>
      <c r="AC34" s="190" t="str">
        <f t="shared" ca="1" si="1"/>
        <v>kg/tonne</v>
      </c>
      <c r="AD34" s="213" t="str" cm="1">
        <f t="array" aca="1" ref="AD34" ca="1">IF(INDIRECT(""&amp;$D34&amp;"!R"&amp;AD$142&amp;"C"&amp;AD$143,FALSE)=0,"",INDIRECT(""&amp;$D34&amp;"!R"&amp;AD$142&amp;"C"&amp;AD$143,FALSE))</f>
        <v>Using emission factors determined in structural steel hot rolled then multiplying by a factor for painting as determined using data found in additional data</v>
      </c>
      <c r="AE34" s="214" t="str" cm="1">
        <f t="array" aca="1" ref="AE34" ca="1">IFERROR(IF(INDIRECT(""&amp;$D34&amp;"!R"&amp;AE$142&amp;"C"&amp;AE$143,FALSE)="Average (weighted)","Yes","No"),"")</f>
        <v>Yes</v>
      </c>
      <c r="AF34" s="96"/>
    </row>
    <row r="35" spans="1:32" ht="45" customHeight="1" x14ac:dyDescent="0.25">
      <c r="A35" s="7" t="s">
        <v>3908</v>
      </c>
      <c r="B35" s="3" t="s">
        <v>3925</v>
      </c>
      <c r="C35" s="193" t="str" cm="1">
        <f t="array" aca="1" ref="C35" ca="1">INDIRECT(""&amp;$D35&amp;"!R"&amp;C$142&amp;"C"&amp;C$143,FALSE)</f>
        <v>Steel (Painted) used for structural purposes that has undergone cold-rolled steel production route. Including purlins, girts, stick frames, wall framing, merchant bar.</v>
      </c>
      <c r="D35" s="2" t="s">
        <v>3926</v>
      </c>
      <c r="E35" s="7" t="str" cm="1">
        <f t="array" aca="1" ref="E35" ca="1">INDIRECT(""&amp;$D35&amp;"!R"&amp;E$142&amp;"C"&amp;E$143,FALSE)</f>
        <v>tonne</v>
      </c>
      <c r="F35" s="7" t="str" cm="1">
        <f t="array" aca="1" ref="F35" ca="1">INDIRECT(""&amp;$D35&amp;"!R"&amp;F$142&amp;"C"&amp;F$143,FALSE)</f>
        <v>Tier 2</v>
      </c>
      <c r="G35" s="188">
        <f ca="1">INDEX(Methodology!$B$26:$D$31,MATCH('EF Table_detail'!$F35,Methodology!$B$26:$B$31,0),MATCH('EF Table_detail'!$G$5,Methodology!$B$26:$D$26,0))</f>
        <v>1.05</v>
      </c>
      <c r="H35" s="237" cm="1">
        <f t="array" aca="1" ref="H35" ca="1">INDIRECT(""&amp;$D35&amp;"!R"&amp;H$142&amp;"C"&amp;H$143,FALSE)</f>
        <v>4294.4417892229712</v>
      </c>
      <c r="I35" s="235" cm="1">
        <f t="array" aca="1" ref="I35" ca="1">INDIRECT(""&amp;$D35&amp;"!R"&amp;I$142&amp;"C"&amp;I$143,FALSE)</f>
        <v>1240</v>
      </c>
      <c r="J35" s="99" cm="1">
        <f t="array" aca="1" ref="J35" ca="1">INDIRECT(""&amp;$D35&amp;"!R"&amp;J$142&amp;"C"&amp;J$143,FALSE)</f>
        <v>2706.2359529399719</v>
      </c>
      <c r="K35" s="262">
        <f ca="1">$J35*(1+INDEX(Methodology!$B$26:$E$31,MATCH($F35,Methodology!$B$26:$B$31,0),MATCH(L$5,Methodology!$B$26:$E$26,0)))</f>
        <v>2841.5477505869708</v>
      </c>
      <c r="L35" s="261">
        <f ca="1">$H35*(1+INDEX(Methodology!$B$26:$E$31,MATCH($F35,Methodology!$B$26:$B$31,0),MATCH(L$5,Methodology!$B$26:$E$26,0)))</f>
        <v>4509.1638786841204</v>
      </c>
      <c r="M35" s="234" cm="1">
        <f t="array" aca="1" ref="M35" ca="1">INDIRECT(""&amp;$D35&amp;"!R"&amp;M$142&amp;"C"&amp;M$143,FALSE)</f>
        <v>4.2944417892229714</v>
      </c>
      <c r="N35" s="234" cm="1">
        <f t="array" aca="1" ref="N35" ca="1">INDIRECT(""&amp;$D35&amp;"!R"&amp;N$142&amp;"C"&amp;N$143,FALSE)</f>
        <v>1.24</v>
      </c>
      <c r="O35" s="231" cm="1">
        <f t="array" aca="1" ref="O35" ca="1">INDIRECT(""&amp;$D35&amp;"!R"&amp;O$142&amp;"C"&amp;O$143,FALSE)</f>
        <v>2.7062359529399718</v>
      </c>
      <c r="P35" s="265">
        <f ca="1">$O35*(1+INDEX(Methodology!$B$26:$E$31,MATCH($F35,Methodology!$B$26:$B$31,0),MATCH(Q$5,Methodology!$B$26:$E$26,0)))</f>
        <v>2.8415477505869706</v>
      </c>
      <c r="Q35" s="266">
        <f ca="1">$M35*(1+INDEX(Methodology!$B$26:$E$31,MATCH($F35,Methodology!$B$26:$B$31,0),MATCH(Q$5,Methodology!$B$26:$E$26,0)))</f>
        <v>4.5091638786841202</v>
      </c>
      <c r="R35" s="199"/>
      <c r="S35" s="63" cm="1">
        <f t="array" aca="1" ref="S35" ca="1">INDIRECT(""&amp;$D35&amp;"!R"&amp;S$142&amp;"C"&amp;S$143,FALSE)</f>
        <v>0</v>
      </c>
      <c r="T35" s="62" cm="1">
        <f t="array" aca="1" ref="T35" ca="1">INDIRECT(""&amp;$D35&amp;"!R"&amp;T$142&amp;"C"&amp;T$143,FALSE)</f>
        <v>0</v>
      </c>
      <c r="U35" s="265">
        <f ca="1">$T35*(1+INDEX(Methodology!$B$26:$E$31,MATCH($F35,Methodology!$B$26:$B$31,0),MATCH(V$5,Methodology!$B$26:$E$26,0)))</f>
        <v>0</v>
      </c>
      <c r="V35" s="261">
        <f ca="1">$S35*(1+INDEX(Methodology!$B$26:$E$31,MATCH($F35,Methodology!$B$26:$B$31,0),MATCH(V$5,Methodology!$B$26:$E$26,0)))</f>
        <v>0</v>
      </c>
      <c r="W35" s="63" cm="1">
        <f t="array" aca="1" ref="W35" ca="1">INDIRECT(""&amp;$D35&amp;"!R"&amp;W$142&amp;"C"&amp;W$143,FALSE)</f>
        <v>0</v>
      </c>
      <c r="X35" s="62" cm="1">
        <f t="array" aca="1" ref="X35" ca="1">INDIRECT(""&amp;$D35&amp;"!R"&amp;X$142&amp;"C"&amp;X$143,FALSE)</f>
        <v>0</v>
      </c>
      <c r="Y35" s="265">
        <f ca="1">$X35*(1+INDEX(Methodology!$B$26:$E$31,MATCH($F35,Methodology!$B$26:$B$31,0),MATCH(Z$5,Methodology!$B$26:$E$26,0)))</f>
        <v>0</v>
      </c>
      <c r="Z35" s="261">
        <f t="shared" ca="1" si="2"/>
        <v>0</v>
      </c>
      <c r="AA35" s="199"/>
      <c r="AB35" s="10">
        <f t="shared" ca="1" si="0"/>
        <v>1000</v>
      </c>
      <c r="AC35" s="190" t="str">
        <f t="shared" ca="1" si="1"/>
        <v>kg/tonne</v>
      </c>
      <c r="AD35" s="213" t="str" cm="1">
        <f t="array" aca="1" ref="AD35" ca="1">IF(INDIRECT(""&amp;$D35&amp;"!R"&amp;AD$142&amp;"C"&amp;AD$143,FALSE)=0,"",INDIRECT(""&amp;$D35&amp;"!R"&amp;AD$142&amp;"C"&amp;AD$143,FALSE))</f>
        <v>Using emission factors determined in structural steel hot rolled then multiplying by a factor for painting as determined using data found in additional data</v>
      </c>
      <c r="AE35" s="214" t="str" cm="1">
        <f t="array" aca="1" ref="AE35" ca="1">IFERROR(IF(INDIRECT(""&amp;$D35&amp;"!R"&amp;AE$142&amp;"C"&amp;AE$143,FALSE)="Average (weighted)","Yes","No"),"")</f>
        <v>Yes</v>
      </c>
      <c r="AF35" s="96"/>
    </row>
    <row r="36" spans="1:32" ht="45" customHeight="1" x14ac:dyDescent="0.25">
      <c r="A36" s="7" t="s">
        <v>3908</v>
      </c>
      <c r="B36" s="3" t="s">
        <v>3927</v>
      </c>
      <c r="C36" s="193" t="str" cm="1">
        <f t="array" aca="1" ref="C36" ca="1">INDIRECT(""&amp;$D36&amp;"!R"&amp;C$142&amp;"C"&amp;C$143,FALSE)</f>
        <v>Steel (Painted) used for structural purposes that has undergone cold-rolled steel production route. Including purlins, girts, stick frames, wall framing, merchant bar.</v>
      </c>
      <c r="D36" s="2" t="s">
        <v>3926</v>
      </c>
      <c r="E36" s="7" t="str" cm="1">
        <f t="array" aca="1" ref="E36" ca="1">INDIRECT(""&amp;$D36&amp;"!R"&amp;E$142&amp;"C"&amp;E$143,FALSE)</f>
        <v>tonne</v>
      </c>
      <c r="F36" s="7" t="str" cm="1">
        <f t="array" aca="1" ref="F36" ca="1">INDIRECT(""&amp;$D36&amp;"!R"&amp;F$142&amp;"C"&amp;F$143,FALSE)</f>
        <v>Tier 2</v>
      </c>
      <c r="G36" s="188">
        <f ca="1">INDEX(Methodology!$B$26:$D$31,MATCH('EF Table_detail'!$F36,Methodology!$B$26:$B$31,0),MATCH('EF Table_detail'!$G$5,Methodology!$B$26:$D$26,0))</f>
        <v>1.05</v>
      </c>
      <c r="H36" s="237" cm="1">
        <f t="array" aca="1" ref="H36" ca="1">INDIRECT(""&amp;$D36&amp;"!R"&amp;H$142&amp;"C"&amp;H$143,FALSE)</f>
        <v>4294.4417892229712</v>
      </c>
      <c r="I36" s="235" cm="1">
        <f t="array" aca="1" ref="I36" ca="1">INDIRECT(""&amp;$D36&amp;"!R"&amp;I$142&amp;"C"&amp;I$143,FALSE)</f>
        <v>1240</v>
      </c>
      <c r="J36" s="99" cm="1">
        <f t="array" aca="1" ref="J36" ca="1">INDIRECT(""&amp;$D36&amp;"!R"&amp;J$142&amp;"C"&amp;J$143,FALSE)</f>
        <v>2706.2359529399719</v>
      </c>
      <c r="K36" s="262">
        <f ca="1">$J36*(1+INDEX(Methodology!$B$26:$E$31,MATCH($F36,Methodology!$B$26:$B$31,0),MATCH(L$5,Methodology!$B$26:$E$26,0)))</f>
        <v>2841.5477505869708</v>
      </c>
      <c r="L36" s="261">
        <f ca="1">$H36*(1+INDEX(Methodology!$B$26:$E$31,MATCH($F36,Methodology!$B$26:$B$31,0),MATCH(L$5,Methodology!$B$26:$E$26,0)))</f>
        <v>4509.1638786841204</v>
      </c>
      <c r="M36" s="234" cm="1">
        <f t="array" aca="1" ref="M36" ca="1">INDIRECT(""&amp;$D36&amp;"!R"&amp;M$142&amp;"C"&amp;M$143,FALSE)</f>
        <v>4.2944417892229714</v>
      </c>
      <c r="N36" s="234" cm="1">
        <f t="array" aca="1" ref="N36" ca="1">INDIRECT(""&amp;$D36&amp;"!R"&amp;N$142&amp;"C"&amp;N$143,FALSE)</f>
        <v>1.24</v>
      </c>
      <c r="O36" s="231" cm="1">
        <f t="array" aca="1" ref="O36" ca="1">INDIRECT(""&amp;$D36&amp;"!R"&amp;O$142&amp;"C"&amp;O$143,FALSE)</f>
        <v>2.7062359529399718</v>
      </c>
      <c r="P36" s="265">
        <f ca="1">$O36*(1+INDEX(Methodology!$B$26:$E$31,MATCH($F36,Methodology!$B$26:$B$31,0),MATCH(Q$5,Methodology!$B$26:$E$26,0)))</f>
        <v>2.8415477505869706</v>
      </c>
      <c r="Q36" s="266">
        <f ca="1">$M36*(1+INDEX(Methodology!$B$26:$E$31,MATCH($F36,Methodology!$B$26:$B$31,0),MATCH(Q$5,Methodology!$B$26:$E$26,0)))</f>
        <v>4.5091638786841202</v>
      </c>
      <c r="R36" s="199"/>
      <c r="S36" s="63" cm="1">
        <f t="array" aca="1" ref="S36" ca="1">INDIRECT(""&amp;$D36&amp;"!R"&amp;S$142&amp;"C"&amp;S$143,FALSE)</f>
        <v>0</v>
      </c>
      <c r="T36" s="62" cm="1">
        <f t="array" aca="1" ref="T36" ca="1">INDIRECT(""&amp;$D36&amp;"!R"&amp;T$142&amp;"C"&amp;T$143,FALSE)</f>
        <v>0</v>
      </c>
      <c r="U36" s="265">
        <f ca="1">$T36*(1+INDEX(Methodology!$B$26:$E$31,MATCH($F36,Methodology!$B$26:$B$31,0),MATCH(V$5,Methodology!$B$26:$E$26,0)))</f>
        <v>0</v>
      </c>
      <c r="V36" s="261">
        <f ca="1">$S36*(1+INDEX(Methodology!$B$26:$E$31,MATCH($F36,Methodology!$B$26:$B$31,0),MATCH(V$5,Methodology!$B$26:$E$26,0)))</f>
        <v>0</v>
      </c>
      <c r="W36" s="63" cm="1">
        <f t="array" aca="1" ref="W36" ca="1">INDIRECT(""&amp;$D36&amp;"!R"&amp;W$142&amp;"C"&amp;W$143,FALSE)</f>
        <v>0</v>
      </c>
      <c r="X36" s="62" cm="1">
        <f t="array" aca="1" ref="X36" ca="1">INDIRECT(""&amp;$D36&amp;"!R"&amp;X$142&amp;"C"&amp;X$143,FALSE)</f>
        <v>0</v>
      </c>
      <c r="Y36" s="265">
        <f ca="1">$X36*(1+INDEX(Methodology!$B$26:$E$31,MATCH($F36,Methodology!$B$26:$B$31,0),MATCH(Z$5,Methodology!$B$26:$E$26,0)))</f>
        <v>0</v>
      </c>
      <c r="Z36" s="261">
        <f t="shared" ca="1" si="2"/>
        <v>0</v>
      </c>
      <c r="AA36" s="199"/>
      <c r="AB36" s="10">
        <f t="shared" ca="1" si="0"/>
        <v>1000</v>
      </c>
      <c r="AC36" s="190" t="str">
        <f t="shared" ca="1" si="1"/>
        <v>kg/tonne</v>
      </c>
      <c r="AD36" s="213" t="str" cm="1">
        <f t="array" aca="1" ref="AD36" ca="1">IF(INDIRECT(""&amp;$D36&amp;"!R"&amp;AD$142&amp;"C"&amp;AD$143,FALSE)=0,"",INDIRECT(""&amp;$D36&amp;"!R"&amp;AD$142&amp;"C"&amp;AD$143,FALSE))</f>
        <v>Using emission factors determined in structural steel hot rolled then multiplying by a factor for painting as determined using data found in additional data</v>
      </c>
      <c r="AE36" s="214" t="str" cm="1">
        <f t="array" aca="1" ref="AE36" ca="1">IFERROR(IF(INDIRECT(""&amp;$D36&amp;"!R"&amp;AE$142&amp;"C"&amp;AE$143,FALSE)="Average (weighted)","Yes","No"),"")</f>
        <v>Yes</v>
      </c>
      <c r="AF36" s="96"/>
    </row>
    <row r="37" spans="1:32" ht="45" customHeight="1" x14ac:dyDescent="0.25">
      <c r="A37" s="7" t="s">
        <v>3908</v>
      </c>
      <c r="B37" s="3" t="s">
        <v>3928</v>
      </c>
      <c r="C37" s="193" t="str" cm="1">
        <f t="array" aca="1" ref="C37" ca="1">INDIRECT(""&amp;$D37&amp;"!R"&amp;C$142&amp;"C"&amp;C$143,FALSE)</f>
        <v>Steel (Painted) used for structural purposes that has undergone hot-rolled steel production route. Including beams, columns, angles, flange channels, hollow sections.</v>
      </c>
      <c r="D37" s="2" t="s">
        <v>3924</v>
      </c>
      <c r="E37" s="7" t="str" cm="1">
        <f t="array" aca="1" ref="E37" ca="1">INDIRECT(""&amp;$D37&amp;"!R"&amp;E$142&amp;"C"&amp;E$143,FALSE)</f>
        <v>tonne</v>
      </c>
      <c r="F37" s="7" t="str" cm="1">
        <f t="array" aca="1" ref="F37" ca="1">INDIRECT(""&amp;$D37&amp;"!R"&amp;F$142&amp;"C"&amp;F$143,FALSE)</f>
        <v>Tier 2</v>
      </c>
      <c r="G37" s="188">
        <f ca="1">INDEX(Methodology!$B$26:$D$31,MATCH('EF Table_detail'!$F37,Methodology!$B$26:$B$31,0),MATCH('EF Table_detail'!$G$5,Methodology!$B$26:$D$26,0))</f>
        <v>1.05</v>
      </c>
      <c r="H37" s="237" cm="1">
        <f t="array" aca="1" ref="H37" ca="1">INDIRECT(""&amp;$D37&amp;"!R"&amp;H$142&amp;"C"&amp;H$143,FALSE)</f>
        <v>3808.2990104305964</v>
      </c>
      <c r="I37" s="235" cm="1">
        <f t="array" aca="1" ref="I37" ca="1">INDIRECT(""&amp;$D37&amp;"!R"&amp;I$142&amp;"C"&amp;I$143,FALSE)</f>
        <v>2410</v>
      </c>
      <c r="J37" s="99" cm="1">
        <f t="array" aca="1" ref="J37" ca="1">INDIRECT(""&amp;$D37&amp;"!R"&amp;J$142&amp;"C"&amp;J$143,FALSE)</f>
        <v>3108.5815424856683</v>
      </c>
      <c r="K37" s="262">
        <f ca="1">$J37*(1+INDEX(Methodology!$B$26:$E$31,MATCH($F37,Methodology!$B$26:$B$31,0),MATCH(L$5,Methodology!$B$26:$E$26,0)))</f>
        <v>3264.0106196099518</v>
      </c>
      <c r="L37" s="261">
        <f ca="1">$H37*(1+INDEX(Methodology!$B$26:$E$31,MATCH($F37,Methodology!$B$26:$B$31,0),MATCH(L$5,Methodology!$B$26:$E$26,0)))</f>
        <v>3998.7139609521264</v>
      </c>
      <c r="M37" s="234" cm="1">
        <f t="array" aca="1" ref="M37" ca="1">INDIRECT(""&amp;$D37&amp;"!R"&amp;M$142&amp;"C"&amp;M$143,FALSE)</f>
        <v>3.8082990104305967</v>
      </c>
      <c r="N37" s="234" cm="1">
        <f t="array" aca="1" ref="N37" ca="1">INDIRECT(""&amp;$D37&amp;"!R"&amp;N$142&amp;"C"&amp;N$143,FALSE)</f>
        <v>2.41</v>
      </c>
      <c r="O37" s="231" cm="1">
        <f t="array" aca="1" ref="O37" ca="1">INDIRECT(""&amp;$D37&amp;"!R"&amp;O$142&amp;"C"&amp;O$143,FALSE)</f>
        <v>3.1085815424856684</v>
      </c>
      <c r="P37" s="265">
        <f ca="1">$O37*(1+INDEX(Methodology!$B$26:$E$31,MATCH($F37,Methodology!$B$26:$B$31,0),MATCH(Q$5,Methodology!$B$26:$E$26,0)))</f>
        <v>3.2640106196099521</v>
      </c>
      <c r="Q37" s="266">
        <f ca="1">$M37*(1+INDEX(Methodology!$B$26:$E$31,MATCH($F37,Methodology!$B$26:$B$31,0),MATCH(Q$5,Methodology!$B$26:$E$26,0)))</f>
        <v>3.9987139609521267</v>
      </c>
      <c r="R37" s="199"/>
      <c r="S37" s="63" cm="1">
        <f t="array" aca="1" ref="S37" ca="1">INDIRECT(""&amp;$D37&amp;"!R"&amp;S$142&amp;"C"&amp;S$143,FALSE)</f>
        <v>0</v>
      </c>
      <c r="T37" s="62" cm="1">
        <f t="array" aca="1" ref="T37" ca="1">INDIRECT(""&amp;$D37&amp;"!R"&amp;T$142&amp;"C"&amp;T$143,FALSE)</f>
        <v>0</v>
      </c>
      <c r="U37" s="265">
        <f ca="1">$T37*(1+INDEX(Methodology!$B$26:$E$31,MATCH($F37,Methodology!$B$26:$B$31,0),MATCH(V$5,Methodology!$B$26:$E$26,0)))</f>
        <v>0</v>
      </c>
      <c r="V37" s="261">
        <f ca="1">$S37*(1+INDEX(Methodology!$B$26:$E$31,MATCH($F37,Methodology!$B$26:$B$31,0),MATCH(V$5,Methodology!$B$26:$E$26,0)))</f>
        <v>0</v>
      </c>
      <c r="W37" s="63" cm="1">
        <f t="array" aca="1" ref="W37" ca="1">INDIRECT(""&amp;$D37&amp;"!R"&amp;W$142&amp;"C"&amp;W$143,FALSE)</f>
        <v>0</v>
      </c>
      <c r="X37" s="62" cm="1">
        <f t="array" aca="1" ref="X37" ca="1">INDIRECT(""&amp;$D37&amp;"!R"&amp;X$142&amp;"C"&amp;X$143,FALSE)</f>
        <v>0</v>
      </c>
      <c r="Y37" s="265">
        <f ca="1">$X37*(1+INDEX(Methodology!$B$26:$E$31,MATCH($F37,Methodology!$B$26:$B$31,0),MATCH(Z$5,Methodology!$B$26:$E$26,0)))</f>
        <v>0</v>
      </c>
      <c r="Z37" s="261">
        <f t="shared" ca="1" si="2"/>
        <v>0</v>
      </c>
      <c r="AA37" s="199"/>
      <c r="AB37" s="10">
        <f t="shared" ca="1" si="0"/>
        <v>1000</v>
      </c>
      <c r="AC37" s="190" t="str">
        <f t="shared" ca="1" si="1"/>
        <v>kg/tonne</v>
      </c>
      <c r="AD37" s="213" t="str" cm="1">
        <f t="array" aca="1" ref="AD37" ca="1">IF(INDIRECT(""&amp;$D37&amp;"!R"&amp;AD$142&amp;"C"&amp;AD$143,FALSE)=0,"",INDIRECT(""&amp;$D37&amp;"!R"&amp;AD$142&amp;"C"&amp;AD$143,FALSE))</f>
        <v>Using emission factors determined in structural steel hot rolled then multiplying by a factor for painting as determined using data found in additional data</v>
      </c>
      <c r="AE37" s="214" t="str" cm="1">
        <f t="array" aca="1" ref="AE37" ca="1">IFERROR(IF(INDIRECT(""&amp;$D37&amp;"!R"&amp;AE$142&amp;"C"&amp;AE$143,FALSE)="Average (weighted)","Yes","No"),"")</f>
        <v>Yes</v>
      </c>
      <c r="AF37" s="96"/>
    </row>
    <row r="38" spans="1:32" ht="45" customHeight="1" x14ac:dyDescent="0.25">
      <c r="A38" s="7" t="s">
        <v>3908</v>
      </c>
      <c r="B38" s="3" t="s">
        <v>3929</v>
      </c>
      <c r="C38" s="193" t="str" cm="1">
        <f t="array" aca="1" ref="C38" ca="1">INDIRECT(""&amp;$D38&amp;"!R"&amp;C$142&amp;"C"&amp;C$143,FALSE)</f>
        <v>Steel (Painted) used for structural purposes that has undergone hot-rolled steel production route. Including beams, columns, angles, flange channels, hollow sections.</v>
      </c>
      <c r="D38" s="2" t="s">
        <v>3924</v>
      </c>
      <c r="E38" s="7" t="str" cm="1">
        <f t="array" aca="1" ref="E38" ca="1">INDIRECT(""&amp;$D38&amp;"!R"&amp;E$142&amp;"C"&amp;E$143,FALSE)</f>
        <v>tonne</v>
      </c>
      <c r="F38" s="7" t="str" cm="1">
        <f t="array" aca="1" ref="F38" ca="1">INDIRECT(""&amp;$D38&amp;"!R"&amp;F$142&amp;"C"&amp;F$143,FALSE)</f>
        <v>Tier 2</v>
      </c>
      <c r="G38" s="188">
        <f ca="1">INDEX(Methodology!$B$26:$D$31,MATCH('EF Table_detail'!$F38,Methodology!$B$26:$B$31,0),MATCH('EF Table_detail'!$G$5,Methodology!$B$26:$D$26,0))</f>
        <v>1.05</v>
      </c>
      <c r="H38" s="237" cm="1">
        <f t="array" aca="1" ref="H38" ca="1">INDIRECT(""&amp;$D38&amp;"!R"&amp;H$142&amp;"C"&amp;H$143,FALSE)</f>
        <v>3808.2990104305964</v>
      </c>
      <c r="I38" s="235" cm="1">
        <f t="array" aca="1" ref="I38" ca="1">INDIRECT(""&amp;$D38&amp;"!R"&amp;I$142&amp;"C"&amp;I$143,FALSE)</f>
        <v>2410</v>
      </c>
      <c r="J38" s="99" cm="1">
        <f t="array" aca="1" ref="J38" ca="1">INDIRECT(""&amp;$D38&amp;"!R"&amp;J$142&amp;"C"&amp;J$143,FALSE)</f>
        <v>3108.5815424856683</v>
      </c>
      <c r="K38" s="262">
        <f ca="1">$J38*(1+INDEX(Methodology!$B$26:$E$31,MATCH($F38,Methodology!$B$26:$B$31,0),MATCH(L$5,Methodology!$B$26:$E$26,0)))</f>
        <v>3264.0106196099518</v>
      </c>
      <c r="L38" s="261">
        <f ca="1">$H38*(1+INDEX(Methodology!$B$26:$E$31,MATCH($F38,Methodology!$B$26:$B$31,0),MATCH(L$5,Methodology!$B$26:$E$26,0)))</f>
        <v>3998.7139609521264</v>
      </c>
      <c r="M38" s="234" cm="1">
        <f t="array" aca="1" ref="M38" ca="1">INDIRECT(""&amp;$D38&amp;"!R"&amp;M$142&amp;"C"&amp;M$143,FALSE)</f>
        <v>3.8082990104305967</v>
      </c>
      <c r="N38" s="234" cm="1">
        <f t="array" aca="1" ref="N38" ca="1">INDIRECT(""&amp;$D38&amp;"!R"&amp;N$142&amp;"C"&amp;N$143,FALSE)</f>
        <v>2.41</v>
      </c>
      <c r="O38" s="231" cm="1">
        <f t="array" aca="1" ref="O38" ca="1">INDIRECT(""&amp;$D38&amp;"!R"&amp;O$142&amp;"C"&amp;O$143,FALSE)</f>
        <v>3.1085815424856684</v>
      </c>
      <c r="P38" s="265">
        <f ca="1">$O38*(1+INDEX(Methodology!$B$26:$E$31,MATCH($F38,Methodology!$B$26:$B$31,0),MATCH(Q$5,Methodology!$B$26:$E$26,0)))</f>
        <v>3.2640106196099521</v>
      </c>
      <c r="Q38" s="266">
        <f ca="1">$M38*(1+INDEX(Methodology!$B$26:$E$31,MATCH($F38,Methodology!$B$26:$B$31,0),MATCH(Q$5,Methodology!$B$26:$E$26,0)))</f>
        <v>3.9987139609521267</v>
      </c>
      <c r="R38" s="199"/>
      <c r="S38" s="63" cm="1">
        <f t="array" aca="1" ref="S38" ca="1">INDIRECT(""&amp;$D38&amp;"!R"&amp;S$142&amp;"C"&amp;S$143,FALSE)</f>
        <v>0</v>
      </c>
      <c r="T38" s="62" cm="1">
        <f t="array" aca="1" ref="T38" ca="1">INDIRECT(""&amp;$D38&amp;"!R"&amp;T$142&amp;"C"&amp;T$143,FALSE)</f>
        <v>0</v>
      </c>
      <c r="U38" s="265">
        <f ca="1">$T38*(1+INDEX(Methodology!$B$26:$E$31,MATCH($F38,Methodology!$B$26:$B$31,0),MATCH(V$5,Methodology!$B$26:$E$26,0)))</f>
        <v>0</v>
      </c>
      <c r="V38" s="261">
        <f ca="1">$S38*(1+INDEX(Methodology!$B$26:$E$31,MATCH($F38,Methodology!$B$26:$B$31,0),MATCH(V$5,Methodology!$B$26:$E$26,0)))</f>
        <v>0</v>
      </c>
      <c r="W38" s="63" cm="1">
        <f t="array" aca="1" ref="W38" ca="1">INDIRECT(""&amp;$D38&amp;"!R"&amp;W$142&amp;"C"&amp;W$143,FALSE)</f>
        <v>0</v>
      </c>
      <c r="X38" s="62" cm="1">
        <f t="array" aca="1" ref="X38" ca="1">INDIRECT(""&amp;$D38&amp;"!R"&amp;X$142&amp;"C"&amp;X$143,FALSE)</f>
        <v>0</v>
      </c>
      <c r="Y38" s="265">
        <f ca="1">$X38*(1+INDEX(Methodology!$B$26:$E$31,MATCH($F38,Methodology!$B$26:$B$31,0),MATCH(Z$5,Methodology!$B$26:$E$26,0)))</f>
        <v>0</v>
      </c>
      <c r="Z38" s="261">
        <f ca="1">W38</f>
        <v>0</v>
      </c>
      <c r="AA38" s="199"/>
      <c r="AB38" s="10">
        <f t="shared" ca="1" si="0"/>
        <v>1000</v>
      </c>
      <c r="AC38" s="190" t="str">
        <f t="shared" ca="1" si="1"/>
        <v>kg/tonne</v>
      </c>
      <c r="AD38" s="213" t="str" cm="1">
        <f t="array" aca="1" ref="AD38" ca="1">IF(INDIRECT(""&amp;$D38&amp;"!R"&amp;AD$142&amp;"C"&amp;AD$143,FALSE)=0,"",INDIRECT(""&amp;$D38&amp;"!R"&amp;AD$142&amp;"C"&amp;AD$143,FALSE))</f>
        <v>Using emission factors determined in structural steel hot rolled then multiplying by a factor for painting as determined using data found in additional data</v>
      </c>
      <c r="AE38" s="214" t="str" cm="1">
        <f t="array" aca="1" ref="AE38" ca="1">IFERROR(IF(INDIRECT(""&amp;$D38&amp;"!R"&amp;AE$142&amp;"C"&amp;AE$143,FALSE)="Average (weighted)","Yes","No"),"")</f>
        <v>Yes</v>
      </c>
      <c r="AF38" s="96"/>
    </row>
    <row r="39" spans="1:32" ht="45" customHeight="1" x14ac:dyDescent="0.25">
      <c r="A39" s="7" t="s">
        <v>2966</v>
      </c>
      <c r="B39" s="3" t="s">
        <v>2967</v>
      </c>
      <c r="C39" s="193" t="str" cm="1">
        <f t="array" aca="1" ref="C39" ca="1">INDIRECT(""&amp;$D39&amp;"!R"&amp;C$142&amp;"C"&amp;C$143,FALSE)</f>
        <v xml:space="preserve">All stainless steel </v>
      </c>
      <c r="D39" s="2" t="s">
        <v>3930</v>
      </c>
      <c r="E39" s="7" t="str" cm="1">
        <f t="array" aca="1" ref="E39" ca="1">INDIRECT(""&amp;$D39&amp;"!R"&amp;E$142&amp;"C"&amp;E$143,FALSE)</f>
        <v>tonne</v>
      </c>
      <c r="F39" s="7" t="str" cm="1">
        <f t="array" aca="1" ref="F39" ca="1">INDIRECT(""&amp;$D39&amp;"!R"&amp;F$142&amp;"C"&amp;F$143,FALSE)</f>
        <v>Tier 4</v>
      </c>
      <c r="G39" s="188">
        <f ca="1">INDEX(Methodology!$B$26:$D$31,MATCH('EF Table_detail'!$F39,Methodology!$B$26:$B$31,0),MATCH('EF Table_detail'!$G$5,Methodology!$B$26:$D$26,0))</f>
        <v>1.2</v>
      </c>
      <c r="H39" s="237" cm="1">
        <f t="array" aca="1" ref="H39" ca="1">INDIRECT(""&amp;$D39&amp;"!R"&amp;H$142&amp;"C"&amp;H$143,FALSE)</f>
        <v>4990</v>
      </c>
      <c r="I39" s="235" cm="1">
        <f t="array" aca="1" ref="I39" ca="1">INDIRECT(""&amp;$D39&amp;"!R"&amp;I$142&amp;"C"&amp;I$143,FALSE)</f>
        <v>2740</v>
      </c>
      <c r="J39" s="99" cm="1">
        <f t="array" aca="1" ref="J39" ca="1">INDIRECT(""&amp;$D39&amp;"!R"&amp;J$142&amp;"C"&amp;J$143,FALSE)</f>
        <v>3521.500833333333</v>
      </c>
      <c r="K39" s="262">
        <f ca="1">$J39*(1+INDEX(Methodology!$B$26:$E$31,MATCH($F39,Methodology!$B$26:$B$31,0),MATCH(L$5,Methodology!$B$26:$E$26,0)))</f>
        <v>4225.8009999999995</v>
      </c>
      <c r="L39" s="261">
        <f ca="1">$H39*(1+INDEX(Methodology!$B$26:$E$31,MATCH($F39,Methodology!$B$26:$B$31,0),MATCH(L$5,Methodology!$B$26:$E$26,0)))</f>
        <v>5988</v>
      </c>
      <c r="M39" s="234" cm="1">
        <f t="array" aca="1" ref="M39" ca="1">INDIRECT(""&amp;$D39&amp;"!R"&amp;M$142&amp;"C"&amp;M$143,FALSE)</f>
        <v>4.99</v>
      </c>
      <c r="N39" s="234" cm="1">
        <f t="array" aca="1" ref="N39" ca="1">INDIRECT(""&amp;$D39&amp;"!R"&amp;N$142&amp;"C"&amp;N$143,FALSE)</f>
        <v>2.74</v>
      </c>
      <c r="O39" s="231" cm="1">
        <f t="array" aca="1" ref="O39" ca="1">INDIRECT(""&amp;$D39&amp;"!R"&amp;O$142&amp;"C"&amp;O$143,FALSE)</f>
        <v>3.5215008333333331</v>
      </c>
      <c r="P39" s="265">
        <f ca="1">$O39*(1+INDEX(Methodology!$B$26:$E$31,MATCH($F39,Methodology!$B$26:$B$31,0),MATCH(Q$5,Methodology!$B$26:$E$26,0)))</f>
        <v>4.2258009999999997</v>
      </c>
      <c r="Q39" s="266">
        <f ca="1">$M39*(1+INDEX(Methodology!$B$26:$E$31,MATCH($F39,Methodology!$B$26:$B$31,0),MATCH(Q$5,Methodology!$B$26:$E$26,0)))</f>
        <v>5.9880000000000004</v>
      </c>
      <c r="R39" s="199"/>
      <c r="S39" s="63" cm="1">
        <f t="array" aca="1" ref="S39" ca="1">INDIRECT(""&amp;$D39&amp;"!R"&amp;S$142&amp;"C"&amp;S$143,FALSE)</f>
        <v>0</v>
      </c>
      <c r="T39" s="62" cm="1">
        <f t="array" aca="1" ref="T39" ca="1">INDIRECT(""&amp;$D39&amp;"!R"&amp;T$142&amp;"C"&amp;T$143,FALSE)</f>
        <v>0</v>
      </c>
      <c r="U39" s="265">
        <f ca="1">$T39*(1+INDEX(Methodology!$B$26:$E$31,MATCH($F39,Methodology!$B$26:$B$31,0),MATCH(V$5,Methodology!$B$26:$E$26,0)))</f>
        <v>0</v>
      </c>
      <c r="V39" s="261">
        <f ca="1">$S39*(1+INDEX(Methodology!$B$26:$E$31,MATCH($F39,Methodology!$B$26:$B$31,0),MATCH(V$5,Methodology!$B$26:$E$26,0)))</f>
        <v>0</v>
      </c>
      <c r="W39" s="63" cm="1">
        <f t="array" aca="1" ref="W39" ca="1">INDIRECT(""&amp;$D39&amp;"!R"&amp;W$142&amp;"C"&amp;W$143,FALSE)</f>
        <v>0</v>
      </c>
      <c r="X39" s="62" cm="1">
        <f t="array" aca="1" ref="X39" ca="1">INDIRECT(""&amp;$D39&amp;"!R"&amp;X$142&amp;"C"&amp;X$143,FALSE)</f>
        <v>0</v>
      </c>
      <c r="Y39" s="265">
        <f ca="1">$X39*(1+INDEX(Methodology!$B$26:$E$31,MATCH($F39,Methodology!$B$26:$B$31,0),MATCH(Z$5,Methodology!$B$26:$E$26,0)))</f>
        <v>0</v>
      </c>
      <c r="Z39" s="261">
        <f t="shared" ref="Z39:Z70" ca="1" si="3">W39</f>
        <v>0</v>
      </c>
      <c r="AA39" s="199"/>
      <c r="AB39" s="10">
        <f t="shared" ref="AB39:AB70" ca="1" si="4">IFERROR(J39/O39,"")</f>
        <v>1000</v>
      </c>
      <c r="AC39" s="190" t="str">
        <f t="shared" ref="AC39:AC70" ca="1" si="5">"kg/"&amp;E39</f>
        <v>kg/tonne</v>
      </c>
      <c r="AD39" s="213" t="str" cm="1">
        <f t="array" aca="1" ref="AD39" ca="1">IF(INDIRECT(""&amp;$D39&amp;"!R"&amp;AD$142&amp;"C"&amp;AD$143,FALSE)=0,"",INDIRECT(""&amp;$D39&amp;"!R"&amp;AD$142&amp;"C"&amp;AD$143,FALSE))</f>
        <v/>
      </c>
      <c r="AE39" s="214" t="str" cm="1">
        <f t="array" aca="1" ref="AE39" ca="1">IFERROR(IF(INDIRECT(""&amp;$D39&amp;"!R"&amp;AE$142&amp;"C"&amp;AE$143,FALSE)="Average (weighted)","Yes","No"),"")</f>
        <v>No</v>
      </c>
      <c r="AF39" s="96"/>
    </row>
    <row r="40" spans="1:32" ht="45" customHeight="1" x14ac:dyDescent="0.25">
      <c r="A40" s="7" t="s">
        <v>3931</v>
      </c>
      <c r="B40" s="69" t="s">
        <v>3545</v>
      </c>
      <c r="C40" s="193" t="str" cm="1">
        <f t="array" aca="1" ref="C40" ca="1">INDIRECT(""&amp;$D40&amp;"!R"&amp;C$142&amp;"C"&amp;C$143,FALSE)</f>
        <v>Softwood timber most common species raidata pine,and includes treated, untreated, surfaced, and sawn products</v>
      </c>
      <c r="D40" s="66" t="s">
        <v>3932</v>
      </c>
      <c r="E40" s="7" t="str" cm="1">
        <f t="array" aca="1" ref="E40" ca="1">INDIRECT(""&amp;$D40&amp;"!R"&amp;E$142&amp;"C"&amp;E$143,FALSE)</f>
        <v>m³</v>
      </c>
      <c r="F40" s="7" t="str" cm="1">
        <f t="array" aca="1" ref="F40" ca="1">INDIRECT(""&amp;$D40&amp;"!R"&amp;F$142&amp;"C"&amp;F$143,FALSE)</f>
        <v>Tier 2</v>
      </c>
      <c r="G40" s="188">
        <f ca="1">INDEX(Methodology!$B$26:$D$31,MATCH('EF Table_detail'!$F40,Methodology!$B$26:$B$31,0),MATCH('EF Table_detail'!$G$5,Methodology!$B$26:$D$26,0))</f>
        <v>1.05</v>
      </c>
      <c r="H40" s="237" cm="1">
        <f t="array" aca="1" ref="H40" ca="1">INDIRECT(""&amp;$D40&amp;"!R"&amp;H$142&amp;"C"&amp;H$143,FALSE)</f>
        <v>332.10566666666671</v>
      </c>
      <c r="I40" s="235" cm="1">
        <f t="array" aca="1" ref="I40" ca="1">INDIRECT(""&amp;$D40&amp;"!R"&amp;I$142&amp;"C"&amp;I$143,FALSE)</f>
        <v>112.72666666666669</v>
      </c>
      <c r="J40" s="99" cm="1">
        <f t="array" aca="1" ref="J40" ca="1">INDIRECT(""&amp;$D40&amp;"!R"&amp;J$142&amp;"C"&amp;J$143,FALSE)</f>
        <v>188.12604014652021</v>
      </c>
      <c r="K40" s="262">
        <f ca="1">$J40*(1+INDEX(Methodology!$B$26:$E$31,MATCH($F40,Methodology!$B$26:$B$31,0),MATCH(L$5,Methodology!$B$26:$E$26,0)))</f>
        <v>197.53234215384623</v>
      </c>
      <c r="L40" s="261">
        <f ca="1">$H40*(1+INDEX(Methodology!$B$26:$E$31,MATCH($F40,Methodology!$B$26:$B$31,0),MATCH(L$5,Methodology!$B$26:$E$26,0)))</f>
        <v>348.71095000000008</v>
      </c>
      <c r="M40" s="234" cm="1">
        <f t="array" aca="1" ref="M40" ca="1">INDIRECT(""&amp;$D40&amp;"!R"&amp;M$142&amp;"C"&amp;M$143,FALSE)</f>
        <v>0.60273260738052037</v>
      </c>
      <c r="N40" s="234" cm="1">
        <f t="array" aca="1" ref="N40" ca="1">INDIRECT(""&amp;$D40&amp;"!R"&amp;N$142&amp;"C"&amp;N$143,FALSE)</f>
        <v>0.20458560193587449</v>
      </c>
      <c r="O40" s="231" cm="1">
        <f t="array" aca="1" ref="O40" ca="1">INDIRECT(""&amp;$D40&amp;"!R"&amp;O$142&amp;"C"&amp;O$143,FALSE)</f>
        <v>0.36568651497281479</v>
      </c>
      <c r="P40" s="265">
        <f ca="1">$O40*(1+INDEX(Methodology!$B$26:$E$31,MATCH($F40,Methodology!$B$26:$B$31,0),MATCH(Q$5,Methodology!$B$26:$E$26,0)))</f>
        <v>0.38397084072145554</v>
      </c>
      <c r="Q40" s="266">
        <f ca="1">$M40*(1+INDEX(Methodology!$B$26:$E$31,MATCH($F40,Methodology!$B$26:$B$31,0),MATCH(Q$5,Methodology!$B$26:$E$26,0)))</f>
        <v>0.6328692377495464</v>
      </c>
      <c r="R40" s="199"/>
      <c r="S40" s="60" cm="1">
        <f t="array" aca="1" ref="S40" ca="1">INDIRECT(""&amp;$D40&amp;"!R"&amp;S$142&amp;"C"&amp;S$143,FALSE)</f>
        <v>888.94666666666672</v>
      </c>
      <c r="T40" s="61" cm="1">
        <f t="array" aca="1" ref="T40" ca="1">INDIRECT(""&amp;$D40&amp;"!R"&amp;T$142&amp;"C"&amp;T$143,FALSE)</f>
        <v>857.20070120355842</v>
      </c>
      <c r="U40" s="265">
        <f ca="1">$T40*(1+INDEX(Methodology!$B$26:$E$31,MATCH($F40,Methodology!$B$26:$B$31,0),MATCH(V$5,Methodology!$B$26:$E$26,0)))</f>
        <v>900.06073626373643</v>
      </c>
      <c r="V40" s="261">
        <f ca="1">$S40*(1+INDEX(Methodology!$B$26:$E$31,MATCH($F40,Methodology!$B$26:$B$31,0),MATCH(V$5,Methodology!$B$26:$E$26,0)))</f>
        <v>933.39400000000012</v>
      </c>
      <c r="W40" s="63" cm="1">
        <f t="array" aca="1" ref="W40" ca="1">INDIRECT(""&amp;$D40&amp;"!R"&amp;W$142&amp;"C"&amp;W$143,FALSE)</f>
        <v>1.6133333333333335</v>
      </c>
      <c r="X40" s="62" cm="1">
        <f t="array" aca="1" ref="X40" ca="1">INDIRECT(""&amp;$D40&amp;"!R"&amp;X$142&amp;"C"&amp;X$143,FALSE)</f>
        <v>1.6356775141083113</v>
      </c>
      <c r="Y40" s="265">
        <f ca="1">$X40*(1+INDEX(Methodology!$B$26:$E$31,MATCH($F40,Methodology!$B$26:$B$31,0),MATCH(Z$5,Methodology!$B$26:$E$26,0)))</f>
        <v>1.717461389813727</v>
      </c>
      <c r="Z40" s="261">
        <f t="shared" ca="1" si="3"/>
        <v>1.6133333333333335</v>
      </c>
      <c r="AA40" s="199"/>
      <c r="AB40" s="10">
        <f t="shared" ca="1" si="4"/>
        <v>514.44620581785887</v>
      </c>
      <c r="AC40" s="190" t="str">
        <f t="shared" ca="1" si="5"/>
        <v>kg/m³</v>
      </c>
      <c r="AD40" s="213" t="str" cm="1">
        <f t="array" aca="1" ref="AD40" ca="1">IF(INDIRECT(""&amp;$D40&amp;"!R"&amp;AD$142&amp;"C"&amp;AD$143,FALSE)=0,"",INDIRECT(""&amp;$D40&amp;"!R"&amp;AD$142&amp;"C"&amp;AD$143,FALSE))</f>
        <v/>
      </c>
      <c r="AE40" s="214" t="str" cm="1">
        <f t="array" aca="1" ref="AE40" ca="1">IFERROR(IF(INDIRECT(""&amp;$D40&amp;"!R"&amp;AE$142&amp;"C"&amp;AE$143,FALSE)="Average (weighted)","Yes","No"),"")</f>
        <v>Yes</v>
      </c>
      <c r="AF40" s="96"/>
    </row>
    <row r="41" spans="1:32" ht="45" customHeight="1" x14ac:dyDescent="0.25">
      <c r="A41" s="7" t="s">
        <v>3931</v>
      </c>
      <c r="B41" s="69" t="s">
        <v>3509</v>
      </c>
      <c r="C41" s="193" t="str" cm="1">
        <f t="array" aca="1" ref="C41" ca="1">INDIRECT(""&amp;$D41&amp;"!R"&amp;C$142&amp;"C"&amp;C$143,FALSE)</f>
        <v>Hardwood timber includes treated, untreated, dressed, and sawn products</v>
      </c>
      <c r="D41" s="66" t="s">
        <v>3933</v>
      </c>
      <c r="E41" s="7" t="str" cm="1">
        <f t="array" aca="1" ref="E41" ca="1">INDIRECT(""&amp;$D41&amp;"!R"&amp;E$142&amp;"C"&amp;E$143,FALSE)</f>
        <v>m³</v>
      </c>
      <c r="F41" s="7" t="str" cm="1">
        <f t="array" aca="1" ref="F41" ca="1">INDIRECT(""&amp;$D41&amp;"!R"&amp;F$142&amp;"C"&amp;F$143,FALSE)</f>
        <v>Tier 2</v>
      </c>
      <c r="G41" s="188">
        <f ca="1">INDEX(Methodology!$B$26:$D$31,MATCH('EF Table_detail'!$F41,Methodology!$B$26:$B$31,0),MATCH('EF Table_detail'!$G$5,Methodology!$B$26:$D$26,0))</f>
        <v>1.05</v>
      </c>
      <c r="H41" s="237" cm="1">
        <f t="array" aca="1" ref="H41" ca="1">INDIRECT(""&amp;$D41&amp;"!R"&amp;H$142&amp;"C"&amp;H$143,FALSE)</f>
        <v>562.50380000000018</v>
      </c>
      <c r="I41" s="235" cm="1">
        <f t="array" aca="1" ref="I41" ca="1">INDIRECT(""&amp;$D41&amp;"!R"&amp;I$142&amp;"C"&amp;I$143,FALSE)</f>
        <v>104.25999999999999</v>
      </c>
      <c r="J41" s="99" cm="1">
        <f t="array" aca="1" ref="J41" ca="1">INDIRECT(""&amp;$D41&amp;"!R"&amp;J$142&amp;"C"&amp;J$143,FALSE)</f>
        <v>346.88262000000003</v>
      </c>
      <c r="K41" s="262">
        <f ca="1">$J41*(1+INDEX(Methodology!$B$26:$E$31,MATCH($F41,Methodology!$B$26:$B$31,0),MATCH(L$5,Methodology!$B$26:$E$26,0)))</f>
        <v>364.22675100000004</v>
      </c>
      <c r="L41" s="261">
        <f ca="1">$H41*(1+INDEX(Methodology!$B$26:$E$31,MATCH($F41,Methodology!$B$26:$B$31,0),MATCH(L$5,Methodology!$B$26:$E$26,0)))</f>
        <v>590.62899000000027</v>
      </c>
      <c r="M41" s="234" cm="1">
        <f t="array" aca="1" ref="M41" ca="1">INDIRECT(""&amp;$D41&amp;"!R"&amp;M$142&amp;"C"&amp;M$143,FALSE)</f>
        <v>0.7653112925170068</v>
      </c>
      <c r="N41" s="234" cm="1">
        <f t="array" aca="1" ref="N41" ca="1">INDIRECT(""&amp;$D41&amp;"!R"&amp;N$142&amp;"C"&amp;N$143,FALSE)</f>
        <v>0.12561445783132519</v>
      </c>
      <c r="O41" s="231" cm="1">
        <f t="array" aca="1" ref="O41" ca="1">INDIRECT(""&amp;$D41&amp;"!R"&amp;O$142&amp;"C"&amp;O$143,FALSE)</f>
        <v>0.46607131305283916</v>
      </c>
      <c r="P41" s="265">
        <f ca="1">$O41*(1+INDEX(Methodology!$B$26:$E$31,MATCH($F41,Methodology!$B$26:$B$31,0),MATCH(Q$5,Methodology!$B$26:$E$26,0)))</f>
        <v>0.48937487870548113</v>
      </c>
      <c r="Q41" s="266">
        <f ca="1">$M41*(1+INDEX(Methodology!$B$26:$E$31,MATCH($F41,Methodology!$B$26:$B$31,0),MATCH(Q$5,Methodology!$B$26:$E$26,0)))</f>
        <v>0.8035768571428572</v>
      </c>
      <c r="R41" s="199"/>
      <c r="S41" s="60" cm="1">
        <f t="array" aca="1" ref="S41" ca="1">INDIRECT(""&amp;$D41&amp;"!R"&amp;S$142&amp;"C"&amp;S$143,FALSE)</f>
        <v>1212.75</v>
      </c>
      <c r="T41" s="61" cm="1">
        <f t="array" aca="1" ref="T41" ca="1">INDIRECT(""&amp;$D41&amp;"!R"&amp;T$142&amp;"C"&amp;T$143,FALSE)</f>
        <v>1165.5515384615383</v>
      </c>
      <c r="U41" s="265">
        <f ca="1">$T41*(1+INDEX(Methodology!$B$26:$E$31,MATCH($F41,Methodology!$B$26:$B$31,0),MATCH(V$5,Methodology!$B$26:$E$26,0)))</f>
        <v>1223.8291153846153</v>
      </c>
      <c r="V41" s="261">
        <f ca="1">$S41*(1+INDEX(Methodology!$B$26:$E$31,MATCH($F41,Methodology!$B$26:$B$31,0),MATCH(V$5,Methodology!$B$26:$E$26,0)))</f>
        <v>1273.3875</v>
      </c>
      <c r="W41" s="63" cm="1">
        <f t="array" aca="1" ref="W41" ca="1">INDIRECT(""&amp;$D41&amp;"!R"&amp;W$142&amp;"C"&amp;W$143,FALSE)</f>
        <v>1.65</v>
      </c>
      <c r="X41" s="62" cm="1">
        <f t="array" aca="1" ref="X41" ca="1">INDIRECT(""&amp;$D41&amp;"!R"&amp;X$142&amp;"C"&amp;X$143,FALSE)</f>
        <v>1.5428205128205132</v>
      </c>
      <c r="Y41" s="265">
        <f ca="1">$X41*(1+INDEX(Methodology!$B$26:$E$31,MATCH($F41,Methodology!$B$26:$B$31,0),MATCH(Z$5,Methodology!$B$26:$E$26,0)))</f>
        <v>1.6199615384615389</v>
      </c>
      <c r="Z41" s="261">
        <f t="shared" ca="1" si="3"/>
        <v>1.65</v>
      </c>
      <c r="AA41" s="199"/>
      <c r="AB41" s="10">
        <f t="shared" ca="1" si="4"/>
        <v>744.26940746012713</v>
      </c>
      <c r="AC41" s="190" t="str">
        <f t="shared" ca="1" si="5"/>
        <v>kg/m³</v>
      </c>
      <c r="AD41" s="213" t="str" cm="1">
        <f t="array" aca="1" ref="AD41" ca="1">IF(INDIRECT(""&amp;$D41&amp;"!R"&amp;AD$142&amp;"C"&amp;AD$143,FALSE)=0,"",INDIRECT(""&amp;$D41&amp;"!R"&amp;AD$142&amp;"C"&amp;AD$143,FALSE))</f>
        <v/>
      </c>
      <c r="AE41" s="214" t="str" cm="1">
        <f t="array" aca="1" ref="AE41" ca="1">IFERROR(IF(INDIRECT(""&amp;$D41&amp;"!R"&amp;AE$142&amp;"C"&amp;AE$143,FALSE)="Average (weighted)","Yes","No"),"")</f>
        <v>No</v>
      </c>
      <c r="AF41" s="96"/>
    </row>
    <row r="42" spans="1:32" ht="45" customHeight="1" x14ac:dyDescent="0.25">
      <c r="A42" s="7" t="s">
        <v>3931</v>
      </c>
      <c r="B42" s="3" t="s">
        <v>3934</v>
      </c>
      <c r="C42" s="193" t="str" cm="1">
        <f t="array" aca="1" ref="C42" ca="1">INDIRECT(""&amp;$D42&amp;"!R"&amp;C$142&amp;"C"&amp;C$143,FALSE)</f>
        <v>Hardwood timber includes treated, untreated, dressed, and sawn products</v>
      </c>
      <c r="D42" s="66" t="s">
        <v>3933</v>
      </c>
      <c r="E42" s="7" t="str" cm="1">
        <f t="array" aca="1" ref="E42" ca="1">INDIRECT(""&amp;$D42&amp;"!R"&amp;E$142&amp;"C"&amp;E$143,FALSE)</f>
        <v>m³</v>
      </c>
      <c r="F42" s="7" t="str" cm="1">
        <f t="array" aca="1" ref="F42" ca="1">INDIRECT(""&amp;$D42&amp;"!R"&amp;F$142&amp;"C"&amp;F$143,FALSE)</f>
        <v>Tier 2</v>
      </c>
      <c r="G42" s="188">
        <f ca="1">INDEX(Methodology!$B$26:$D$31,MATCH('EF Table_detail'!$F42,Methodology!$B$26:$B$31,0),MATCH('EF Table_detail'!$G$5,Methodology!$B$26:$D$26,0))</f>
        <v>1.05</v>
      </c>
      <c r="H42" s="237" cm="1">
        <f t="array" aca="1" ref="H42" ca="1">INDIRECT(""&amp;$D42&amp;"!R"&amp;H$142&amp;"C"&amp;H$143,FALSE)</f>
        <v>562.50380000000018</v>
      </c>
      <c r="I42" s="235" cm="1">
        <f t="array" aca="1" ref="I42" ca="1">INDIRECT(""&amp;$D42&amp;"!R"&amp;I$142&amp;"C"&amp;I$143,FALSE)</f>
        <v>104.25999999999999</v>
      </c>
      <c r="J42" s="99" cm="1">
        <f t="array" aca="1" ref="J42" ca="1">INDIRECT(""&amp;$D42&amp;"!R"&amp;J$142&amp;"C"&amp;J$143,FALSE)</f>
        <v>346.88262000000003</v>
      </c>
      <c r="K42" s="262">
        <f ca="1">$J42*(1+INDEX(Methodology!$B$26:$E$31,MATCH($F42,Methodology!$B$26:$B$31,0),MATCH(L$5,Methodology!$B$26:$E$26,0)))</f>
        <v>364.22675100000004</v>
      </c>
      <c r="L42" s="261">
        <f ca="1">$H42*(1+INDEX(Methodology!$B$26:$E$31,MATCH($F42,Methodology!$B$26:$B$31,0),MATCH(L$5,Methodology!$B$26:$E$26,0)))</f>
        <v>590.62899000000027</v>
      </c>
      <c r="M42" s="234" cm="1">
        <f t="array" aca="1" ref="M42" ca="1">INDIRECT(""&amp;$D42&amp;"!R"&amp;M$142&amp;"C"&amp;M$143,FALSE)</f>
        <v>0.7653112925170068</v>
      </c>
      <c r="N42" s="234" cm="1">
        <f t="array" aca="1" ref="N42" ca="1">INDIRECT(""&amp;$D42&amp;"!R"&amp;N$142&amp;"C"&amp;N$143,FALSE)</f>
        <v>0.12561445783132519</v>
      </c>
      <c r="O42" s="231" cm="1">
        <f t="array" aca="1" ref="O42" ca="1">INDIRECT(""&amp;$D42&amp;"!R"&amp;O$142&amp;"C"&amp;O$143,FALSE)</f>
        <v>0.46607131305283916</v>
      </c>
      <c r="P42" s="265">
        <f ca="1">$O42*(1+INDEX(Methodology!$B$26:$E$31,MATCH($F42,Methodology!$B$26:$B$31,0),MATCH(Q$5,Methodology!$B$26:$E$26,0)))</f>
        <v>0.48937487870548113</v>
      </c>
      <c r="Q42" s="266">
        <f ca="1">$M42*(1+INDEX(Methodology!$B$26:$E$31,MATCH($F42,Methodology!$B$26:$B$31,0),MATCH(Q$5,Methodology!$B$26:$E$26,0)))</f>
        <v>0.8035768571428572</v>
      </c>
      <c r="R42" s="199"/>
      <c r="S42" s="60" cm="1">
        <f t="array" aca="1" ref="S42" ca="1">INDIRECT(""&amp;$D42&amp;"!R"&amp;S$142&amp;"C"&amp;S$143,FALSE)</f>
        <v>1212.75</v>
      </c>
      <c r="T42" s="61" cm="1">
        <f t="array" aca="1" ref="T42" ca="1">INDIRECT(""&amp;$D42&amp;"!R"&amp;T$142&amp;"C"&amp;T$143,FALSE)</f>
        <v>1165.5515384615383</v>
      </c>
      <c r="U42" s="265">
        <f ca="1">$T42*(1+INDEX(Methodology!$B$26:$E$31,MATCH($F42,Methodology!$B$26:$B$31,0),MATCH(V$5,Methodology!$B$26:$E$26,0)))</f>
        <v>1223.8291153846153</v>
      </c>
      <c r="V42" s="261">
        <f ca="1">$S42*(1+INDEX(Methodology!$B$26:$E$31,MATCH($F42,Methodology!$B$26:$B$31,0),MATCH(V$5,Methodology!$B$26:$E$26,0)))</f>
        <v>1273.3875</v>
      </c>
      <c r="W42" s="63" cm="1">
        <f t="array" aca="1" ref="W42" ca="1">INDIRECT(""&amp;$D42&amp;"!R"&amp;W$142&amp;"C"&amp;W$143,FALSE)</f>
        <v>1.65</v>
      </c>
      <c r="X42" s="62" cm="1">
        <f t="array" aca="1" ref="X42" ca="1">INDIRECT(""&amp;$D42&amp;"!R"&amp;X$142&amp;"C"&amp;X$143,FALSE)</f>
        <v>1.5428205128205132</v>
      </c>
      <c r="Y42" s="265">
        <f ca="1">$X42*(1+INDEX(Methodology!$B$26:$E$31,MATCH($F42,Methodology!$B$26:$B$31,0),MATCH(Z$5,Methodology!$B$26:$E$26,0)))</f>
        <v>1.6199615384615389</v>
      </c>
      <c r="Z42" s="261">
        <f t="shared" ca="1" si="3"/>
        <v>1.65</v>
      </c>
      <c r="AA42" s="199"/>
      <c r="AB42" s="10">
        <f t="shared" ca="1" si="4"/>
        <v>744.26940746012713</v>
      </c>
      <c r="AC42" s="190" t="str">
        <f t="shared" ca="1" si="5"/>
        <v>kg/m³</v>
      </c>
      <c r="AD42" s="213" t="str" cm="1">
        <f t="array" aca="1" ref="AD42" ca="1">IF(INDIRECT(""&amp;$D42&amp;"!R"&amp;AD$142&amp;"C"&amp;AD$143,FALSE)=0,"",INDIRECT(""&amp;$D42&amp;"!R"&amp;AD$142&amp;"C"&amp;AD$143,FALSE))</f>
        <v/>
      </c>
      <c r="AE42" s="214" t="str" cm="1">
        <f t="array" aca="1" ref="AE42" ca="1">IFERROR(IF(INDIRECT(""&amp;$D42&amp;"!R"&amp;AE$142&amp;"C"&amp;AE$143,FALSE)="Average (weighted)","Yes","No"),"")</f>
        <v>No</v>
      </c>
      <c r="AF42" s="96"/>
    </row>
    <row r="43" spans="1:32" ht="45" customHeight="1" x14ac:dyDescent="0.25">
      <c r="A43" s="66" t="s">
        <v>3935</v>
      </c>
      <c r="B43" s="69" t="s">
        <v>2423</v>
      </c>
      <c r="C43" s="193" t="str" cm="1">
        <f t="array" aca="1" ref="C43" ca="1">INDIRECT(""&amp;$D43&amp;"!R"&amp;C$142&amp;"C"&amp;C$143,FALSE)</f>
        <v xml:space="preserve">Plywood timber for bracing, structural (walling, flooring), formwork purposes. </v>
      </c>
      <c r="D43" s="66" t="s">
        <v>3936</v>
      </c>
      <c r="E43" s="7" t="str" cm="1">
        <f t="array" aca="1" ref="E43" ca="1">INDIRECT(""&amp;$D43&amp;"!R"&amp;E$142&amp;"C"&amp;E$143,FALSE)</f>
        <v>m³</v>
      </c>
      <c r="F43" s="7" t="str" cm="1">
        <f t="array" aca="1" ref="F43" ca="1">INDIRECT(""&amp;$D43&amp;"!R"&amp;F$142&amp;"C"&amp;F$143,FALSE)</f>
        <v>Tier 2</v>
      </c>
      <c r="G43" s="188">
        <f ca="1">INDEX(Methodology!$B$26:$D$31,MATCH('EF Table_detail'!$F43,Methodology!$B$26:$B$31,0),MATCH('EF Table_detail'!$G$5,Methodology!$B$26:$D$26,0))</f>
        <v>1.05</v>
      </c>
      <c r="H43" s="237" cm="1">
        <f t="array" aca="1" ref="H43" ca="1">INDIRECT(""&amp;$D43&amp;"!R"&amp;H$142&amp;"C"&amp;H$143,FALSE)</f>
        <v>922.37450980392134</v>
      </c>
      <c r="I43" s="235" cm="1">
        <f t="array" aca="1" ref="I43" ca="1">INDIRECT(""&amp;$D43&amp;"!R"&amp;I$142&amp;"C"&amp;I$143,FALSE)</f>
        <v>234.72436666666658</v>
      </c>
      <c r="J43" s="99" cm="1">
        <f t="array" aca="1" ref="J43" ca="1">INDIRECT(""&amp;$D43&amp;"!R"&amp;J$142&amp;"C"&amp;J$143,FALSE)</f>
        <v>498.10835207282906</v>
      </c>
      <c r="K43" s="262">
        <f ca="1">$J43*(1+INDEX(Methodology!$B$26:$E$31,MATCH($F43,Methodology!$B$26:$B$31,0),MATCH(L$5,Methodology!$B$26:$E$26,0)))</f>
        <v>523.01376967647059</v>
      </c>
      <c r="L43" s="261">
        <f ca="1">$H43*(1+INDEX(Methodology!$B$26:$E$31,MATCH($F43,Methodology!$B$26:$B$31,0),MATCH(L$5,Methodology!$B$26:$E$26,0)))</f>
        <v>968.49323529411743</v>
      </c>
      <c r="M43" s="234" cm="1">
        <f t="array" aca="1" ref="M43" ca="1">INDIRECT(""&amp;$D43&amp;"!R"&amp;M$142&amp;"C"&amp;M$143,FALSE)</f>
        <v>1.689694683908046</v>
      </c>
      <c r="N43" s="234" cm="1">
        <f t="array" aca="1" ref="N43" ca="1">INDIRECT(""&amp;$D43&amp;"!R"&amp;N$142&amp;"C"&amp;N$143,FALSE)</f>
        <v>0.39582523889825749</v>
      </c>
      <c r="O43" s="231" cm="1">
        <f t="array" aca="1" ref="O43" ca="1">INDIRECT(""&amp;$D43&amp;"!R"&amp;O$142&amp;"C"&amp;O$143,FALSE)</f>
        <v>0.97781277704867176</v>
      </c>
      <c r="P43" s="265">
        <f ca="1">$O43*(1+INDEX(Methodology!$B$26:$E$31,MATCH($F43,Methodology!$B$26:$B$31,0),MATCH(Q$5,Methodology!$B$26:$E$26,0)))</f>
        <v>1.0267034159011055</v>
      </c>
      <c r="Q43" s="266">
        <f ca="1">$M43*(1+INDEX(Methodology!$B$26:$E$31,MATCH($F43,Methodology!$B$26:$B$31,0),MATCH(Q$5,Methodology!$B$26:$E$26,0)))</f>
        <v>1.7741794181034485</v>
      </c>
      <c r="R43" s="199"/>
      <c r="S43" s="60" cm="1">
        <f t="array" aca="1" ref="S43" ca="1">INDIRECT(""&amp;$D43&amp;"!R"&amp;S$142&amp;"C"&amp;S$143,FALSE)</f>
        <v>920.72156862745078</v>
      </c>
      <c r="T43" s="61" cm="1">
        <f t="array" aca="1" ref="T43" ca="1">INDIRECT(""&amp;$D43&amp;"!R"&amp;T$142&amp;"C"&amp;T$143,FALSE)</f>
        <v>840.86198027036903</v>
      </c>
      <c r="U43" s="265">
        <f ca="1">$T43*(1+INDEX(Methodology!$B$26:$E$31,MATCH($F43,Methodology!$B$26:$B$31,0),MATCH(V$5,Methodology!$B$26:$E$26,0)))</f>
        <v>882.90507928388752</v>
      </c>
      <c r="V43" s="261">
        <f ca="1">$S43*(1+INDEX(Methodology!$B$26:$E$31,MATCH($F43,Methodology!$B$26:$B$31,0),MATCH(V$5,Methodology!$B$26:$E$26,0)))</f>
        <v>966.75764705882341</v>
      </c>
      <c r="W43" s="63" cm="1">
        <f t="array" aca="1" ref="W43" ca="1">INDIRECT(""&amp;$D43&amp;"!R"&amp;W$142&amp;"C"&amp;W$143,FALSE)</f>
        <v>1.6866666666666668</v>
      </c>
      <c r="X43" s="62" cm="1">
        <f t="array" aca="1" ref="X43" ca="1">INDIRECT(""&amp;$D43&amp;"!R"&amp;X$142&amp;"C"&amp;X$143,FALSE)</f>
        <v>1.6412238255075566</v>
      </c>
      <c r="Y43" s="265">
        <f ca="1">$X43*(1+INDEX(Methodology!$B$26:$E$31,MATCH($F43,Methodology!$B$26:$B$31,0),MATCH(Z$5,Methodology!$B$26:$E$26,0)))</f>
        <v>1.7232850167829346</v>
      </c>
      <c r="Z43" s="261">
        <f t="shared" ca="1" si="3"/>
        <v>1.6866666666666668</v>
      </c>
      <c r="AA43" s="199"/>
      <c r="AB43" s="10">
        <f t="shared" ca="1" si="4"/>
        <v>509.41076222819203</v>
      </c>
      <c r="AC43" s="190" t="str">
        <f t="shared" ca="1" si="5"/>
        <v>kg/m³</v>
      </c>
      <c r="AD43" s="213" t="str" cm="1">
        <f t="array" aca="1" ref="AD43" ca="1">IF(INDIRECT(""&amp;$D43&amp;"!R"&amp;AD$142&amp;"C"&amp;AD$143,FALSE)=0,"",INDIRECT(""&amp;$D43&amp;"!R"&amp;AD$142&amp;"C"&amp;AD$143,FALSE))</f>
        <v/>
      </c>
      <c r="AE43" s="214" t="str" cm="1">
        <f t="array" aca="1" ref="AE43" ca="1">IFERROR(IF(INDIRECT(""&amp;$D43&amp;"!R"&amp;AE$142&amp;"C"&amp;AE$143,FALSE)="Average (weighted)","Yes","No"),"")</f>
        <v>Yes</v>
      </c>
      <c r="AF43" s="96"/>
    </row>
    <row r="44" spans="1:32" ht="45" customHeight="1" x14ac:dyDescent="0.25">
      <c r="A44" s="66" t="s">
        <v>3935</v>
      </c>
      <c r="B44" s="69" t="s">
        <v>3499</v>
      </c>
      <c r="C44" s="193" t="str" cm="1">
        <f t="array" aca="1" ref="C44" ca="1">INDIRECT(""&amp;$D44&amp;"!R"&amp;C$142&amp;"C"&amp;C$143,FALSE)</f>
        <v xml:space="preserve">Particleboard including walling and flooring applications </v>
      </c>
      <c r="D44" s="66" t="s">
        <v>3937</v>
      </c>
      <c r="E44" s="7" t="str" cm="1">
        <f t="array" aca="1" ref="E44" ca="1">INDIRECT(""&amp;$D44&amp;"!R"&amp;E$142&amp;"C"&amp;E$143,FALSE)</f>
        <v>m³</v>
      </c>
      <c r="F44" s="7" t="str" cm="1">
        <f t="array" aca="1" ref="F44" ca="1">INDIRECT(""&amp;$D44&amp;"!R"&amp;F$142&amp;"C"&amp;F$143,FALSE)</f>
        <v>Tier 2</v>
      </c>
      <c r="G44" s="188">
        <f ca="1">INDEX(Methodology!$B$26:$D$31,MATCH('EF Table_detail'!$F44,Methodology!$B$26:$B$31,0),MATCH('EF Table_detail'!$G$5,Methodology!$B$26:$D$26,0))</f>
        <v>1.05</v>
      </c>
      <c r="H44" s="237" cm="1">
        <f t="array" aca="1" ref="H44" ca="1">INDIRECT(""&amp;$D44&amp;"!R"&amp;H$142&amp;"C"&amp;H$143,FALSE)</f>
        <v>838.40526315789725</v>
      </c>
      <c r="I44" s="235" cm="1">
        <f t="array" aca="1" ref="I44" ca="1">INDIRECT(""&amp;$D44&amp;"!R"&amp;I$142&amp;"C"&amp;I$143,FALSE)</f>
        <v>322.23199999999997</v>
      </c>
      <c r="J44" s="99" cm="1">
        <f t="array" aca="1" ref="J44" ca="1">INDIRECT(""&amp;$D44&amp;"!R"&amp;J$142&amp;"C"&amp;J$143,FALSE)</f>
        <v>650.4555120047271</v>
      </c>
      <c r="K44" s="262">
        <f ca="1">$J44*(1+INDEX(Methodology!$B$26:$E$31,MATCH($F44,Methodology!$B$26:$B$31,0),MATCH(L$5,Methodology!$B$26:$E$26,0)))</f>
        <v>682.9782876049635</v>
      </c>
      <c r="L44" s="261">
        <f ca="1">$H44*(1+INDEX(Methodology!$B$26:$E$31,MATCH($F44,Methodology!$B$26:$B$31,0),MATCH(L$5,Methodology!$B$26:$E$26,0)))</f>
        <v>880.3255263157921</v>
      </c>
      <c r="M44" s="234" cm="1">
        <f t="array" aca="1" ref="M44" ca="1">INDIRECT(""&amp;$D44&amp;"!R"&amp;M$142&amp;"C"&amp;M$143,FALSE)</f>
        <v>1.1713014705882387</v>
      </c>
      <c r="N44" s="234" cm="1">
        <f t="array" aca="1" ref="N44" ca="1">INDIRECT(""&amp;$D44&amp;"!R"&amp;N$142&amp;"C"&amp;N$143,FALSE)</f>
        <v>0.48823030303030324</v>
      </c>
      <c r="O44" s="231" cm="1">
        <f t="array" aca="1" ref="O44" ca="1">INDIRECT(""&amp;$D44&amp;"!R"&amp;O$142&amp;"C"&amp;O$143,FALSE)</f>
        <v>0.91538767270543819</v>
      </c>
      <c r="P44" s="265">
        <f ca="1">$O44*(1+INDEX(Methodology!$B$26:$E$31,MATCH($F44,Methodology!$B$26:$B$31,0),MATCH(Q$5,Methodology!$B$26:$E$26,0)))</f>
        <v>0.96115705634071014</v>
      </c>
      <c r="Q44" s="266">
        <f ca="1">$M44*(1+INDEX(Methodology!$B$26:$E$31,MATCH($F44,Methodology!$B$26:$B$31,0),MATCH(Q$5,Methodology!$B$26:$E$26,0)))</f>
        <v>1.2298665441176508</v>
      </c>
      <c r="R44" s="199"/>
      <c r="S44" s="60" cm="1">
        <f t="array" aca="1" ref="S44" ca="1">INDIRECT(""&amp;$D44&amp;"!R"&amp;S$142&amp;"C"&amp;S$143,FALSE)</f>
        <v>1181.05263157895</v>
      </c>
      <c r="T44" s="61" cm="1">
        <f t="array" aca="1" ref="T44" ca="1">INDIRECT(""&amp;$D44&amp;"!R"&amp;T$142&amp;"C"&amp;T$143,FALSE)</f>
        <v>1138.6264018306642</v>
      </c>
      <c r="U44" s="265">
        <f ca="1">$T44*(1+INDEX(Methodology!$B$26:$E$31,MATCH($F44,Methodology!$B$26:$B$31,0),MATCH(V$5,Methodology!$B$26:$E$26,0)))</f>
        <v>1195.5577219221975</v>
      </c>
      <c r="V44" s="261">
        <f ca="1">$S44*(1+INDEX(Methodology!$B$26:$E$31,MATCH($F44,Methodology!$B$26:$B$31,0),MATCH(V$5,Methodology!$B$26:$E$26,0)))</f>
        <v>1240.1052631578975</v>
      </c>
      <c r="W44" s="63" cm="1">
        <f t="array" aca="1" ref="W44" ca="1">INDIRECT(""&amp;$D44&amp;"!R"&amp;W$142&amp;"C"&amp;W$143,FALSE)</f>
        <v>1.6500000000000037</v>
      </c>
      <c r="X44" s="62" cm="1">
        <f t="array" aca="1" ref="X44" ca="1">INDIRECT(""&amp;$D44&amp;"!R"&amp;X$142&amp;"C"&amp;X$143,FALSE)</f>
        <v>1.6195940801364037</v>
      </c>
      <c r="Y44" s="265">
        <f ca="1">$X44*(1+INDEX(Methodology!$B$26:$E$31,MATCH($F44,Methodology!$B$26:$B$31,0),MATCH(Z$5,Methodology!$B$26:$E$26,0)))</f>
        <v>1.700573784143224</v>
      </c>
      <c r="Z44" s="261">
        <f t="shared" ca="1" si="3"/>
        <v>1.6500000000000037</v>
      </c>
      <c r="AA44" s="199"/>
      <c r="AB44" s="10">
        <f t="shared" ca="1" si="4"/>
        <v>710.57927848459963</v>
      </c>
      <c r="AC44" s="190" t="str">
        <f t="shared" ca="1" si="5"/>
        <v>kg/m³</v>
      </c>
      <c r="AD44" s="213" t="str" cm="1">
        <f t="array" aca="1" ref="AD44" ca="1">IF(INDIRECT(""&amp;$D44&amp;"!R"&amp;AD$142&amp;"C"&amp;AD$143,FALSE)=0,"",INDIRECT(""&amp;$D44&amp;"!R"&amp;AD$142&amp;"C"&amp;AD$143,FALSE))</f>
        <v/>
      </c>
      <c r="AE44" s="214" t="str" cm="1">
        <f t="array" aca="1" ref="AE44" ca="1">IFERROR(IF(INDIRECT(""&amp;$D44&amp;"!R"&amp;AE$142&amp;"C"&amp;AE$143,FALSE)="Average (weighted)","Yes","No"),"")</f>
        <v>Yes</v>
      </c>
      <c r="AF44" s="96"/>
    </row>
    <row r="45" spans="1:32" ht="45" customHeight="1" x14ac:dyDescent="0.25">
      <c r="A45" s="66" t="s">
        <v>3935</v>
      </c>
      <c r="B45" s="69" t="s">
        <v>3532</v>
      </c>
      <c r="C45" s="193" t="str" cm="1">
        <f t="array" aca="1" ref="C45" ca="1">INDIRECT(""&amp;$D45&amp;"!R"&amp;C$142&amp;"C"&amp;C$143,FALSE)</f>
        <v>Softwood glue laminated timber (GLT) or cross laminated timber (CLT) including treated and untreated</v>
      </c>
      <c r="D45" s="66" t="s">
        <v>3938</v>
      </c>
      <c r="E45" s="7" t="str" cm="1">
        <f t="array" aca="1" ref="E45" ca="1">INDIRECT(""&amp;$D45&amp;"!R"&amp;E$142&amp;"C"&amp;E$143,FALSE)</f>
        <v>m³</v>
      </c>
      <c r="F45" s="7" t="str" cm="1">
        <f t="array" aca="1" ref="F45" ca="1">INDIRECT(""&amp;$D45&amp;"!R"&amp;F$142&amp;"C"&amp;F$143,FALSE)</f>
        <v>Tier 2</v>
      </c>
      <c r="G45" s="188">
        <f ca="1">INDEX(Methodology!$B$26:$D$31,MATCH('EF Table_detail'!$F45,Methodology!$B$26:$B$31,0),MATCH('EF Table_detail'!$G$5,Methodology!$B$26:$D$26,0))</f>
        <v>1.05</v>
      </c>
      <c r="H45" s="237" cm="1">
        <f t="array" aca="1" ref="H45" ca="1">INDIRECT(""&amp;$D45&amp;"!R"&amp;H$142&amp;"C"&amp;H$143,FALSE)</f>
        <v>538.5</v>
      </c>
      <c r="I45" s="235" cm="1">
        <f t="array" aca="1" ref="I45" ca="1">INDIRECT(""&amp;$D45&amp;"!R"&amp;I$142&amp;"C"&amp;I$143,FALSE)</f>
        <v>53.799999999999955</v>
      </c>
      <c r="J45" s="99" cm="1">
        <f t="array" aca="1" ref="J45" ca="1">INDIRECT(""&amp;$D45&amp;"!R"&amp;J$142&amp;"C"&amp;J$143,FALSE)</f>
        <v>242.32947936507941</v>
      </c>
      <c r="K45" s="262">
        <f ca="1">$J45*(1+INDEX(Methodology!$B$26:$E$31,MATCH($F45,Methodology!$B$26:$B$31,0),MATCH(L$5,Methodology!$B$26:$E$26,0)))</f>
        <v>254.44595333333339</v>
      </c>
      <c r="L45" s="261">
        <f ca="1">$H45*(1+INDEX(Methodology!$B$26:$E$31,MATCH($F45,Methodology!$B$26:$B$31,0),MATCH(L$5,Methodology!$B$26:$E$26,0)))</f>
        <v>565.42500000000007</v>
      </c>
      <c r="M45" s="234" cm="1">
        <f t="array" aca="1" ref="M45" ca="1">INDIRECT(""&amp;$D45&amp;"!R"&amp;M$142&amp;"C"&amp;M$143,FALSE)</f>
        <v>1.1966666666666668</v>
      </c>
      <c r="N45" s="234" cm="1">
        <f t="array" aca="1" ref="N45" ca="1">INDIRECT(""&amp;$D45&amp;"!R"&amp;N$142&amp;"C"&amp;N$143,FALSE)</f>
        <v>0.11446808510638307</v>
      </c>
      <c r="O45" s="231" cm="1">
        <f t="array" aca="1" ref="O45" ca="1">INDIRECT(""&amp;$D45&amp;"!R"&amp;O$142&amp;"C"&amp;O$143,FALSE)</f>
        <v>0.46743021850341537</v>
      </c>
      <c r="P45" s="265">
        <f ca="1">$O45*(1+INDEX(Methodology!$B$26:$E$31,MATCH($F45,Methodology!$B$26:$B$31,0),MATCH(Q$5,Methodology!$B$26:$E$26,0)))</f>
        <v>0.49080172942858619</v>
      </c>
      <c r="Q45" s="266">
        <f ca="1">$M45*(1+INDEX(Methodology!$B$26:$E$31,MATCH($F45,Methodology!$B$26:$B$31,0),MATCH(Q$5,Methodology!$B$26:$E$26,0)))</f>
        <v>1.2565000000000002</v>
      </c>
      <c r="R45" s="199"/>
      <c r="S45" s="60" cm="1">
        <f t="array" aca="1" ref="S45" ca="1">INDIRECT(""&amp;$D45&amp;"!R"&amp;S$142&amp;"C"&amp;S$143,FALSE)</f>
        <v>709.5</v>
      </c>
      <c r="T45" s="61" cm="1">
        <f t="array" aca="1" ref="T45" ca="1">INDIRECT(""&amp;$D45&amp;"!R"&amp;T$142&amp;"C"&amp;T$143,FALSE)</f>
        <v>822.67620634920627</v>
      </c>
      <c r="U45" s="265">
        <f ca="1">$T45*(1+INDEX(Methodology!$B$26:$E$31,MATCH($F45,Methodology!$B$26:$B$31,0),MATCH(V$5,Methodology!$B$26:$E$26,0)))</f>
        <v>863.81001666666657</v>
      </c>
      <c r="V45" s="261">
        <f ca="1">$S45*(1+INDEX(Methodology!$B$26:$E$31,MATCH($F45,Methodology!$B$26:$B$31,0),MATCH(V$5,Methodology!$B$26:$E$26,0)))</f>
        <v>744.97500000000002</v>
      </c>
      <c r="W45" s="63" cm="1">
        <f t="array" aca="1" ref="W45" ca="1">INDIRECT(""&amp;$D45&amp;"!R"&amp;W$142&amp;"C"&amp;W$143,FALSE)</f>
        <v>1.5766666666666667</v>
      </c>
      <c r="X45" s="62" cm="1">
        <f t="array" aca="1" ref="X45" ca="1">INDIRECT(""&amp;$D45&amp;"!R"&amp;X$142&amp;"C"&amp;X$143,FALSE)</f>
        <v>1.612589412360689</v>
      </c>
      <c r="Y45" s="265">
        <f ca="1">$X45*(1+INDEX(Methodology!$B$26:$E$31,MATCH($F45,Methodology!$B$26:$B$31,0),MATCH(Z$5,Methodology!$B$26:$E$26,0)))</f>
        <v>1.6932188829787236</v>
      </c>
      <c r="Z45" s="261">
        <f t="shared" ca="1" si="3"/>
        <v>1.5766666666666667</v>
      </c>
      <c r="AA45" s="199"/>
      <c r="AB45" s="10">
        <f t="shared" ca="1" si="4"/>
        <v>518.42921097603107</v>
      </c>
      <c r="AC45" s="190" t="str">
        <f t="shared" ca="1" si="5"/>
        <v>kg/m³</v>
      </c>
      <c r="AD45" s="213" t="str" cm="1">
        <f t="array" aca="1" ref="AD45" ca="1">IF(INDIRECT(""&amp;$D45&amp;"!R"&amp;AD$142&amp;"C"&amp;AD$143,FALSE)=0,"",INDIRECT(""&amp;$D45&amp;"!R"&amp;AD$142&amp;"C"&amp;AD$143,FALSE))</f>
        <v/>
      </c>
      <c r="AE45" s="214" t="str" cm="1">
        <f t="array" aca="1" ref="AE45" ca="1">IFERROR(IF(INDIRECT(""&amp;$D45&amp;"!R"&amp;AE$142&amp;"C"&amp;AE$143,FALSE)="Average (weighted)","Yes","No"),"")</f>
        <v>Yes</v>
      </c>
      <c r="AF45" s="96"/>
    </row>
    <row r="46" spans="1:32" ht="45" customHeight="1" x14ac:dyDescent="0.25">
      <c r="A46" s="66" t="s">
        <v>3935</v>
      </c>
      <c r="B46" s="69" t="s">
        <v>3551</v>
      </c>
      <c r="C46" s="193" t="str" cm="1">
        <f t="array" aca="1" ref="C46" ca="1">INDIRECT(""&amp;$D46&amp;"!R"&amp;C$142&amp;"C"&amp;C$143,FALSE)</f>
        <v>Hardwood glue laminated timber (GLT) or cross laminated timber (CLT) including treated and untreated</v>
      </c>
      <c r="D46" s="66" t="s">
        <v>3939</v>
      </c>
      <c r="E46" s="7" t="str" cm="1">
        <f t="array" aca="1" ref="E46" ca="1">INDIRECT(""&amp;$D46&amp;"!R"&amp;E$142&amp;"C"&amp;E$143,FALSE)</f>
        <v>m³</v>
      </c>
      <c r="F46" s="7" t="str" cm="1">
        <f t="array" aca="1" ref="F46" ca="1">INDIRECT(""&amp;$D46&amp;"!R"&amp;F$142&amp;"C"&amp;F$143,FALSE)</f>
        <v>Tier 3</v>
      </c>
      <c r="G46" s="188">
        <f ca="1">INDEX(Methodology!$B$26:$D$31,MATCH('EF Table_detail'!$F46,Methodology!$B$26:$B$31,0),MATCH('EF Table_detail'!$G$5,Methodology!$B$26:$D$26,0))</f>
        <v>1.1000000000000001</v>
      </c>
      <c r="H46" s="237" cm="1">
        <f t="array" aca="1" ref="H46" ca="1">INDIRECT(""&amp;$D46&amp;"!R"&amp;H$142&amp;"C"&amp;H$143,FALSE)</f>
        <v>764.76066666666645</v>
      </c>
      <c r="I46" s="235" cm="1">
        <f t="array" aca="1" ref="I46" ca="1">INDIRECT(""&amp;$D46&amp;"!R"&amp;I$142&amp;"C"&amp;I$143,FALSE)</f>
        <v>626.6866666666665</v>
      </c>
      <c r="J46" s="99" cm="1">
        <f t="array" aca="1" ref="J46" ca="1">INDIRECT(""&amp;$D46&amp;"!R"&amp;J$142&amp;"C"&amp;J$143,FALSE)</f>
        <v>690.27799999999991</v>
      </c>
      <c r="K46" s="262">
        <f ca="1">$J46*(1+INDEX(Methodology!$B$26:$E$31,MATCH($F46,Methodology!$B$26:$B$31,0),MATCH(L$5,Methodology!$B$26:$E$26,0)))</f>
        <v>759.30579999999998</v>
      </c>
      <c r="L46" s="261">
        <f ca="1">$H46*(1+INDEX(Methodology!$B$26:$E$31,MATCH($F46,Methodology!$B$26:$B$31,0),MATCH(L$5,Methodology!$B$26:$E$26,0)))</f>
        <v>841.23673333333318</v>
      </c>
      <c r="M46" s="234" cm="1">
        <f t="array" aca="1" ref="M46" ca="1">INDIRECT(""&amp;$D46&amp;"!R"&amp;M$142&amp;"C"&amp;M$143,FALSE)</f>
        <v>1.1346597428288818</v>
      </c>
      <c r="N46" s="234" cm="1">
        <f t="array" aca="1" ref="N46" ca="1">INDIRECT(""&amp;$D46&amp;"!R"&amp;N$142&amp;"C"&amp;N$143,FALSE)</f>
        <v>0.92980217606330329</v>
      </c>
      <c r="O46" s="231" cm="1">
        <f t="array" aca="1" ref="O46" ca="1">INDIRECT(""&amp;$D46&amp;"!R"&amp;O$142&amp;"C"&amp;O$143,FALSE)</f>
        <v>1.0241513353115723</v>
      </c>
      <c r="P46" s="265">
        <f ca="1">$O46*(1+INDEX(Methodology!$B$26:$E$31,MATCH($F46,Methodology!$B$26:$B$31,0),MATCH(Q$5,Methodology!$B$26:$E$26,0)))</f>
        <v>1.1265664688427297</v>
      </c>
      <c r="Q46" s="266">
        <f ca="1">$M46*(1+INDEX(Methodology!$B$26:$E$31,MATCH($F46,Methodology!$B$26:$B$31,0),MATCH(Q$5,Methodology!$B$26:$E$26,0)))</f>
        <v>1.2481257171117701</v>
      </c>
      <c r="R46" s="199"/>
      <c r="S46" s="60" cm="1">
        <f t="array" aca="1" ref="S46" ca="1">INDIRECT(""&amp;$D46&amp;"!R"&amp;S$142&amp;"C"&amp;S$143,FALSE)</f>
        <v>1087.3866666666665</v>
      </c>
      <c r="T46" s="61" cm="1">
        <f t="array" aca="1" ref="T46" ca="1">INDIRECT(""&amp;$D46&amp;"!R"&amp;T$142&amp;"C"&amp;T$143,FALSE)</f>
        <v>1087.3866666666665</v>
      </c>
      <c r="U46" s="265">
        <f ca="1">$T46*(1+INDEX(Methodology!$B$26:$E$31,MATCH($F46,Methodology!$B$26:$B$31,0),MATCH(V$5,Methodology!$B$26:$E$26,0)))</f>
        <v>1196.1253333333334</v>
      </c>
      <c r="V46" s="261">
        <f ca="1">$S46*(1+INDEX(Methodology!$B$26:$E$31,MATCH($F46,Methodology!$B$26:$B$31,0),MATCH(V$5,Methodology!$B$26:$E$26,0)))</f>
        <v>1196.1253333333334</v>
      </c>
      <c r="W46" s="63" cm="1">
        <f t="array" aca="1" ref="W46" ca="1">INDIRECT(""&amp;$D46&amp;"!R"&amp;W$142&amp;"C"&amp;W$143,FALSE)</f>
        <v>1.6133333333333331</v>
      </c>
      <c r="X46" s="62" cm="1">
        <f t="array" aca="1" ref="X46" ca="1">INDIRECT(""&amp;$D46&amp;"!R"&amp;X$142&amp;"C"&amp;X$143,FALSE)</f>
        <v>1.6133333333333331</v>
      </c>
      <c r="Y46" s="265">
        <f ca="1">$X46*(1+INDEX(Methodology!$B$26:$E$31,MATCH($F46,Methodology!$B$26:$B$31,0),MATCH(Z$5,Methodology!$B$26:$E$26,0)))</f>
        <v>1.7746666666666666</v>
      </c>
      <c r="Z46" s="261">
        <f t="shared" ca="1" si="3"/>
        <v>1.6133333333333331</v>
      </c>
      <c r="AA46" s="199"/>
      <c r="AB46" s="10">
        <f t="shared" ca="1" si="4"/>
        <v>674.00000000000011</v>
      </c>
      <c r="AC46" s="190" t="str">
        <f t="shared" ca="1" si="5"/>
        <v>kg/m³</v>
      </c>
      <c r="AD46" s="213" t="str" cm="1">
        <f t="array" aca="1" ref="AD46" ca="1">IF(INDIRECT(""&amp;$D46&amp;"!R"&amp;AD$142&amp;"C"&amp;AD$143,FALSE)=0,"",INDIRECT(""&amp;$D46&amp;"!R"&amp;AD$142&amp;"C"&amp;AD$143,FALSE))</f>
        <v/>
      </c>
      <c r="AE46" s="214" t="str" cm="1">
        <f t="array" aca="1" ref="AE46" ca="1">IFERROR(IF(INDIRECT(""&amp;$D46&amp;"!R"&amp;AE$142&amp;"C"&amp;AE$143,FALSE)="Average (weighted)","Yes","No"),"")</f>
        <v>Yes</v>
      </c>
      <c r="AF46" s="96"/>
    </row>
    <row r="47" spans="1:32" ht="45" customHeight="1" x14ac:dyDescent="0.25">
      <c r="A47" s="66" t="s">
        <v>3935</v>
      </c>
      <c r="B47" s="69" t="s">
        <v>3520</v>
      </c>
      <c r="C47" s="193" t="str" cm="1">
        <f t="array" aca="1" ref="C47" ca="1">INDIRECT(""&amp;$D47&amp;"!R"&amp;C$142&amp;"C"&amp;C$143,FALSE)</f>
        <v xml:space="preserve">Laminated veneer timber (LVL) including treated and untreated </v>
      </c>
      <c r="D47" s="66" t="s">
        <v>3940</v>
      </c>
      <c r="E47" s="7" t="str" cm="1">
        <f t="array" aca="1" ref="E47" ca="1">INDIRECT(""&amp;$D47&amp;"!R"&amp;E$142&amp;"C"&amp;E$143,FALSE)</f>
        <v>m³</v>
      </c>
      <c r="F47" s="7" t="str" cm="1">
        <f t="array" aca="1" ref="F47" ca="1">INDIRECT(""&amp;$D47&amp;"!R"&amp;F$142&amp;"C"&amp;F$143,FALSE)</f>
        <v>Tier 3</v>
      </c>
      <c r="G47" s="188">
        <f ca="1">INDEX(Methodology!$B$26:$D$31,MATCH('EF Table_detail'!$F47,Methodology!$B$26:$B$31,0),MATCH('EF Table_detail'!$G$5,Methodology!$B$26:$D$26,0))</f>
        <v>1.1000000000000001</v>
      </c>
      <c r="H47" s="237" cm="1">
        <f t="array" aca="1" ref="H47" ca="1">INDIRECT(""&amp;$D47&amp;"!R"&amp;H$142&amp;"C"&amp;H$143,FALSE)</f>
        <v>401.66666666666663</v>
      </c>
      <c r="I47" s="235" cm="1">
        <f t="array" aca="1" ref="I47" ca="1">INDIRECT(""&amp;$D47&amp;"!R"&amp;I$142&amp;"C"&amp;I$143,FALSE)</f>
        <v>94.399999999999977</v>
      </c>
      <c r="J47" s="99" cm="1">
        <f t="array" aca="1" ref="J47" ca="1">INDIRECT(""&amp;$D47&amp;"!R"&amp;J$142&amp;"C"&amp;J$143,FALSE)</f>
        <v>269.41072926531581</v>
      </c>
      <c r="K47" s="262">
        <f ca="1">$J47*(1+INDEX(Methodology!$B$26:$E$31,MATCH($F47,Methodology!$B$26:$B$31,0),MATCH(L$5,Methodology!$B$26:$E$26,0)))</f>
        <v>296.35180219184741</v>
      </c>
      <c r="L47" s="261">
        <f ca="1">$H47*(1+INDEX(Methodology!$B$26:$E$31,MATCH($F47,Methodology!$B$26:$B$31,0),MATCH(L$5,Methodology!$B$26:$E$26,0)))</f>
        <v>441.83333333333331</v>
      </c>
      <c r="M47" s="234" cm="1">
        <f t="array" aca="1" ref="M47" ca="1">INDIRECT(""&amp;$D47&amp;"!R"&amp;M$142&amp;"C"&amp;M$143,FALSE)</f>
        <v>0.91287878787878773</v>
      </c>
      <c r="N47" s="234" cm="1">
        <f t="array" aca="1" ref="N47" ca="1">INDIRECT(""&amp;$D47&amp;"!R"&amp;N$142&amp;"C"&amp;N$143,FALSE)</f>
        <v>0.15500821018062383</v>
      </c>
      <c r="O47" s="231" cm="1">
        <f t="array" aca="1" ref="O47" ca="1">INDIRECT(""&amp;$D47&amp;"!R"&amp;O$142&amp;"C"&amp;O$143,FALSE)</f>
        <v>0.53063640689789171</v>
      </c>
      <c r="P47" s="265">
        <f ca="1">$O47*(1+INDEX(Methodology!$B$26:$E$31,MATCH($F47,Methodology!$B$26:$B$31,0),MATCH(Q$5,Methodology!$B$26:$E$26,0)))</f>
        <v>0.5837000475876809</v>
      </c>
      <c r="Q47" s="266">
        <f ca="1">$M47*(1+INDEX(Methodology!$B$26:$E$31,MATCH($F47,Methodology!$B$26:$B$31,0),MATCH(Q$5,Methodology!$B$26:$E$26,0)))</f>
        <v>1.0041666666666667</v>
      </c>
      <c r="R47" s="199"/>
      <c r="S47" s="60" cm="1">
        <f t="array" aca="1" ref="S47" ca="1">INDIRECT(""&amp;$D47&amp;"!R"&amp;S$142&amp;"C"&amp;S$143,FALSE)</f>
        <v>784.66666666666663</v>
      </c>
      <c r="T47" s="61" cm="1">
        <f t="array" aca="1" ref="T47" ca="1">INDIRECT(""&amp;$D47&amp;"!R"&amp;T$142&amp;"C"&amp;T$143,FALSE)</f>
        <v>835.46322787193981</v>
      </c>
      <c r="U47" s="265">
        <f ca="1">$T47*(1+INDEX(Methodology!$B$26:$E$31,MATCH($F47,Methodology!$B$26:$B$31,0),MATCH(V$5,Methodology!$B$26:$E$26,0)))</f>
        <v>919.00955065913388</v>
      </c>
      <c r="V47" s="261">
        <f ca="1">$S47*(1+INDEX(Methodology!$B$26:$E$31,MATCH($F47,Methodology!$B$26:$B$31,0),MATCH(V$5,Methodology!$B$26:$E$26,0)))</f>
        <v>863.13333333333333</v>
      </c>
      <c r="W47" s="63" cm="1">
        <f t="array" aca="1" ref="W47" ca="1">INDIRECT(""&amp;$D47&amp;"!R"&amp;W$142&amp;"C"&amp;W$143,FALSE)</f>
        <v>1.5385620915032678</v>
      </c>
      <c r="X47" s="62" cm="1">
        <f t="array" aca="1" ref="X47" ca="1">INDIRECT(""&amp;$D47&amp;"!R"&amp;X$142&amp;"C"&amp;X$143,FALSE)</f>
        <v>1.5985877166755444</v>
      </c>
      <c r="Y47" s="265">
        <f ca="1">$X47*(1+INDEX(Methodology!$B$26:$E$31,MATCH($F47,Methodology!$B$26:$B$31,0),MATCH(Z$5,Methodology!$B$26:$E$26,0)))</f>
        <v>1.758446488343099</v>
      </c>
      <c r="Z47" s="261">
        <f t="shared" ca="1" si="3"/>
        <v>1.5385620915032678</v>
      </c>
      <c r="AA47" s="199"/>
      <c r="AB47" s="10">
        <f t="shared" ca="1" si="4"/>
        <v>507.71248591911535</v>
      </c>
      <c r="AC47" s="190" t="str">
        <f t="shared" ca="1" si="5"/>
        <v>kg/m³</v>
      </c>
      <c r="AD47" s="213" t="str" cm="1">
        <f t="array" aca="1" ref="AD47" ca="1">IF(INDIRECT(""&amp;$D47&amp;"!R"&amp;AD$142&amp;"C"&amp;AD$143,FALSE)=0,"",INDIRECT(""&amp;$D47&amp;"!R"&amp;AD$142&amp;"C"&amp;AD$143,FALSE))</f>
        <v/>
      </c>
      <c r="AE47" s="214" t="str" cm="1">
        <f t="array" aca="1" ref="AE47" ca="1">IFERROR(IF(INDIRECT(""&amp;$D47&amp;"!R"&amp;AE$142&amp;"C"&amp;AE$143,FALSE)="Average (weighted)","Yes","No"),"")</f>
        <v>No</v>
      </c>
      <c r="AF47" s="96"/>
    </row>
    <row r="48" spans="1:32" ht="45" customHeight="1" x14ac:dyDescent="0.25">
      <c r="A48" s="66" t="s">
        <v>3935</v>
      </c>
      <c r="B48" s="69" t="s">
        <v>3504</v>
      </c>
      <c r="C48" s="193" t="str" cm="1">
        <f t="array" aca="1" ref="C48" ca="1">INDIRECT(""&amp;$D48&amp;"!R"&amp;C$142&amp;"C"&amp;C$143,FALSE)</f>
        <v xml:space="preserve">Oriented strand board (OSB) </v>
      </c>
      <c r="D48" s="66" t="s">
        <v>3941</v>
      </c>
      <c r="E48" s="7" t="str" cm="1">
        <f t="array" aca="1" ref="E48" ca="1">INDIRECT(""&amp;$D48&amp;"!R"&amp;E$142&amp;"C"&amp;E$143,FALSE)</f>
        <v>m³</v>
      </c>
      <c r="F48" s="7" t="str" cm="1">
        <f t="array" aca="1" ref="F48" ca="1">INDIRECT(""&amp;$D48&amp;"!R"&amp;F$142&amp;"C"&amp;F$143,FALSE)</f>
        <v>Tier 4</v>
      </c>
      <c r="G48" s="188">
        <f ca="1">INDEX(Methodology!$B$26:$D$31,MATCH('EF Table_detail'!$F48,Methodology!$B$26:$B$31,0),MATCH('EF Table_detail'!$G$5,Methodology!$B$26:$D$26,0))</f>
        <v>1.2</v>
      </c>
      <c r="H48" s="237" cm="1">
        <f t="array" aca="1" ref="H48" ca="1">INDIRECT(""&amp;$D48&amp;"!R"&amp;H$142&amp;"C"&amp;H$143,FALSE)</f>
        <v>384.37333333333322</v>
      </c>
      <c r="I48" s="235" cm="1">
        <f t="array" aca="1" ref="I48" ca="1">INDIRECT(""&amp;$D48&amp;"!R"&amp;I$142&amp;"C"&amp;I$143,FALSE)</f>
        <v>101.17899999999997</v>
      </c>
      <c r="J48" s="99" cm="1">
        <f t="array" aca="1" ref="J48" ca="1">INDIRECT(""&amp;$D48&amp;"!R"&amp;J$142&amp;"C"&amp;J$143,FALSE)</f>
        <v>201.78475333333327</v>
      </c>
      <c r="K48" s="262">
        <f ca="1">$J48*(1+INDEX(Methodology!$B$26:$E$31,MATCH($F48,Methodology!$B$26:$B$31,0),MATCH(L$5,Methodology!$B$26:$E$26,0)))</f>
        <v>242.14170399999992</v>
      </c>
      <c r="L48" s="261">
        <f ca="1">$H48*(1+INDEX(Methodology!$B$26:$E$31,MATCH($F48,Methodology!$B$26:$B$31,0),MATCH(L$5,Methodology!$B$26:$E$26,0)))</f>
        <v>461.24799999999982</v>
      </c>
      <c r="M48" s="234" cm="1">
        <f t="array" aca="1" ref="M48" ca="1">INDIRECT(""&amp;$D48&amp;"!R"&amp;M$142&amp;"C"&amp;M$143,FALSE)</f>
        <v>0.63955629506378253</v>
      </c>
      <c r="N48" s="234" cm="1">
        <f t="array" aca="1" ref="N48" ca="1">INDIRECT(""&amp;$D48&amp;"!R"&amp;N$142&amp;"C"&amp;N$143,FALSE)</f>
        <v>0.1646420967741935</v>
      </c>
      <c r="O48" s="231" cm="1">
        <f t="array" aca="1" ref="O48" ca="1">INDIRECT(""&amp;$D48&amp;"!R"&amp;O$142&amp;"C"&amp;O$143,FALSE)</f>
        <v>0.33103200369904573</v>
      </c>
      <c r="P48" s="265">
        <f ca="1">$O48*(1+INDEX(Methodology!$B$26:$E$31,MATCH($F48,Methodology!$B$26:$B$31,0),MATCH(Q$5,Methodology!$B$26:$E$26,0)))</f>
        <v>0.39723840443885489</v>
      </c>
      <c r="Q48" s="266">
        <f ca="1">$M48*(1+INDEX(Methodology!$B$26:$E$31,MATCH($F48,Methodology!$B$26:$B$31,0),MATCH(Q$5,Methodology!$B$26:$E$26,0)))</f>
        <v>0.76746755407653899</v>
      </c>
      <c r="R48" s="199"/>
      <c r="S48" s="60" cm="1">
        <f t="array" aca="1" ref="S48" ca="1">INDIRECT(""&amp;$D48&amp;"!R"&amp;S$142&amp;"C"&amp;S$143,FALSE)</f>
        <v>1041.3333333333333</v>
      </c>
      <c r="T48" s="61" cm="1">
        <f t="array" aca="1" ref="T48" ca="1">INDIRECT(""&amp;$D48&amp;"!R"&amp;T$142&amp;"C"&amp;T$143,FALSE)</f>
        <v>1014.6253333333332</v>
      </c>
      <c r="U48" s="265">
        <f ca="1">$T48*(1+INDEX(Methodology!$B$26:$E$31,MATCH($F48,Methodology!$B$26:$B$31,0),MATCH(V$5,Methodology!$B$26:$E$26,0)))</f>
        <v>1217.5503999999999</v>
      </c>
      <c r="V48" s="261">
        <f ca="1">$S48*(1+INDEX(Methodology!$B$26:$E$31,MATCH($F48,Methodology!$B$26:$B$31,0),MATCH(V$5,Methodology!$B$26:$E$26,0)))</f>
        <v>1249.5999999999999</v>
      </c>
      <c r="W48" s="63" cm="1">
        <f t="array" aca="1" ref="W48" ca="1">INDIRECT(""&amp;$D48&amp;"!R"&amp;W$142&amp;"C"&amp;W$143,FALSE)</f>
        <v>1.732667775929007</v>
      </c>
      <c r="X48" s="62" cm="1">
        <f t="array" aca="1" ref="X48" ca="1">INDIRECT(""&amp;$D48&amp;"!R"&amp;X$142&amp;"C"&amp;X$143,FALSE)</f>
        <v>1.659200221852468</v>
      </c>
      <c r="Y48" s="265">
        <f ca="1">$X48*(1+INDEX(Methodology!$B$26:$E$31,MATCH($F48,Methodology!$B$26:$B$31,0),MATCH(Z$5,Methodology!$B$26:$E$26,0)))</f>
        <v>1.9910402662229614</v>
      </c>
      <c r="Z48" s="261">
        <f t="shared" ca="1" si="3"/>
        <v>1.732667775929007</v>
      </c>
      <c r="AA48" s="199"/>
      <c r="AB48" s="10">
        <f t="shared" ca="1" si="4"/>
        <v>609.56267393645646</v>
      </c>
      <c r="AC48" s="190" t="str">
        <f t="shared" ca="1" si="5"/>
        <v>kg/m³</v>
      </c>
      <c r="AD48" s="213" t="str" cm="1">
        <f t="array" aca="1" ref="AD48" ca="1">IF(INDIRECT(""&amp;$D48&amp;"!R"&amp;AD$142&amp;"C"&amp;AD$143,FALSE)=0,"",INDIRECT(""&amp;$D48&amp;"!R"&amp;AD$142&amp;"C"&amp;AD$143,FALSE))</f>
        <v/>
      </c>
      <c r="AE48" s="214" t="str" cm="1">
        <f t="array" aca="1" ref="AE48" ca="1">IFERROR(IF(INDIRECT(""&amp;$D48&amp;"!R"&amp;AE$142&amp;"C"&amp;AE$143,FALSE)="Average (weighted)","Yes","No"),"")</f>
        <v>No</v>
      </c>
      <c r="AF48" s="96"/>
    </row>
    <row r="49" spans="1:32" ht="45" customHeight="1" x14ac:dyDescent="0.25">
      <c r="A49" s="66" t="s">
        <v>3942</v>
      </c>
      <c r="B49" s="69" t="s">
        <v>2710</v>
      </c>
      <c r="C49" s="193" t="str" cm="1">
        <f t="array" aca="1" ref="C49" ca="1">INDIRECT(""&amp;$D49&amp;"!R"&amp;C$142&amp;"C"&amp;C$143,FALSE)</f>
        <v>Masonry bricks made from clay, including fired, perforated, engineering, and facing bricks</v>
      </c>
      <c r="D49" s="66" t="s">
        <v>3943</v>
      </c>
      <c r="E49" s="7" t="str" cm="1">
        <f t="array" aca="1" ref="E49" ca="1">INDIRECT(""&amp;$D49&amp;"!R"&amp;E$142&amp;"C"&amp;E$143,FALSE)</f>
        <v>tonne</v>
      </c>
      <c r="F49" s="7" t="str" cm="1">
        <f t="array" aca="1" ref="F49" ca="1">INDIRECT(""&amp;$D49&amp;"!R"&amp;F$142&amp;"C"&amp;F$143,FALSE)</f>
        <v>Tier 3</v>
      </c>
      <c r="G49" s="188">
        <f ca="1">INDEX(Methodology!$B$26:$D$31,MATCH('EF Table_detail'!$F49,Methodology!$B$26:$B$31,0),MATCH('EF Table_detail'!$G$5,Methodology!$B$26:$D$26,0))</f>
        <v>1.1000000000000001</v>
      </c>
      <c r="H49" s="237" cm="1">
        <f t="array" aca="1" ref="H49" ca="1">INDIRECT(""&amp;$D49&amp;"!R"&amp;H$142&amp;"C"&amp;H$143,FALSE)</f>
        <v>408.4</v>
      </c>
      <c r="I49" s="235" cm="1">
        <f t="array" aca="1" ref="I49" ca="1">INDIRECT(""&amp;$D49&amp;"!R"&amp;I$142&amp;"C"&amp;I$143,FALSE)</f>
        <v>47.832090000000001</v>
      </c>
      <c r="J49" s="99" cm="1">
        <f t="array" aca="1" ref="J49" ca="1">INDIRECT(""&amp;$D49&amp;"!R"&amp;J$142&amp;"C"&amp;J$143,FALSE)</f>
        <v>186.15808708333327</v>
      </c>
      <c r="K49" s="262">
        <f ca="1">$J49*(1+INDEX(Methodology!$B$26:$E$31,MATCH($F49,Methodology!$B$26:$B$31,0),MATCH(L$5,Methodology!$B$26:$E$26,0)))</f>
        <v>204.7738957916666</v>
      </c>
      <c r="L49" s="261">
        <f ca="1">$H49*(1+INDEX(Methodology!$B$26:$E$31,MATCH($F49,Methodology!$B$26:$B$31,0),MATCH(L$5,Methodology!$B$26:$E$26,0)))</f>
        <v>449.24</v>
      </c>
      <c r="M49" s="234" cm="1">
        <f t="array" aca="1" ref="M49" ca="1">INDIRECT(""&amp;$D49&amp;"!R"&amp;M$142&amp;"C"&amp;M$143,FALSE)</f>
        <v>0.40839999999999999</v>
      </c>
      <c r="N49" s="234" cm="1">
        <f t="array" aca="1" ref="N49" ca="1">INDIRECT(""&amp;$D49&amp;"!R"&amp;N$142&amp;"C"&amp;N$143,FALSE)</f>
        <v>4.7832090000000001E-2</v>
      </c>
      <c r="O49" s="231" cm="1">
        <f t="array" aca="1" ref="O49" ca="1">INDIRECT(""&amp;$D49&amp;"!R"&amp;O$142&amp;"C"&amp;O$143,FALSE)</f>
        <v>0.18615808708333337</v>
      </c>
      <c r="P49" s="265">
        <f ca="1">$O49*(1+INDEX(Methodology!$B$26:$E$31,MATCH($F49,Methodology!$B$26:$B$31,0),MATCH(Q$5,Methodology!$B$26:$E$26,0)))</f>
        <v>0.20477389579166672</v>
      </c>
      <c r="Q49" s="266">
        <f ca="1">$M49*(1+INDEX(Methodology!$B$26:$E$31,MATCH($F49,Methodology!$B$26:$B$31,0),MATCH(Q$5,Methodology!$B$26:$E$26,0)))</f>
        <v>0.44924000000000003</v>
      </c>
      <c r="R49" s="199"/>
      <c r="S49" s="63" cm="1">
        <f t="array" aca="1" ref="S49" ca="1">INDIRECT(""&amp;$D49&amp;"!R"&amp;S$142&amp;"C"&amp;S$143,FALSE)</f>
        <v>0</v>
      </c>
      <c r="T49" s="62" cm="1">
        <f t="array" aca="1" ref="T49" ca="1">INDIRECT(""&amp;$D49&amp;"!R"&amp;T$142&amp;"C"&amp;T$143,FALSE)</f>
        <v>0</v>
      </c>
      <c r="U49" s="265">
        <f ca="1">$T49*(1+INDEX(Methodology!$B$26:$E$31,MATCH($F49,Methodology!$B$26:$B$31,0),MATCH(V$5,Methodology!$B$26:$E$26,0)))</f>
        <v>0</v>
      </c>
      <c r="V49" s="261">
        <f ca="1">$S49*(1+INDEX(Methodology!$B$26:$E$31,MATCH($F49,Methodology!$B$26:$B$31,0),MATCH(V$5,Methodology!$B$26:$E$26,0)))</f>
        <v>0</v>
      </c>
      <c r="W49" s="63" cm="1">
        <f t="array" aca="1" ref="W49" ca="1">INDIRECT(""&amp;$D49&amp;"!R"&amp;W$142&amp;"C"&amp;W$143,FALSE)</f>
        <v>0</v>
      </c>
      <c r="X49" s="62" cm="1">
        <f t="array" aca="1" ref="X49" ca="1">INDIRECT(""&amp;$D49&amp;"!R"&amp;X$142&amp;"C"&amp;X$143,FALSE)</f>
        <v>0</v>
      </c>
      <c r="Y49" s="265">
        <f ca="1">$X49*(1+INDEX(Methodology!$B$26:$E$31,MATCH($F49,Methodology!$B$26:$B$31,0),MATCH(Z$5,Methodology!$B$26:$E$26,0)))</f>
        <v>0</v>
      </c>
      <c r="Z49" s="261">
        <f t="shared" ca="1" si="3"/>
        <v>0</v>
      </c>
      <c r="AA49" s="199"/>
      <c r="AB49" s="10">
        <f t="shared" ca="1" si="4"/>
        <v>999.99999999999943</v>
      </c>
      <c r="AC49" s="190" t="str">
        <f t="shared" ca="1" si="5"/>
        <v>kg/tonne</v>
      </c>
      <c r="AD49" s="213" t="str" cm="1">
        <f t="array" aca="1" ref="AD49" ca="1">IF(INDIRECT(""&amp;$D49&amp;"!R"&amp;AD$142&amp;"C"&amp;AD$143,FALSE)=0,"",INDIRECT(""&amp;$D49&amp;"!R"&amp;AD$142&amp;"C"&amp;AD$143,FALSE))</f>
        <v/>
      </c>
      <c r="AE49" s="214" t="str" cm="1">
        <f t="array" aca="1" ref="AE49" ca="1">IFERROR(IF(INDIRECT(""&amp;$D49&amp;"!R"&amp;AE$142&amp;"C"&amp;AE$143,FALSE)="Average (weighted)","Yes","No"),"")</f>
        <v>No</v>
      </c>
      <c r="AF49" s="96"/>
    </row>
    <row r="50" spans="1:32" ht="45" customHeight="1" x14ac:dyDescent="0.25">
      <c r="A50" s="66" t="s">
        <v>3942</v>
      </c>
      <c r="B50" s="69" t="s">
        <v>3901</v>
      </c>
      <c r="C50" s="193" t="str" cm="1">
        <f t="array" aca="1" ref="C50" ca="1">INDIRECT(""&amp;$D50&amp;"!R"&amp;C$142&amp;"C"&amp;C$143,FALSE)</f>
        <v>Concrete brick or block i.e. cinder block or concrete finishing brick used in masonry. Not including any core fill material or reinforcing.</v>
      </c>
      <c r="D50" s="2" t="s">
        <v>3900</v>
      </c>
      <c r="E50" s="7" t="str" cm="1">
        <f t="array" aca="1" ref="E50" ca="1">INDIRECT(""&amp;$D50&amp;"!R"&amp;E$142&amp;"C"&amp;E$143,FALSE)</f>
        <v>tonne</v>
      </c>
      <c r="F50" s="7" t="str" cm="1">
        <f t="array" aca="1" ref="F50" ca="1">INDIRECT(""&amp;$D50&amp;"!R"&amp;F$142&amp;"C"&amp;F$143,FALSE)</f>
        <v>Tier 3</v>
      </c>
      <c r="G50" s="188">
        <f ca="1">INDEX(Methodology!$B$26:$D$31,MATCH('EF Table_detail'!$F50,Methodology!$B$26:$B$31,0),MATCH('EF Table_detail'!$G$5,Methodology!$B$26:$D$26,0))</f>
        <v>1.1000000000000001</v>
      </c>
      <c r="H50" s="237" cm="1">
        <f t="array" aca="1" ref="H50" ca="1">INDIRECT(""&amp;$D50&amp;"!R"&amp;H$142&amp;"C"&amp;H$143,FALSE)</f>
        <v>240.39</v>
      </c>
      <c r="I50" s="235" cm="1">
        <f t="array" aca="1" ref="I50" ca="1">INDIRECT(""&amp;$D50&amp;"!R"&amp;I$142&amp;"C"&amp;I$143,FALSE)</f>
        <v>111.67</v>
      </c>
      <c r="J50" s="99" cm="1">
        <f t="array" aca="1" ref="J50" ca="1">INDIRECT(""&amp;$D50&amp;"!R"&amp;J$142&amp;"C"&amp;J$143,FALSE)</f>
        <v>158.68923076923076</v>
      </c>
      <c r="K50" s="262">
        <f ca="1">$J50*(1+INDEX(Methodology!$B$26:$E$31,MATCH($F50,Methodology!$B$26:$B$31,0),MATCH(L$5,Methodology!$B$26:$E$26,0)))</f>
        <v>174.55815384615386</v>
      </c>
      <c r="L50" s="261">
        <f ca="1">$H50*(1+INDEX(Methodology!$B$26:$E$31,MATCH($F50,Methodology!$B$26:$B$31,0),MATCH(L$5,Methodology!$B$26:$E$26,0)))</f>
        <v>264.42900000000003</v>
      </c>
      <c r="M50" s="234" cm="1">
        <f t="array" aca="1" ref="M50" ca="1">INDIRECT(""&amp;$D50&amp;"!R"&amp;M$142&amp;"C"&amp;M$143,FALSE)</f>
        <v>0.24038999999999999</v>
      </c>
      <c r="N50" s="234" cm="1">
        <f t="array" aca="1" ref="N50" ca="1">INDIRECT(""&amp;$D50&amp;"!R"&amp;N$142&amp;"C"&amp;N$143,FALSE)</f>
        <v>0.11167000000000001</v>
      </c>
      <c r="O50" s="231" cm="1">
        <f t="array" aca="1" ref="O50" ca="1">INDIRECT(""&amp;$D50&amp;"!R"&amp;O$142&amp;"C"&amp;O$143,FALSE)</f>
        <v>0.1586892307692308</v>
      </c>
      <c r="P50" s="265">
        <f ca="1">$O50*(1+INDEX(Methodology!$B$26:$E$31,MATCH($F50,Methodology!$B$26:$B$31,0),MATCH(Q$5,Methodology!$B$26:$E$26,0)))</f>
        <v>0.17455815384615389</v>
      </c>
      <c r="Q50" s="266">
        <f ca="1">$M50*(1+INDEX(Methodology!$B$26:$E$31,MATCH($F50,Methodology!$B$26:$B$31,0),MATCH(Q$5,Methodology!$B$26:$E$26,0)))</f>
        <v>0.26442900000000003</v>
      </c>
      <c r="R50" s="199"/>
      <c r="S50" s="63" cm="1">
        <f t="array" aca="1" ref="S50" ca="1">INDIRECT(""&amp;$D50&amp;"!R"&amp;S$142&amp;"C"&amp;S$143,FALSE)</f>
        <v>0</v>
      </c>
      <c r="T50" s="62" cm="1">
        <f t="array" aca="1" ref="T50" ca="1">INDIRECT(""&amp;$D50&amp;"!R"&amp;T$142&amp;"C"&amp;T$143,FALSE)</f>
        <v>0</v>
      </c>
      <c r="U50" s="265">
        <f ca="1">$T50*(1+INDEX(Methodology!$B$26:$E$31,MATCH($F50,Methodology!$B$26:$B$31,0),MATCH(V$5,Methodology!$B$26:$E$26,0)))</f>
        <v>0</v>
      </c>
      <c r="V50" s="261">
        <f ca="1">$S50*(1+INDEX(Methodology!$B$26:$E$31,MATCH($F50,Methodology!$B$26:$B$31,0),MATCH(V$5,Methodology!$B$26:$E$26,0)))</f>
        <v>0</v>
      </c>
      <c r="W50" s="63" cm="1">
        <f t="array" aca="1" ref="W50" ca="1">INDIRECT(""&amp;$D50&amp;"!R"&amp;W$142&amp;"C"&amp;W$143,FALSE)</f>
        <v>0</v>
      </c>
      <c r="X50" s="62" cm="1">
        <f t="array" aca="1" ref="X50" ca="1">INDIRECT(""&amp;$D50&amp;"!R"&amp;X$142&amp;"C"&amp;X$143,FALSE)</f>
        <v>0</v>
      </c>
      <c r="Y50" s="265">
        <f ca="1">$X50*(1+INDEX(Methodology!$B$26:$E$31,MATCH($F50,Methodology!$B$26:$B$31,0),MATCH(Z$5,Methodology!$B$26:$E$26,0)))</f>
        <v>0</v>
      </c>
      <c r="Z50" s="261">
        <f t="shared" ca="1" si="3"/>
        <v>0</v>
      </c>
      <c r="AA50" s="199"/>
      <c r="AB50" s="10">
        <f t="shared" ca="1" si="4"/>
        <v>999.99999999999977</v>
      </c>
      <c r="AC50" s="190" t="str">
        <f t="shared" ca="1" si="5"/>
        <v>kg/tonne</v>
      </c>
      <c r="AD50" s="213" t="str" cm="1">
        <f t="array" aca="1" ref="AD50" ca="1">IF(INDIRECT(""&amp;$D50&amp;"!R"&amp;AD$142&amp;"C"&amp;AD$143,FALSE)=0,"",INDIRECT(""&amp;$D50&amp;"!R"&amp;AD$142&amp;"C"&amp;AD$143,FALSE))</f>
        <v>Not including any core fill material or reinforcing.</v>
      </c>
      <c r="AE50" s="214" t="str" cm="1">
        <f t="array" aca="1" ref="AE50" ca="1">IFERROR(IF(INDIRECT(""&amp;$D50&amp;"!R"&amp;AE$142&amp;"C"&amp;AE$143,FALSE)="Average (weighted)","Yes","No"),"")</f>
        <v>No</v>
      </c>
      <c r="AF50" s="96"/>
    </row>
    <row r="51" spans="1:32" ht="45" customHeight="1" x14ac:dyDescent="0.25">
      <c r="A51" s="66" t="s">
        <v>3942</v>
      </c>
      <c r="B51" s="69" t="s">
        <v>2779</v>
      </c>
      <c r="C51" s="193" t="str" cm="1">
        <f t="array" aca="1" ref="C51" ca="1">INDIRECT(""&amp;$D51&amp;"!R"&amp;C$142&amp;"C"&amp;C$143,FALSE)</f>
        <v>Stone tiles (wall and floor) and pavers including porcelain tiles, represented by granite and limestone quarry operations and surface preparation with stabilisation as needed.</v>
      </c>
      <c r="D51" s="66" t="s">
        <v>3944</v>
      </c>
      <c r="E51" s="7" t="str" cm="1">
        <f t="array" aca="1" ref="E51" ca="1">INDIRECT(""&amp;$D51&amp;"!R"&amp;E$142&amp;"C"&amp;E$143,FALSE)</f>
        <v>tonne</v>
      </c>
      <c r="F51" s="7" t="str" cm="1">
        <f t="array" aca="1" ref="F51" ca="1">INDIRECT(""&amp;$D51&amp;"!R"&amp;F$142&amp;"C"&amp;F$143,FALSE)</f>
        <v>Tier 4</v>
      </c>
      <c r="G51" s="188">
        <f ca="1">INDEX(Methodology!$B$26:$D$31,MATCH('EF Table_detail'!$F51,Methodology!$B$26:$B$31,0),MATCH('EF Table_detail'!$G$5,Methodology!$B$26:$D$26,0))</f>
        <v>1.2</v>
      </c>
      <c r="H51" s="237" cm="1">
        <f t="array" aca="1" ref="H51" ca="1">INDIRECT(""&amp;$D51&amp;"!R"&amp;H$142&amp;"C"&amp;H$143,FALSE)</f>
        <v>451.85185185185185</v>
      </c>
      <c r="I51" s="235" cm="1">
        <f t="array" aca="1" ref="I51" ca="1">INDIRECT(""&amp;$D51&amp;"!R"&amp;I$142&amp;"C"&amp;I$143,FALSE)</f>
        <v>75.727000000000004</v>
      </c>
      <c r="J51" s="99" cm="1">
        <f t="array" aca="1" ref="J51" ca="1">INDIRECT(""&amp;$D51&amp;"!R"&amp;J$142&amp;"C"&amp;J$143,FALSE)</f>
        <v>256.17095925925923</v>
      </c>
      <c r="K51" s="262">
        <f ca="1">$J51*(1+INDEX(Methodology!$B$26:$E$31,MATCH($F51,Methodology!$B$26:$B$31,0),MATCH(L$5,Methodology!$B$26:$E$26,0)))</f>
        <v>307.40515111111108</v>
      </c>
      <c r="L51" s="261">
        <f ca="1">$H51*(1+INDEX(Methodology!$B$26:$E$31,MATCH($F51,Methodology!$B$26:$B$31,0),MATCH(L$5,Methodology!$B$26:$E$26,0)))</f>
        <v>542.22222222222217</v>
      </c>
      <c r="M51" s="234" cm="1">
        <f t="array" aca="1" ref="M51" ca="1">INDIRECT(""&amp;$D51&amp;"!R"&amp;M$142&amp;"C"&amp;M$143,FALSE)</f>
        <v>0.45185185185185184</v>
      </c>
      <c r="N51" s="234" cm="1">
        <f t="array" aca="1" ref="N51" ca="1">INDIRECT(""&amp;$D51&amp;"!R"&amp;N$142&amp;"C"&amp;N$143,FALSE)</f>
        <v>7.5726999999999989E-2</v>
      </c>
      <c r="O51" s="231" cm="1">
        <f t="array" aca="1" ref="O51" ca="1">INDIRECT(""&amp;$D51&amp;"!R"&amp;O$142&amp;"C"&amp;O$143,FALSE)</f>
        <v>0.25617095925925926</v>
      </c>
      <c r="P51" s="265">
        <f ca="1">$O51*(1+INDEX(Methodology!$B$26:$E$31,MATCH($F51,Methodology!$B$26:$B$31,0),MATCH(Q$5,Methodology!$B$26:$E$26,0)))</f>
        <v>0.30740515111111111</v>
      </c>
      <c r="Q51" s="266">
        <f ca="1">$M51*(1+INDEX(Methodology!$B$26:$E$31,MATCH($F51,Methodology!$B$26:$B$31,0),MATCH(Q$5,Methodology!$B$26:$E$26,0)))</f>
        <v>0.54222222222222216</v>
      </c>
      <c r="R51" s="199"/>
      <c r="S51" s="63" cm="1">
        <f t="array" aca="1" ref="S51" ca="1">INDIRECT(""&amp;$D51&amp;"!R"&amp;S$142&amp;"C"&amp;S$143,FALSE)</f>
        <v>0</v>
      </c>
      <c r="T51" s="62" cm="1">
        <f t="array" aca="1" ref="T51" ca="1">INDIRECT(""&amp;$D51&amp;"!R"&amp;T$142&amp;"C"&amp;T$143,FALSE)</f>
        <v>0</v>
      </c>
      <c r="U51" s="265">
        <f ca="1">$T51*(1+INDEX(Methodology!$B$26:$E$31,MATCH($F51,Methodology!$B$26:$B$31,0),MATCH(V$5,Methodology!$B$26:$E$26,0)))</f>
        <v>0</v>
      </c>
      <c r="V51" s="261">
        <f ca="1">$S51*(1+INDEX(Methodology!$B$26:$E$31,MATCH($F51,Methodology!$B$26:$B$31,0),MATCH(V$5,Methodology!$B$26:$E$26,0)))</f>
        <v>0</v>
      </c>
      <c r="W51" s="63" cm="1">
        <f t="array" aca="1" ref="W51" ca="1">INDIRECT(""&amp;$D51&amp;"!R"&amp;W$142&amp;"C"&amp;W$143,FALSE)</f>
        <v>0</v>
      </c>
      <c r="X51" s="62" cm="1">
        <f t="array" aca="1" ref="X51" ca="1">INDIRECT(""&amp;$D51&amp;"!R"&amp;X$142&amp;"C"&amp;X$143,FALSE)</f>
        <v>0</v>
      </c>
      <c r="Y51" s="265">
        <f ca="1">$X51*(1+INDEX(Methodology!$B$26:$E$31,MATCH($F51,Methodology!$B$26:$B$31,0),MATCH(Z$5,Methodology!$B$26:$E$26,0)))</f>
        <v>0</v>
      </c>
      <c r="Z51" s="261">
        <f t="shared" ca="1" si="3"/>
        <v>0</v>
      </c>
      <c r="AA51" s="199"/>
      <c r="AB51" s="10">
        <f t="shared" ca="1" si="4"/>
        <v>999.99999999999989</v>
      </c>
      <c r="AC51" s="190" t="str">
        <f t="shared" ca="1" si="5"/>
        <v>kg/tonne</v>
      </c>
      <c r="AD51" s="213" t="str" cm="1">
        <f t="array" aca="1" ref="AD51" ca="1">IF(INDIRECT(""&amp;$D51&amp;"!R"&amp;AD$142&amp;"C"&amp;AD$143,FALSE)=0,"",INDIRECT(""&amp;$D51&amp;"!R"&amp;AD$142&amp;"C"&amp;AD$143,FALSE))</f>
        <v/>
      </c>
      <c r="AE51" s="214" t="str" cm="1">
        <f t="array" aca="1" ref="AE51" ca="1">IFERROR(IF(INDIRECT(""&amp;$D51&amp;"!R"&amp;AE$142&amp;"C"&amp;AE$143,FALSE)="Average (weighted)","Yes","No"),"")</f>
        <v>No</v>
      </c>
      <c r="AF51" s="96"/>
    </row>
    <row r="52" spans="1:32" ht="45" customHeight="1" x14ac:dyDescent="0.25">
      <c r="A52" s="66" t="s">
        <v>3945</v>
      </c>
      <c r="B52" s="69" t="s">
        <v>3310</v>
      </c>
      <c r="C52" s="193" t="str" cm="1">
        <f t="array" aca="1" ref="C52" ca="1">INDIRECT(""&amp;$D52&amp;"!R"&amp;C$142&amp;"C"&amp;C$143,FALSE)</f>
        <v>Structural Insulated Panels (SIP) of thickness less than 100 mm, including wall and roof panels</v>
      </c>
      <c r="D52" s="66" t="s">
        <v>3946</v>
      </c>
      <c r="E52" s="7" t="str" cm="1">
        <f t="array" aca="1" ref="E52" ca="1">INDIRECT(""&amp;$D52&amp;"!R"&amp;E$142&amp;"C"&amp;E$143,FALSE)</f>
        <v>m²</v>
      </c>
      <c r="F52" s="7" t="str" cm="1">
        <f t="array" aca="1" ref="F52" ca="1">INDIRECT(""&amp;$D52&amp;"!R"&amp;F$142&amp;"C"&amp;F$143,FALSE)</f>
        <v>Tier 2</v>
      </c>
      <c r="G52" s="188">
        <f ca="1">INDEX(Methodology!$B$26:$D$31,MATCH('EF Table_detail'!$F52,Methodology!$B$26:$B$31,0),MATCH('EF Table_detail'!$G$5,Methodology!$B$26:$D$26,0))</f>
        <v>1.05</v>
      </c>
      <c r="H52" s="240" cm="1">
        <f t="array" aca="1" ref="H52" ca="1">INDIRECT(""&amp;$D52&amp;"!R"&amp;H$142&amp;"C"&amp;H$143,FALSE)</f>
        <v>64.028499999999994</v>
      </c>
      <c r="I52" s="238" cm="1">
        <f t="array" aca="1" ref="I52" ca="1">INDIRECT(""&amp;$D52&amp;"!R"&amp;I$142&amp;"C"&amp;I$143,FALSE)</f>
        <v>7.1511999999999993</v>
      </c>
      <c r="J52" s="239" cm="1">
        <f t="array" aca="1" ref="J52" ca="1">INDIRECT(""&amp;$D52&amp;"!R"&amp;J$142&amp;"C"&amp;J$143,FALSE)</f>
        <v>42.272157831325295</v>
      </c>
      <c r="K52" s="262">
        <f ca="1">$J52*(1+INDEX(Methodology!$B$26:$E$31,MATCH($F52,Methodology!$B$26:$B$31,0),MATCH(L$5,Methodology!$B$26:$E$26,0)))</f>
        <v>44.385765722891563</v>
      </c>
      <c r="L52" s="261">
        <f ca="1">$H52*(1+INDEX(Methodology!$B$26:$E$31,MATCH($F52,Methodology!$B$26:$B$31,0),MATCH(L$5,Methodology!$B$26:$E$26,0)))</f>
        <v>67.229924999999994</v>
      </c>
      <c r="M52" s="234" cm="1">
        <f t="array" aca="1" ref="M52" ca="1">INDIRECT(""&amp;$D52&amp;"!R"&amp;M$142&amp;"C"&amp;M$143,FALSE)</f>
        <v>4.9165714285714284</v>
      </c>
      <c r="N52" s="234" cm="1">
        <f t="array" aca="1" ref="N52" ca="1">INDIRECT(""&amp;$D52&amp;"!R"&amp;N$142&amp;"C"&amp;N$143,FALSE)</f>
        <v>1.0976089743589739</v>
      </c>
      <c r="O52" s="231" cm="1">
        <f t="array" aca="1" ref="O52" ca="1">INDIRECT(""&amp;$D52&amp;"!R"&amp;O$142&amp;"C"&amp;O$143,FALSE)</f>
        <v>3.6419846947229431</v>
      </c>
      <c r="P52" s="265">
        <f ca="1">$O52*(1+INDEX(Methodology!$B$26:$E$31,MATCH($F52,Methodology!$B$26:$B$31,0),MATCH(Q$5,Methodology!$B$26:$E$26,0)))</f>
        <v>3.8240839294590905</v>
      </c>
      <c r="Q52" s="266">
        <f ca="1">$M52*(1+INDEX(Methodology!$B$26:$E$31,MATCH($F52,Methodology!$B$26:$B$31,0),MATCH(Q$5,Methodology!$B$26:$E$26,0)))</f>
        <v>5.1623999999999999</v>
      </c>
      <c r="R52" s="199"/>
      <c r="S52" s="63" cm="1">
        <f t="array" aca="1" ref="S52" ca="1">INDIRECT(""&amp;$D52&amp;"!R"&amp;S$142&amp;"C"&amp;S$143,FALSE)</f>
        <v>0</v>
      </c>
      <c r="T52" s="62" cm="1">
        <f t="array" aca="1" ref="T52" ca="1">INDIRECT(""&amp;$D52&amp;"!R"&amp;T$142&amp;"C"&amp;T$143,FALSE)</f>
        <v>0</v>
      </c>
      <c r="U52" s="265">
        <f ca="1">$T52*(1+INDEX(Methodology!$B$26:$E$31,MATCH($F52,Methodology!$B$26:$B$31,0),MATCH(V$5,Methodology!$B$26:$E$26,0)))</f>
        <v>0</v>
      </c>
      <c r="V52" s="261">
        <f ca="1">$S52*(1+INDEX(Methodology!$B$26:$E$31,MATCH($F52,Methodology!$B$26:$B$31,0),MATCH(V$5,Methodology!$B$26:$E$26,0)))</f>
        <v>0</v>
      </c>
      <c r="W52" s="63" cm="1">
        <f t="array" aca="1" ref="W52" ca="1">INDIRECT(""&amp;$D52&amp;"!R"&amp;W$142&amp;"C"&amp;W$143,FALSE)</f>
        <v>0</v>
      </c>
      <c r="X52" s="62" cm="1">
        <f t="array" aca="1" ref="X52" ca="1">INDIRECT(""&amp;$D52&amp;"!R"&amp;X$142&amp;"C"&amp;X$143,FALSE)</f>
        <v>0</v>
      </c>
      <c r="Y52" s="265">
        <f ca="1">$X52*(1+INDEX(Methodology!$B$26:$E$31,MATCH($F52,Methodology!$B$26:$B$31,0),MATCH(Z$5,Methodology!$B$26:$E$26,0)))</f>
        <v>0</v>
      </c>
      <c r="Z52" s="261">
        <f t="shared" ca="1" si="3"/>
        <v>0</v>
      </c>
      <c r="AA52" s="199"/>
      <c r="AB52" s="10">
        <f t="shared" ca="1" si="4"/>
        <v>11.606901559080018</v>
      </c>
      <c r="AC52" s="190" t="str">
        <f t="shared" ca="1" si="5"/>
        <v>kg/m²</v>
      </c>
      <c r="AD52" s="213" t="str" cm="1">
        <f t="array" aca="1" ref="AD52" ca="1">IF(INDIRECT(""&amp;$D52&amp;"!R"&amp;AD$142&amp;"C"&amp;AD$143,FALSE)=0,"",INDIRECT(""&amp;$D52&amp;"!R"&amp;AD$142&amp;"C"&amp;AD$143,FALSE))</f>
        <v xml:space="preserve">Important to consider board thickness. Recommended to use kg CO2e/kg EF when thickness and mass is known. </v>
      </c>
      <c r="AE52" s="214" t="str" cm="1">
        <f t="array" aca="1" ref="AE52" ca="1">IFERROR(IF(INDIRECT(""&amp;$D52&amp;"!R"&amp;AE$142&amp;"C"&amp;AE$143,FALSE)="Average (weighted)","Yes","No"),"")</f>
        <v>No</v>
      </c>
      <c r="AF52" s="96"/>
    </row>
    <row r="53" spans="1:32" ht="45" customHeight="1" x14ac:dyDescent="0.25">
      <c r="A53" s="66" t="s">
        <v>3945</v>
      </c>
      <c r="B53" s="69" t="s">
        <v>3314</v>
      </c>
      <c r="C53" s="193" t="str" cm="1">
        <f t="array" aca="1" ref="C53" ca="1">INDIRECT(""&amp;$D53&amp;"!R"&amp;C$142&amp;"C"&amp;C$143,FALSE)</f>
        <v>Structural Insulated Panels (SIP) of thickness greater than 100 mm and no thicker than 250 mm including wall and roof panels</v>
      </c>
      <c r="D53" s="66" t="s">
        <v>3947</v>
      </c>
      <c r="E53" s="7" t="str" cm="1">
        <f t="array" aca="1" ref="E53" ca="1">INDIRECT(""&amp;$D53&amp;"!R"&amp;E$142&amp;"C"&amp;E$143,FALSE)</f>
        <v>m²</v>
      </c>
      <c r="F53" s="7" t="str" cm="1">
        <f t="array" aca="1" ref="F53" ca="1">INDIRECT(""&amp;$D53&amp;"!R"&amp;F$142&amp;"C"&amp;F$143,FALSE)</f>
        <v>Tier 2</v>
      </c>
      <c r="G53" s="188">
        <f ca="1">INDEX(Methodology!$B$26:$D$31,MATCH('EF Table_detail'!$F53,Methodology!$B$26:$B$31,0),MATCH('EF Table_detail'!$G$5,Methodology!$B$26:$D$26,0))</f>
        <v>1.05</v>
      </c>
      <c r="H53" s="240" cm="1">
        <f t="array" aca="1" ref="H53" ca="1">INDIRECT(""&amp;$D53&amp;"!R"&amp;H$142&amp;"C"&amp;H$143,FALSE)</f>
        <v>84.753399999999999</v>
      </c>
      <c r="I53" s="238" cm="1">
        <f t="array" aca="1" ref="I53" ca="1">INDIRECT(""&amp;$D53&amp;"!R"&amp;I$142&amp;"C"&amp;I$143,FALSE)</f>
        <v>36.5</v>
      </c>
      <c r="J53" s="239" cm="1">
        <f t="array" aca="1" ref="J53" ca="1">INDIRECT(""&amp;$D53&amp;"!R"&amp;J$142&amp;"C"&amp;J$143,FALSE)</f>
        <v>55.647158139534874</v>
      </c>
      <c r="K53" s="262">
        <f ca="1">$J53*(1+INDEX(Methodology!$B$26:$E$31,MATCH($F53,Methodology!$B$26:$B$31,0),MATCH(L$5,Methodology!$B$26:$E$26,0)))</f>
        <v>58.429516046511623</v>
      </c>
      <c r="L53" s="261">
        <f ca="1">$H53*(1+INDEX(Methodology!$B$26:$E$31,MATCH($F53,Methodology!$B$26:$B$31,0),MATCH(L$5,Methodology!$B$26:$E$26,0)))</f>
        <v>88.991070000000008</v>
      </c>
      <c r="M53" s="234" cm="1">
        <f t="array" aca="1" ref="M53" ca="1">INDIRECT(""&amp;$D53&amp;"!R"&amp;M$142&amp;"C"&amp;M$143,FALSE)</f>
        <v>4.8708850574712645</v>
      </c>
      <c r="N53" s="234" cm="1">
        <f t="array" aca="1" ref="N53" ca="1">INDIRECT(""&amp;$D53&amp;"!R"&amp;N$142&amp;"C"&amp;N$143,FALSE)</f>
        <v>1.5479302832244004</v>
      </c>
      <c r="O53" s="231" cm="1">
        <f t="array" aca="1" ref="O53" ca="1">INDIRECT(""&amp;$D53&amp;"!R"&amp;O$142&amp;"C"&amp;O$143,FALSE)</f>
        <v>3.7632230463349234</v>
      </c>
      <c r="P53" s="265">
        <f ca="1">$O53*(1+INDEX(Methodology!$B$26:$E$31,MATCH($F53,Methodology!$B$26:$B$31,0),MATCH(Q$5,Methodology!$B$26:$E$26,0)))</f>
        <v>3.9513841986516698</v>
      </c>
      <c r="Q53" s="266">
        <f ca="1">$M53*(1+INDEX(Methodology!$B$26:$E$31,MATCH($F53,Methodology!$B$26:$B$31,0),MATCH(Q$5,Methodology!$B$26:$E$26,0)))</f>
        <v>5.1144293103448284</v>
      </c>
      <c r="R53" s="199"/>
      <c r="S53" s="63" cm="1">
        <f t="array" aca="1" ref="S53" ca="1">INDIRECT(""&amp;$D53&amp;"!R"&amp;S$142&amp;"C"&amp;S$143,FALSE)</f>
        <v>0</v>
      </c>
      <c r="T53" s="62" cm="1">
        <f t="array" aca="1" ref="T53" ca="1">INDIRECT(""&amp;$D53&amp;"!R"&amp;T$142&amp;"C"&amp;T$143,FALSE)</f>
        <v>0</v>
      </c>
      <c r="U53" s="265">
        <f ca="1">$T53*(1+INDEX(Methodology!$B$26:$E$31,MATCH($F53,Methodology!$B$26:$B$31,0),MATCH(V$5,Methodology!$B$26:$E$26,0)))</f>
        <v>0</v>
      </c>
      <c r="V53" s="261">
        <f ca="1">$S53*(1+INDEX(Methodology!$B$26:$E$31,MATCH($F53,Methodology!$B$26:$B$31,0),MATCH(V$5,Methodology!$B$26:$E$26,0)))</f>
        <v>0</v>
      </c>
      <c r="W53" s="63" cm="1">
        <f t="array" aca="1" ref="W53" ca="1">INDIRECT(""&amp;$D53&amp;"!R"&amp;W$142&amp;"C"&amp;W$143,FALSE)</f>
        <v>0</v>
      </c>
      <c r="X53" s="62" cm="1">
        <f t="array" aca="1" ref="X53" ca="1">INDIRECT(""&amp;$D53&amp;"!R"&amp;X$142&amp;"C"&amp;X$143,FALSE)</f>
        <v>0</v>
      </c>
      <c r="Y53" s="265">
        <f ca="1">$X53*(1+INDEX(Methodology!$B$26:$E$31,MATCH($F53,Methodology!$B$26:$B$31,0),MATCH(Z$5,Methodology!$B$26:$E$26,0)))</f>
        <v>0</v>
      </c>
      <c r="Z53" s="261">
        <f t="shared" ca="1" si="3"/>
        <v>0</v>
      </c>
      <c r="AA53" s="199"/>
      <c r="AB53" s="10">
        <f t="shared" ca="1" si="4"/>
        <v>14.787100699154871</v>
      </c>
      <c r="AC53" s="190" t="str">
        <f t="shared" ca="1" si="5"/>
        <v>kg/m²</v>
      </c>
      <c r="AD53" s="213" t="str" cm="1">
        <f t="array" aca="1" ref="AD53" ca="1">IF(INDIRECT(""&amp;$D53&amp;"!R"&amp;AD$142&amp;"C"&amp;AD$143,FALSE)=0,"",INDIRECT(""&amp;$D53&amp;"!R"&amp;AD$142&amp;"C"&amp;AD$143,FALSE))</f>
        <v xml:space="preserve">Important to consider board thickness. Recommended to use kg CO2e/kg EF when thickness and mass is known. </v>
      </c>
      <c r="AE53" s="214" t="str" cm="1">
        <f t="array" aca="1" ref="AE53" ca="1">IFERROR(IF(INDIRECT(""&amp;$D53&amp;"!R"&amp;AE$142&amp;"C"&amp;AE$143,FALSE)="Average (weighted)","Yes","No"),"")</f>
        <v>No</v>
      </c>
      <c r="AF53" s="96"/>
    </row>
    <row r="54" spans="1:32" ht="45" customHeight="1" x14ac:dyDescent="0.25">
      <c r="A54" s="66" t="s">
        <v>150</v>
      </c>
      <c r="B54" s="69" t="s">
        <v>3948</v>
      </c>
      <c r="C54" s="193" t="str" cm="1">
        <f t="array" aca="1" ref="C54" ca="1">INDIRECT(""&amp;$D54&amp;"!R"&amp;C$142&amp;"C"&amp;C$143,FALSE)</f>
        <v>Various aggregates used as fill including quarry products, road base and ballast of differing size distributions.</v>
      </c>
      <c r="D54" s="66" t="s">
        <v>3949</v>
      </c>
      <c r="E54" s="7" t="str" cm="1">
        <f t="array" aca="1" ref="E54" ca="1">INDIRECT(""&amp;$D54&amp;"!R"&amp;E$142&amp;"C"&amp;E$143,FALSE)</f>
        <v>tonne</v>
      </c>
      <c r="F54" s="7" t="str" cm="1">
        <f t="array" aca="1" ref="F54" ca="1">INDIRECT(""&amp;$D54&amp;"!R"&amp;F$142&amp;"C"&amp;F$143,FALSE)</f>
        <v>Tier 3</v>
      </c>
      <c r="G54" s="188">
        <f ca="1">INDEX(Methodology!$B$26:$D$31,MATCH('EF Table_detail'!$F54,Methodology!$B$26:$B$31,0),MATCH('EF Table_detail'!$G$5,Methodology!$B$26:$D$26,0))</f>
        <v>1.1000000000000001</v>
      </c>
      <c r="H54" s="236" cm="1">
        <f t="array" aca="1" ref="H54" ca="1">INDIRECT(""&amp;$D54&amp;"!R"&amp;H$142&amp;"C"&amp;H$143,FALSE)</f>
        <v>9.24</v>
      </c>
      <c r="I54" s="234" cm="1">
        <f t="array" aca="1" ref="I54" ca="1">INDIRECT(""&amp;$D54&amp;"!R"&amp;I$142&amp;"C"&amp;I$143,FALSE)</f>
        <v>3.26</v>
      </c>
      <c r="J54" s="231" cm="1">
        <f t="array" aca="1" ref="J54" ca="1">INDIRECT(""&amp;$D54&amp;"!R"&amp;J$142&amp;"C"&amp;J$143,FALSE)</f>
        <v>6.6602367000000013</v>
      </c>
      <c r="K54" s="262">
        <f ca="1">$J54*(1+INDEX(Methodology!$B$26:$E$31,MATCH($F54,Methodology!$B$26:$B$31,0),MATCH(L$5,Methodology!$B$26:$E$26,0)))</f>
        <v>7.3262603700000017</v>
      </c>
      <c r="L54" s="261">
        <f ca="1">$H54*(1+INDEX(Methodology!$B$26:$E$31,MATCH($F54,Methodology!$B$26:$B$31,0),MATCH(L$5,Methodology!$B$26:$E$26,0)))</f>
        <v>10.164000000000001</v>
      </c>
      <c r="M54" s="234" cm="1">
        <f t="array" aca="1" ref="M54" ca="1">INDIRECT(""&amp;$D54&amp;"!R"&amp;M$142&amp;"C"&amp;M$143,FALSE)</f>
        <v>9.2399999999999999E-3</v>
      </c>
      <c r="N54" s="234" cm="1">
        <f t="array" aca="1" ref="N54" ca="1">INDIRECT(""&amp;$D54&amp;"!R"&amp;N$142&amp;"C"&amp;N$143,FALSE)</f>
        <v>3.2599999999999999E-3</v>
      </c>
      <c r="O54" s="231" cm="1">
        <f t="array" aca="1" ref="O54" ca="1">INDIRECT(""&amp;$D54&amp;"!R"&amp;O$142&amp;"C"&amp;O$143,FALSE)</f>
        <v>6.6602366999999997E-3</v>
      </c>
      <c r="P54" s="265">
        <f ca="1">$O54*(1+INDEX(Methodology!$B$26:$E$31,MATCH($F54,Methodology!$B$26:$B$31,0),MATCH(Q$5,Methodology!$B$26:$E$26,0)))</f>
        <v>7.3262603700000005E-3</v>
      </c>
      <c r="Q54" s="266">
        <f ca="1">$M54*(1+INDEX(Methodology!$B$26:$E$31,MATCH($F54,Methodology!$B$26:$B$31,0),MATCH(Q$5,Methodology!$B$26:$E$26,0)))</f>
        <v>1.0164000000000001E-2</v>
      </c>
      <c r="R54" s="199"/>
      <c r="S54" s="63" cm="1">
        <f t="array" aca="1" ref="S54" ca="1">INDIRECT(""&amp;$D54&amp;"!R"&amp;S$142&amp;"C"&amp;S$143,FALSE)</f>
        <v>0</v>
      </c>
      <c r="T54" s="62" cm="1">
        <f t="array" aca="1" ref="T54" ca="1">INDIRECT(""&amp;$D54&amp;"!R"&amp;T$142&amp;"C"&amp;T$143,FALSE)</f>
        <v>0</v>
      </c>
      <c r="U54" s="265">
        <f ca="1">$T54*(1+INDEX(Methodology!$B$26:$E$31,MATCH($F54,Methodology!$B$26:$B$31,0),MATCH(V$5,Methodology!$B$26:$E$26,0)))</f>
        <v>0</v>
      </c>
      <c r="V54" s="261">
        <f ca="1">$S54*(1+INDEX(Methodology!$B$26:$E$31,MATCH($F54,Methodology!$B$26:$B$31,0),MATCH(V$5,Methodology!$B$26:$E$26,0)))</f>
        <v>0</v>
      </c>
      <c r="W54" s="63" cm="1">
        <f t="array" aca="1" ref="W54" ca="1">INDIRECT(""&amp;$D54&amp;"!R"&amp;W$142&amp;"C"&amp;W$143,FALSE)</f>
        <v>0</v>
      </c>
      <c r="X54" s="62" cm="1">
        <f t="array" aca="1" ref="X54" ca="1">INDIRECT(""&amp;$D54&amp;"!R"&amp;X$142&amp;"C"&amp;X$143,FALSE)</f>
        <v>0</v>
      </c>
      <c r="Y54" s="265">
        <f ca="1">$X54*(1+INDEX(Methodology!$B$26:$E$31,MATCH($F54,Methodology!$B$26:$B$31,0),MATCH(Z$5,Methodology!$B$26:$E$26,0)))</f>
        <v>0</v>
      </c>
      <c r="Z54" s="261">
        <f t="shared" ca="1" si="3"/>
        <v>0</v>
      </c>
      <c r="AA54" s="199"/>
      <c r="AB54" s="10">
        <f t="shared" ca="1" si="4"/>
        <v>1000.0000000000002</v>
      </c>
      <c r="AC54" s="190" t="str">
        <f t="shared" ca="1" si="5"/>
        <v>kg/tonne</v>
      </c>
      <c r="AD54" s="213" t="str" cm="1">
        <f t="array" aca="1" ref="AD54" ca="1">IF(INDIRECT(""&amp;$D54&amp;"!R"&amp;AD$142&amp;"C"&amp;AD$143,FALSE)=0,"",INDIRECT(""&amp;$D54&amp;"!R"&amp;AD$142&amp;"C"&amp;AD$143,FALSE))</f>
        <v/>
      </c>
      <c r="AE54" s="214" t="str" cm="1">
        <f t="array" aca="1" ref="AE54" ca="1">IFERROR(IF(INDIRECT(""&amp;$D54&amp;"!R"&amp;AE$142&amp;"C"&amp;AE$143,FALSE)="Average (weighted)","Yes","No"),"")</f>
        <v>No</v>
      </c>
      <c r="AF54" s="96"/>
    </row>
    <row r="55" spans="1:32" ht="45" customHeight="1" x14ac:dyDescent="0.25">
      <c r="A55" s="7" t="s">
        <v>150</v>
      </c>
      <c r="B55" s="69" t="s">
        <v>152</v>
      </c>
      <c r="C55" s="193" t="str" cm="1">
        <f t="array" aca="1" ref="C55" ca="1">INDIRECT(""&amp;$D55&amp;"!R"&amp;C$142&amp;"C"&amp;C$143,FALSE)</f>
        <v>Various aggregates used as fill including quarry products, road base and ballast of differing size distributions.</v>
      </c>
      <c r="D55" s="66" t="s">
        <v>3949</v>
      </c>
      <c r="E55" s="7" t="str" cm="1">
        <f t="array" aca="1" ref="E55" ca="1">INDIRECT(""&amp;$D55&amp;"!R"&amp;E$142&amp;"C"&amp;E$143,FALSE)</f>
        <v>tonne</v>
      </c>
      <c r="F55" s="7" t="str" cm="1">
        <f t="array" aca="1" ref="F55" ca="1">INDIRECT(""&amp;$D55&amp;"!R"&amp;F$142&amp;"C"&amp;F$143,FALSE)</f>
        <v>Tier 3</v>
      </c>
      <c r="G55" s="188">
        <f ca="1">INDEX(Methodology!$B$26:$D$31,MATCH('EF Table_detail'!$F55,Methodology!$B$26:$B$31,0),MATCH('EF Table_detail'!$G$5,Methodology!$B$26:$D$26,0))</f>
        <v>1.1000000000000001</v>
      </c>
      <c r="H55" s="236" cm="1">
        <f t="array" aca="1" ref="H55" ca="1">INDIRECT(""&amp;$D55&amp;"!R"&amp;H$142&amp;"C"&amp;H$143,FALSE)</f>
        <v>9.24</v>
      </c>
      <c r="I55" s="234" cm="1">
        <f t="array" aca="1" ref="I55" ca="1">INDIRECT(""&amp;$D55&amp;"!R"&amp;I$142&amp;"C"&amp;I$143,FALSE)</f>
        <v>3.26</v>
      </c>
      <c r="J55" s="239" cm="1">
        <f t="array" aca="1" ref="J55" ca="1">INDIRECT(""&amp;$D55&amp;"!R"&amp;J$142&amp;"C"&amp;J$143,FALSE)</f>
        <v>6.6602367000000013</v>
      </c>
      <c r="K55" s="262">
        <f ca="1">$J55*(1+INDEX(Methodology!$B$26:$E$31,MATCH($F55,Methodology!$B$26:$B$31,0),MATCH(L$5,Methodology!$B$26:$E$26,0)))</f>
        <v>7.3262603700000017</v>
      </c>
      <c r="L55" s="261">
        <f ca="1">$H55*(1+INDEX(Methodology!$B$26:$E$31,MATCH($F55,Methodology!$B$26:$B$31,0),MATCH(L$5,Methodology!$B$26:$E$26,0)))</f>
        <v>10.164000000000001</v>
      </c>
      <c r="M55" s="234" cm="1">
        <f t="array" aca="1" ref="M55" ca="1">INDIRECT(""&amp;$D55&amp;"!R"&amp;M$142&amp;"C"&amp;M$143,FALSE)</f>
        <v>9.2399999999999999E-3</v>
      </c>
      <c r="N55" s="234" cm="1">
        <f t="array" aca="1" ref="N55" ca="1">INDIRECT(""&amp;$D55&amp;"!R"&amp;N$142&amp;"C"&amp;N$143,FALSE)</f>
        <v>3.2599999999999999E-3</v>
      </c>
      <c r="O55" s="231" cm="1">
        <f t="array" aca="1" ref="O55" ca="1">INDIRECT(""&amp;$D55&amp;"!R"&amp;O$142&amp;"C"&amp;O$143,FALSE)</f>
        <v>6.6602366999999997E-3</v>
      </c>
      <c r="P55" s="265">
        <f ca="1">$O55*(1+INDEX(Methodology!$B$26:$E$31,MATCH($F55,Methodology!$B$26:$B$31,0),MATCH(Q$5,Methodology!$B$26:$E$26,0)))</f>
        <v>7.3262603700000005E-3</v>
      </c>
      <c r="Q55" s="266">
        <f ca="1">$M55*(1+INDEX(Methodology!$B$26:$E$31,MATCH($F55,Methodology!$B$26:$B$31,0),MATCH(Q$5,Methodology!$B$26:$E$26,0)))</f>
        <v>1.0164000000000001E-2</v>
      </c>
      <c r="R55" s="199"/>
      <c r="S55" s="63" cm="1">
        <f t="array" aca="1" ref="S55" ca="1">INDIRECT(""&amp;$D55&amp;"!R"&amp;S$142&amp;"C"&amp;S$143,FALSE)</f>
        <v>0</v>
      </c>
      <c r="T55" s="62" cm="1">
        <f t="array" aca="1" ref="T55" ca="1">INDIRECT(""&amp;$D55&amp;"!R"&amp;T$142&amp;"C"&amp;T$143,FALSE)</f>
        <v>0</v>
      </c>
      <c r="U55" s="265">
        <f ca="1">$T55*(1+INDEX(Methodology!$B$26:$E$31,MATCH($F55,Methodology!$B$26:$B$31,0),MATCH(V$5,Methodology!$B$26:$E$26,0)))</f>
        <v>0</v>
      </c>
      <c r="V55" s="261">
        <f ca="1">$S55*(1+INDEX(Methodology!$B$26:$E$31,MATCH($F55,Methodology!$B$26:$B$31,0),MATCH(V$5,Methodology!$B$26:$E$26,0)))</f>
        <v>0</v>
      </c>
      <c r="W55" s="63" cm="1">
        <f t="array" aca="1" ref="W55" ca="1">INDIRECT(""&amp;$D55&amp;"!R"&amp;W$142&amp;"C"&amp;W$143,FALSE)</f>
        <v>0</v>
      </c>
      <c r="X55" s="62" cm="1">
        <f t="array" aca="1" ref="X55" ca="1">INDIRECT(""&amp;$D55&amp;"!R"&amp;X$142&amp;"C"&amp;X$143,FALSE)</f>
        <v>0</v>
      </c>
      <c r="Y55" s="265">
        <f ca="1">$X55*(1+INDEX(Methodology!$B$26:$E$31,MATCH($F55,Methodology!$B$26:$B$31,0),MATCH(Z$5,Methodology!$B$26:$E$26,0)))</f>
        <v>0</v>
      </c>
      <c r="Z55" s="261">
        <f t="shared" ca="1" si="3"/>
        <v>0</v>
      </c>
      <c r="AA55" s="199"/>
      <c r="AB55" s="10">
        <f t="shared" ca="1" si="4"/>
        <v>1000.0000000000002</v>
      </c>
      <c r="AC55" s="190" t="str">
        <f t="shared" ca="1" si="5"/>
        <v>kg/tonne</v>
      </c>
      <c r="AD55" s="213" t="str" cm="1">
        <f t="array" aca="1" ref="AD55" ca="1">IF(INDIRECT(""&amp;$D55&amp;"!R"&amp;AD$142&amp;"C"&amp;AD$143,FALSE)=0,"",INDIRECT(""&amp;$D55&amp;"!R"&amp;AD$142&amp;"C"&amp;AD$143,FALSE))</f>
        <v/>
      </c>
      <c r="AE55" s="214" t="str" cm="1">
        <f t="array" aca="1" ref="AE55" ca="1">IFERROR(IF(INDIRECT(""&amp;$D55&amp;"!R"&amp;AE$142&amp;"C"&amp;AE$143,FALSE)="Average (weighted)","Yes","No"),"")</f>
        <v>No</v>
      </c>
      <c r="AF55" s="96"/>
    </row>
    <row r="56" spans="1:32" ht="45" customHeight="1" x14ac:dyDescent="0.25">
      <c r="A56" s="7" t="s">
        <v>3950</v>
      </c>
      <c r="B56" s="69" t="s">
        <v>161</v>
      </c>
      <c r="C56" s="193" t="str" cm="1">
        <f t="array" aca="1" ref="C56" ca="1">INDIRECT(""&amp;$D56&amp;"!R"&amp;C$142&amp;"C"&amp;C$143,FALSE)</f>
        <v>Aggregates generated from a recycled or recovered resource.</v>
      </c>
      <c r="D56" s="66" t="s">
        <v>3951</v>
      </c>
      <c r="E56" s="7" t="str" cm="1">
        <f t="array" aca="1" ref="E56" ca="1">INDIRECT(""&amp;$D56&amp;"!R"&amp;E$142&amp;"C"&amp;E$143,FALSE)</f>
        <v>tonne</v>
      </c>
      <c r="F56" s="7" t="str" cm="1">
        <f t="array" aca="1" ref="F56" ca="1">INDIRECT(""&amp;$D56&amp;"!R"&amp;F$142&amp;"C"&amp;F$143,FALSE)</f>
        <v>Tier 4</v>
      </c>
      <c r="G56" s="188">
        <f ca="1">INDEX(Methodology!$B$26:$D$31,MATCH('EF Table_detail'!$F56,Methodology!$B$26:$B$31,0),MATCH('EF Table_detail'!$G$5,Methodology!$B$26:$D$26,0))</f>
        <v>1.2</v>
      </c>
      <c r="H56" s="240" cm="1">
        <f t="array" aca="1" ref="H56" ca="1">INDIRECT(""&amp;$D56&amp;"!R"&amp;H$142&amp;"C"&amp;H$143,FALSE)</f>
        <v>16</v>
      </c>
      <c r="I56" s="238" cm="1">
        <f t="array" aca="1" ref="I56" ca="1">INDIRECT(""&amp;$D56&amp;"!R"&amp;I$142&amp;"C"&amp;I$143,FALSE)</f>
        <v>16</v>
      </c>
      <c r="J56" s="239" cm="1">
        <f t="array" aca="1" ref="J56" ca="1">INDIRECT(""&amp;$D56&amp;"!R"&amp;J$142&amp;"C"&amp;J$143,FALSE)</f>
        <v>16</v>
      </c>
      <c r="K56" s="262">
        <f ca="1">$J56*(1+INDEX(Methodology!$B$26:$E$31,MATCH($F56,Methodology!$B$26:$B$31,0),MATCH(L$5,Methodology!$B$26:$E$26,0)))</f>
        <v>19.2</v>
      </c>
      <c r="L56" s="261">
        <f ca="1">$H56*(1+INDEX(Methodology!$B$26:$E$31,MATCH($F56,Methodology!$B$26:$B$31,0),MATCH(L$5,Methodology!$B$26:$E$26,0)))</f>
        <v>19.2</v>
      </c>
      <c r="M56" s="234" cm="1">
        <f t="array" aca="1" ref="M56" ca="1">INDIRECT(""&amp;$D56&amp;"!R"&amp;M$142&amp;"C"&amp;M$143,FALSE)</f>
        <v>1.6E-2</v>
      </c>
      <c r="N56" s="234" cm="1">
        <f t="array" aca="1" ref="N56" ca="1">INDIRECT(""&amp;$D56&amp;"!R"&amp;N$142&amp;"C"&amp;N$143,FALSE)</f>
        <v>1.6E-2</v>
      </c>
      <c r="O56" s="231" cm="1">
        <f t="array" aca="1" ref="O56" ca="1">INDIRECT(""&amp;$D56&amp;"!R"&amp;O$142&amp;"C"&amp;O$143,FALSE)</f>
        <v>1.6E-2</v>
      </c>
      <c r="P56" s="265">
        <f ca="1">$O56*(1+INDEX(Methodology!$B$26:$E$31,MATCH($F56,Methodology!$B$26:$B$31,0),MATCH(Q$5,Methodology!$B$26:$E$26,0)))</f>
        <v>1.9199999999999998E-2</v>
      </c>
      <c r="Q56" s="266">
        <f ca="1">$M56*(1+INDEX(Methodology!$B$26:$E$31,MATCH($F56,Methodology!$B$26:$B$31,0),MATCH(Q$5,Methodology!$B$26:$E$26,0)))</f>
        <v>1.9199999999999998E-2</v>
      </c>
      <c r="R56" s="199"/>
      <c r="S56" s="63" cm="1">
        <f t="array" aca="1" ref="S56" ca="1">INDIRECT(""&amp;$D56&amp;"!R"&amp;S$142&amp;"C"&amp;S$143,FALSE)</f>
        <v>0</v>
      </c>
      <c r="T56" s="62" cm="1">
        <f t="array" aca="1" ref="T56" ca="1">INDIRECT(""&amp;$D56&amp;"!R"&amp;T$142&amp;"C"&amp;T$143,FALSE)</f>
        <v>0</v>
      </c>
      <c r="U56" s="265">
        <f ca="1">$T56*(1+INDEX(Methodology!$B$26:$E$31,MATCH($F56,Methodology!$B$26:$B$31,0),MATCH(V$5,Methodology!$B$26:$E$26,0)))</f>
        <v>0</v>
      </c>
      <c r="V56" s="261">
        <f ca="1">$S56*(1+INDEX(Methodology!$B$26:$E$31,MATCH($F56,Methodology!$B$26:$B$31,0),MATCH(V$5,Methodology!$B$26:$E$26,0)))</f>
        <v>0</v>
      </c>
      <c r="W56" s="63" cm="1">
        <f t="array" aca="1" ref="W56" ca="1">INDIRECT(""&amp;$D56&amp;"!R"&amp;W$142&amp;"C"&amp;W$143,FALSE)</f>
        <v>0</v>
      </c>
      <c r="X56" s="62" cm="1">
        <f t="array" aca="1" ref="X56" ca="1">INDIRECT(""&amp;$D56&amp;"!R"&amp;X$142&amp;"C"&amp;X$143,FALSE)</f>
        <v>0</v>
      </c>
      <c r="Y56" s="265">
        <f ca="1">$X56*(1+INDEX(Methodology!$B$26:$E$31,MATCH($F56,Methodology!$B$26:$B$31,0),MATCH(Z$5,Methodology!$B$26:$E$26,0)))</f>
        <v>0</v>
      </c>
      <c r="Z56" s="261">
        <f t="shared" ca="1" si="3"/>
        <v>0</v>
      </c>
      <c r="AA56" s="199"/>
      <c r="AB56" s="10">
        <f t="shared" ca="1" si="4"/>
        <v>1000</v>
      </c>
      <c r="AC56" s="190" t="str">
        <f t="shared" ca="1" si="5"/>
        <v>kg/tonne</v>
      </c>
      <c r="AD56" s="213" t="str" cm="1">
        <f t="array" aca="1" ref="AD56" ca="1">IF(INDIRECT(""&amp;$D56&amp;"!R"&amp;AD$142&amp;"C"&amp;AD$143,FALSE)=0,"",INDIRECT(""&amp;$D56&amp;"!R"&amp;AD$142&amp;"C"&amp;AD$143,FALSE))</f>
        <v/>
      </c>
      <c r="AE56" s="214" t="str" cm="1">
        <f t="array" aca="1" ref="AE56" ca="1">IFERROR(IF(INDIRECT(""&amp;$D56&amp;"!R"&amp;AE$142&amp;"C"&amp;AE$143,FALSE)="Average (weighted)","Yes","No"),"")</f>
        <v>No</v>
      </c>
      <c r="AF56" s="96"/>
    </row>
    <row r="57" spans="1:32" ht="45" customHeight="1" x14ac:dyDescent="0.25">
      <c r="A57" s="7" t="s">
        <v>3950</v>
      </c>
      <c r="B57" s="69" t="s">
        <v>978</v>
      </c>
      <c r="C57" s="193" t="str" cm="1">
        <f t="array" aca="1" ref="C57" ca="1">INDIRECT(""&amp;$D57&amp;"!R"&amp;C$142&amp;"C"&amp;C$143,FALSE)</f>
        <v>Sand used as fill or for stabilsation purposes, including various rates of stabliser inclusion from 7% to 25%</v>
      </c>
      <c r="D57" s="66" t="s">
        <v>3952</v>
      </c>
      <c r="E57" s="7" t="str" cm="1">
        <f t="array" aca="1" ref="E57" ca="1">INDIRECT(""&amp;$D57&amp;"!R"&amp;E$142&amp;"C"&amp;E$143,FALSE)</f>
        <v>m³</v>
      </c>
      <c r="F57" s="7" t="str" cm="1">
        <f t="array" aca="1" ref="F57" ca="1">INDIRECT(""&amp;$D57&amp;"!R"&amp;F$142&amp;"C"&amp;F$143,FALSE)</f>
        <v>Tier 2</v>
      </c>
      <c r="G57" s="188">
        <f ca="1">INDEX(Methodology!$B$26:$D$31,MATCH('EF Table_detail'!$F57,Methodology!$B$26:$B$31,0),MATCH('EF Table_detail'!$G$5,Methodology!$B$26:$D$26,0))</f>
        <v>1.05</v>
      </c>
      <c r="H57" s="237" cm="1">
        <f t="array" aca="1" ref="H57" ca="1">INDIRECT(""&amp;$D57&amp;"!R"&amp;H$142&amp;"C"&amp;H$143,FALSE)</f>
        <v>344</v>
      </c>
      <c r="I57" s="235" cm="1">
        <f t="array" aca="1" ref="I57" ca="1">INDIRECT(""&amp;$D57&amp;"!R"&amp;I$142&amp;"C"&amp;I$143,FALSE)</f>
        <v>67.8</v>
      </c>
      <c r="J57" s="99" cm="1">
        <f t="array" aca="1" ref="J57" ca="1">INDIRECT(""&amp;$D57&amp;"!R"&amp;J$142&amp;"C"&amp;J$143,FALSE)</f>
        <v>184.63069999999999</v>
      </c>
      <c r="K57" s="262">
        <f ca="1">$J57*(1+INDEX(Methodology!$B$26:$E$31,MATCH($F57,Methodology!$B$26:$B$31,0),MATCH(L$5,Methodology!$B$26:$E$26,0)))</f>
        <v>193.862235</v>
      </c>
      <c r="L57" s="261">
        <f ca="1">$H57*(1+INDEX(Methodology!$B$26:$E$31,MATCH($F57,Methodology!$B$26:$B$31,0),MATCH(L$5,Methodology!$B$26:$E$26,0)))</f>
        <v>361.2</v>
      </c>
      <c r="M57" s="234" cm="1">
        <f t="array" aca="1" ref="M57" ca="1">INDIRECT(""&amp;$D57&amp;"!R"&amp;M$142&amp;"C"&amp;M$143,FALSE)</f>
        <v>0.19657142857142856</v>
      </c>
      <c r="N57" s="234" cm="1">
        <f t="array" aca="1" ref="N57" ca="1">INDIRECT(""&amp;$D57&amp;"!R"&amp;N$142&amp;"C"&amp;N$143,FALSE)</f>
        <v>3.8742857142857141E-2</v>
      </c>
      <c r="O57" s="231" cm="1">
        <f t="array" aca="1" ref="O57" ca="1">INDIRECT(""&amp;$D57&amp;"!R"&amp;O$142&amp;"C"&amp;O$143,FALSE)</f>
        <v>0.10479222889610393</v>
      </c>
      <c r="P57" s="265">
        <f ca="1">$O57*(1+INDEX(Methodology!$B$26:$E$31,MATCH($F57,Methodology!$B$26:$B$31,0),MATCH(Q$5,Methodology!$B$26:$E$26,0)))</f>
        <v>0.11003184034090913</v>
      </c>
      <c r="Q57" s="266">
        <f ca="1">$M57*(1+INDEX(Methodology!$B$26:$E$31,MATCH($F57,Methodology!$B$26:$B$31,0),MATCH(Q$5,Methodology!$B$26:$E$26,0)))</f>
        <v>0.2064</v>
      </c>
      <c r="R57" s="199"/>
      <c r="S57" s="63" cm="1">
        <f t="array" aca="1" ref="S57" ca="1">INDIRECT(""&amp;$D57&amp;"!R"&amp;S$142&amp;"C"&amp;S$143,FALSE)</f>
        <v>0</v>
      </c>
      <c r="T57" s="62" cm="1">
        <f t="array" aca="1" ref="T57" ca="1">INDIRECT(""&amp;$D57&amp;"!R"&amp;T$142&amp;"C"&amp;T$143,FALSE)</f>
        <v>0</v>
      </c>
      <c r="U57" s="265">
        <f ca="1">$T57*(1+INDEX(Methodology!$B$26:$E$31,MATCH($F57,Methodology!$B$26:$B$31,0),MATCH(V$5,Methodology!$B$26:$E$26,0)))</f>
        <v>0</v>
      </c>
      <c r="V57" s="261">
        <f ca="1">$S57*(1+INDEX(Methodology!$B$26:$E$31,MATCH($F57,Methodology!$B$26:$B$31,0),MATCH(V$5,Methodology!$B$26:$E$26,0)))</f>
        <v>0</v>
      </c>
      <c r="W57" s="63" cm="1">
        <f t="array" aca="1" ref="W57" ca="1">INDIRECT(""&amp;$D57&amp;"!R"&amp;W$142&amp;"C"&amp;W$143,FALSE)</f>
        <v>0</v>
      </c>
      <c r="X57" s="62" cm="1">
        <f t="array" aca="1" ref="X57" ca="1">INDIRECT(""&amp;$D57&amp;"!R"&amp;X$142&amp;"C"&amp;X$143,FALSE)</f>
        <v>0</v>
      </c>
      <c r="Y57" s="265">
        <f ca="1">$X57*(1+INDEX(Methodology!$B$26:$E$31,MATCH($F57,Methodology!$B$26:$B$31,0),MATCH(Z$5,Methodology!$B$26:$E$26,0)))</f>
        <v>0</v>
      </c>
      <c r="Z57" s="261">
        <f t="shared" ca="1" si="3"/>
        <v>0</v>
      </c>
      <c r="AA57" s="199"/>
      <c r="AB57" s="10">
        <f t="shared" ca="1" si="4"/>
        <v>1761.8739666569338</v>
      </c>
      <c r="AC57" s="190" t="str">
        <f t="shared" ca="1" si="5"/>
        <v>kg/m³</v>
      </c>
      <c r="AD57" s="213" t="str" cm="1">
        <f t="array" aca="1" ref="AD57" ca="1">IF(INDIRECT(""&amp;$D57&amp;"!R"&amp;AD$142&amp;"C"&amp;AD$143,FALSE)=0,"",INDIRECT(""&amp;$D57&amp;"!R"&amp;AD$142&amp;"C"&amp;AD$143,FALSE))</f>
        <v/>
      </c>
      <c r="AE57" s="214" t="str" cm="1">
        <f t="array" aca="1" ref="AE57" ca="1">IFERROR(IF(INDIRECT(""&amp;$D57&amp;"!R"&amp;AE$142&amp;"C"&amp;AE$143,FALSE)="Average (weighted)","Yes","No"),"")</f>
        <v>No</v>
      </c>
      <c r="AF57" s="96"/>
    </row>
    <row r="58" spans="1:32" ht="45" customHeight="1" x14ac:dyDescent="0.25">
      <c r="A58" s="66" t="s">
        <v>3953</v>
      </c>
      <c r="B58" s="69" t="s">
        <v>3173</v>
      </c>
      <c r="C58" s="193" t="str" cm="1">
        <f t="array" aca="1" ref="C58" ca="1">INDIRECT(""&amp;$D58&amp;"!R"&amp;C$142&amp;"C"&amp;C$143,FALSE)</f>
        <v xml:space="preserve">Steel cladding with a metallic coating including all base metal thicknesses (BMT) from 0.3 mm to 2.9mm </v>
      </c>
      <c r="D58" s="66" t="s">
        <v>3954</v>
      </c>
      <c r="E58" s="7" t="str" cm="1">
        <f t="array" aca="1" ref="E58" ca="1">INDIRECT(""&amp;$D58&amp;"!R"&amp;E$142&amp;"C"&amp;E$143,FALSE)</f>
        <v>m²</v>
      </c>
      <c r="F58" s="7" t="str" cm="1">
        <f t="array" aca="1" ref="F58" ca="1">INDIRECT(""&amp;$D58&amp;"!R"&amp;F$142&amp;"C"&amp;F$143,FALSE)</f>
        <v>Tier 1</v>
      </c>
      <c r="G58" s="188">
        <f ca="1">INDEX(Methodology!$B$26:$D$31,MATCH('EF Table_detail'!$F58,Methodology!$B$26:$B$31,0),MATCH('EF Table_detail'!$G$5,Methodology!$B$26:$D$26,0))</f>
        <v>1.02</v>
      </c>
      <c r="H58" s="240" cm="1">
        <f t="array" aca="1" ref="H58" ca="1">INDIRECT(""&amp;$D58&amp;"!R"&amp;H$142&amp;"C"&amp;H$143,FALSE)</f>
        <v>62.707980000000006</v>
      </c>
      <c r="I58" s="238" cm="1">
        <f t="array" aca="1" ref="I58" ca="1">INDIRECT(""&amp;$D58&amp;"!R"&amp;I$142&amp;"C"&amp;I$143,FALSE)</f>
        <v>8.4</v>
      </c>
      <c r="J58" s="239" cm="1">
        <f t="array" aca="1" ref="J58" ca="1">INDIRECT(""&amp;$D58&amp;"!R"&amp;J$142&amp;"C"&amp;J$143,FALSE)</f>
        <v>19.487819950757572</v>
      </c>
      <c r="K58" s="262">
        <f ca="1">$J58*(1+INDEX(Methodology!$B$26:$E$31,MATCH($F58,Methodology!$B$26:$B$31,0),MATCH(L$5,Methodology!$B$26:$E$26,0)))</f>
        <v>19.877576349772724</v>
      </c>
      <c r="L58" s="261">
        <f ca="1">$H58*(1+INDEX(Methodology!$B$26:$E$31,MATCH($F58,Methodology!$B$26:$B$31,0),MATCH(L$5,Methodology!$B$26:$E$26,0)))</f>
        <v>63.962139600000008</v>
      </c>
      <c r="M58" s="234" cm="1">
        <f t="array" aca="1" ref="M58" ca="1">INDIRECT(""&amp;$D58&amp;"!R"&amp;M$142&amp;"C"&amp;M$143,FALSE)</f>
        <v>5.0147249999999994</v>
      </c>
      <c r="N58" s="234" cm="1">
        <f t="array" aca="1" ref="N58" ca="1">INDIRECT(""&amp;$D58&amp;"!R"&amp;N$142&amp;"C"&amp;N$143,FALSE)</f>
        <v>2.7205197396963126</v>
      </c>
      <c r="O58" s="231" cm="1">
        <f t="array" aca="1" ref="O58" ca="1">INDIRECT(""&amp;$D58&amp;"!R"&amp;O$142&amp;"C"&amp;O$143,FALSE)</f>
        <v>3.082862299474789</v>
      </c>
      <c r="P58" s="265">
        <f ca="1">$O58*(1+INDEX(Methodology!$B$26:$E$31,MATCH($F58,Methodology!$B$26:$B$31,0),MATCH(Q$5,Methodology!$B$26:$E$26,0)))</f>
        <v>3.1445195454642847</v>
      </c>
      <c r="Q58" s="266">
        <f ca="1">$M58*(1+INDEX(Methodology!$B$26:$E$31,MATCH($F58,Methodology!$B$26:$B$31,0),MATCH(Q$5,Methodology!$B$26:$E$26,0)))</f>
        <v>5.1150194999999998</v>
      </c>
      <c r="R58" s="199"/>
      <c r="S58" s="63" cm="1">
        <f t="array" aca="1" ref="S58" ca="1">INDIRECT(""&amp;$D58&amp;"!R"&amp;S$142&amp;"C"&amp;S$143,FALSE)</f>
        <v>0</v>
      </c>
      <c r="T58" s="62" cm="1">
        <f t="array" aca="1" ref="T58" ca="1">INDIRECT(""&amp;$D58&amp;"!R"&amp;T$142&amp;"C"&amp;T$143,FALSE)</f>
        <v>0</v>
      </c>
      <c r="U58" s="265">
        <f ca="1">$T58*(1+INDEX(Methodology!$B$26:$E$31,MATCH($F58,Methodology!$B$26:$B$31,0),MATCH(V$5,Methodology!$B$26:$E$26,0)))</f>
        <v>0</v>
      </c>
      <c r="V58" s="261">
        <f ca="1">$S58*(1+INDEX(Methodology!$B$26:$E$31,MATCH($F58,Methodology!$B$26:$B$31,0),MATCH(V$5,Methodology!$B$26:$E$26,0)))</f>
        <v>0</v>
      </c>
      <c r="W58" s="63" cm="1">
        <f t="array" aca="1" ref="W58" ca="1">INDIRECT(""&amp;$D58&amp;"!R"&amp;W$142&amp;"C"&amp;W$143,FALSE)</f>
        <v>0</v>
      </c>
      <c r="X58" s="62" cm="1">
        <f t="array" aca="1" ref="X58" ca="1">INDIRECT(""&amp;$D58&amp;"!R"&amp;X$142&amp;"C"&amp;X$143,FALSE)</f>
        <v>0</v>
      </c>
      <c r="Y58" s="265">
        <f ca="1">$X58*(1+INDEX(Methodology!$B$26:$E$31,MATCH($F58,Methodology!$B$26:$B$31,0),MATCH(Z$5,Methodology!$B$26:$E$26,0)))</f>
        <v>0</v>
      </c>
      <c r="Z58" s="261">
        <f t="shared" ca="1" si="3"/>
        <v>0</v>
      </c>
      <c r="AA58" s="199"/>
      <c r="AB58" s="10">
        <f t="shared" ca="1" si="4"/>
        <v>6.3213397348553677</v>
      </c>
      <c r="AC58" s="190" t="str">
        <f t="shared" ca="1" si="5"/>
        <v>kg/m²</v>
      </c>
      <c r="AD58" s="213" t="str" cm="1">
        <f t="array" aca="1" ref="AD58" ca="1">IF(INDIRECT(""&amp;$D58&amp;"!R"&amp;AD$142&amp;"C"&amp;AD$143,FALSE)=0,"",INDIRECT(""&amp;$D58&amp;"!R"&amp;AD$142&amp;"C"&amp;AD$143,FALSE))</f>
        <v xml:space="preserve">Important to consider in the context of base metal thickness (BMT) and size of sheet not cladding area (shape of sheet i.e. corrugation and overlapping means area of sheet is more than area to be clad). Recommended to use kg CO2e/kg EF when BMT and mass is known. </v>
      </c>
      <c r="AE58" s="214" t="str" cm="1">
        <f t="array" aca="1" ref="AE58" ca="1">IFERROR(IF(INDIRECT(""&amp;$D58&amp;"!R"&amp;AE$142&amp;"C"&amp;AE$143,FALSE)="Average (weighted)","Yes","No"),"")</f>
        <v>No</v>
      </c>
      <c r="AF58" s="96"/>
    </row>
    <row r="59" spans="1:32" ht="45" customHeight="1" x14ac:dyDescent="0.25">
      <c r="A59" s="66" t="s">
        <v>3953</v>
      </c>
      <c r="B59" s="69" t="s">
        <v>3248</v>
      </c>
      <c r="C59" s="193" t="str" cm="1">
        <f t="array" aca="1" ref="C59" ca="1">INDIRECT(""&amp;$D59&amp;"!R"&amp;C$142&amp;"C"&amp;C$143,FALSE)</f>
        <v xml:space="preserve">Steel cladding that has been painted, including all base metal thicknesses (BMT) from 0.42 mm to 1.0 mm </v>
      </c>
      <c r="D59" s="66" t="s">
        <v>3955</v>
      </c>
      <c r="E59" s="7" t="str" cm="1">
        <f t="array" aca="1" ref="E59" ca="1">INDIRECT(""&amp;$D59&amp;"!R"&amp;E$142&amp;"C"&amp;E$143,FALSE)</f>
        <v>m²</v>
      </c>
      <c r="F59" s="7" t="str" cm="1">
        <f t="array" aca="1" ref="F59" ca="1">INDIRECT(""&amp;$D59&amp;"!R"&amp;F$142&amp;"C"&amp;F$143,FALSE)</f>
        <v>Tier 1</v>
      </c>
      <c r="G59" s="188">
        <f ca="1">INDEX(Methodology!$B$26:$D$31,MATCH('EF Table_detail'!$F59,Methodology!$B$26:$B$31,0),MATCH('EF Table_detail'!$G$5,Methodology!$B$26:$D$26,0))</f>
        <v>1.02</v>
      </c>
      <c r="H59" s="240" cm="1">
        <f t="array" aca="1" ref="H59" ca="1">INDIRECT(""&amp;$D59&amp;"!R"&amp;H$142&amp;"C"&amp;H$143,FALSE)</f>
        <v>24.9</v>
      </c>
      <c r="I59" s="238" cm="1">
        <f t="array" aca="1" ref="I59" ca="1">INDIRECT(""&amp;$D59&amp;"!R"&amp;I$142&amp;"C"&amp;I$143,FALSE)</f>
        <v>9.49</v>
      </c>
      <c r="J59" s="239" cm="1">
        <f t="array" aca="1" ref="J59" ca="1">INDIRECT(""&amp;$D59&amp;"!R"&amp;J$142&amp;"C"&amp;J$143,FALSE)</f>
        <v>14.874138993181814</v>
      </c>
      <c r="K59" s="262">
        <f ca="1">$J59*(1+INDEX(Methodology!$B$26:$E$31,MATCH($F59,Methodology!$B$26:$B$31,0),MATCH(L$5,Methodology!$B$26:$E$26,0)))</f>
        <v>15.171621773045452</v>
      </c>
      <c r="L59" s="261">
        <f ca="1">$H59*(1+INDEX(Methodology!$B$26:$E$31,MATCH($F59,Methodology!$B$26:$B$31,0),MATCH(L$5,Methodology!$B$26:$E$26,0)))</f>
        <v>25.398</v>
      </c>
      <c r="M59" s="234" cm="1">
        <f t="array" aca="1" ref="M59" ca="1">INDIRECT(""&amp;$D59&amp;"!R"&amp;M$142&amp;"C"&amp;M$143,FALSE)</f>
        <v>5.3781699999999999</v>
      </c>
      <c r="N59" s="234" cm="1">
        <f t="array" aca="1" ref="N59" ca="1">INDIRECT(""&amp;$D59&amp;"!R"&amp;N$142&amp;"C"&amp;N$143,FALSE)</f>
        <v>2.9837702871410734</v>
      </c>
      <c r="O59" s="231" cm="1">
        <f t="array" aca="1" ref="O59" ca="1">INDIRECT(""&amp;$D59&amp;"!R"&amp;O$142&amp;"C"&amp;O$143,FALSE)</f>
        <v>3.5126376685710636</v>
      </c>
      <c r="P59" s="265">
        <f ca="1">$O59*(1+INDEX(Methodology!$B$26:$E$31,MATCH($F59,Methodology!$B$26:$B$31,0),MATCH(Q$5,Methodology!$B$26:$E$26,0)))</f>
        <v>3.5828904219424849</v>
      </c>
      <c r="Q59" s="266">
        <f ca="1">$M59*(1+INDEX(Methodology!$B$26:$E$31,MATCH($F59,Methodology!$B$26:$B$31,0),MATCH(Q$5,Methodology!$B$26:$E$26,0)))</f>
        <v>5.4857334</v>
      </c>
      <c r="R59" s="199"/>
      <c r="S59" s="63" cm="1">
        <f t="array" aca="1" ref="S59" ca="1">INDIRECT(""&amp;$D59&amp;"!R"&amp;S$142&amp;"C"&amp;S$143,FALSE)</f>
        <v>0</v>
      </c>
      <c r="T59" s="62" cm="1">
        <f t="array" aca="1" ref="T59" ca="1">INDIRECT(""&amp;$D59&amp;"!R"&amp;T$142&amp;"C"&amp;T$143,FALSE)</f>
        <v>0</v>
      </c>
      <c r="U59" s="265">
        <f ca="1">$T59*(1+INDEX(Methodology!$B$26:$E$31,MATCH($F59,Methodology!$B$26:$B$31,0),MATCH(V$5,Methodology!$B$26:$E$26,0)))</f>
        <v>0</v>
      </c>
      <c r="V59" s="261">
        <f ca="1">$S59*(1+INDEX(Methodology!$B$26:$E$31,MATCH($F59,Methodology!$B$26:$B$31,0),MATCH(V$5,Methodology!$B$26:$E$26,0)))</f>
        <v>0</v>
      </c>
      <c r="W59" s="63" cm="1">
        <f t="array" aca="1" ref="W59" ca="1">INDIRECT(""&amp;$D59&amp;"!R"&amp;W$142&amp;"C"&amp;W$143,FALSE)</f>
        <v>0</v>
      </c>
      <c r="X59" s="62" cm="1">
        <f t="array" aca="1" ref="X59" ca="1">INDIRECT(""&amp;$D59&amp;"!R"&amp;X$142&amp;"C"&amp;X$143,FALSE)</f>
        <v>0</v>
      </c>
      <c r="Y59" s="265">
        <f ca="1">$X59*(1+INDEX(Methodology!$B$26:$E$31,MATCH($F59,Methodology!$B$26:$B$31,0),MATCH(Z$5,Methodology!$B$26:$E$26,0)))</f>
        <v>0</v>
      </c>
      <c r="Z59" s="261">
        <f t="shared" ca="1" si="3"/>
        <v>0</v>
      </c>
      <c r="AA59" s="199"/>
      <c r="AB59" s="10">
        <f t="shared" ca="1" si="4"/>
        <v>4.2344643531744035</v>
      </c>
      <c r="AC59" s="190" t="str">
        <f t="shared" ca="1" si="5"/>
        <v>kg/m²</v>
      </c>
      <c r="AD59" s="213" t="str" cm="1">
        <f t="array" aca="1" ref="AD59" ca="1">IF(INDIRECT(""&amp;$D59&amp;"!R"&amp;AD$142&amp;"C"&amp;AD$143,FALSE)=0,"",INDIRECT(""&amp;$D59&amp;"!R"&amp;AD$142&amp;"C"&amp;AD$143,FALSE))</f>
        <v xml:space="preserve">Important to consider in the context of base metal thickness (BMT) and size of sheet not cladding area (shape of sheet i.e. corrugation and overlapping means area of sheet is more than area to be clad). Recommended to use kg CO2e/kg EF when BMT and mass is known. </v>
      </c>
      <c r="AE59" s="214" t="str" cm="1">
        <f t="array" aca="1" ref="AE59" ca="1">IFERROR(IF(INDIRECT(""&amp;$D59&amp;"!R"&amp;AE$142&amp;"C"&amp;AE$143,FALSE)="Average (weighted)","Yes","No"),"")</f>
        <v>No</v>
      </c>
      <c r="AF59" s="96"/>
    </row>
    <row r="60" spans="1:32" ht="45" customHeight="1" x14ac:dyDescent="0.25">
      <c r="A60" s="66" t="s">
        <v>3956</v>
      </c>
      <c r="B60" s="69" t="s">
        <v>214</v>
      </c>
      <c r="C60" s="193" t="str" cm="1">
        <f t="array" aca="1" ref="C60" ca="1">INDIRECT(""&amp;$D60&amp;"!R"&amp;C$142&amp;"C"&amp;C$143,FALSE)</f>
        <v xml:space="preserve">Aluminium cladding including all base metal thicknesses (BMT) from 0.70 mm to 0.9 mm </v>
      </c>
      <c r="D60" s="66" t="s">
        <v>3957</v>
      </c>
      <c r="E60" s="7" t="str" cm="1">
        <f t="array" aca="1" ref="E60" ca="1">INDIRECT(""&amp;$D60&amp;"!R"&amp;E$142&amp;"C"&amp;E$143,FALSE)</f>
        <v>kg</v>
      </c>
      <c r="F60" s="7" t="str" cm="1">
        <f t="array" aca="1" ref="F60" ca="1">INDIRECT(""&amp;$D60&amp;"!R"&amp;F$142&amp;"C"&amp;F$143,FALSE)</f>
        <v>Tier 4</v>
      </c>
      <c r="G60" s="188">
        <f ca="1">INDEX(Methodology!$B$26:$D$31,MATCH('EF Table_detail'!$F60,Methodology!$B$26:$B$31,0),MATCH('EF Table_detail'!$G$5,Methodology!$B$26:$D$26,0))</f>
        <v>1.2</v>
      </c>
      <c r="H60" s="240" cm="1">
        <f t="array" aca="1" ref="H60" ca="1">INDIRECT(""&amp;$D60&amp;"!R"&amp;H$142&amp;"C"&amp;H$143,FALSE)</f>
        <v>17.548175481754814</v>
      </c>
      <c r="I60" s="238" cm="1">
        <f t="array" aca="1" ref="I60" ca="1">INDIRECT(""&amp;$D60&amp;"!R"&amp;I$142&amp;"C"&amp;I$143,FALSE)</f>
        <v>17.501317870321561</v>
      </c>
      <c r="J60" s="239" cm="1">
        <f t="array" aca="1" ref="J60" ca="1">INDIRECT(""&amp;$D60&amp;"!R"&amp;J$142&amp;"C"&amp;J$143,FALSE)</f>
        <v>17.524746676038188</v>
      </c>
      <c r="K60" s="262">
        <f ca="1">$J60*(1+INDEX(Methodology!$B$26:$E$31,MATCH($F60,Methodology!$B$26:$B$31,0),MATCH(L$5,Methodology!$B$26:$E$26,0)))</f>
        <v>21.029696011245825</v>
      </c>
      <c r="L60" s="261">
        <f ca="1">$H60*(1+INDEX(Methodology!$B$26:$E$31,MATCH($F60,Methodology!$B$26:$B$31,0),MATCH(L$5,Methodology!$B$26:$E$26,0)))</f>
        <v>21.057810578105777</v>
      </c>
      <c r="M60" s="234" cm="1">
        <f t="array" aca="1" ref="M60" ca="1">INDIRECT(""&amp;$D60&amp;"!R"&amp;M$142&amp;"C"&amp;M$143,FALSE)</f>
        <v>17.548175481754814</v>
      </c>
      <c r="N60" s="234" cm="1">
        <f t="array" aca="1" ref="N60" ca="1">INDIRECT(""&amp;$D60&amp;"!R"&amp;N$142&amp;"C"&amp;N$143,FALSE)</f>
        <v>17.501317870321561</v>
      </c>
      <c r="O60" s="231" cm="1">
        <f t="array" aca="1" ref="O60" ca="1">INDIRECT(""&amp;$D60&amp;"!R"&amp;O$142&amp;"C"&amp;O$143,FALSE)</f>
        <v>17.524746676038188</v>
      </c>
      <c r="P60" s="265">
        <f ca="1">$O60*(1+INDEX(Methodology!$B$26:$E$31,MATCH($F60,Methodology!$B$26:$B$31,0),MATCH(Q$5,Methodology!$B$26:$E$26,0)))</f>
        <v>21.029696011245825</v>
      </c>
      <c r="Q60" s="266">
        <f ca="1">$M60*(1+INDEX(Methodology!$B$26:$E$31,MATCH($F60,Methodology!$B$26:$B$31,0),MATCH(Q$5,Methodology!$B$26:$E$26,0)))</f>
        <v>21.057810578105777</v>
      </c>
      <c r="R60" s="199"/>
      <c r="S60" s="63" cm="1">
        <f t="array" aca="1" ref="S60" ca="1">INDIRECT(""&amp;$D60&amp;"!R"&amp;S$142&amp;"C"&amp;S$143,FALSE)</f>
        <v>0</v>
      </c>
      <c r="T60" s="62" cm="1">
        <f t="array" aca="1" ref="T60" ca="1">INDIRECT(""&amp;$D60&amp;"!R"&amp;T$142&amp;"C"&amp;T$143,FALSE)</f>
        <v>0</v>
      </c>
      <c r="U60" s="265">
        <f ca="1">$T60*(1+INDEX(Methodology!$B$26:$E$31,MATCH($F60,Methodology!$B$26:$B$31,0),MATCH(V$5,Methodology!$B$26:$E$26,0)))</f>
        <v>0</v>
      </c>
      <c r="V60" s="261">
        <f ca="1">$S60*(1+INDEX(Methodology!$B$26:$E$31,MATCH($F60,Methodology!$B$26:$B$31,0),MATCH(V$5,Methodology!$B$26:$E$26,0)))</f>
        <v>0</v>
      </c>
      <c r="W60" s="63" cm="1">
        <f t="array" aca="1" ref="W60" ca="1">INDIRECT(""&amp;$D60&amp;"!R"&amp;W$142&amp;"C"&amp;W$143,FALSE)</f>
        <v>0</v>
      </c>
      <c r="X60" s="62" cm="1">
        <f t="array" aca="1" ref="X60" ca="1">INDIRECT(""&amp;$D60&amp;"!R"&amp;X$142&amp;"C"&amp;X$143,FALSE)</f>
        <v>0</v>
      </c>
      <c r="Y60" s="265">
        <f ca="1">$X60*(1+INDEX(Methodology!$B$26:$E$31,MATCH($F60,Methodology!$B$26:$B$31,0),MATCH(Z$5,Methodology!$B$26:$E$26,0)))</f>
        <v>0</v>
      </c>
      <c r="Z60" s="261">
        <f t="shared" ca="1" si="3"/>
        <v>0</v>
      </c>
      <c r="AA60" s="199"/>
      <c r="AB60" s="10">
        <f t="shared" ca="1" si="4"/>
        <v>1</v>
      </c>
      <c r="AC60" s="190" t="str">
        <f t="shared" ca="1" si="5"/>
        <v>kg/kg</v>
      </c>
      <c r="AD60" s="213" t="str" cm="1">
        <f t="array" aca="1" ref="AD60" ca="1">IF(INDIRECT(""&amp;$D60&amp;"!R"&amp;AD$142&amp;"C"&amp;AD$143,FALSE)=0,"",INDIRECT(""&amp;$D60&amp;"!R"&amp;AD$142&amp;"C"&amp;AD$143,FALSE))</f>
        <v/>
      </c>
      <c r="AE60" s="214" t="str" cm="1">
        <f t="array" aca="1" ref="AE60" ca="1">IFERROR(IF(INDIRECT(""&amp;$D60&amp;"!R"&amp;AE$142&amp;"C"&amp;AE$143,FALSE)="Average (weighted)","Yes","No"),"")</f>
        <v>No</v>
      </c>
      <c r="AF60" s="96"/>
    </row>
    <row r="61" spans="1:32" ht="45" customHeight="1" x14ac:dyDescent="0.25">
      <c r="A61" s="66" t="s">
        <v>3958</v>
      </c>
      <c r="B61" s="69" t="s">
        <v>3959</v>
      </c>
      <c r="C61" s="193" t="str" cm="1">
        <f t="array" aca="1" ref="C61" ca="1">INDIRECT(""&amp;$D61&amp;"!R"&amp;C$142&amp;"C"&amp;C$143,FALSE)</f>
        <v>Clay roof tiles including terracotta</v>
      </c>
      <c r="D61" s="66" t="s">
        <v>3960</v>
      </c>
      <c r="E61" s="7" t="str" cm="1">
        <f t="array" aca="1" ref="E61" ca="1">INDIRECT(""&amp;$D61&amp;"!R"&amp;E$142&amp;"C"&amp;E$143,FALSE)</f>
        <v>tonne</v>
      </c>
      <c r="F61" s="7" t="str" cm="1">
        <f t="array" aca="1" ref="F61" ca="1">INDIRECT(""&amp;$D61&amp;"!R"&amp;F$142&amp;"C"&amp;F$143,FALSE)</f>
        <v>Tier 4</v>
      </c>
      <c r="G61" s="188">
        <f ca="1">INDEX(Methodology!$B$26:$D$31,MATCH('EF Table_detail'!$F61,Methodology!$B$26:$B$31,0),MATCH('EF Table_detail'!$G$5,Methodology!$B$26:$D$26,0))</f>
        <v>1.2</v>
      </c>
      <c r="H61" s="237" cm="1">
        <f t="array" aca="1" ref="H61" ca="1">INDIRECT(""&amp;$D61&amp;"!R"&amp;H$142&amp;"C"&amp;H$143,FALSE)</f>
        <v>568.14395201599461</v>
      </c>
      <c r="I61" s="235" cm="1">
        <f t="array" aca="1" ref="I61" ca="1">INDIRECT(""&amp;$D61&amp;"!R"&amp;I$142&amp;"C"&amp;I$143,FALSE)</f>
        <v>47.832090000000001</v>
      </c>
      <c r="J61" s="99" cm="1">
        <f t="array" aca="1" ref="J61" ca="1">INDIRECT(""&amp;$D61&amp;"!R"&amp;J$142&amp;"C"&amp;J$143,FALSE)</f>
        <v>282.43733800399866</v>
      </c>
      <c r="K61" s="262">
        <f ca="1">$J61*(1+INDEX(Methodology!$B$26:$E$31,MATCH($F61,Methodology!$B$26:$B$31,0),MATCH(L$5,Methodology!$B$26:$E$26,0)))</f>
        <v>338.92480560479839</v>
      </c>
      <c r="L61" s="261">
        <f ca="1">$H61*(1+INDEX(Methodology!$B$26:$E$31,MATCH($F61,Methodology!$B$26:$B$31,0),MATCH(L$5,Methodology!$B$26:$E$26,0)))</f>
        <v>681.77274241919349</v>
      </c>
      <c r="M61" s="234" cm="1">
        <f t="array" aca="1" ref="M61" ca="1">INDIRECT(""&amp;$D61&amp;"!R"&amp;M$142&amp;"C"&amp;M$143,FALSE)</f>
        <v>0.56814395201599466</v>
      </c>
      <c r="N61" s="234" cm="1">
        <f t="array" aca="1" ref="N61" ca="1">INDIRECT(""&amp;$D61&amp;"!R"&amp;N$142&amp;"C"&amp;N$143,FALSE)</f>
        <v>4.7832090000000001E-2</v>
      </c>
      <c r="O61" s="231" cm="1">
        <f t="array" aca="1" ref="O61" ca="1">INDIRECT(""&amp;$D61&amp;"!R"&amp;O$142&amp;"C"&amp;O$143,FALSE)</f>
        <v>0.28243733800399867</v>
      </c>
      <c r="P61" s="265">
        <f ca="1">$O61*(1+INDEX(Methodology!$B$26:$E$31,MATCH($F61,Methodology!$B$26:$B$31,0),MATCH(Q$5,Methodology!$B$26:$E$26,0)))</f>
        <v>0.33892480560479837</v>
      </c>
      <c r="Q61" s="266">
        <f ca="1">$M61*(1+INDEX(Methodology!$B$26:$E$31,MATCH($F61,Methodology!$B$26:$B$31,0),MATCH(Q$5,Methodology!$B$26:$E$26,0)))</f>
        <v>0.68177274241919361</v>
      </c>
      <c r="R61" s="199"/>
      <c r="S61" s="63" cm="1">
        <f t="array" aca="1" ref="S61" ca="1">INDIRECT(""&amp;$D61&amp;"!R"&amp;S$142&amp;"C"&amp;S$143,FALSE)</f>
        <v>0</v>
      </c>
      <c r="T61" s="62" cm="1">
        <f t="array" aca="1" ref="T61" ca="1">INDIRECT(""&amp;$D61&amp;"!R"&amp;T$142&amp;"C"&amp;T$143,FALSE)</f>
        <v>0</v>
      </c>
      <c r="U61" s="265">
        <f ca="1">$T61*(1+INDEX(Methodology!$B$26:$E$31,MATCH($F61,Methodology!$B$26:$B$31,0),MATCH(V$5,Methodology!$B$26:$E$26,0)))</f>
        <v>0</v>
      </c>
      <c r="V61" s="261">
        <f ca="1">$S61*(1+INDEX(Methodology!$B$26:$E$31,MATCH($F61,Methodology!$B$26:$B$31,0),MATCH(V$5,Methodology!$B$26:$E$26,0)))</f>
        <v>0</v>
      </c>
      <c r="W61" s="63" cm="1">
        <f t="array" aca="1" ref="W61" ca="1">INDIRECT(""&amp;$D61&amp;"!R"&amp;W$142&amp;"C"&amp;W$143,FALSE)</f>
        <v>0</v>
      </c>
      <c r="X61" s="62" cm="1">
        <f t="array" aca="1" ref="X61" ca="1">INDIRECT(""&amp;$D61&amp;"!R"&amp;X$142&amp;"C"&amp;X$143,FALSE)</f>
        <v>0</v>
      </c>
      <c r="Y61" s="265">
        <f ca="1">$X61*(1+INDEX(Methodology!$B$26:$E$31,MATCH($F61,Methodology!$B$26:$B$31,0),MATCH(Z$5,Methodology!$B$26:$E$26,0)))</f>
        <v>0</v>
      </c>
      <c r="Z61" s="261">
        <f t="shared" ca="1" si="3"/>
        <v>0</v>
      </c>
      <c r="AA61" s="199"/>
      <c r="AB61" s="10">
        <f t="shared" ca="1" si="4"/>
        <v>1000</v>
      </c>
      <c r="AC61" s="190" t="str">
        <f t="shared" ca="1" si="5"/>
        <v>kg/tonne</v>
      </c>
      <c r="AD61" s="213" t="str" cm="1">
        <f t="array" aca="1" ref="AD61" ca="1">IF(INDIRECT(""&amp;$D61&amp;"!R"&amp;AD$142&amp;"C"&amp;AD$143,FALSE)=0,"",INDIRECT(""&amp;$D61&amp;"!R"&amp;AD$142&amp;"C"&amp;AD$143,FALSE))</f>
        <v/>
      </c>
      <c r="AE61" s="214" t="str" cm="1">
        <f t="array" aca="1" ref="AE61" ca="1">IFERROR(IF(INDIRECT(""&amp;$D61&amp;"!R"&amp;AE$142&amp;"C"&amp;AE$143,FALSE)="Average (weighted)","Yes","No"),"")</f>
        <v>No</v>
      </c>
      <c r="AF61" s="96"/>
    </row>
    <row r="62" spans="1:32" ht="45" customHeight="1" x14ac:dyDescent="0.25">
      <c r="A62" s="66" t="s">
        <v>3958</v>
      </c>
      <c r="B62" s="69" t="s">
        <v>3961</v>
      </c>
      <c r="C62" s="193" t="str" cm="1">
        <f t="array" aca="1" ref="C62" ca="1">INDIRECT(""&amp;$D62&amp;"!R"&amp;C$142&amp;"C"&amp;C$143,FALSE)</f>
        <v>Clay roof tiles including terracotta</v>
      </c>
      <c r="D62" s="66" t="s">
        <v>3960</v>
      </c>
      <c r="E62" s="7" t="str" cm="1">
        <f t="array" aca="1" ref="E62" ca="1">INDIRECT(""&amp;$D62&amp;"!R"&amp;E$142&amp;"C"&amp;E$143,FALSE)</f>
        <v>tonne</v>
      </c>
      <c r="F62" s="7" t="str" cm="1">
        <f t="array" aca="1" ref="F62" ca="1">INDIRECT(""&amp;$D62&amp;"!R"&amp;F$142&amp;"C"&amp;F$143,FALSE)</f>
        <v>Tier 4</v>
      </c>
      <c r="G62" s="188">
        <f ca="1">INDEX(Methodology!$B$26:$D$31,MATCH('EF Table_detail'!$F62,Methodology!$B$26:$B$31,0),MATCH('EF Table_detail'!$G$5,Methodology!$B$26:$D$26,0))</f>
        <v>1.2</v>
      </c>
      <c r="H62" s="237" cm="1">
        <f t="array" aca="1" ref="H62" ca="1">INDIRECT(""&amp;$D62&amp;"!R"&amp;H$142&amp;"C"&amp;H$143,FALSE)</f>
        <v>568.14395201599461</v>
      </c>
      <c r="I62" s="235" cm="1">
        <f t="array" aca="1" ref="I62" ca="1">INDIRECT(""&amp;$D62&amp;"!R"&amp;I$142&amp;"C"&amp;I$143,FALSE)</f>
        <v>47.832090000000001</v>
      </c>
      <c r="J62" s="99" cm="1">
        <f t="array" aca="1" ref="J62" ca="1">INDIRECT(""&amp;$D62&amp;"!R"&amp;J$142&amp;"C"&amp;J$143,FALSE)</f>
        <v>282.43733800399866</v>
      </c>
      <c r="K62" s="262">
        <f ca="1">$J62*(1+INDEX(Methodology!$B$26:$E$31,MATCH($F62,Methodology!$B$26:$B$31,0),MATCH(L$5,Methodology!$B$26:$E$26,0)))</f>
        <v>338.92480560479839</v>
      </c>
      <c r="L62" s="261">
        <f ca="1">$H62*(1+INDEX(Methodology!$B$26:$E$31,MATCH($F62,Methodology!$B$26:$B$31,0),MATCH(L$5,Methodology!$B$26:$E$26,0)))</f>
        <v>681.77274241919349</v>
      </c>
      <c r="M62" s="234" cm="1">
        <f t="array" aca="1" ref="M62" ca="1">INDIRECT(""&amp;$D62&amp;"!R"&amp;M$142&amp;"C"&amp;M$143,FALSE)</f>
        <v>0.56814395201599466</v>
      </c>
      <c r="N62" s="234" cm="1">
        <f t="array" aca="1" ref="N62" ca="1">INDIRECT(""&amp;$D62&amp;"!R"&amp;N$142&amp;"C"&amp;N$143,FALSE)</f>
        <v>4.7832090000000001E-2</v>
      </c>
      <c r="O62" s="231" cm="1">
        <f t="array" aca="1" ref="O62" ca="1">INDIRECT(""&amp;$D62&amp;"!R"&amp;O$142&amp;"C"&amp;O$143,FALSE)</f>
        <v>0.28243733800399867</v>
      </c>
      <c r="P62" s="265">
        <f ca="1">$O62*(1+INDEX(Methodology!$B$26:$E$31,MATCH($F62,Methodology!$B$26:$B$31,0),MATCH(Q$5,Methodology!$B$26:$E$26,0)))</f>
        <v>0.33892480560479837</v>
      </c>
      <c r="Q62" s="266">
        <f ca="1">$M62*(1+INDEX(Methodology!$B$26:$E$31,MATCH($F62,Methodology!$B$26:$B$31,0),MATCH(Q$5,Methodology!$B$26:$E$26,0)))</f>
        <v>0.68177274241919361</v>
      </c>
      <c r="R62" s="199"/>
      <c r="S62" s="63" cm="1">
        <f t="array" aca="1" ref="S62" ca="1">INDIRECT(""&amp;$D62&amp;"!R"&amp;S$142&amp;"C"&amp;S$143,FALSE)</f>
        <v>0</v>
      </c>
      <c r="T62" s="62" cm="1">
        <f t="array" aca="1" ref="T62" ca="1">INDIRECT(""&amp;$D62&amp;"!R"&amp;T$142&amp;"C"&amp;T$143,FALSE)</f>
        <v>0</v>
      </c>
      <c r="U62" s="265">
        <f ca="1">$T62*(1+INDEX(Methodology!$B$26:$E$31,MATCH($F62,Methodology!$B$26:$B$31,0),MATCH(V$5,Methodology!$B$26:$E$26,0)))</f>
        <v>0</v>
      </c>
      <c r="V62" s="261">
        <f ca="1">$S62*(1+INDEX(Methodology!$B$26:$E$31,MATCH($F62,Methodology!$B$26:$B$31,0),MATCH(V$5,Methodology!$B$26:$E$26,0)))</f>
        <v>0</v>
      </c>
      <c r="W62" s="63" cm="1">
        <f t="array" aca="1" ref="W62" ca="1">INDIRECT(""&amp;$D62&amp;"!R"&amp;W$142&amp;"C"&amp;W$143,FALSE)</f>
        <v>0</v>
      </c>
      <c r="X62" s="62" cm="1">
        <f t="array" aca="1" ref="X62" ca="1">INDIRECT(""&amp;$D62&amp;"!R"&amp;X$142&amp;"C"&amp;X$143,FALSE)</f>
        <v>0</v>
      </c>
      <c r="Y62" s="265">
        <f ca="1">$X62*(1+INDEX(Methodology!$B$26:$E$31,MATCH($F62,Methodology!$B$26:$B$31,0),MATCH(Z$5,Methodology!$B$26:$E$26,0)))</f>
        <v>0</v>
      </c>
      <c r="Z62" s="261">
        <f t="shared" ca="1" si="3"/>
        <v>0</v>
      </c>
      <c r="AA62" s="199"/>
      <c r="AB62" s="10">
        <f t="shared" ca="1" si="4"/>
        <v>1000</v>
      </c>
      <c r="AC62" s="190" t="str">
        <f t="shared" ca="1" si="5"/>
        <v>kg/tonne</v>
      </c>
      <c r="AD62" s="213" t="str" cm="1">
        <f t="array" aca="1" ref="AD62" ca="1">IF(INDIRECT(""&amp;$D62&amp;"!R"&amp;AD$142&amp;"C"&amp;AD$143,FALSE)=0,"",INDIRECT(""&amp;$D62&amp;"!R"&amp;AD$142&amp;"C"&amp;AD$143,FALSE))</f>
        <v/>
      </c>
      <c r="AE62" s="214" t="str" cm="1">
        <f t="array" aca="1" ref="AE62" ca="1">IFERROR(IF(INDIRECT(""&amp;$D62&amp;"!R"&amp;AE$142&amp;"C"&amp;AE$143,FALSE)="Average (weighted)","Yes","No"),"")</f>
        <v>No</v>
      </c>
      <c r="AF62" s="96"/>
    </row>
    <row r="63" spans="1:32" ht="45" customHeight="1" x14ac:dyDescent="0.25">
      <c r="A63" s="66" t="s">
        <v>3958</v>
      </c>
      <c r="B63" s="69" t="s">
        <v>3962</v>
      </c>
      <c r="C63" s="193" t="str" cm="1">
        <f t="array" aca="1" ref="C63" ca="1">INDIRECT(""&amp;$D63&amp;"!R"&amp;C$142&amp;"C"&amp;C$143,FALSE)</f>
        <v>Concrete brick or block i.e. cinder block or concrete finishing brick used in masonry. Not including any core fill material or reinforcing.</v>
      </c>
      <c r="D63" s="2" t="s">
        <v>3900</v>
      </c>
      <c r="E63" s="7" t="str" cm="1">
        <f t="array" aca="1" ref="E63" ca="1">INDIRECT(""&amp;$D63&amp;"!R"&amp;E$142&amp;"C"&amp;E$143,FALSE)</f>
        <v>tonne</v>
      </c>
      <c r="F63" s="7" t="str" cm="1">
        <f t="array" aca="1" ref="F63" ca="1">INDIRECT(""&amp;$D63&amp;"!R"&amp;F$142&amp;"C"&amp;F$143,FALSE)</f>
        <v>Tier 3</v>
      </c>
      <c r="G63" s="188">
        <f ca="1">INDEX(Methodology!$B$26:$D$31,MATCH('EF Table_detail'!$F63,Methodology!$B$26:$B$31,0),MATCH('EF Table_detail'!$G$5,Methodology!$B$26:$D$26,0))</f>
        <v>1.1000000000000001</v>
      </c>
      <c r="H63" s="237" cm="1">
        <f t="array" aca="1" ref="H63" ca="1">INDIRECT(""&amp;$D63&amp;"!R"&amp;H$142&amp;"C"&amp;H$143,FALSE)</f>
        <v>240.39</v>
      </c>
      <c r="I63" s="235" cm="1">
        <f t="array" aca="1" ref="I63" ca="1">INDIRECT(""&amp;$D63&amp;"!R"&amp;I$142&amp;"C"&amp;I$143,FALSE)</f>
        <v>111.67</v>
      </c>
      <c r="J63" s="99" cm="1">
        <f t="array" aca="1" ref="J63" ca="1">INDIRECT(""&amp;$D63&amp;"!R"&amp;J$142&amp;"C"&amp;J$143,FALSE)</f>
        <v>158.68923076923076</v>
      </c>
      <c r="K63" s="262">
        <f ca="1">$J63*(1+INDEX(Methodology!$B$26:$E$31,MATCH($F63,Methodology!$B$26:$B$31,0),MATCH(L$5,Methodology!$B$26:$E$26,0)))</f>
        <v>174.55815384615386</v>
      </c>
      <c r="L63" s="261">
        <f ca="1">$H63*(1+INDEX(Methodology!$B$26:$E$31,MATCH($F63,Methodology!$B$26:$B$31,0),MATCH(L$5,Methodology!$B$26:$E$26,0)))</f>
        <v>264.42900000000003</v>
      </c>
      <c r="M63" s="234" cm="1">
        <f t="array" aca="1" ref="M63" ca="1">INDIRECT(""&amp;$D63&amp;"!R"&amp;M$142&amp;"C"&amp;M$143,FALSE)</f>
        <v>0.24038999999999999</v>
      </c>
      <c r="N63" s="234" cm="1">
        <f t="array" aca="1" ref="N63" ca="1">INDIRECT(""&amp;$D63&amp;"!R"&amp;N$142&amp;"C"&amp;N$143,FALSE)</f>
        <v>0.11167000000000001</v>
      </c>
      <c r="O63" s="231" cm="1">
        <f t="array" aca="1" ref="O63" ca="1">INDIRECT(""&amp;$D63&amp;"!R"&amp;O$142&amp;"C"&amp;O$143,FALSE)</f>
        <v>0.1586892307692308</v>
      </c>
      <c r="P63" s="265">
        <f ca="1">$O63*(1+INDEX(Methodology!$B$26:$E$31,MATCH($F63,Methodology!$B$26:$B$31,0),MATCH(Q$5,Methodology!$B$26:$E$26,0)))</f>
        <v>0.17455815384615389</v>
      </c>
      <c r="Q63" s="266">
        <f ca="1">$M63*(1+INDEX(Methodology!$B$26:$E$31,MATCH($F63,Methodology!$B$26:$B$31,0),MATCH(Q$5,Methodology!$B$26:$E$26,0)))</f>
        <v>0.26442900000000003</v>
      </c>
      <c r="R63" s="199"/>
      <c r="S63" s="63" cm="1">
        <f t="array" aca="1" ref="S63" ca="1">INDIRECT(""&amp;$D63&amp;"!R"&amp;S$142&amp;"C"&amp;S$143,FALSE)</f>
        <v>0</v>
      </c>
      <c r="T63" s="62" cm="1">
        <f t="array" aca="1" ref="T63" ca="1">INDIRECT(""&amp;$D63&amp;"!R"&amp;T$142&amp;"C"&amp;T$143,FALSE)</f>
        <v>0</v>
      </c>
      <c r="U63" s="265">
        <f ca="1">$T63*(1+INDEX(Methodology!$B$26:$E$31,MATCH($F63,Methodology!$B$26:$B$31,0),MATCH(V$5,Methodology!$B$26:$E$26,0)))</f>
        <v>0</v>
      </c>
      <c r="V63" s="261">
        <f ca="1">$S63*(1+INDEX(Methodology!$B$26:$E$31,MATCH($F63,Methodology!$B$26:$B$31,0),MATCH(V$5,Methodology!$B$26:$E$26,0)))</f>
        <v>0</v>
      </c>
      <c r="W63" s="63" cm="1">
        <f t="array" aca="1" ref="W63" ca="1">INDIRECT(""&amp;$D63&amp;"!R"&amp;W$142&amp;"C"&amp;W$143,FALSE)</f>
        <v>0</v>
      </c>
      <c r="X63" s="62" cm="1">
        <f t="array" aca="1" ref="X63" ca="1">INDIRECT(""&amp;$D63&amp;"!R"&amp;X$142&amp;"C"&amp;X$143,FALSE)</f>
        <v>0</v>
      </c>
      <c r="Y63" s="265">
        <f ca="1">$X63*(1+INDEX(Methodology!$B$26:$E$31,MATCH($F63,Methodology!$B$26:$B$31,0),MATCH(Z$5,Methodology!$B$26:$E$26,0)))</f>
        <v>0</v>
      </c>
      <c r="Z63" s="261">
        <f t="shared" ca="1" si="3"/>
        <v>0</v>
      </c>
      <c r="AA63" s="199"/>
      <c r="AB63" s="10">
        <f t="shared" ca="1" si="4"/>
        <v>999.99999999999977</v>
      </c>
      <c r="AC63" s="190" t="str">
        <f t="shared" ca="1" si="5"/>
        <v>kg/tonne</v>
      </c>
      <c r="AD63" s="213" t="str" cm="1">
        <f t="array" aca="1" ref="AD63" ca="1">IF(INDIRECT(""&amp;$D63&amp;"!R"&amp;AD$142&amp;"C"&amp;AD$143,FALSE)=0,"",INDIRECT(""&amp;$D63&amp;"!R"&amp;AD$142&amp;"C"&amp;AD$143,FALSE))</f>
        <v>Not including any core fill material or reinforcing.</v>
      </c>
      <c r="AE63" s="214" t="str" cm="1">
        <f t="array" aca="1" ref="AE63" ca="1">IFERROR(IF(INDIRECT(""&amp;$D63&amp;"!R"&amp;AE$142&amp;"C"&amp;AE$143,FALSE)="Average (weighted)","Yes","No"),"")</f>
        <v>No</v>
      </c>
      <c r="AF63" s="96"/>
    </row>
    <row r="64" spans="1:32" ht="45" customHeight="1" x14ac:dyDescent="0.25">
      <c r="A64" s="66" t="s">
        <v>3963</v>
      </c>
      <c r="B64" s="69" t="s">
        <v>2611</v>
      </c>
      <c r="C64" s="193" t="str" cm="1">
        <f t="array" aca="1" ref="C64" ca="1">INDIRECT(""&amp;$D64&amp;"!R"&amp;C$142&amp;"C"&amp;C$143,FALSE)</f>
        <v xml:space="preserve">Glass reinforced concrete (GRC) or glass fibre reinforced concrete including all uses i.e. as cladding or as slab concrete </v>
      </c>
      <c r="D64" s="66" t="s">
        <v>2610</v>
      </c>
      <c r="E64" s="7" t="str" cm="1">
        <f t="array" aca="1" ref="E64" ca="1">INDIRECT(""&amp;$D64&amp;"!R"&amp;E$142&amp;"C"&amp;E$143,FALSE)</f>
        <v>tonne</v>
      </c>
      <c r="F64" s="7" t="str" cm="1">
        <f t="array" aca="1" ref="F64" ca="1">INDIRECT(""&amp;$D64&amp;"!R"&amp;F$142&amp;"C"&amp;F$143,FALSE)</f>
        <v>Tier 4</v>
      </c>
      <c r="G64" s="188">
        <f ca="1">INDEX(Methodology!$B$26:$D$31,MATCH('EF Table_detail'!$F64,Methodology!$B$26:$B$31,0),MATCH('EF Table_detail'!$G$5,Methodology!$B$26:$D$26,0))</f>
        <v>1.2</v>
      </c>
      <c r="H64" s="237" cm="1">
        <f t="array" aca="1" ref="H64" ca="1">INDIRECT(""&amp;$D64&amp;"!R"&amp;H$142&amp;"C"&amp;H$143,FALSE)</f>
        <v>723.9</v>
      </c>
      <c r="I64" s="235" cm="1">
        <f t="array" aca="1" ref="I64" ca="1">INDIRECT(""&amp;$D64&amp;"!R"&amp;I$142&amp;"C"&amp;I$143,FALSE)</f>
        <v>407.69230769230768</v>
      </c>
      <c r="J64" s="99" cm="1">
        <f t="array" aca="1" ref="J64" ca="1">INDIRECT(""&amp;$D64&amp;"!R"&amp;J$142&amp;"C"&amp;J$143,FALSE)</f>
        <v>544.47016317016312</v>
      </c>
      <c r="K64" s="262">
        <f ca="1">$J64*(1+INDEX(Methodology!$B$26:$E$31,MATCH($F64,Methodology!$B$26:$B$31,0),MATCH(L$5,Methodology!$B$26:$E$26,0)))</f>
        <v>653.36419580419567</v>
      </c>
      <c r="L64" s="261">
        <f ca="1">$H64*(1+INDEX(Methodology!$B$26:$E$31,MATCH($F64,Methodology!$B$26:$B$31,0),MATCH(L$5,Methodology!$B$26:$E$26,0)))</f>
        <v>868.68</v>
      </c>
      <c r="M64" s="234" cm="1">
        <f t="array" aca="1" ref="M64" ca="1">INDIRECT(""&amp;$D64&amp;"!R"&amp;M$142&amp;"C"&amp;M$143,FALSE)</f>
        <v>0.72389999999999999</v>
      </c>
      <c r="N64" s="234" cm="1">
        <f t="array" aca="1" ref="N64" ca="1">INDIRECT(""&amp;$D64&amp;"!R"&amp;N$142&amp;"C"&amp;N$143,FALSE)</f>
        <v>0.40769230769230769</v>
      </c>
      <c r="O64" s="231" cm="1">
        <f t="array" aca="1" ref="O64" ca="1">INDIRECT(""&amp;$D64&amp;"!R"&amp;O$142&amp;"C"&amp;O$143,FALSE)</f>
        <v>0.54447016317016317</v>
      </c>
      <c r="P64" s="265">
        <f ca="1">$O64*(1+INDEX(Methodology!$B$26:$E$31,MATCH($F64,Methodology!$B$26:$B$31,0),MATCH(Q$5,Methodology!$B$26:$E$26,0)))</f>
        <v>0.6533641958041958</v>
      </c>
      <c r="Q64" s="266">
        <f ca="1">$M64*(1+INDEX(Methodology!$B$26:$E$31,MATCH($F64,Methodology!$B$26:$B$31,0),MATCH(Q$5,Methodology!$B$26:$E$26,0)))</f>
        <v>0.86868000000000001</v>
      </c>
      <c r="R64" s="199"/>
      <c r="S64" s="63" cm="1">
        <f t="array" aca="1" ref="S64" ca="1">INDIRECT(""&amp;$D64&amp;"!R"&amp;S$142&amp;"C"&amp;S$143,FALSE)</f>
        <v>0</v>
      </c>
      <c r="T64" s="62" cm="1">
        <f t="array" aca="1" ref="T64" ca="1">INDIRECT(""&amp;$D64&amp;"!R"&amp;T$142&amp;"C"&amp;T$143,FALSE)</f>
        <v>0</v>
      </c>
      <c r="U64" s="265">
        <f ca="1">$T64*(1+INDEX(Methodology!$B$26:$E$31,MATCH($F64,Methodology!$B$26:$B$31,0),MATCH(V$5,Methodology!$B$26:$E$26,0)))</f>
        <v>0</v>
      </c>
      <c r="V64" s="261">
        <f ca="1">$S64*(1+INDEX(Methodology!$B$26:$E$31,MATCH($F64,Methodology!$B$26:$B$31,0),MATCH(V$5,Methodology!$B$26:$E$26,0)))</f>
        <v>0</v>
      </c>
      <c r="W64" s="63" cm="1">
        <f t="array" aca="1" ref="W64" ca="1">INDIRECT(""&amp;$D64&amp;"!R"&amp;W$142&amp;"C"&amp;W$143,FALSE)</f>
        <v>0</v>
      </c>
      <c r="X64" s="62" cm="1">
        <f t="array" aca="1" ref="X64" ca="1">INDIRECT(""&amp;$D64&amp;"!R"&amp;X$142&amp;"C"&amp;X$143,FALSE)</f>
        <v>0</v>
      </c>
      <c r="Y64" s="265">
        <f ca="1">$X64*(1+INDEX(Methodology!$B$26:$E$31,MATCH($F64,Methodology!$B$26:$B$31,0),MATCH(Z$5,Methodology!$B$26:$E$26,0)))</f>
        <v>0</v>
      </c>
      <c r="Z64" s="261">
        <f t="shared" ca="1" si="3"/>
        <v>0</v>
      </c>
      <c r="AA64" s="199"/>
      <c r="AB64" s="10">
        <f t="shared" ca="1" si="4"/>
        <v>999.99999999999989</v>
      </c>
      <c r="AC64" s="190" t="str">
        <f t="shared" ca="1" si="5"/>
        <v>kg/tonne</v>
      </c>
      <c r="AD64" s="213" t="str" cm="1">
        <f t="array" aca="1" ref="AD64" ca="1">IF(INDIRECT(""&amp;$D64&amp;"!R"&amp;AD$142&amp;"C"&amp;AD$143,FALSE)=0,"",INDIRECT(""&amp;$D64&amp;"!R"&amp;AD$142&amp;"C"&amp;AD$143,FALSE))</f>
        <v/>
      </c>
      <c r="AE64" s="214" t="str" cm="1">
        <f t="array" aca="1" ref="AE64" ca="1">IFERROR(IF(INDIRECT(""&amp;$D64&amp;"!R"&amp;AE$142&amp;"C"&amp;AE$143,FALSE)="Average (weighted)","Yes","No"),"")</f>
        <v>No</v>
      </c>
      <c r="AF64" s="96"/>
    </row>
    <row r="65" spans="1:32" ht="45" customHeight="1" x14ac:dyDescent="0.25">
      <c r="A65" s="66" t="s">
        <v>3963</v>
      </c>
      <c r="B65" s="69" t="s">
        <v>2329</v>
      </c>
      <c r="C65" s="193" t="str" cm="1">
        <f t="array" aca="1" ref="C65" ca="1">INDIRECT(""&amp;$D65&amp;"!R"&amp;C$142&amp;"C"&amp;C$143,FALSE)</f>
        <v>Board made from fibre cement including compressed sheet, flooring, cladding, lining and roofing boards. Thickness from 4 mm to 22 mm.</v>
      </c>
      <c r="D65" s="7" t="s">
        <v>3964</v>
      </c>
      <c r="E65" s="7" t="str" cm="1">
        <f t="array" aca="1" ref="E65" ca="1">INDIRECT(""&amp;$D65&amp;"!R"&amp;E$142&amp;"C"&amp;E$143,FALSE)</f>
        <v>m²</v>
      </c>
      <c r="F65" s="7" t="str" cm="1">
        <f t="array" aca="1" ref="F65" ca="1">INDIRECT(""&amp;$D65&amp;"!R"&amp;F$142&amp;"C"&amp;F$143,FALSE)</f>
        <v>Tier 2</v>
      </c>
      <c r="G65" s="188">
        <f ca="1">INDEX(Methodology!$B$26:$D$31,MATCH('EF Table_detail'!$F65,Methodology!$B$26:$B$31,0),MATCH('EF Table_detail'!$G$5,Methodology!$B$26:$D$26,0))</f>
        <v>1.05</v>
      </c>
      <c r="H65" s="240" cm="1">
        <f t="array" aca="1" ref="H65" ca="1">INDIRECT(""&amp;$D65&amp;"!R"&amp;H$142&amp;"C"&amp;H$143,FALSE)</f>
        <v>45.9</v>
      </c>
      <c r="I65" s="238" cm="1">
        <f t="array" aca="1" ref="I65" ca="1">INDIRECT(""&amp;$D65&amp;"!R"&amp;I$142&amp;"C"&amp;I$143,FALSE)</f>
        <v>3.51</v>
      </c>
      <c r="J65" s="239" cm="1">
        <f t="array" aca="1" ref="J65" ca="1">INDIRECT(""&amp;$D65&amp;"!R"&amp;J$142&amp;"C"&amp;J$143,FALSE)</f>
        <v>12.889999999999999</v>
      </c>
      <c r="K65" s="262">
        <f ca="1">$J65*(1+INDEX(Methodology!$B$26:$E$31,MATCH($F65,Methodology!$B$26:$B$31,0),MATCH(L$5,Methodology!$B$26:$E$26,0)))</f>
        <v>13.5345</v>
      </c>
      <c r="L65" s="261">
        <f ca="1">$H65*(1+INDEX(Methodology!$B$26:$E$31,MATCH($F65,Methodology!$B$26:$B$31,0),MATCH(L$5,Methodology!$B$26:$E$26,0)))</f>
        <v>48.195</v>
      </c>
      <c r="M65" s="234" cm="1">
        <f t="array" aca="1" ref="M65" ca="1">INDIRECT(""&amp;$D65&amp;"!R"&amp;M$142&amp;"C"&amp;M$143,FALSE)</f>
        <v>1.3237797062469794</v>
      </c>
      <c r="N65" s="234" cm="1">
        <f t="array" aca="1" ref="N65" ca="1">INDIRECT(""&amp;$D65&amp;"!R"&amp;N$142&amp;"C"&amp;N$143,FALSE)</f>
        <v>0.30722992282728107</v>
      </c>
      <c r="O65" s="231" cm="1">
        <f t="array" aca="1" ref="O65" ca="1">INDIRECT(""&amp;$D65&amp;"!R"&amp;O$142&amp;"C"&amp;O$143,FALSE)</f>
        <v>0.852979655994341</v>
      </c>
      <c r="P65" s="265">
        <f ca="1">$O65*(1+INDEX(Methodology!$B$26:$E$31,MATCH($F65,Methodology!$B$26:$B$31,0),MATCH(Q$5,Methodology!$B$26:$E$26,0)))</f>
        <v>0.89562863879405807</v>
      </c>
      <c r="Q65" s="266">
        <f ca="1">$M65*(1+INDEX(Methodology!$B$26:$E$31,MATCH($F65,Methodology!$B$26:$B$31,0),MATCH(Q$5,Methodology!$B$26:$E$26,0)))</f>
        <v>1.3899686915593283</v>
      </c>
      <c r="R65" s="199"/>
      <c r="S65" s="63" cm="1">
        <f t="array" aca="1" ref="S65" ca="1">INDIRECT(""&amp;$D65&amp;"!R"&amp;S$142&amp;"C"&amp;S$143,FALSE)</f>
        <v>4.4999999999999998E-2</v>
      </c>
      <c r="T65" s="62" cm="1">
        <f t="array" aca="1" ref="T65" ca="1">INDIRECT(""&amp;$D65&amp;"!R"&amp;T$142&amp;"C"&amp;T$143,FALSE)</f>
        <v>3.7285714285714283E-2</v>
      </c>
      <c r="U65" s="265">
        <f ca="1">$T65*(1+INDEX(Methodology!$B$26:$E$31,MATCH($F65,Methodology!$B$26:$B$31,0),MATCH(V$5,Methodology!$B$26:$E$26,0)))</f>
        <v>3.9149999999999997E-2</v>
      </c>
      <c r="V65" s="261">
        <f ca="1">$S65*(1+INDEX(Methodology!$B$26:$E$31,MATCH($F65,Methodology!$B$26:$B$31,0),MATCH(V$5,Methodology!$B$26:$E$26,0)))</f>
        <v>4.725E-2</v>
      </c>
      <c r="W65" s="63" cm="1">
        <f t="array" aca="1" ref="W65" ca="1">INDIRECT(""&amp;$D65&amp;"!R"&amp;W$142&amp;"C"&amp;W$143,FALSE)</f>
        <v>8.3333333333333332E-3</v>
      </c>
      <c r="X65" s="62" cm="1">
        <f t="array" aca="1" ref="X65" ca="1">INDIRECT(""&amp;$D65&amp;"!R"&amp;X$142&amp;"C"&amp;X$143,FALSE)</f>
        <v>3.2122689436936249E-3</v>
      </c>
      <c r="Y65" s="265">
        <f ca="1">$X65*(1+INDEX(Methodology!$B$26:$E$31,MATCH($F65,Methodology!$B$26:$B$31,0),MATCH(Z$5,Methodology!$B$26:$E$26,0)))</f>
        <v>3.3728823908783061E-3</v>
      </c>
      <c r="Z65" s="261">
        <f t="shared" ca="1" si="3"/>
        <v>8.3333333333333332E-3</v>
      </c>
      <c r="AA65" s="199"/>
      <c r="AB65" s="10">
        <f t="shared" ca="1" si="4"/>
        <v>15.111732043566484</v>
      </c>
      <c r="AC65" s="190" t="str">
        <f t="shared" ca="1" si="5"/>
        <v>kg/m²</v>
      </c>
      <c r="AD65" s="213" t="str" cm="1">
        <f t="array" aca="1" ref="AD65" ca="1">IF(INDIRECT(""&amp;$D65&amp;"!R"&amp;AD$142&amp;"C"&amp;AD$143,FALSE)=0,"",INDIRECT(""&amp;$D65&amp;"!R"&amp;AD$142&amp;"C"&amp;AD$143,FALSE))</f>
        <v xml:space="preserve">Important to consider in the context of board thickness and size of sheet not cladding area (shape of sheet overlapping (i.e. when cladding) means area of sheet is more than area to be clad). Recommended to use kg CO2e/kg EF when thickness and mass is known. </v>
      </c>
      <c r="AE65" s="214" t="str" cm="1">
        <f t="array" aca="1" ref="AE65" ca="1">IFERROR(IF(INDIRECT(""&amp;$D65&amp;"!R"&amp;AE$142&amp;"C"&amp;AE$143,FALSE)="Average (weighted)","Yes","No"),"")</f>
        <v>No</v>
      </c>
      <c r="AF65" s="96"/>
    </row>
    <row r="66" spans="1:32" ht="45" customHeight="1" x14ac:dyDescent="0.25">
      <c r="A66" s="66" t="s">
        <v>3963</v>
      </c>
      <c r="B66" s="69" t="s">
        <v>2897</v>
      </c>
      <c r="C66" s="193" t="str" cm="1">
        <f t="array" aca="1" ref="C66" ca="1">INDIRECT(""&amp;$D66&amp;"!R"&amp;C$142&amp;"C"&amp;C$143,FALSE)</f>
        <v>Board made from plaster typically coated in paper. Thickness from 4 mm to 22 mm.</v>
      </c>
      <c r="D66" s="66" t="s">
        <v>2897</v>
      </c>
      <c r="E66" s="7" t="str" cm="1">
        <f t="array" aca="1" ref="E66" ca="1">INDIRECT(""&amp;$D66&amp;"!R"&amp;E$142&amp;"C"&amp;E$143,FALSE)</f>
        <v>m²</v>
      </c>
      <c r="F66" s="7" t="str" cm="1">
        <f t="array" aca="1" ref="F66" ca="1">INDIRECT(""&amp;$D66&amp;"!R"&amp;F$142&amp;"C"&amp;F$143,FALSE)</f>
        <v>Tier 4</v>
      </c>
      <c r="G66" s="188">
        <f ca="1">INDEX(Methodology!$B$26:$D$31,MATCH('EF Table_detail'!$F66,Methodology!$B$26:$B$31,0),MATCH('EF Table_detail'!$G$5,Methodology!$B$26:$D$26,0))</f>
        <v>1.2</v>
      </c>
      <c r="H66" s="236" cm="1">
        <f t="array" aca="1" ref="H66" ca="1">INDIRECT(""&amp;$D66&amp;"!R"&amp;H$142&amp;"C"&amp;H$143,FALSE)</f>
        <v>6.79</v>
      </c>
      <c r="I66" s="234" cm="1">
        <f t="array" aca="1" ref="I66" ca="1">INDIRECT(""&amp;$D66&amp;"!R"&amp;I$142&amp;"C"&amp;I$143,FALSE)</f>
        <v>1.49</v>
      </c>
      <c r="J66" s="231" cm="1">
        <f t="array" aca="1" ref="J66" ca="1">INDIRECT(""&amp;$D66&amp;"!R"&amp;J$142&amp;"C"&amp;J$143,FALSE)</f>
        <v>3.2460299999999993</v>
      </c>
      <c r="K66" s="262">
        <f ca="1">$J66*(1+INDEX(Methodology!$B$26:$E$31,MATCH($F66,Methodology!$B$26:$B$31,0),MATCH(L$5,Methodology!$B$26:$E$26,0)))</f>
        <v>3.8952359999999988</v>
      </c>
      <c r="L66" s="261">
        <f ca="1">$H66*(1+INDEX(Methodology!$B$26:$E$31,MATCH($F66,Methodology!$B$26:$B$31,0),MATCH(L$5,Methodology!$B$26:$E$26,0)))</f>
        <v>8.1479999999999997</v>
      </c>
      <c r="M66" s="234" cm="1">
        <f t="array" aca="1" ref="M66" ca="1">INDIRECT(""&amp;$D66&amp;"!R"&amp;M$142&amp;"C"&amp;M$143,FALSE)</f>
        <v>0.39374999999999999</v>
      </c>
      <c r="N66" s="234" cm="1">
        <f t="array" aca="1" ref="N66" ca="1">INDIRECT(""&amp;$D66&amp;"!R"&amp;N$142&amp;"C"&amp;N$143,FALSE)</f>
        <v>0.17519999999999999</v>
      </c>
      <c r="O66" s="231" cm="1">
        <f t="array" aca="1" ref="O66" ca="1">INDIRECT(""&amp;$D66&amp;"!R"&amp;O$142&amp;"C"&amp;O$143,FALSE)</f>
        <v>0.29826078812332296</v>
      </c>
      <c r="P66" s="265">
        <f ca="1">$O66*(1+INDEX(Methodology!$B$26:$E$31,MATCH($F66,Methodology!$B$26:$B$31,0),MATCH(Q$5,Methodology!$B$26:$E$26,0)))</f>
        <v>0.35791294574798754</v>
      </c>
      <c r="Q66" s="266">
        <f ca="1">$M66*(1+INDEX(Methodology!$B$26:$E$31,MATCH($F66,Methodology!$B$26:$B$31,0),MATCH(Q$5,Methodology!$B$26:$E$26,0)))</f>
        <v>0.47249999999999998</v>
      </c>
      <c r="R66" s="199"/>
      <c r="S66" s="63" cm="1">
        <f t="array" aca="1" ref="S66" ca="1">INDIRECT(""&amp;$D66&amp;"!R"&amp;S$142&amp;"C"&amp;S$143,FALSE)</f>
        <v>1.0669999999999999</v>
      </c>
      <c r="T66" s="62" cm="1">
        <f t="array" aca="1" ref="T66" ca="1">INDIRECT(""&amp;$D66&amp;"!R"&amp;T$142&amp;"C"&amp;T$143,FALSE)</f>
        <v>0.59678666666666669</v>
      </c>
      <c r="U66" s="265">
        <f ca="1">$T66*(1+INDEX(Methodology!$B$26:$E$31,MATCH($F66,Methodology!$B$26:$B$31,0),MATCH(V$5,Methodology!$B$26:$E$26,0)))</f>
        <v>0.716144</v>
      </c>
      <c r="V66" s="261">
        <f ca="1">$S66*(1+INDEX(Methodology!$B$26:$E$31,MATCH($F66,Methodology!$B$26:$B$31,0),MATCH(V$5,Methodology!$B$26:$E$26,0)))</f>
        <v>1.2804</v>
      </c>
      <c r="W66" s="63" cm="1">
        <f t="array" aca="1" ref="W66" ca="1">INDIRECT(""&amp;$D66&amp;"!R"&amp;W$142&amp;"C"&amp;W$143,FALSE)</f>
        <v>0.20395833333333335</v>
      </c>
      <c r="X66" s="62" cm="1">
        <f t="array" aca="1" ref="X66" ca="1">INDIRECT(""&amp;$D66&amp;"!R"&amp;X$142&amp;"C"&amp;X$143,FALSE)</f>
        <v>6.0758025026185471E-2</v>
      </c>
      <c r="Y66" s="265">
        <f ca="1">$X66*(1+INDEX(Methodology!$B$26:$E$31,MATCH($F66,Methodology!$B$26:$B$31,0),MATCH(Z$5,Methodology!$B$26:$E$26,0)))</f>
        <v>7.2909630031422562E-2</v>
      </c>
      <c r="Z66" s="261">
        <f t="shared" ca="1" si="3"/>
        <v>0.20395833333333335</v>
      </c>
      <c r="AA66" s="199"/>
      <c r="AB66" s="10">
        <f t="shared" ca="1" si="4"/>
        <v>10.883193933819593</v>
      </c>
      <c r="AC66" s="190" t="str">
        <f t="shared" ca="1" si="5"/>
        <v>kg/m²</v>
      </c>
      <c r="AD66" s="213" t="str" cm="1">
        <f t="array" aca="1" ref="AD66" ca="1">IF(INDIRECT(""&amp;$D66&amp;"!R"&amp;AD$142&amp;"C"&amp;AD$143,FALSE)=0,"",INDIRECT(""&amp;$D66&amp;"!R"&amp;AD$142&amp;"C"&amp;AD$143,FALSE))</f>
        <v xml:space="preserve">Important to consider board thickness. Recommended to use kg CO2e/kg EF when thickness and mass is known. </v>
      </c>
      <c r="AE66" s="214" t="str" cm="1">
        <f t="array" aca="1" ref="AE66" ca="1">IFERROR(IF(INDIRECT(""&amp;$D66&amp;"!R"&amp;AE$142&amp;"C"&amp;AE$143,FALSE)="Average (weighted)","Yes","No"),"")</f>
        <v>No</v>
      </c>
      <c r="AF66" s="96"/>
    </row>
    <row r="67" spans="1:32" ht="45" customHeight="1" x14ac:dyDescent="0.25">
      <c r="A67" s="66" t="s">
        <v>3965</v>
      </c>
      <c r="B67" s="69" t="s">
        <v>3966</v>
      </c>
      <c r="C67" s="193" t="str" cm="1">
        <f t="array" aca="1" ref="C67" ca="1">INDIRECT(""&amp;$D67&amp;"!R"&amp;C$142&amp;"C"&amp;C$143,FALSE)</f>
        <v>Based on softwood timber used for weatherboards includes finger jointed, thermally modified timber, treated, untreated, surfaced, and sawn products</v>
      </c>
      <c r="D67" s="66" t="s">
        <v>3967</v>
      </c>
      <c r="E67" s="7" t="str" cm="1">
        <f t="array" aca="1" ref="E67" ca="1">INDIRECT(""&amp;$D67&amp;"!R"&amp;E$142&amp;"C"&amp;E$143,FALSE)</f>
        <v>m³</v>
      </c>
      <c r="F67" s="7" t="str" cm="1">
        <f t="array" aca="1" ref="F67" ca="1">INDIRECT(""&amp;$D67&amp;"!R"&amp;F$142&amp;"C"&amp;F$143,FALSE)</f>
        <v>Tier 2</v>
      </c>
      <c r="G67" s="188">
        <f ca="1">INDEX(Methodology!$B$26:$D$31,MATCH('EF Table_detail'!$F67,Methodology!$B$26:$B$31,0),MATCH('EF Table_detail'!$G$5,Methodology!$B$26:$D$26,0))</f>
        <v>1.05</v>
      </c>
      <c r="H67" s="237" cm="1">
        <f t="array" aca="1" ref="H67" ca="1">INDIRECT(""&amp;$D67&amp;"!R"&amp;H$142&amp;"C"&amp;H$143,FALSE)</f>
        <v>332.10566666666671</v>
      </c>
      <c r="I67" s="235" cm="1">
        <f t="array" aca="1" ref="I67" ca="1">INDIRECT(""&amp;$D67&amp;"!R"&amp;I$142&amp;"C"&amp;I$143,FALSE)</f>
        <v>100</v>
      </c>
      <c r="J67" s="99" cm="1">
        <f t="array" aca="1" ref="J67" ca="1">INDIRECT(""&amp;$D67&amp;"!R"&amp;J$142&amp;"C"&amp;J$143,FALSE)</f>
        <v>194.89638858395995</v>
      </c>
      <c r="K67" s="262">
        <f ca="1">$J67*(1+INDEX(Methodology!$B$26:$E$31,MATCH($F67,Methodology!$B$26:$B$31,0),MATCH(L$5,Methodology!$B$26:$E$26,0)))</f>
        <v>204.64120801315795</v>
      </c>
      <c r="L67" s="261">
        <f ca="1">$H67*(1+INDEX(Methodology!$B$26:$E$31,MATCH($F67,Methodology!$B$26:$B$31,0),MATCH(L$5,Methodology!$B$26:$E$26,0)))</f>
        <v>348.71095000000008</v>
      </c>
      <c r="M67" s="234" cm="1">
        <f t="array" aca="1" ref="M67" ca="1">INDIRECT(""&amp;$D67&amp;"!R"&amp;M$142&amp;"C"&amp;M$143,FALSE)</f>
        <v>0.69047619047619047</v>
      </c>
      <c r="N67" s="234" cm="1">
        <f t="array" aca="1" ref="N67" ca="1">INDIRECT(""&amp;$D67&amp;"!R"&amp;N$142&amp;"C"&amp;N$143,FALSE)</f>
        <v>0.20458560193587449</v>
      </c>
      <c r="O67" s="231" cm="1">
        <f t="array" aca="1" ref="O67" ca="1">INDIRECT(""&amp;$D67&amp;"!R"&amp;O$142&amp;"C"&amp;O$143,FALSE)</f>
        <v>0.38070794464305047</v>
      </c>
      <c r="P67" s="265">
        <f ca="1">$O67*(1+INDEX(Methodology!$B$26:$E$31,MATCH($F67,Methodology!$B$26:$B$31,0),MATCH(Q$5,Methodology!$B$26:$E$26,0)))</f>
        <v>0.399743341875203</v>
      </c>
      <c r="Q67" s="266">
        <f ca="1">$M67*(1+INDEX(Methodology!$B$26:$E$31,MATCH($F67,Methodology!$B$26:$B$31,0),MATCH(Q$5,Methodology!$B$26:$E$26,0)))</f>
        <v>0.72499999999999998</v>
      </c>
      <c r="R67" s="199"/>
      <c r="S67" s="60" cm="1">
        <f t="array" aca="1" ref="S67" ca="1">INDIRECT(""&amp;$D67&amp;"!R"&amp;S$142&amp;"C"&amp;S$143,FALSE)</f>
        <v>888.94666666666672</v>
      </c>
      <c r="T67" s="61" cm="1">
        <f t="array" aca="1" ref="T67" ca="1">INDIRECT(""&amp;$D67&amp;"!R"&amp;T$142&amp;"C"&amp;T$143,FALSE)</f>
        <v>847.76370437813284</v>
      </c>
      <c r="U67" s="265">
        <f ca="1">$T67*(1+INDEX(Methodology!$B$26:$E$31,MATCH($F67,Methodology!$B$26:$B$31,0),MATCH(V$5,Methodology!$B$26:$E$26,0)))</f>
        <v>890.15188959703949</v>
      </c>
      <c r="V67" s="261">
        <f ca="1">$S67*(1+INDEX(Methodology!$B$26:$E$31,MATCH($F67,Methodology!$B$26:$B$31,0),MATCH(V$5,Methodology!$B$26:$E$26,0)))</f>
        <v>933.39400000000012</v>
      </c>
      <c r="W67" s="63" cm="1">
        <f t="array" aca="1" ref="W67" ca="1">INDIRECT(""&amp;$D67&amp;"!R"&amp;W$142&amp;"C"&amp;W$143,FALSE)</f>
        <v>1.6133333333333335</v>
      </c>
      <c r="X67" s="62" cm="1">
        <f t="array" aca="1" ref="X67" ca="1">INDIRECT(""&amp;$D67&amp;"!R"&amp;X$142&amp;"C"&amp;X$143,FALSE)</f>
        <v>1.6328081119383981</v>
      </c>
      <c r="Y67" s="265">
        <f ca="1">$X67*(1+INDEX(Methodology!$B$26:$E$31,MATCH($F67,Methodology!$B$26:$B$31,0),MATCH(Z$5,Methodology!$B$26:$E$26,0)))</f>
        <v>1.7144485175353181</v>
      </c>
      <c r="Z67" s="261">
        <f t="shared" ca="1" si="3"/>
        <v>1.6133333333333335</v>
      </c>
      <c r="AA67" s="199"/>
      <c r="AB67" s="10">
        <f t="shared" ca="1" si="4"/>
        <v>511.93149847895518</v>
      </c>
      <c r="AC67" s="190" t="str">
        <f t="shared" ca="1" si="5"/>
        <v>kg/m³</v>
      </c>
      <c r="AD67" s="213" t="str" cm="1">
        <f t="array" aca="1" ref="AD67" ca="1">IF(INDIRECT(""&amp;$D67&amp;"!R"&amp;AD$142&amp;"C"&amp;AD$143,FALSE)=0,"",INDIRECT(""&amp;$D67&amp;"!R"&amp;AD$142&amp;"C"&amp;AD$143,FALSE))</f>
        <v/>
      </c>
      <c r="AE67" s="214" t="str" cm="1">
        <f t="array" aca="1" ref="AE67" ca="1">IFERROR(IF(INDIRECT(""&amp;$D67&amp;"!R"&amp;AE$142&amp;"C"&amp;AE$143,FALSE)="Average (weighted)","Yes","No"),"")</f>
        <v>Yes</v>
      </c>
      <c r="AF67" s="96"/>
    </row>
    <row r="68" spans="1:32" ht="45" customHeight="1" x14ac:dyDescent="0.25">
      <c r="A68" s="66" t="s">
        <v>3965</v>
      </c>
      <c r="B68" s="69" t="s">
        <v>2422</v>
      </c>
      <c r="C68" s="193" t="str" cm="1">
        <f t="array" aca="1" ref="C68" ca="1">INDIRECT(""&amp;$D68&amp;"!R"&amp;C$142&amp;"C"&amp;C$143,FALSE)</f>
        <v xml:space="preserve">Plywood timber for bracing, structural (walling, flooring), formwork purposes. </v>
      </c>
      <c r="D68" s="66" t="s">
        <v>3936</v>
      </c>
      <c r="E68" s="7" t="str" cm="1">
        <f t="array" aca="1" ref="E68" ca="1">INDIRECT(""&amp;$D68&amp;"!R"&amp;E$142&amp;"C"&amp;E$143,FALSE)</f>
        <v>m³</v>
      </c>
      <c r="F68" s="7" t="str" cm="1">
        <f t="array" aca="1" ref="F68" ca="1">INDIRECT(""&amp;$D68&amp;"!R"&amp;F$142&amp;"C"&amp;F$143,FALSE)</f>
        <v>Tier 2</v>
      </c>
      <c r="G68" s="188">
        <f ca="1">INDEX(Methodology!$B$26:$D$31,MATCH('EF Table_detail'!$F68,Methodology!$B$26:$B$31,0),MATCH('EF Table_detail'!$G$5,Methodology!$B$26:$D$26,0))</f>
        <v>1.05</v>
      </c>
      <c r="H68" s="237" cm="1">
        <f t="array" aca="1" ref="H68" ca="1">INDIRECT(""&amp;$D68&amp;"!R"&amp;H$142&amp;"C"&amp;H$143,FALSE)</f>
        <v>922.37450980392134</v>
      </c>
      <c r="I68" s="235" cm="1">
        <f t="array" aca="1" ref="I68" ca="1">INDIRECT(""&amp;$D68&amp;"!R"&amp;I$142&amp;"C"&amp;I$143,FALSE)</f>
        <v>234.72436666666658</v>
      </c>
      <c r="J68" s="99" cm="1">
        <f t="array" aca="1" ref="J68" ca="1">INDIRECT(""&amp;$D68&amp;"!R"&amp;J$142&amp;"C"&amp;J$143,FALSE)</f>
        <v>498.10835207282906</v>
      </c>
      <c r="K68" s="262">
        <f ca="1">$J68*(1+INDEX(Methodology!$B$26:$E$31,MATCH($F68,Methodology!$B$26:$B$31,0),MATCH(L$5,Methodology!$B$26:$E$26,0)))</f>
        <v>523.01376967647059</v>
      </c>
      <c r="L68" s="261">
        <f ca="1">$H68*(1+INDEX(Methodology!$B$26:$E$31,MATCH($F68,Methodology!$B$26:$B$31,0),MATCH(L$5,Methodology!$B$26:$E$26,0)))</f>
        <v>968.49323529411743</v>
      </c>
      <c r="M68" s="234" cm="1">
        <f t="array" aca="1" ref="M68" ca="1">INDIRECT(""&amp;$D68&amp;"!R"&amp;M$142&amp;"C"&amp;M$143,FALSE)</f>
        <v>1.689694683908046</v>
      </c>
      <c r="N68" s="234" cm="1">
        <f t="array" aca="1" ref="N68" ca="1">INDIRECT(""&amp;$D68&amp;"!R"&amp;N$142&amp;"C"&amp;N$143,FALSE)</f>
        <v>0.39582523889825749</v>
      </c>
      <c r="O68" s="231" cm="1">
        <f t="array" aca="1" ref="O68" ca="1">INDIRECT(""&amp;$D68&amp;"!R"&amp;O$142&amp;"C"&amp;O$143,FALSE)</f>
        <v>0.97781277704867176</v>
      </c>
      <c r="P68" s="265">
        <f ca="1">$O68*(1+INDEX(Methodology!$B$26:$E$31,MATCH($F68,Methodology!$B$26:$B$31,0),MATCH(Q$5,Methodology!$B$26:$E$26,0)))</f>
        <v>1.0267034159011055</v>
      </c>
      <c r="Q68" s="266">
        <f ca="1">$M68*(1+INDEX(Methodology!$B$26:$E$31,MATCH($F68,Methodology!$B$26:$B$31,0),MATCH(Q$5,Methodology!$B$26:$E$26,0)))</f>
        <v>1.7741794181034485</v>
      </c>
      <c r="R68" s="199"/>
      <c r="S68" s="60" cm="1">
        <f t="array" aca="1" ref="S68" ca="1">INDIRECT(""&amp;$D68&amp;"!R"&amp;S$142&amp;"C"&amp;S$143,FALSE)</f>
        <v>920.72156862745078</v>
      </c>
      <c r="T68" s="61" cm="1">
        <f t="array" aca="1" ref="T68" ca="1">INDIRECT(""&amp;$D68&amp;"!R"&amp;T$142&amp;"C"&amp;T$143,FALSE)</f>
        <v>840.86198027036903</v>
      </c>
      <c r="U68" s="265">
        <f ca="1">$T68*(1+INDEX(Methodology!$B$26:$E$31,MATCH($F68,Methodology!$B$26:$B$31,0),MATCH(V$5,Methodology!$B$26:$E$26,0)))</f>
        <v>882.90507928388752</v>
      </c>
      <c r="V68" s="261">
        <f ca="1">$S68*(1+INDEX(Methodology!$B$26:$E$31,MATCH($F68,Methodology!$B$26:$B$31,0),MATCH(V$5,Methodology!$B$26:$E$26,0)))</f>
        <v>966.75764705882341</v>
      </c>
      <c r="W68" s="63" cm="1">
        <f t="array" aca="1" ref="W68" ca="1">INDIRECT(""&amp;$D68&amp;"!R"&amp;W$142&amp;"C"&amp;W$143,FALSE)</f>
        <v>1.6866666666666668</v>
      </c>
      <c r="X68" s="62" cm="1">
        <f t="array" aca="1" ref="X68" ca="1">INDIRECT(""&amp;$D68&amp;"!R"&amp;X$142&amp;"C"&amp;X$143,FALSE)</f>
        <v>1.6412238255075566</v>
      </c>
      <c r="Y68" s="265">
        <f ca="1">$X68*(1+INDEX(Methodology!$B$26:$E$31,MATCH($F68,Methodology!$B$26:$B$31,0),MATCH(Z$5,Methodology!$B$26:$E$26,0)))</f>
        <v>1.7232850167829346</v>
      </c>
      <c r="Z68" s="261">
        <f t="shared" ca="1" si="3"/>
        <v>1.6866666666666668</v>
      </c>
      <c r="AA68" s="199"/>
      <c r="AB68" s="10">
        <f t="shared" ca="1" si="4"/>
        <v>509.41076222819203</v>
      </c>
      <c r="AC68" s="190" t="str">
        <f t="shared" ca="1" si="5"/>
        <v>kg/m³</v>
      </c>
      <c r="AD68" s="213" t="str" cm="1">
        <f t="array" aca="1" ref="AD68" ca="1">IF(INDIRECT(""&amp;$D68&amp;"!R"&amp;AD$142&amp;"C"&amp;AD$143,FALSE)=0,"",INDIRECT(""&amp;$D68&amp;"!R"&amp;AD$142&amp;"C"&amp;AD$143,FALSE))</f>
        <v/>
      </c>
      <c r="AE68" s="214" t="str" cm="1">
        <f t="array" aca="1" ref="AE68" ca="1">IFERROR(IF(INDIRECT(""&amp;$D68&amp;"!R"&amp;AE$142&amp;"C"&amp;AE$143,FALSE)="Average (weighted)","Yes","No"),"")</f>
        <v>Yes</v>
      </c>
      <c r="AF68" s="96"/>
    </row>
    <row r="69" spans="1:32" ht="45" customHeight="1" x14ac:dyDescent="0.25">
      <c r="A69" s="66" t="s">
        <v>3965</v>
      </c>
      <c r="B69" s="69" t="s">
        <v>3499</v>
      </c>
      <c r="C69" s="193" t="str" cm="1">
        <f t="array" aca="1" ref="C69" ca="1">INDIRECT(""&amp;$D69&amp;"!R"&amp;C$142&amp;"C"&amp;C$143,FALSE)</f>
        <v xml:space="preserve">Particleboard including walling and flooring applications </v>
      </c>
      <c r="D69" s="66" t="s">
        <v>3937</v>
      </c>
      <c r="E69" s="7" t="str" cm="1">
        <f t="array" aca="1" ref="E69" ca="1">INDIRECT(""&amp;$D69&amp;"!R"&amp;E$142&amp;"C"&amp;E$143,FALSE)</f>
        <v>m³</v>
      </c>
      <c r="F69" s="7" t="str" cm="1">
        <f t="array" aca="1" ref="F69" ca="1">INDIRECT(""&amp;$D69&amp;"!R"&amp;F$142&amp;"C"&amp;F$143,FALSE)</f>
        <v>Tier 2</v>
      </c>
      <c r="G69" s="188">
        <f ca="1">INDEX(Methodology!$B$26:$D$31,MATCH('EF Table_detail'!$F69,Methodology!$B$26:$B$31,0),MATCH('EF Table_detail'!$G$5,Methodology!$B$26:$D$26,0))</f>
        <v>1.05</v>
      </c>
      <c r="H69" s="237" cm="1">
        <f t="array" aca="1" ref="H69" ca="1">INDIRECT(""&amp;$D69&amp;"!R"&amp;H$142&amp;"C"&amp;H$143,FALSE)</f>
        <v>838.40526315789725</v>
      </c>
      <c r="I69" s="235" cm="1">
        <f t="array" aca="1" ref="I69" ca="1">INDIRECT(""&amp;$D69&amp;"!R"&amp;I$142&amp;"C"&amp;I$143,FALSE)</f>
        <v>322.23199999999997</v>
      </c>
      <c r="J69" s="99" cm="1">
        <f t="array" aca="1" ref="J69" ca="1">INDIRECT(""&amp;$D69&amp;"!R"&amp;J$142&amp;"C"&amp;J$143,FALSE)</f>
        <v>650.4555120047271</v>
      </c>
      <c r="K69" s="262">
        <f ca="1">$J69*(1+INDEX(Methodology!$B$26:$E$31,MATCH($F69,Methodology!$B$26:$B$31,0),MATCH(L$5,Methodology!$B$26:$E$26,0)))</f>
        <v>682.9782876049635</v>
      </c>
      <c r="L69" s="261">
        <f ca="1">$H69*(1+INDEX(Methodology!$B$26:$E$31,MATCH($F69,Methodology!$B$26:$B$31,0),MATCH(L$5,Methodology!$B$26:$E$26,0)))</f>
        <v>880.3255263157921</v>
      </c>
      <c r="M69" s="234" cm="1">
        <f t="array" aca="1" ref="M69" ca="1">INDIRECT(""&amp;$D69&amp;"!R"&amp;M$142&amp;"C"&amp;M$143,FALSE)</f>
        <v>1.1713014705882387</v>
      </c>
      <c r="N69" s="234" cm="1">
        <f t="array" aca="1" ref="N69" ca="1">INDIRECT(""&amp;$D69&amp;"!R"&amp;N$142&amp;"C"&amp;N$143,FALSE)</f>
        <v>0.48823030303030324</v>
      </c>
      <c r="O69" s="231" cm="1">
        <f t="array" aca="1" ref="O69" ca="1">INDIRECT(""&amp;$D69&amp;"!R"&amp;O$142&amp;"C"&amp;O$143,FALSE)</f>
        <v>0.91538767270543819</v>
      </c>
      <c r="P69" s="265">
        <f ca="1">$O69*(1+INDEX(Methodology!$B$26:$E$31,MATCH($F69,Methodology!$B$26:$B$31,0),MATCH(Q$5,Methodology!$B$26:$E$26,0)))</f>
        <v>0.96115705634071014</v>
      </c>
      <c r="Q69" s="266">
        <f ca="1">$M69*(1+INDEX(Methodology!$B$26:$E$31,MATCH($F69,Methodology!$B$26:$B$31,0),MATCH(Q$5,Methodology!$B$26:$E$26,0)))</f>
        <v>1.2298665441176508</v>
      </c>
      <c r="R69" s="199"/>
      <c r="S69" s="60" cm="1">
        <f t="array" aca="1" ref="S69" ca="1">INDIRECT(""&amp;$D69&amp;"!R"&amp;S$142&amp;"C"&amp;S$143,FALSE)</f>
        <v>1181.05263157895</v>
      </c>
      <c r="T69" s="61" cm="1">
        <f t="array" aca="1" ref="T69" ca="1">INDIRECT(""&amp;$D69&amp;"!R"&amp;T$142&amp;"C"&amp;T$143,FALSE)</f>
        <v>1138.6264018306642</v>
      </c>
      <c r="U69" s="265">
        <f ca="1">$T69*(1+INDEX(Methodology!$B$26:$E$31,MATCH($F69,Methodology!$B$26:$B$31,0),MATCH(V$5,Methodology!$B$26:$E$26,0)))</f>
        <v>1195.5577219221975</v>
      </c>
      <c r="V69" s="261">
        <f ca="1">$S69*(1+INDEX(Methodology!$B$26:$E$31,MATCH($F69,Methodology!$B$26:$B$31,0),MATCH(V$5,Methodology!$B$26:$E$26,0)))</f>
        <v>1240.1052631578975</v>
      </c>
      <c r="W69" s="63" cm="1">
        <f t="array" aca="1" ref="W69" ca="1">INDIRECT(""&amp;$D69&amp;"!R"&amp;W$142&amp;"C"&amp;W$143,FALSE)</f>
        <v>1.6500000000000037</v>
      </c>
      <c r="X69" s="62" cm="1">
        <f t="array" aca="1" ref="X69" ca="1">INDIRECT(""&amp;$D69&amp;"!R"&amp;X$142&amp;"C"&amp;X$143,FALSE)</f>
        <v>1.6195940801364037</v>
      </c>
      <c r="Y69" s="265">
        <f ca="1">$X69*(1+INDEX(Methodology!$B$26:$E$31,MATCH($F69,Methodology!$B$26:$B$31,0),MATCH(Z$5,Methodology!$B$26:$E$26,0)))</f>
        <v>1.700573784143224</v>
      </c>
      <c r="Z69" s="261">
        <f t="shared" ca="1" si="3"/>
        <v>1.6500000000000037</v>
      </c>
      <c r="AA69" s="199"/>
      <c r="AB69" s="10">
        <f t="shared" ca="1" si="4"/>
        <v>710.57927848459963</v>
      </c>
      <c r="AC69" s="190" t="str">
        <f t="shared" ca="1" si="5"/>
        <v>kg/m³</v>
      </c>
      <c r="AD69" s="213" t="str" cm="1">
        <f t="array" aca="1" ref="AD69" ca="1">IF(INDIRECT(""&amp;$D69&amp;"!R"&amp;AD$142&amp;"C"&amp;AD$143,FALSE)=0,"",INDIRECT(""&amp;$D69&amp;"!R"&amp;AD$142&amp;"C"&amp;AD$143,FALSE))</f>
        <v/>
      </c>
      <c r="AE69" s="214" t="str" cm="1">
        <f t="array" aca="1" ref="AE69" ca="1">IFERROR(IF(INDIRECT(""&amp;$D69&amp;"!R"&amp;AE$142&amp;"C"&amp;AE$143,FALSE)="Average (weighted)","Yes","No"),"")</f>
        <v>Yes</v>
      </c>
      <c r="AF69" s="96"/>
    </row>
    <row r="70" spans="1:32" ht="45" customHeight="1" x14ac:dyDescent="0.25">
      <c r="A70" s="66" t="s">
        <v>2287</v>
      </c>
      <c r="B70" s="69" t="s">
        <v>2287</v>
      </c>
      <c r="C70" s="193" t="str" cm="1">
        <f t="array" aca="1" ref="C70" ca="1">INDIRECT(""&amp;$D70&amp;"!R"&amp;C$142&amp;"C"&amp;C$143,FALSE)</f>
        <v>Roller door (i.e. sectional door or garage door) including all elements steel, electrical drives etc.</v>
      </c>
      <c r="D70" s="66" t="s">
        <v>3968</v>
      </c>
      <c r="E70" s="7" t="str" cm="1">
        <f t="array" aca="1" ref="E70" ca="1">INDIRECT(""&amp;$D70&amp;"!R"&amp;E$142&amp;"C"&amp;E$143,FALSE)</f>
        <v>m²</v>
      </c>
      <c r="F70" s="7" t="str" cm="1">
        <f t="array" aca="1" ref="F70" ca="1">INDIRECT(""&amp;$D70&amp;"!R"&amp;F$142&amp;"C"&amp;F$143,FALSE)</f>
        <v>Tier 4</v>
      </c>
      <c r="G70" s="188">
        <f ca="1">INDEX(Methodology!$B$26:$D$31,MATCH('EF Table_detail'!$F70,Methodology!$B$26:$B$31,0),MATCH('EF Table_detail'!$G$5,Methodology!$B$26:$D$26,0))</f>
        <v>1.2</v>
      </c>
      <c r="H70" s="240" cm="1">
        <f t="array" aca="1" ref="H70" ca="1">INDIRECT(""&amp;$D70&amp;"!R"&amp;H$142&amp;"C"&amp;H$143,FALSE)</f>
        <v>110</v>
      </c>
      <c r="I70" s="238" cm="1">
        <f t="array" aca="1" ref="I70" ca="1">INDIRECT(""&amp;$D70&amp;"!R"&amp;I$142&amp;"C"&amp;I$143,FALSE)</f>
        <v>96.7</v>
      </c>
      <c r="J70" s="239" cm="1">
        <f t="array" aca="1" ref="J70" ca="1">INDIRECT(""&amp;$D70&amp;"!R"&amp;J$142&amp;"C"&amp;J$143,FALSE)</f>
        <v>103.35</v>
      </c>
      <c r="K70" s="262">
        <f ca="1">$J70*(1+INDEX(Methodology!$B$26:$E$31,MATCH($F70,Methodology!$B$26:$B$31,0),MATCH(L$5,Methodology!$B$26:$E$26,0)))</f>
        <v>124.01999999999998</v>
      </c>
      <c r="L70" s="261">
        <f ca="1">$H70*(1+INDEX(Methodology!$B$26:$E$31,MATCH($F70,Methodology!$B$26:$B$31,0),MATCH(L$5,Methodology!$B$26:$E$26,0)))</f>
        <v>132</v>
      </c>
      <c r="M70" s="234" cm="1">
        <f t="array" aca="1" ref="M70" ca="1">INDIRECT(""&amp;$D70&amp;"!R"&amp;M$142&amp;"C"&amp;M$143,FALSE)</f>
        <v>4.7222460719498578</v>
      </c>
      <c r="N70" s="234" cm="1">
        <f t="array" aca="1" ref="N70" ca="1">INDIRECT(""&amp;$D70&amp;"!R"&amp;N$142&amp;"C"&amp;N$143,FALSE)</f>
        <v>3.2565501448103995</v>
      </c>
      <c r="O70" s="231" cm="1">
        <f t="array" aca="1" ref="O70" ca="1">INDIRECT(""&amp;$D70&amp;"!R"&amp;O$142&amp;"C"&amp;O$143,FALSE)</f>
        <v>3.9893981083801284</v>
      </c>
      <c r="P70" s="265">
        <f ca="1">$O70*(1+INDEX(Methodology!$B$26:$E$31,MATCH($F70,Methodology!$B$26:$B$31,0),MATCH(Q$5,Methodology!$B$26:$E$26,0)))</f>
        <v>4.7872777300561538</v>
      </c>
      <c r="Q70" s="266">
        <f ca="1">$M70*(1+INDEX(Methodology!$B$26:$E$31,MATCH($F70,Methodology!$B$26:$B$31,0),MATCH(Q$5,Methodology!$B$26:$E$26,0)))</f>
        <v>5.666695286339829</v>
      </c>
      <c r="R70" s="199"/>
      <c r="S70" s="63" cm="1">
        <f t="array" aca="1" ref="S70" ca="1">INDIRECT(""&amp;$D70&amp;"!R"&amp;S$142&amp;"C"&amp;S$143,FALSE)</f>
        <v>0</v>
      </c>
      <c r="T70" s="62" cm="1">
        <f t="array" aca="1" ref="T70" ca="1">INDIRECT(""&amp;$D70&amp;"!R"&amp;T$142&amp;"C"&amp;T$143,FALSE)</f>
        <v>0</v>
      </c>
      <c r="U70" s="265">
        <f ca="1">$T70*(1+INDEX(Methodology!$B$26:$E$31,MATCH($F70,Methodology!$B$26:$B$31,0),MATCH(V$5,Methodology!$B$26:$E$26,0)))</f>
        <v>0</v>
      </c>
      <c r="V70" s="261">
        <f ca="1">$S70*(1+INDEX(Methodology!$B$26:$E$31,MATCH($F70,Methodology!$B$26:$B$31,0),MATCH(V$5,Methodology!$B$26:$E$26,0)))</f>
        <v>0</v>
      </c>
      <c r="W70" s="63" cm="1">
        <f t="array" aca="1" ref="W70" ca="1">INDIRECT(""&amp;$D70&amp;"!R"&amp;W$142&amp;"C"&amp;W$143,FALSE)</f>
        <v>0</v>
      </c>
      <c r="X70" s="62" cm="1">
        <f t="array" aca="1" ref="X70" ca="1">INDIRECT(""&amp;$D70&amp;"!R"&amp;X$142&amp;"C"&amp;X$143,FALSE)</f>
        <v>0</v>
      </c>
      <c r="Y70" s="265">
        <f ca="1">$X70*(1+INDEX(Methodology!$B$26:$E$31,MATCH($F70,Methodology!$B$26:$B$31,0),MATCH(Z$5,Methodology!$B$26:$E$26,0)))</f>
        <v>0</v>
      </c>
      <c r="Z70" s="261">
        <f t="shared" ca="1" si="3"/>
        <v>0</v>
      </c>
      <c r="AA70" s="199"/>
      <c r="AB70" s="10">
        <f t="shared" ca="1" si="4"/>
        <v>25.906163584652788</v>
      </c>
      <c r="AC70" s="190" t="str">
        <f t="shared" ca="1" si="5"/>
        <v>kg/m²</v>
      </c>
      <c r="AD70" s="213" t="str" cm="1">
        <f t="array" aca="1" ref="AD70" ca="1">IF(INDIRECT(""&amp;$D70&amp;"!R"&amp;AD$142&amp;"C"&amp;AD$143,FALSE)=0,"",INDIRECT(""&amp;$D70&amp;"!R"&amp;AD$142&amp;"C"&amp;AD$143,FALSE))</f>
        <v xml:space="preserve">Important to consider board thickness. Recommended to use kg CO2e/kg EF when thickness and mass is known. </v>
      </c>
      <c r="AE70" s="214" t="str" cm="1">
        <f t="array" aca="1" ref="AE70" ca="1">IFERROR(IF(INDIRECT(""&amp;$D70&amp;"!R"&amp;AE$142&amp;"C"&amp;AE$143,FALSE)="Average (weighted)","Yes","No"),"")</f>
        <v>No</v>
      </c>
      <c r="AF70" s="96"/>
    </row>
    <row r="71" spans="1:32" ht="45" customHeight="1" x14ac:dyDescent="0.25">
      <c r="A71" s="66" t="s">
        <v>3969</v>
      </c>
      <c r="B71" s="69" t="s">
        <v>3970</v>
      </c>
      <c r="C71" s="193" t="str" cm="1">
        <f t="array" aca="1" ref="C71" ca="1">INDIRECT(""&amp;$D71&amp;"!R"&amp;C$142&amp;"C"&amp;C$143,FALSE)</f>
        <v xml:space="preserve">Extruded aluminium for use in construction. </v>
      </c>
      <c r="D71" s="7" t="s">
        <v>3971</v>
      </c>
      <c r="E71" s="7" t="str" cm="1">
        <f t="array" aca="1" ref="E71" ca="1">INDIRECT(""&amp;$D71&amp;"!R"&amp;E$142&amp;"C"&amp;E$143,FALSE)</f>
        <v>tonne</v>
      </c>
      <c r="F71" s="7" t="str" cm="1">
        <f t="array" aca="1" ref="F71" ca="1">INDIRECT(""&amp;$D71&amp;"!R"&amp;F$142&amp;"C"&amp;F$143,FALSE)</f>
        <v>Tier 2</v>
      </c>
      <c r="G71" s="188">
        <f ca="1">INDEX(Methodology!$B$26:$D$31,MATCH('EF Table_detail'!$F71,Methodology!$B$26:$B$31,0),MATCH('EF Table_detail'!$G$5,Methodology!$B$26:$D$26,0))</f>
        <v>1.05</v>
      </c>
      <c r="H71" s="237" cm="1">
        <f t="array" aca="1" ref="H71" ca="1">INDIRECT(""&amp;$D71&amp;"!R"&amp;H$142&amp;"C"&amp;H$143,FALSE)</f>
        <v>28800</v>
      </c>
      <c r="I71" s="235" cm="1">
        <f t="array" aca="1" ref="I71" ca="1">INDIRECT(""&amp;$D71&amp;"!R"&amp;I$142&amp;"C"&amp;I$143,FALSE)</f>
        <v>3494.15</v>
      </c>
      <c r="J71" s="99" cm="1">
        <f t="array" aca="1" ref="J71" ca="1">INDIRECT(""&amp;$D71&amp;"!R"&amp;J$142&amp;"C"&amp;J$143,FALSE)</f>
        <v>17399.67766304348</v>
      </c>
      <c r="K71" s="262">
        <f ca="1">$J71*(1+INDEX(Methodology!$B$26:$E$31,MATCH($F71,Methodology!$B$26:$B$31,0),MATCH(L$5,Methodology!$B$26:$E$26,0)))</f>
        <v>18269.661546195654</v>
      </c>
      <c r="L71" s="261">
        <f ca="1">$H71*(1+INDEX(Methodology!$B$26:$E$31,MATCH($F71,Methodology!$B$26:$B$31,0),MATCH(L$5,Methodology!$B$26:$E$26,0)))</f>
        <v>30240</v>
      </c>
      <c r="M71" s="234" cm="1">
        <f t="array" aca="1" ref="M71" ca="1">INDIRECT(""&amp;$D71&amp;"!R"&amp;M$142&amp;"C"&amp;M$143,FALSE)</f>
        <v>28.8</v>
      </c>
      <c r="N71" s="234" cm="1">
        <f t="array" aca="1" ref="N71" ca="1">INDIRECT(""&amp;$D71&amp;"!R"&amp;N$142&amp;"C"&amp;N$143,FALSE)</f>
        <v>3.4941500000000003</v>
      </c>
      <c r="O71" s="231" cm="1">
        <f t="array" aca="1" ref="O71" ca="1">INDIRECT(""&amp;$D71&amp;"!R"&amp;O$142&amp;"C"&amp;O$143,FALSE)</f>
        <v>17.399677663043477</v>
      </c>
      <c r="P71" s="265">
        <f ca="1">$O71*(1+INDEX(Methodology!$B$26:$E$31,MATCH($F71,Methodology!$B$26:$B$31,0),MATCH(Q$5,Methodology!$B$26:$E$26,0)))</f>
        <v>18.26966154619565</v>
      </c>
      <c r="Q71" s="266">
        <f ca="1">$M71*(1+INDEX(Methodology!$B$26:$E$31,MATCH($F71,Methodology!$B$26:$B$31,0),MATCH(Q$5,Methodology!$B$26:$E$26,0)))</f>
        <v>30.240000000000002</v>
      </c>
      <c r="R71" s="199"/>
      <c r="S71" s="63" cm="1">
        <f t="array" aca="1" ref="S71" ca="1">INDIRECT(""&amp;$D71&amp;"!R"&amp;S$142&amp;"C"&amp;S$143,FALSE)</f>
        <v>0</v>
      </c>
      <c r="T71" s="62" cm="1">
        <f t="array" aca="1" ref="T71" ca="1">INDIRECT(""&amp;$D71&amp;"!R"&amp;T$142&amp;"C"&amp;T$143,FALSE)</f>
        <v>0</v>
      </c>
      <c r="U71" s="265">
        <f ca="1">$T71*(1+INDEX(Methodology!$B$26:$E$31,MATCH($F71,Methodology!$B$26:$B$31,0),MATCH(V$5,Methodology!$B$26:$E$26,0)))</f>
        <v>0</v>
      </c>
      <c r="V71" s="261">
        <f ca="1">$S71*(1+INDEX(Methodology!$B$26:$E$31,MATCH($F71,Methodology!$B$26:$B$31,0),MATCH(V$5,Methodology!$B$26:$E$26,0)))</f>
        <v>0</v>
      </c>
      <c r="W71" s="63" cm="1">
        <f t="array" aca="1" ref="W71" ca="1">INDIRECT(""&amp;$D71&amp;"!R"&amp;W$142&amp;"C"&amp;W$143,FALSE)</f>
        <v>0</v>
      </c>
      <c r="X71" s="62" cm="1">
        <f t="array" aca="1" ref="X71" ca="1">INDIRECT(""&amp;$D71&amp;"!R"&amp;X$142&amp;"C"&amp;X$143,FALSE)</f>
        <v>0</v>
      </c>
      <c r="Y71" s="265">
        <f ca="1">$X71*(1+INDEX(Methodology!$B$26:$E$31,MATCH($F71,Methodology!$B$26:$B$31,0),MATCH(Z$5,Methodology!$B$26:$E$26,0)))</f>
        <v>0</v>
      </c>
      <c r="Z71" s="261">
        <f t="shared" ref="Z71:Z104" ca="1" si="6">W71</f>
        <v>0</v>
      </c>
      <c r="AA71" s="199"/>
      <c r="AB71" s="10">
        <f t="shared" ref="AB71:AB104" ca="1" si="7">IFERROR(J71/O71,"")</f>
        <v>1000.0000000000002</v>
      </c>
      <c r="AC71" s="190" t="str">
        <f t="shared" ref="AC71:AC95" ca="1" si="8">"kg/"&amp;E71</f>
        <v>kg/tonne</v>
      </c>
      <c r="AD71" s="213" t="str" cm="1">
        <f t="array" aca="1" ref="AD71" ca="1">IF(INDIRECT(""&amp;$D71&amp;"!R"&amp;AD$142&amp;"C"&amp;AD$143,FALSE)=0,"",INDIRECT(""&amp;$D71&amp;"!R"&amp;AD$142&amp;"C"&amp;AD$143,FALSE))</f>
        <v/>
      </c>
      <c r="AE71" s="214" t="str" cm="1">
        <f t="array" aca="1" ref="AE71" ca="1">IFERROR(IF(INDIRECT(""&amp;$D71&amp;"!R"&amp;AE$142&amp;"C"&amp;AE$143,FALSE)="Average (weighted)","Yes","No"),"")</f>
        <v>Yes</v>
      </c>
      <c r="AF71" s="96"/>
    </row>
    <row r="72" spans="1:32" ht="45" customHeight="1" x14ac:dyDescent="0.25">
      <c r="A72" s="66" t="s">
        <v>3969</v>
      </c>
      <c r="B72" s="69" t="s">
        <v>3972</v>
      </c>
      <c r="C72" s="193" t="str" cm="1">
        <f t="array" aca="1" ref="C72" ca="1">INDIRECT(""&amp;$D72&amp;"!R"&amp;C$142&amp;"C"&amp;C$143,FALSE)</f>
        <v>Steel (upainted, not galvanized) used for structural purposes that has undergone cold-rolled steel production route. Including purlins, girts, stick frames, wall framing, merchant bar.</v>
      </c>
      <c r="D72" s="2" t="s">
        <v>3912</v>
      </c>
      <c r="E72" s="7" t="str" cm="1">
        <f t="array" aca="1" ref="E72" ca="1">INDIRECT(""&amp;$D72&amp;"!R"&amp;E$142&amp;"C"&amp;E$143,FALSE)</f>
        <v>tonne</v>
      </c>
      <c r="F72" s="7" t="str" cm="1">
        <f t="array" aca="1" ref="F72" ca="1">INDIRECT(""&amp;$D72&amp;"!R"&amp;F$142&amp;"C"&amp;F$143,FALSE)</f>
        <v>Tier 2</v>
      </c>
      <c r="G72" s="188">
        <f ca="1">INDEX(Methodology!$B$26:$D$31,MATCH('EF Table_detail'!$F72,Methodology!$B$26:$B$31,0),MATCH('EF Table_detail'!$G$5,Methodology!$B$26:$D$26,0))</f>
        <v>1.05</v>
      </c>
      <c r="H72" s="237" cm="1">
        <f t="array" aca="1" ref="H72" ca="1">INDIRECT(""&amp;$D72&amp;"!R"&amp;H$142&amp;"C"&amp;H$143,FALSE)</f>
        <v>3860</v>
      </c>
      <c r="I72" s="235" cm="1">
        <f t="array" aca="1" ref="I72" ca="1">INDIRECT(""&amp;$D72&amp;"!R"&amp;I$142&amp;"C"&amp;I$143,FALSE)</f>
        <v>1240</v>
      </c>
      <c r="J72" s="99" cm="1">
        <f t="array" aca="1" ref="J72" ca="1">INDIRECT(""&amp;$D72&amp;"!R"&amp;J$142&amp;"C"&amp;J$143,FALSE)</f>
        <v>2432.4630047525652</v>
      </c>
      <c r="K72" s="262">
        <f ca="1">$J72*(1+INDEX(Methodology!$B$26:$E$31,MATCH($F72,Methodology!$B$26:$B$31,0),MATCH(L$5,Methodology!$B$26:$E$26,0)))</f>
        <v>2554.0861549901938</v>
      </c>
      <c r="L72" s="261">
        <f ca="1">$H72*(1+INDEX(Methodology!$B$26:$E$31,MATCH($F72,Methodology!$B$26:$B$31,0),MATCH(L$5,Methodology!$B$26:$E$26,0)))</f>
        <v>4053</v>
      </c>
      <c r="M72" s="234" cm="1">
        <f t="array" aca="1" ref="M72" ca="1">INDIRECT(""&amp;$D72&amp;"!R"&amp;M$142&amp;"C"&amp;M$143,FALSE)</f>
        <v>3.86</v>
      </c>
      <c r="N72" s="234" cm="1">
        <f t="array" aca="1" ref="N72" ca="1">INDIRECT(""&amp;$D72&amp;"!R"&amp;N$142&amp;"C"&amp;N$143,FALSE)</f>
        <v>1.24</v>
      </c>
      <c r="O72" s="231" cm="1">
        <f t="array" aca="1" ref="O72" ca="1">INDIRECT(""&amp;$D72&amp;"!R"&amp;O$142&amp;"C"&amp;O$143,FALSE)</f>
        <v>2.4324630047525653</v>
      </c>
      <c r="P72" s="265">
        <f ca="1">$O72*(1+INDEX(Methodology!$B$26:$E$31,MATCH($F72,Methodology!$B$26:$B$31,0),MATCH(Q$5,Methodology!$B$26:$E$26,0)))</f>
        <v>2.5540861549901934</v>
      </c>
      <c r="Q72" s="266">
        <f ca="1">$M72*(1+INDEX(Methodology!$B$26:$E$31,MATCH($F72,Methodology!$B$26:$B$31,0),MATCH(Q$5,Methodology!$B$26:$E$26,0)))</f>
        <v>4.0529999999999999</v>
      </c>
      <c r="R72" s="199"/>
      <c r="S72" s="63" cm="1">
        <f t="array" aca="1" ref="S72" ca="1">INDIRECT(""&amp;$D72&amp;"!R"&amp;S$142&amp;"C"&amp;S$143,FALSE)</f>
        <v>0</v>
      </c>
      <c r="T72" s="62" cm="1">
        <f t="array" aca="1" ref="T72" ca="1">INDIRECT(""&amp;$D72&amp;"!R"&amp;T$142&amp;"C"&amp;T$143,FALSE)</f>
        <v>0</v>
      </c>
      <c r="U72" s="265">
        <f ca="1">$T72*(1+INDEX(Methodology!$B$26:$E$31,MATCH($F72,Methodology!$B$26:$B$31,0),MATCH(V$5,Methodology!$B$26:$E$26,0)))</f>
        <v>0</v>
      </c>
      <c r="V72" s="261">
        <f ca="1">$S72*(1+INDEX(Methodology!$B$26:$E$31,MATCH($F72,Methodology!$B$26:$B$31,0),MATCH(V$5,Methodology!$B$26:$E$26,0)))</f>
        <v>0</v>
      </c>
      <c r="W72" s="63" cm="1">
        <f t="array" aca="1" ref="W72" ca="1">INDIRECT(""&amp;$D72&amp;"!R"&amp;W$142&amp;"C"&amp;W$143,FALSE)</f>
        <v>0</v>
      </c>
      <c r="X72" s="62" cm="1">
        <f t="array" aca="1" ref="X72" ca="1">INDIRECT(""&amp;$D72&amp;"!R"&amp;X$142&amp;"C"&amp;X$143,FALSE)</f>
        <v>0</v>
      </c>
      <c r="Y72" s="265">
        <f ca="1">$X72*(1+INDEX(Methodology!$B$26:$E$31,MATCH($F72,Methodology!$B$26:$B$31,0),MATCH(Z$5,Methodology!$B$26:$E$26,0)))</f>
        <v>0</v>
      </c>
      <c r="Z72" s="261">
        <f t="shared" ca="1" si="6"/>
        <v>0</v>
      </c>
      <c r="AA72" s="199"/>
      <c r="AB72" s="10">
        <f t="shared" ca="1" si="7"/>
        <v>1000</v>
      </c>
      <c r="AC72" s="190" t="str">
        <f t="shared" ca="1" si="8"/>
        <v>kg/tonne</v>
      </c>
      <c r="AD72" s="213" t="str" cm="1">
        <f t="array" aca="1" ref="AD72" ca="1">IF(INDIRECT(""&amp;$D72&amp;"!R"&amp;AD$142&amp;"C"&amp;AD$143,FALSE)=0,"",INDIRECT(""&amp;$D72&amp;"!R"&amp;AD$142&amp;"C"&amp;AD$143,FALSE))</f>
        <v/>
      </c>
      <c r="AE72" s="214" t="str" cm="1">
        <f t="array" aca="1" ref="AE72" ca="1">IFERROR(IF(INDIRECT(""&amp;$D72&amp;"!R"&amp;AE$142&amp;"C"&amp;AE$143,FALSE)="Average (weighted)","Yes","No"),"")</f>
        <v>Yes</v>
      </c>
      <c r="AF72" s="96"/>
    </row>
    <row r="73" spans="1:32" ht="45" customHeight="1" x14ac:dyDescent="0.25">
      <c r="A73" s="66" t="s">
        <v>3973</v>
      </c>
      <c r="B73" s="69" t="s">
        <v>3974</v>
      </c>
      <c r="C73" s="193" t="str" cm="1">
        <f t="array" aca="1" ref="C73" ca="1">INDIRECT(""&amp;$D73&amp;"!R"&amp;C$142&amp;"C"&amp;C$143,FALSE)</f>
        <v>Extruded aluminium (powder coated) for use in construction</v>
      </c>
      <c r="D73" s="7" t="s">
        <v>3975</v>
      </c>
      <c r="E73" s="7" t="str" cm="1">
        <f t="array" aca="1" ref="E73" ca="1">INDIRECT(""&amp;$D73&amp;"!R"&amp;E$142&amp;"C"&amp;E$143,FALSE)</f>
        <v>tonne</v>
      </c>
      <c r="F73" s="7" t="str" cm="1">
        <f t="array" aca="1" ref="F73" ca="1">INDIRECT(""&amp;$D73&amp;"!R"&amp;F$142&amp;"C"&amp;F$143,FALSE)</f>
        <v>Tier 2</v>
      </c>
      <c r="G73" s="188">
        <f ca="1">INDEX(Methodology!$B$26:$D$31,MATCH('EF Table_detail'!$F73,Methodology!$B$26:$B$31,0),MATCH('EF Table_detail'!$G$5,Methodology!$B$26:$D$26,0))</f>
        <v>1.05</v>
      </c>
      <c r="H73" s="237" cm="1">
        <f t="array" aca="1" ref="H73" ca="1">INDIRECT(""&amp;$D73&amp;"!R"&amp;H$142&amp;"C"&amp;H$143,FALSE)</f>
        <v>30460</v>
      </c>
      <c r="I73" s="235" cm="1">
        <f t="array" aca="1" ref="I73" ca="1">INDIRECT(""&amp;$D73&amp;"!R"&amp;I$142&amp;"C"&amp;I$143,FALSE)</f>
        <v>5154.1500000000005</v>
      </c>
      <c r="J73" s="99" cm="1">
        <f t="array" aca="1" ref="J73" ca="1">INDIRECT(""&amp;$D73&amp;"!R"&amp;J$142&amp;"C"&amp;J$143,FALSE)</f>
        <v>18229.677663043476</v>
      </c>
      <c r="K73" s="262">
        <f ca="1">$J73*(1+INDEX(Methodology!$B$26:$E$31,MATCH($F73,Methodology!$B$26:$B$31,0),MATCH(L$5,Methodology!$B$26:$E$26,0)))</f>
        <v>19141.16154619565</v>
      </c>
      <c r="L73" s="261">
        <f ca="1">$H73*(1+INDEX(Methodology!$B$26:$E$31,MATCH($F73,Methodology!$B$26:$B$31,0),MATCH(L$5,Methodology!$B$26:$E$26,0)))</f>
        <v>31983</v>
      </c>
      <c r="M73" s="234" cm="1">
        <f t="array" aca="1" ref="M73" ca="1">INDIRECT(""&amp;$D73&amp;"!R"&amp;M$142&amp;"C"&amp;M$143,FALSE)</f>
        <v>30.46</v>
      </c>
      <c r="N73" s="234" cm="1">
        <f t="array" aca="1" ref="N73" ca="1">INDIRECT(""&amp;$D73&amp;"!R"&amp;N$142&amp;"C"&amp;N$143,FALSE)</f>
        <v>5.1541500000000005</v>
      </c>
      <c r="O73" s="231" cm="1">
        <f t="array" aca="1" ref="O73" ca="1">INDIRECT(""&amp;$D73&amp;"!R"&amp;O$142&amp;"C"&amp;O$143,FALSE)</f>
        <v>18.229677663043478</v>
      </c>
      <c r="P73" s="265">
        <f ca="1">$O73*(1+INDEX(Methodology!$B$26:$E$31,MATCH($F73,Methodology!$B$26:$B$31,0),MATCH(Q$5,Methodology!$B$26:$E$26,0)))</f>
        <v>19.141161546195654</v>
      </c>
      <c r="Q73" s="266">
        <f ca="1">$M73*(1+INDEX(Methodology!$B$26:$E$31,MATCH($F73,Methodology!$B$26:$B$31,0),MATCH(Q$5,Methodology!$B$26:$E$26,0)))</f>
        <v>31.983000000000001</v>
      </c>
      <c r="R73" s="199"/>
      <c r="S73" s="63" cm="1">
        <f t="array" aca="1" ref="S73" ca="1">INDIRECT(""&amp;$D73&amp;"!R"&amp;S$142&amp;"C"&amp;S$143,FALSE)</f>
        <v>0</v>
      </c>
      <c r="T73" s="62" cm="1">
        <f t="array" aca="1" ref="T73" ca="1">INDIRECT(""&amp;$D73&amp;"!R"&amp;T$142&amp;"C"&amp;T$143,FALSE)</f>
        <v>0</v>
      </c>
      <c r="U73" s="265">
        <f ca="1">$T73*(1+INDEX(Methodology!$B$26:$E$31,MATCH($F73,Methodology!$B$26:$B$31,0),MATCH(V$5,Methodology!$B$26:$E$26,0)))</f>
        <v>0</v>
      </c>
      <c r="V73" s="261">
        <f ca="1">$S73*(1+INDEX(Methodology!$B$26:$E$31,MATCH($F73,Methodology!$B$26:$B$31,0),MATCH(V$5,Methodology!$B$26:$E$26,0)))</f>
        <v>0</v>
      </c>
      <c r="W73" s="63" cm="1">
        <f t="array" aca="1" ref="W73" ca="1">INDIRECT(""&amp;$D73&amp;"!R"&amp;W$142&amp;"C"&amp;W$143,FALSE)</f>
        <v>0</v>
      </c>
      <c r="X73" s="62" cm="1">
        <f t="array" aca="1" ref="X73" ca="1">INDIRECT(""&amp;$D73&amp;"!R"&amp;X$142&amp;"C"&amp;X$143,FALSE)</f>
        <v>0</v>
      </c>
      <c r="Y73" s="265">
        <f ca="1">$X73*(1+INDEX(Methodology!$B$26:$E$31,MATCH($F73,Methodology!$B$26:$B$31,0),MATCH(Z$5,Methodology!$B$26:$E$26,0)))</f>
        <v>0</v>
      </c>
      <c r="Z73" s="261">
        <f t="shared" ca="1" si="6"/>
        <v>0</v>
      </c>
      <c r="AA73" s="199"/>
      <c r="AB73" s="10">
        <f t="shared" ca="1" si="7"/>
        <v>999.99999999999989</v>
      </c>
      <c r="AC73" s="190" t="str">
        <f t="shared" ca="1" si="8"/>
        <v>kg/tonne</v>
      </c>
      <c r="AD73" s="213" t="str" cm="1">
        <f t="array" aca="1" ref="AD73" ca="1">IF(INDIRECT(""&amp;$D73&amp;"!R"&amp;AD$142&amp;"C"&amp;AD$143,FALSE)=0,"",INDIRECT(""&amp;$D73&amp;"!R"&amp;AD$142&amp;"C"&amp;AD$143,FALSE))</f>
        <v>Using EFs determined in aluminium_extruded than multiplying by a factor for powder coating as determined using additional data. Note this material category is to act as a proxy for polyvinylidene fluoride coating (PVDF coating).</v>
      </c>
      <c r="AE73" s="214" t="str" cm="1">
        <f t="array" aca="1" ref="AE73" ca="1">IFERROR(IF(INDIRECT(""&amp;$D73&amp;"!R"&amp;AE$142&amp;"C"&amp;AE$143,FALSE)="Average (weighted)","Yes","No"),"")</f>
        <v>Yes</v>
      </c>
      <c r="AF73" s="96"/>
    </row>
    <row r="74" spans="1:32" ht="45" customHeight="1" x14ac:dyDescent="0.25">
      <c r="A74" s="66" t="s">
        <v>3976</v>
      </c>
      <c r="B74" s="69" t="s">
        <v>3977</v>
      </c>
      <c r="C74" s="193" t="str" cm="1">
        <f t="array" aca="1" ref="C74" ca="1">INDIRECT(""&amp;$D74&amp;"!R"&amp;C$142&amp;"C"&amp;C$143,FALSE)</f>
        <v>Extruded aluminium (powder coated) for use in construction</v>
      </c>
      <c r="D74" s="7" t="s">
        <v>3975</v>
      </c>
      <c r="E74" s="7" t="str" cm="1">
        <f t="array" aca="1" ref="E74" ca="1">INDIRECT(""&amp;$D74&amp;"!R"&amp;E$142&amp;"C"&amp;E$143,FALSE)</f>
        <v>tonne</v>
      </c>
      <c r="F74" s="7" t="str" cm="1">
        <f t="array" aca="1" ref="F74" ca="1">INDIRECT(""&amp;$D74&amp;"!R"&amp;F$142&amp;"C"&amp;F$143,FALSE)</f>
        <v>Tier 2</v>
      </c>
      <c r="G74" s="188">
        <f ca="1">INDEX(Methodology!$B$26:$D$31,MATCH('EF Table_detail'!$F74,Methodology!$B$26:$B$31,0),MATCH('EF Table_detail'!$G$5,Methodology!$B$26:$D$26,0))</f>
        <v>1.05</v>
      </c>
      <c r="H74" s="237" cm="1">
        <f t="array" aca="1" ref="H74" ca="1">INDIRECT(""&amp;$D74&amp;"!R"&amp;H$142&amp;"C"&amp;H$143,FALSE)</f>
        <v>30460</v>
      </c>
      <c r="I74" s="235" cm="1">
        <f t="array" aca="1" ref="I74" ca="1">INDIRECT(""&amp;$D74&amp;"!R"&amp;I$142&amp;"C"&amp;I$143,FALSE)</f>
        <v>5154.1500000000005</v>
      </c>
      <c r="J74" s="99" cm="1">
        <f t="array" aca="1" ref="J74" ca="1">INDIRECT(""&amp;$D74&amp;"!R"&amp;J$142&amp;"C"&amp;J$143,FALSE)</f>
        <v>18229.677663043476</v>
      </c>
      <c r="K74" s="262">
        <f ca="1">$J74*(1+INDEX(Methodology!$B$26:$E$31,MATCH($F74,Methodology!$B$26:$B$31,0),MATCH(L$5,Methodology!$B$26:$E$26,0)))</f>
        <v>19141.16154619565</v>
      </c>
      <c r="L74" s="261">
        <f ca="1">$H74*(1+INDEX(Methodology!$B$26:$E$31,MATCH($F74,Methodology!$B$26:$B$31,0),MATCH(L$5,Methodology!$B$26:$E$26,0)))</f>
        <v>31983</v>
      </c>
      <c r="M74" s="234" cm="1">
        <f t="array" aca="1" ref="M74" ca="1">INDIRECT(""&amp;$D74&amp;"!R"&amp;M$142&amp;"C"&amp;M$143,FALSE)</f>
        <v>30.46</v>
      </c>
      <c r="N74" s="234" cm="1">
        <f t="array" aca="1" ref="N74" ca="1">INDIRECT(""&amp;$D74&amp;"!R"&amp;N$142&amp;"C"&amp;N$143,FALSE)</f>
        <v>5.1541500000000005</v>
      </c>
      <c r="O74" s="231" cm="1">
        <f t="array" aca="1" ref="O74" ca="1">INDIRECT(""&amp;$D74&amp;"!R"&amp;O$142&amp;"C"&amp;O$143,FALSE)</f>
        <v>18.229677663043478</v>
      </c>
      <c r="P74" s="265">
        <f ca="1">$O74*(1+INDEX(Methodology!$B$26:$E$31,MATCH($F74,Methodology!$B$26:$B$31,0),MATCH(Q$5,Methodology!$B$26:$E$26,0)))</f>
        <v>19.141161546195654</v>
      </c>
      <c r="Q74" s="266">
        <f ca="1">$M74*(1+INDEX(Methodology!$B$26:$E$31,MATCH($F74,Methodology!$B$26:$B$31,0),MATCH(Q$5,Methodology!$B$26:$E$26,0)))</f>
        <v>31.983000000000001</v>
      </c>
      <c r="R74" s="199"/>
      <c r="S74" s="63" cm="1">
        <f t="array" aca="1" ref="S74" ca="1">INDIRECT(""&amp;$D74&amp;"!R"&amp;S$142&amp;"C"&amp;S$143,FALSE)</f>
        <v>0</v>
      </c>
      <c r="T74" s="62" cm="1">
        <f t="array" aca="1" ref="T74" ca="1">INDIRECT(""&amp;$D74&amp;"!R"&amp;T$142&amp;"C"&amp;T$143,FALSE)</f>
        <v>0</v>
      </c>
      <c r="U74" s="265">
        <f ca="1">$T74*(1+INDEX(Methodology!$B$26:$E$31,MATCH($F74,Methodology!$B$26:$B$31,0),MATCH(V$5,Methodology!$B$26:$E$26,0)))</f>
        <v>0</v>
      </c>
      <c r="V74" s="261">
        <f ca="1">$S74*(1+INDEX(Methodology!$B$26:$E$31,MATCH($F74,Methodology!$B$26:$B$31,0),MATCH(V$5,Methodology!$B$26:$E$26,0)))</f>
        <v>0</v>
      </c>
      <c r="W74" s="63" cm="1">
        <f t="array" aca="1" ref="W74" ca="1">INDIRECT(""&amp;$D74&amp;"!R"&amp;W$142&amp;"C"&amp;W$143,FALSE)</f>
        <v>0</v>
      </c>
      <c r="X74" s="62" cm="1">
        <f t="array" aca="1" ref="X74" ca="1">INDIRECT(""&amp;$D74&amp;"!R"&amp;X$142&amp;"C"&amp;X$143,FALSE)</f>
        <v>0</v>
      </c>
      <c r="Y74" s="265">
        <f ca="1">$X74*(1+INDEX(Methodology!$B$26:$E$31,MATCH($F74,Methodology!$B$26:$B$31,0),MATCH(Z$5,Methodology!$B$26:$E$26,0)))</f>
        <v>0</v>
      </c>
      <c r="Z74" s="261">
        <f t="shared" ca="1" si="6"/>
        <v>0</v>
      </c>
      <c r="AA74" s="199"/>
      <c r="AB74" s="10">
        <f t="shared" ca="1" si="7"/>
        <v>999.99999999999989</v>
      </c>
      <c r="AC74" s="190" t="str">
        <f t="shared" ca="1" si="8"/>
        <v>kg/tonne</v>
      </c>
      <c r="AD74" s="213" t="str" cm="1">
        <f t="array" aca="1" ref="AD74" ca="1">IF(INDIRECT(""&amp;$D74&amp;"!R"&amp;AD$142&amp;"C"&amp;AD$143,FALSE)=0,"",INDIRECT(""&amp;$D74&amp;"!R"&amp;AD$142&amp;"C"&amp;AD$143,FALSE))</f>
        <v>Using EFs determined in aluminium_extruded than multiplying by a factor for powder coating as determined using additional data. Note this material category is to act as a proxy for polyvinylidene fluoride coating (PVDF coating).</v>
      </c>
      <c r="AE74" s="214" t="str" cm="1">
        <f t="array" aca="1" ref="AE74" ca="1">IFERROR(IF(INDIRECT(""&amp;$D74&amp;"!R"&amp;AE$142&amp;"C"&amp;AE$143,FALSE)="Average (weighted)","Yes","No"),"")</f>
        <v>Yes</v>
      </c>
      <c r="AF74" s="96"/>
    </row>
    <row r="75" spans="1:32" ht="45" customHeight="1" x14ac:dyDescent="0.25">
      <c r="A75" s="66" t="s">
        <v>3976</v>
      </c>
      <c r="B75" s="69" t="s">
        <v>3978</v>
      </c>
      <c r="C75" s="193" t="str" cm="1">
        <f t="array" aca="1" ref="C75" ca="1">INDIRECT(""&amp;$D75&amp;"!R"&amp;C$142&amp;"C"&amp;C$143,FALSE)</f>
        <v>Steel (Painted) used for structural purposes that has undergone cold-rolled steel production route. Including purlins, girts, stick frames, wall framing, merchant bar.</v>
      </c>
      <c r="D75" s="2" t="s">
        <v>3926</v>
      </c>
      <c r="E75" s="7" t="str" cm="1">
        <f t="array" aca="1" ref="E75" ca="1">INDIRECT(""&amp;$D75&amp;"!R"&amp;E$142&amp;"C"&amp;E$143,FALSE)</f>
        <v>tonne</v>
      </c>
      <c r="F75" s="7" t="str" cm="1">
        <f t="array" aca="1" ref="F75" ca="1">INDIRECT(""&amp;$D75&amp;"!R"&amp;F$142&amp;"C"&amp;F$143,FALSE)</f>
        <v>Tier 2</v>
      </c>
      <c r="G75" s="188">
        <f ca="1">INDEX(Methodology!$B$26:$D$31,MATCH('EF Table_detail'!$F75,Methodology!$B$26:$B$31,0),MATCH('EF Table_detail'!$G$5,Methodology!$B$26:$D$26,0))</f>
        <v>1.05</v>
      </c>
      <c r="H75" s="237" cm="1">
        <f t="array" aca="1" ref="H75" ca="1">INDIRECT(""&amp;$D75&amp;"!R"&amp;H$142&amp;"C"&amp;H$143,FALSE)</f>
        <v>4294.4417892229712</v>
      </c>
      <c r="I75" s="235" cm="1">
        <f t="array" aca="1" ref="I75" ca="1">INDIRECT(""&amp;$D75&amp;"!R"&amp;I$142&amp;"C"&amp;I$143,FALSE)</f>
        <v>1240</v>
      </c>
      <c r="J75" s="99" cm="1">
        <f t="array" aca="1" ref="J75" ca="1">INDIRECT(""&amp;$D75&amp;"!R"&amp;J$142&amp;"C"&amp;J$143,FALSE)</f>
        <v>2706.2359529399719</v>
      </c>
      <c r="K75" s="262">
        <f ca="1">$J75*(1+INDEX(Methodology!$B$26:$E$31,MATCH($F75,Methodology!$B$26:$B$31,0),MATCH(L$5,Methodology!$B$26:$E$26,0)))</f>
        <v>2841.5477505869708</v>
      </c>
      <c r="L75" s="261">
        <f ca="1">$H75*(1+INDEX(Methodology!$B$26:$E$31,MATCH($F75,Methodology!$B$26:$B$31,0),MATCH(L$5,Methodology!$B$26:$E$26,0)))</f>
        <v>4509.1638786841204</v>
      </c>
      <c r="M75" s="234" cm="1">
        <f t="array" aca="1" ref="M75" ca="1">INDIRECT(""&amp;$D75&amp;"!R"&amp;M$142&amp;"C"&amp;M$143,FALSE)</f>
        <v>4.2944417892229714</v>
      </c>
      <c r="N75" s="234" cm="1">
        <f t="array" aca="1" ref="N75" ca="1">INDIRECT(""&amp;$D75&amp;"!R"&amp;N$142&amp;"C"&amp;N$143,FALSE)</f>
        <v>1.24</v>
      </c>
      <c r="O75" s="231" cm="1">
        <f t="array" aca="1" ref="O75" ca="1">INDIRECT(""&amp;$D75&amp;"!R"&amp;O$142&amp;"C"&amp;O$143,FALSE)</f>
        <v>2.7062359529399718</v>
      </c>
      <c r="P75" s="265">
        <f ca="1">$O75*(1+INDEX(Methodology!$B$26:$E$31,MATCH($F75,Methodology!$B$26:$B$31,0),MATCH(Q$5,Methodology!$B$26:$E$26,0)))</f>
        <v>2.8415477505869706</v>
      </c>
      <c r="Q75" s="266">
        <f ca="1">$M75*(1+INDEX(Methodology!$B$26:$E$31,MATCH($F75,Methodology!$B$26:$B$31,0),MATCH(Q$5,Methodology!$B$26:$E$26,0)))</f>
        <v>4.5091638786841202</v>
      </c>
      <c r="R75" s="199"/>
      <c r="S75" s="63" cm="1">
        <f t="array" aca="1" ref="S75" ca="1">INDIRECT(""&amp;$D75&amp;"!R"&amp;S$142&amp;"C"&amp;S$143,FALSE)</f>
        <v>0</v>
      </c>
      <c r="T75" s="62" cm="1">
        <f t="array" aca="1" ref="T75" ca="1">INDIRECT(""&amp;$D75&amp;"!R"&amp;T$142&amp;"C"&amp;T$143,FALSE)</f>
        <v>0</v>
      </c>
      <c r="U75" s="265">
        <f ca="1">$T75*(1+INDEX(Methodology!$B$26:$E$31,MATCH($F75,Methodology!$B$26:$B$31,0),MATCH(V$5,Methodology!$B$26:$E$26,0)))</f>
        <v>0</v>
      </c>
      <c r="V75" s="261">
        <f ca="1">$S75*(1+INDEX(Methodology!$B$26:$E$31,MATCH($F75,Methodology!$B$26:$B$31,0),MATCH(V$5,Methodology!$B$26:$E$26,0)))</f>
        <v>0</v>
      </c>
      <c r="W75" s="63" cm="1">
        <f t="array" aca="1" ref="W75" ca="1">INDIRECT(""&amp;$D75&amp;"!R"&amp;W$142&amp;"C"&amp;W$143,FALSE)</f>
        <v>0</v>
      </c>
      <c r="X75" s="62" cm="1">
        <f t="array" aca="1" ref="X75" ca="1">INDIRECT(""&amp;$D75&amp;"!R"&amp;X$142&amp;"C"&amp;X$143,FALSE)</f>
        <v>0</v>
      </c>
      <c r="Y75" s="265">
        <f ca="1">$X75*(1+INDEX(Methodology!$B$26:$E$31,MATCH($F75,Methodology!$B$26:$B$31,0),MATCH(Z$5,Methodology!$B$26:$E$26,0)))</f>
        <v>0</v>
      </c>
      <c r="Z75" s="261">
        <f t="shared" ca="1" si="6"/>
        <v>0</v>
      </c>
      <c r="AA75" s="199"/>
      <c r="AB75" s="10">
        <f t="shared" ca="1" si="7"/>
        <v>1000</v>
      </c>
      <c r="AC75" s="190" t="str">
        <f t="shared" ca="1" si="8"/>
        <v>kg/tonne</v>
      </c>
      <c r="AD75" s="213" t="str" cm="1">
        <f t="array" aca="1" ref="AD75" ca="1">IF(INDIRECT(""&amp;$D75&amp;"!R"&amp;AD$142&amp;"C"&amp;AD$143,FALSE)=0,"",INDIRECT(""&amp;$D75&amp;"!R"&amp;AD$142&amp;"C"&amp;AD$143,FALSE))</f>
        <v>Using emission factors determined in structural steel hot rolled then multiplying by a factor for painting as determined using data found in additional data</v>
      </c>
      <c r="AE75" s="214" t="str" cm="1">
        <f t="array" aca="1" ref="AE75" ca="1">IFERROR(IF(INDIRECT(""&amp;$D75&amp;"!R"&amp;AE$142&amp;"C"&amp;AE$143,FALSE)="Average (weighted)","Yes","No"),"")</f>
        <v>Yes</v>
      </c>
      <c r="AF75" s="96"/>
    </row>
    <row r="76" spans="1:32" ht="45" customHeight="1" x14ac:dyDescent="0.25">
      <c r="A76" s="7" t="s">
        <v>3979</v>
      </c>
      <c r="B76" s="69" t="s">
        <v>3980</v>
      </c>
      <c r="C76" s="193" t="str" cm="1">
        <f t="array" aca="1" ref="C76" ca="1">INDIRECT(""&amp;$D76&amp;"!R"&amp;C$142&amp;"C"&amp;C$143,FALSE)</f>
        <v>Steel (upainted, not galvanized) used for structural purposes that has undergone cold-rolled steel production route. Including purlins, girts, stick frames, wall framing, merchant bar.</v>
      </c>
      <c r="D76" s="2" t="s">
        <v>3912</v>
      </c>
      <c r="E76" s="7" t="str" cm="1">
        <f t="array" aca="1" ref="E76" ca="1">INDIRECT(""&amp;$D76&amp;"!R"&amp;E$142&amp;"C"&amp;E$143,FALSE)</f>
        <v>tonne</v>
      </c>
      <c r="F76" s="7" t="str" cm="1">
        <f t="array" aca="1" ref="F76" ca="1">INDIRECT(""&amp;$D76&amp;"!R"&amp;F$142&amp;"C"&amp;F$143,FALSE)</f>
        <v>Tier 2</v>
      </c>
      <c r="G76" s="188">
        <f ca="1">INDEX(Methodology!$B$26:$D$31,MATCH('EF Table_detail'!$F76,Methodology!$B$26:$B$31,0),MATCH('EF Table_detail'!$G$5,Methodology!$B$26:$D$26,0))</f>
        <v>1.05</v>
      </c>
      <c r="H76" s="237" cm="1">
        <f t="array" aca="1" ref="H76" ca="1">INDIRECT(""&amp;$D76&amp;"!R"&amp;H$142&amp;"C"&amp;H$143,FALSE)</f>
        <v>3860</v>
      </c>
      <c r="I76" s="235" cm="1">
        <f t="array" aca="1" ref="I76" ca="1">INDIRECT(""&amp;$D76&amp;"!R"&amp;I$142&amp;"C"&amp;I$143,FALSE)</f>
        <v>1240</v>
      </c>
      <c r="J76" s="99" cm="1">
        <f t="array" aca="1" ref="J76" ca="1">INDIRECT(""&amp;$D76&amp;"!R"&amp;J$142&amp;"C"&amp;J$143,FALSE)</f>
        <v>2432.4630047525652</v>
      </c>
      <c r="K76" s="262">
        <f ca="1">$J76*(1+INDEX(Methodology!$B$26:$E$31,MATCH($F76,Methodology!$B$26:$B$31,0),MATCH(L$5,Methodology!$B$26:$E$26,0)))</f>
        <v>2554.0861549901938</v>
      </c>
      <c r="L76" s="261">
        <f ca="1">$H76*(1+INDEX(Methodology!$B$26:$E$31,MATCH($F76,Methodology!$B$26:$B$31,0),MATCH(L$5,Methodology!$B$26:$E$26,0)))</f>
        <v>4053</v>
      </c>
      <c r="M76" s="234" cm="1">
        <f t="array" aca="1" ref="M76" ca="1">INDIRECT(""&amp;$D76&amp;"!R"&amp;M$142&amp;"C"&amp;M$143,FALSE)</f>
        <v>3.86</v>
      </c>
      <c r="N76" s="234" cm="1">
        <f t="array" aca="1" ref="N76" ca="1">INDIRECT(""&amp;$D76&amp;"!R"&amp;N$142&amp;"C"&amp;N$143,FALSE)</f>
        <v>1.24</v>
      </c>
      <c r="O76" s="231" cm="1">
        <f t="array" aca="1" ref="O76" ca="1">INDIRECT(""&amp;$D76&amp;"!R"&amp;O$142&amp;"C"&amp;O$143,FALSE)</f>
        <v>2.4324630047525653</v>
      </c>
      <c r="P76" s="265">
        <f ca="1">$O76*(1+INDEX(Methodology!$B$26:$E$31,MATCH($F76,Methodology!$B$26:$B$31,0),MATCH(Q$5,Methodology!$B$26:$E$26,0)))</f>
        <v>2.5540861549901934</v>
      </c>
      <c r="Q76" s="266">
        <f ca="1">$M76*(1+INDEX(Methodology!$B$26:$E$31,MATCH($F76,Methodology!$B$26:$B$31,0),MATCH(Q$5,Methodology!$B$26:$E$26,0)))</f>
        <v>4.0529999999999999</v>
      </c>
      <c r="R76" s="199"/>
      <c r="S76" s="63" cm="1">
        <f t="array" aca="1" ref="S76" ca="1">INDIRECT(""&amp;$D76&amp;"!R"&amp;S$142&amp;"C"&amp;S$143,FALSE)</f>
        <v>0</v>
      </c>
      <c r="T76" s="62" cm="1">
        <f t="array" aca="1" ref="T76" ca="1">INDIRECT(""&amp;$D76&amp;"!R"&amp;T$142&amp;"C"&amp;T$143,FALSE)</f>
        <v>0</v>
      </c>
      <c r="U76" s="265">
        <f ca="1">$T76*(1+INDEX(Methodology!$B$26:$E$31,MATCH($F76,Methodology!$B$26:$B$31,0),MATCH(V$5,Methodology!$B$26:$E$26,0)))</f>
        <v>0</v>
      </c>
      <c r="V76" s="261">
        <f ca="1">$S76*(1+INDEX(Methodology!$B$26:$E$31,MATCH($F76,Methodology!$B$26:$B$31,0),MATCH(V$5,Methodology!$B$26:$E$26,0)))</f>
        <v>0</v>
      </c>
      <c r="W76" s="63" cm="1">
        <f t="array" aca="1" ref="W76" ca="1">INDIRECT(""&amp;$D76&amp;"!R"&amp;W$142&amp;"C"&amp;W$143,FALSE)</f>
        <v>0</v>
      </c>
      <c r="X76" s="62" cm="1">
        <f t="array" aca="1" ref="X76" ca="1">INDIRECT(""&amp;$D76&amp;"!R"&amp;X$142&amp;"C"&amp;X$143,FALSE)</f>
        <v>0</v>
      </c>
      <c r="Y76" s="265">
        <f ca="1">$X76*(1+INDEX(Methodology!$B$26:$E$31,MATCH($F76,Methodology!$B$26:$B$31,0),MATCH(Z$5,Methodology!$B$26:$E$26,0)))</f>
        <v>0</v>
      </c>
      <c r="Z76" s="261">
        <f t="shared" ca="1" si="6"/>
        <v>0</v>
      </c>
      <c r="AA76" s="199"/>
      <c r="AB76" s="10">
        <f t="shared" ca="1" si="7"/>
        <v>1000</v>
      </c>
      <c r="AC76" s="190" t="str">
        <f t="shared" ca="1" si="8"/>
        <v>kg/tonne</v>
      </c>
      <c r="AD76" s="213" t="str" cm="1">
        <f t="array" aca="1" ref="AD76" ca="1">IF(INDIRECT(""&amp;$D76&amp;"!R"&amp;AD$142&amp;"C"&amp;AD$143,FALSE)=0,"",INDIRECT(""&amp;$D76&amp;"!R"&amp;AD$142&amp;"C"&amp;AD$143,FALSE))</f>
        <v/>
      </c>
      <c r="AE76" s="214" t="str" cm="1">
        <f t="array" aca="1" ref="AE76" ca="1">IFERROR(IF(INDIRECT(""&amp;$D76&amp;"!R"&amp;AE$142&amp;"C"&amp;AE$143,FALSE)="Average (weighted)","Yes","No"),"")</f>
        <v>Yes</v>
      </c>
      <c r="AF76" s="96"/>
    </row>
    <row r="77" spans="1:32" ht="45" customHeight="1" x14ac:dyDescent="0.25">
      <c r="A77" s="7" t="s">
        <v>3979</v>
      </c>
      <c r="B77" s="1" t="s">
        <v>3981</v>
      </c>
      <c r="C77" s="193" t="str" cm="1">
        <f t="array" aca="1" ref="C77" ca="1">INDIRECT(""&amp;$D77&amp;"!R"&amp;C$142&amp;"C"&amp;C$143,FALSE)</f>
        <v>Steel (Painted) used for structural purposes that has undergone cold-rolled steel production route. Including purlins, girts, stick frames, wall framing, merchant bar.</v>
      </c>
      <c r="D77" s="2" t="s">
        <v>3926</v>
      </c>
      <c r="E77" s="7" t="str" cm="1">
        <f t="array" aca="1" ref="E77" ca="1">INDIRECT(""&amp;$D77&amp;"!R"&amp;E$142&amp;"C"&amp;E$143,FALSE)</f>
        <v>tonne</v>
      </c>
      <c r="F77" s="7" t="str" cm="1">
        <f t="array" aca="1" ref="F77" ca="1">INDIRECT(""&amp;$D77&amp;"!R"&amp;F$142&amp;"C"&amp;F$143,FALSE)</f>
        <v>Tier 2</v>
      </c>
      <c r="G77" s="188">
        <f ca="1">INDEX(Methodology!$B$26:$D$31,MATCH('EF Table_detail'!$F77,Methodology!$B$26:$B$31,0),MATCH('EF Table_detail'!$G$5,Methodology!$B$26:$D$26,0))</f>
        <v>1.05</v>
      </c>
      <c r="H77" s="237" cm="1">
        <f t="array" aca="1" ref="H77" ca="1">INDIRECT(""&amp;$D77&amp;"!R"&amp;H$142&amp;"C"&amp;H$143,FALSE)</f>
        <v>4294.4417892229712</v>
      </c>
      <c r="I77" s="235" cm="1">
        <f t="array" aca="1" ref="I77" ca="1">INDIRECT(""&amp;$D77&amp;"!R"&amp;I$142&amp;"C"&amp;I$143,FALSE)</f>
        <v>1240</v>
      </c>
      <c r="J77" s="99" cm="1">
        <f t="array" aca="1" ref="J77" ca="1">INDIRECT(""&amp;$D77&amp;"!R"&amp;J$142&amp;"C"&amp;J$143,FALSE)</f>
        <v>2706.2359529399719</v>
      </c>
      <c r="K77" s="262">
        <f ca="1">$J77*(1+INDEX(Methodology!$B$26:$E$31,MATCH($F77,Methodology!$B$26:$B$31,0),MATCH(L$5,Methodology!$B$26:$E$26,0)))</f>
        <v>2841.5477505869708</v>
      </c>
      <c r="L77" s="261">
        <f ca="1">$H77*(1+INDEX(Methodology!$B$26:$E$31,MATCH($F77,Methodology!$B$26:$B$31,0),MATCH(L$5,Methodology!$B$26:$E$26,0)))</f>
        <v>4509.1638786841204</v>
      </c>
      <c r="M77" s="234" cm="1">
        <f t="array" aca="1" ref="M77" ca="1">INDIRECT(""&amp;$D77&amp;"!R"&amp;M$142&amp;"C"&amp;M$143,FALSE)</f>
        <v>4.2944417892229714</v>
      </c>
      <c r="N77" s="234" cm="1">
        <f t="array" aca="1" ref="N77" ca="1">INDIRECT(""&amp;$D77&amp;"!R"&amp;N$142&amp;"C"&amp;N$143,FALSE)</f>
        <v>1.24</v>
      </c>
      <c r="O77" s="231" cm="1">
        <f t="array" aca="1" ref="O77" ca="1">INDIRECT(""&amp;$D77&amp;"!R"&amp;O$142&amp;"C"&amp;O$143,FALSE)</f>
        <v>2.7062359529399718</v>
      </c>
      <c r="P77" s="265">
        <f ca="1">$O77*(1+INDEX(Methodology!$B$26:$E$31,MATCH($F77,Methodology!$B$26:$B$31,0),MATCH(Q$5,Methodology!$B$26:$E$26,0)))</f>
        <v>2.8415477505869706</v>
      </c>
      <c r="Q77" s="266">
        <f ca="1">$M77*(1+INDEX(Methodology!$B$26:$E$31,MATCH($F77,Methodology!$B$26:$B$31,0),MATCH(Q$5,Methodology!$B$26:$E$26,0)))</f>
        <v>4.5091638786841202</v>
      </c>
      <c r="R77" s="199"/>
      <c r="S77" s="63" cm="1">
        <f t="array" aca="1" ref="S77" ca="1">INDIRECT(""&amp;$D77&amp;"!R"&amp;S$142&amp;"C"&amp;S$143,FALSE)</f>
        <v>0</v>
      </c>
      <c r="T77" s="62" cm="1">
        <f t="array" aca="1" ref="T77" ca="1">INDIRECT(""&amp;$D77&amp;"!R"&amp;T$142&amp;"C"&amp;T$143,FALSE)</f>
        <v>0</v>
      </c>
      <c r="U77" s="265">
        <f ca="1">$T77*(1+INDEX(Methodology!$B$26:$E$31,MATCH($F77,Methodology!$B$26:$B$31,0),MATCH(V$5,Methodology!$B$26:$E$26,0)))</f>
        <v>0</v>
      </c>
      <c r="V77" s="261">
        <f ca="1">$S77*(1+INDEX(Methodology!$B$26:$E$31,MATCH($F77,Methodology!$B$26:$B$31,0),MATCH(V$5,Methodology!$B$26:$E$26,0)))</f>
        <v>0</v>
      </c>
      <c r="W77" s="63" cm="1">
        <f t="array" aca="1" ref="W77" ca="1">INDIRECT(""&amp;$D77&amp;"!R"&amp;W$142&amp;"C"&amp;W$143,FALSE)</f>
        <v>0</v>
      </c>
      <c r="X77" s="62" cm="1">
        <f t="array" aca="1" ref="X77" ca="1">INDIRECT(""&amp;$D77&amp;"!R"&amp;X$142&amp;"C"&amp;X$143,FALSE)</f>
        <v>0</v>
      </c>
      <c r="Y77" s="265">
        <f ca="1">$X77*(1+INDEX(Methodology!$B$26:$E$31,MATCH($F77,Methodology!$B$26:$B$31,0),MATCH(Z$5,Methodology!$B$26:$E$26,0)))</f>
        <v>0</v>
      </c>
      <c r="Z77" s="261">
        <f t="shared" ca="1" si="6"/>
        <v>0</v>
      </c>
      <c r="AA77" s="199"/>
      <c r="AB77" s="10">
        <f t="shared" ca="1" si="7"/>
        <v>1000</v>
      </c>
      <c r="AC77" s="190" t="str">
        <f t="shared" ca="1" si="8"/>
        <v>kg/tonne</v>
      </c>
      <c r="AD77" s="213" t="str" cm="1">
        <f t="array" aca="1" ref="AD77" ca="1">IF(INDIRECT(""&amp;$D77&amp;"!R"&amp;AD$142&amp;"C"&amp;AD$143,FALSE)=0,"",INDIRECT(""&amp;$D77&amp;"!R"&amp;AD$142&amp;"C"&amp;AD$143,FALSE))</f>
        <v>Using emission factors determined in structural steel hot rolled then multiplying by a factor for painting as determined using data found in additional data</v>
      </c>
      <c r="AE77" s="214" t="str" cm="1">
        <f t="array" aca="1" ref="AE77" ca="1">IFERROR(IF(INDIRECT(""&amp;$D77&amp;"!R"&amp;AE$142&amp;"C"&amp;AE$143,FALSE)="Average (weighted)","Yes","No"),"")</f>
        <v>Yes</v>
      </c>
      <c r="AF77" s="96"/>
    </row>
    <row r="78" spans="1:32" ht="45" customHeight="1" x14ac:dyDescent="0.25">
      <c r="A78" s="7" t="s">
        <v>3979</v>
      </c>
      <c r="B78" s="1" t="s">
        <v>3982</v>
      </c>
      <c r="C78" s="193" t="str" cm="1">
        <f t="array" aca="1" ref="C78" ca="1">INDIRECT(""&amp;$D78&amp;"!R"&amp;C$142&amp;"C"&amp;C$143,FALSE)</f>
        <v>Steel (Galvanized) used for structural purposes that has undergone cold-rolled steel production route. Including purlins, girts, stick frames, wall framing, merchant bar.</v>
      </c>
      <c r="D78" s="2" t="s">
        <v>3919</v>
      </c>
      <c r="E78" s="7" t="str" cm="1">
        <f t="array" aca="1" ref="E78" ca="1">INDIRECT(""&amp;$D78&amp;"!R"&amp;E$142&amp;"C"&amp;E$143,FALSE)</f>
        <v>tonne</v>
      </c>
      <c r="F78" s="7" t="str" cm="1">
        <f t="array" aca="1" ref="F78" ca="1">INDIRECT(""&amp;$D78&amp;"!R"&amp;F$142&amp;"C"&amp;F$143,FALSE)</f>
        <v>Tier 2</v>
      </c>
      <c r="G78" s="188">
        <f ca="1">INDEX(Methodology!$B$26:$D$31,MATCH('EF Table_detail'!$F78,Methodology!$B$26:$B$31,0),MATCH('EF Table_detail'!$G$5,Methodology!$B$26:$D$26,0))</f>
        <v>1.05</v>
      </c>
      <c r="H78" s="237" cm="1">
        <f t="array" aca="1" ref="H78" ca="1">INDIRECT(""&amp;$D78&amp;"!R"&amp;H$142&amp;"C"&amp;H$143,FALSE)</f>
        <v>4038.6824925816022</v>
      </c>
      <c r="I78" s="235" cm="1">
        <f t="array" aca="1" ref="I78" ca="1">INDIRECT(""&amp;$D78&amp;"!R"&amp;I$142&amp;"C"&amp;I$143,FALSE)</f>
        <v>1240</v>
      </c>
      <c r="J78" s="99" cm="1">
        <f t="array" aca="1" ref="J78" ca="1">INDIRECT(""&amp;$D78&amp;"!R"&amp;J$142&amp;"C"&amp;J$143,FALSE)</f>
        <v>2545.0636661001618</v>
      </c>
      <c r="K78" s="262">
        <f ca="1">$J78*(1+INDEX(Methodology!$B$26:$E$31,MATCH($F78,Methodology!$B$26:$B$31,0),MATCH(L$5,Methodology!$B$26:$E$26,0)))</f>
        <v>2672.3168494051702</v>
      </c>
      <c r="L78" s="261">
        <f ca="1">$H78*(1+INDEX(Methodology!$B$26:$E$31,MATCH($F78,Methodology!$B$26:$B$31,0),MATCH(L$5,Methodology!$B$26:$E$26,0)))</f>
        <v>4240.6166172106823</v>
      </c>
      <c r="M78" s="234" cm="1">
        <f t="array" aca="1" ref="M78" ca="1">INDIRECT(""&amp;$D78&amp;"!R"&amp;M$142&amp;"C"&amp;M$143,FALSE)</f>
        <v>4.0386824925816018</v>
      </c>
      <c r="N78" s="234" cm="1">
        <f t="array" aca="1" ref="N78" ca="1">INDIRECT(""&amp;$D78&amp;"!R"&amp;N$142&amp;"C"&amp;N$143,FALSE)</f>
        <v>1.24</v>
      </c>
      <c r="O78" s="231" cm="1">
        <f t="array" aca="1" ref="O78" ca="1">INDIRECT(""&amp;$D78&amp;"!R"&amp;O$142&amp;"C"&amp;O$143,FALSE)</f>
        <v>2.5450636661001615</v>
      </c>
      <c r="P78" s="265">
        <f ca="1">$O78*(1+INDEX(Methodology!$B$26:$E$31,MATCH($F78,Methodology!$B$26:$B$31,0),MATCH(Q$5,Methodology!$B$26:$E$26,0)))</f>
        <v>2.6723168494051697</v>
      </c>
      <c r="Q78" s="266">
        <f ca="1">$M78*(1+INDEX(Methodology!$B$26:$E$31,MATCH($F78,Methodology!$B$26:$B$31,0),MATCH(Q$5,Methodology!$B$26:$E$26,0)))</f>
        <v>4.2406166172106818</v>
      </c>
      <c r="R78" s="199"/>
      <c r="S78" s="63" cm="1">
        <f t="array" aca="1" ref="S78" ca="1">INDIRECT(""&amp;$D78&amp;"!R"&amp;S$142&amp;"C"&amp;S$143,FALSE)</f>
        <v>0</v>
      </c>
      <c r="T78" s="62" cm="1">
        <f t="array" aca="1" ref="T78" ca="1">INDIRECT(""&amp;$D78&amp;"!R"&amp;T$142&amp;"C"&amp;T$143,FALSE)</f>
        <v>0</v>
      </c>
      <c r="U78" s="265">
        <f ca="1">$T78*(1+INDEX(Methodology!$B$26:$E$31,MATCH($F78,Methodology!$B$26:$B$31,0),MATCH(V$5,Methodology!$B$26:$E$26,0)))</f>
        <v>0</v>
      </c>
      <c r="V78" s="261">
        <f ca="1">$S78*(1+INDEX(Methodology!$B$26:$E$31,MATCH($F78,Methodology!$B$26:$B$31,0),MATCH(V$5,Methodology!$B$26:$E$26,0)))</f>
        <v>0</v>
      </c>
      <c r="W78" s="63" cm="1">
        <f t="array" aca="1" ref="W78" ca="1">INDIRECT(""&amp;$D78&amp;"!R"&amp;W$142&amp;"C"&amp;W$143,FALSE)</f>
        <v>0</v>
      </c>
      <c r="X78" s="62" cm="1">
        <f t="array" aca="1" ref="X78" ca="1">INDIRECT(""&amp;$D78&amp;"!R"&amp;X$142&amp;"C"&amp;X$143,FALSE)</f>
        <v>0</v>
      </c>
      <c r="Y78" s="265">
        <f ca="1">$X78*(1+INDEX(Methodology!$B$26:$E$31,MATCH($F78,Methodology!$B$26:$B$31,0),MATCH(Z$5,Methodology!$B$26:$E$26,0)))</f>
        <v>0</v>
      </c>
      <c r="Z78" s="261">
        <f t="shared" ca="1" si="6"/>
        <v>0</v>
      </c>
      <c r="AA78" s="199"/>
      <c r="AB78" s="10">
        <f t="shared" ca="1" si="7"/>
        <v>1000.0000000000001</v>
      </c>
      <c r="AC78" s="190" t="str">
        <f t="shared" ca="1" si="8"/>
        <v>kg/tonne</v>
      </c>
      <c r="AD78" s="213" t="str" cm="1">
        <f t="array" aca="1" ref="AD78" ca="1">IF(INDIRECT(""&amp;$D78&amp;"!R"&amp;AD$142&amp;"C"&amp;AD$143,FALSE)=0,"",INDIRECT(""&amp;$D78&amp;"!R"&amp;AD$142&amp;"C"&amp;AD$143,FALSE))</f>
        <v>Using emission factors determined in structural steel hot rolled then multiplying by a factor for galvanising as determined using data found in additional data</v>
      </c>
      <c r="AE78" s="214" t="str" cm="1">
        <f t="array" aca="1" ref="AE78" ca="1">IFERROR(IF(INDIRECT(""&amp;$D78&amp;"!R"&amp;AE$142&amp;"C"&amp;AE$143,FALSE)="Average (weighted)","Yes","No"),"")</f>
        <v>Yes</v>
      </c>
      <c r="AF78" s="96"/>
    </row>
    <row r="79" spans="1:32" ht="45" customHeight="1" x14ac:dyDescent="0.25">
      <c r="A79" s="66" t="s">
        <v>3979</v>
      </c>
      <c r="B79" s="69" t="s">
        <v>3983</v>
      </c>
      <c r="C79" s="193" t="str" cm="1">
        <f t="array" aca="1" ref="C79" ca="1">INDIRECT(""&amp;$D79&amp;"!R"&amp;C$142&amp;"C"&amp;C$143,FALSE)</f>
        <v>Softwood timber most common species raidata pine,and includes treated, untreated, surfaced, and sawn products</v>
      </c>
      <c r="D79" s="66" t="s">
        <v>3932</v>
      </c>
      <c r="E79" s="7" t="str" cm="1">
        <f t="array" aca="1" ref="E79" ca="1">INDIRECT(""&amp;$D79&amp;"!R"&amp;E$142&amp;"C"&amp;E$143,FALSE)</f>
        <v>m³</v>
      </c>
      <c r="F79" s="7" t="str" cm="1">
        <f t="array" aca="1" ref="F79" ca="1">INDIRECT(""&amp;$D79&amp;"!R"&amp;F$142&amp;"C"&amp;F$143,FALSE)</f>
        <v>Tier 2</v>
      </c>
      <c r="G79" s="188">
        <f ca="1">INDEX(Methodology!$B$26:$D$31,MATCH('EF Table_detail'!$F79,Methodology!$B$26:$B$31,0),MATCH('EF Table_detail'!$G$5,Methodology!$B$26:$D$26,0))</f>
        <v>1.05</v>
      </c>
      <c r="H79" s="237" cm="1">
        <f t="array" aca="1" ref="H79" ca="1">INDIRECT(""&amp;$D79&amp;"!R"&amp;H$142&amp;"C"&amp;H$143,FALSE)</f>
        <v>332.10566666666671</v>
      </c>
      <c r="I79" s="235" cm="1">
        <f t="array" aca="1" ref="I79" ca="1">INDIRECT(""&amp;$D79&amp;"!R"&amp;I$142&amp;"C"&amp;I$143,FALSE)</f>
        <v>112.72666666666669</v>
      </c>
      <c r="J79" s="99" cm="1">
        <f t="array" aca="1" ref="J79" ca="1">INDIRECT(""&amp;$D79&amp;"!R"&amp;J$142&amp;"C"&amp;J$143,FALSE)</f>
        <v>188.12604014652021</v>
      </c>
      <c r="K79" s="262">
        <f ca="1">$J79*(1+INDEX(Methodology!$B$26:$E$31,MATCH($F79,Methodology!$B$26:$B$31,0),MATCH(L$5,Methodology!$B$26:$E$26,0)))</f>
        <v>197.53234215384623</v>
      </c>
      <c r="L79" s="261">
        <f ca="1">$H79*(1+INDEX(Methodology!$B$26:$E$31,MATCH($F79,Methodology!$B$26:$B$31,0),MATCH(L$5,Methodology!$B$26:$E$26,0)))</f>
        <v>348.71095000000008</v>
      </c>
      <c r="M79" s="234" cm="1">
        <f t="array" aca="1" ref="M79" ca="1">INDIRECT(""&amp;$D79&amp;"!R"&amp;M$142&amp;"C"&amp;M$143,FALSE)</f>
        <v>0.60273260738052037</v>
      </c>
      <c r="N79" s="234" cm="1">
        <f t="array" aca="1" ref="N79" ca="1">INDIRECT(""&amp;$D79&amp;"!R"&amp;N$142&amp;"C"&amp;N$143,FALSE)</f>
        <v>0.20458560193587449</v>
      </c>
      <c r="O79" s="231" cm="1">
        <f t="array" aca="1" ref="O79" ca="1">INDIRECT(""&amp;$D79&amp;"!R"&amp;O$142&amp;"C"&amp;O$143,FALSE)</f>
        <v>0.36568651497281479</v>
      </c>
      <c r="P79" s="265">
        <f ca="1">$O79*(1+INDEX(Methodology!$B$26:$E$31,MATCH($F79,Methodology!$B$26:$B$31,0),MATCH(Q$5,Methodology!$B$26:$E$26,0)))</f>
        <v>0.38397084072145554</v>
      </c>
      <c r="Q79" s="266">
        <f ca="1">$M79*(1+INDEX(Methodology!$B$26:$E$31,MATCH($F79,Methodology!$B$26:$B$31,0),MATCH(Q$5,Methodology!$B$26:$E$26,0)))</f>
        <v>0.6328692377495464</v>
      </c>
      <c r="R79" s="199"/>
      <c r="S79" s="60" cm="1">
        <f t="array" aca="1" ref="S79" ca="1">INDIRECT(""&amp;$D79&amp;"!R"&amp;S$142&amp;"C"&amp;S$143,FALSE)</f>
        <v>888.94666666666672</v>
      </c>
      <c r="T79" s="61" cm="1">
        <f t="array" aca="1" ref="T79" ca="1">INDIRECT(""&amp;$D79&amp;"!R"&amp;T$142&amp;"C"&amp;T$143,FALSE)</f>
        <v>857.20070120355842</v>
      </c>
      <c r="U79" s="265">
        <f ca="1">$T79*(1+INDEX(Methodology!$B$26:$E$31,MATCH($F79,Methodology!$B$26:$B$31,0),MATCH(V$5,Methodology!$B$26:$E$26,0)))</f>
        <v>900.06073626373643</v>
      </c>
      <c r="V79" s="261">
        <f ca="1">$S79*(1+INDEX(Methodology!$B$26:$E$31,MATCH($F79,Methodology!$B$26:$B$31,0),MATCH(V$5,Methodology!$B$26:$E$26,0)))</f>
        <v>933.39400000000012</v>
      </c>
      <c r="W79" s="63" cm="1">
        <f t="array" aca="1" ref="W79" ca="1">INDIRECT(""&amp;$D79&amp;"!R"&amp;W$142&amp;"C"&amp;W$143,FALSE)</f>
        <v>1.6133333333333335</v>
      </c>
      <c r="X79" s="62" cm="1">
        <f t="array" aca="1" ref="X79" ca="1">INDIRECT(""&amp;$D79&amp;"!R"&amp;X$142&amp;"C"&amp;X$143,FALSE)</f>
        <v>1.6356775141083113</v>
      </c>
      <c r="Y79" s="265">
        <f ca="1">$X79*(1+INDEX(Methodology!$B$26:$E$31,MATCH($F79,Methodology!$B$26:$B$31,0),MATCH(Z$5,Methodology!$B$26:$E$26,0)))</f>
        <v>1.717461389813727</v>
      </c>
      <c r="Z79" s="261">
        <f t="shared" ca="1" si="6"/>
        <v>1.6133333333333335</v>
      </c>
      <c r="AA79" s="199"/>
      <c r="AB79" s="10">
        <f t="shared" ca="1" si="7"/>
        <v>514.44620581785887</v>
      </c>
      <c r="AC79" s="190" t="str">
        <f t="shared" ca="1" si="8"/>
        <v>kg/m³</v>
      </c>
      <c r="AD79" s="213" t="str" cm="1">
        <f t="array" aca="1" ref="AD79" ca="1">IF(INDIRECT(""&amp;$D79&amp;"!R"&amp;AD$142&amp;"C"&amp;AD$143,FALSE)=0,"",INDIRECT(""&amp;$D79&amp;"!R"&amp;AD$142&amp;"C"&amp;AD$143,FALSE))</f>
        <v/>
      </c>
      <c r="AE79" s="214" t="str" cm="1">
        <f t="array" aca="1" ref="AE79" ca="1">IFERROR(IF(INDIRECT(""&amp;$D79&amp;"!R"&amp;AE$142&amp;"C"&amp;AE$143,FALSE)="Average (weighted)","Yes","No"),"")</f>
        <v>Yes</v>
      </c>
      <c r="AF79" s="96"/>
    </row>
    <row r="80" spans="1:32" ht="45" customHeight="1" x14ac:dyDescent="0.25">
      <c r="A80" s="7" t="s">
        <v>3979</v>
      </c>
      <c r="B80" s="1" t="s">
        <v>3984</v>
      </c>
      <c r="C80" s="193" t="str" cm="1">
        <f t="array" aca="1" ref="C80" ca="1">INDIRECT(""&amp;$D80&amp;"!R"&amp;C$142&amp;"C"&amp;C$143,FALSE)</f>
        <v>Autoclaved Aerated Concrete (AAC) blocks/bricks</v>
      </c>
      <c r="D80" s="7" t="s">
        <v>3903</v>
      </c>
      <c r="E80" s="7" t="str" cm="1">
        <f t="array" aca="1" ref="E80" ca="1">INDIRECT(""&amp;$D80&amp;"!R"&amp;E$142&amp;"C"&amp;E$143,FALSE)</f>
        <v>m³</v>
      </c>
      <c r="F80" s="7" t="str" cm="1">
        <f t="array" aca="1" ref="F80" ca="1">INDIRECT(""&amp;$D80&amp;"!R"&amp;F$142&amp;"C"&amp;F$143,FALSE)</f>
        <v>Tier 4</v>
      </c>
      <c r="G80" s="188">
        <f ca="1">INDEX(Methodology!$B$26:$D$31,MATCH('EF Table_detail'!$F80,Methodology!$B$26:$B$31,0),MATCH('EF Table_detail'!$G$5,Methodology!$B$26:$D$26,0))</f>
        <v>1.2</v>
      </c>
      <c r="H80" s="237" cm="1">
        <f t="array" aca="1" ref="H80" ca="1">INDIRECT(""&amp;$D80&amp;"!R"&amp;H$142&amp;"C"&amp;H$143,FALSE)</f>
        <v>232</v>
      </c>
      <c r="I80" s="235" cm="1">
        <f t="array" aca="1" ref="I80" ca="1">INDIRECT(""&amp;$D80&amp;"!R"&amp;I$142&amp;"C"&amp;I$143,FALSE)</f>
        <v>150.24699999999999</v>
      </c>
      <c r="J80" s="99" cm="1">
        <f t="array" aca="1" ref="J80" ca="1">INDIRECT(""&amp;$D80&amp;"!R"&amp;J$142&amp;"C"&amp;J$143,FALSE)</f>
        <v>190.06174999999999</v>
      </c>
      <c r="K80" s="262">
        <f ca="1">$J80*(1+INDEX(Methodology!$B$26:$E$31,MATCH($F80,Methodology!$B$26:$B$31,0),MATCH(L$5,Methodology!$B$26:$E$26,0)))</f>
        <v>228.07409999999999</v>
      </c>
      <c r="L80" s="261">
        <f ca="1">$H80*(1+INDEX(Methodology!$B$26:$E$31,MATCH($F80,Methodology!$B$26:$B$31,0),MATCH(L$5,Methodology!$B$26:$E$26,0)))</f>
        <v>278.39999999999998</v>
      </c>
      <c r="M80" s="234" cm="1">
        <f t="array" aca="1" ref="M80" ca="1">INDIRECT(""&amp;$D80&amp;"!R"&amp;M$142&amp;"C"&amp;M$143,FALSE)</f>
        <v>0.60333333333333339</v>
      </c>
      <c r="N80" s="234" cm="1">
        <f t="array" aca="1" ref="N80" ca="1">INDIRECT(""&amp;$D80&amp;"!R"&amp;N$142&amp;"C"&amp;N$143,FALSE)</f>
        <v>0.33388222222222219</v>
      </c>
      <c r="O80" s="231" cm="1">
        <f t="array" aca="1" ref="O80" ca="1">INDIRECT(""&amp;$D80&amp;"!R"&amp;O$142&amp;"C"&amp;O$143,FALSE)</f>
        <v>0.43690805555555556</v>
      </c>
      <c r="P80" s="265">
        <f ca="1">$O80*(1+INDEX(Methodology!$B$26:$E$31,MATCH($F80,Methodology!$B$26:$B$31,0),MATCH(Q$5,Methodology!$B$26:$E$26,0)))</f>
        <v>0.52428966666666665</v>
      </c>
      <c r="Q80" s="266">
        <f ca="1">$M80*(1+INDEX(Methodology!$B$26:$E$31,MATCH($F80,Methodology!$B$26:$B$31,0),MATCH(Q$5,Methodology!$B$26:$E$26,0)))</f>
        <v>0.72400000000000009</v>
      </c>
      <c r="R80" s="199"/>
      <c r="S80" s="63" cm="1">
        <f t="array" aca="1" ref="S80" ca="1">INDIRECT(""&amp;$D80&amp;"!R"&amp;S$142&amp;"C"&amp;S$143,FALSE)</f>
        <v>0</v>
      </c>
      <c r="T80" s="62" cm="1">
        <f t="array" aca="1" ref="T80" ca="1">INDIRECT(""&amp;$D80&amp;"!R"&amp;T$142&amp;"C"&amp;T$143,FALSE)</f>
        <v>0</v>
      </c>
      <c r="U80" s="265">
        <f ca="1">$T80*(1+INDEX(Methodology!$B$26:$E$31,MATCH($F80,Methodology!$B$26:$B$31,0),MATCH(V$5,Methodology!$B$26:$E$26,0)))</f>
        <v>0</v>
      </c>
      <c r="V80" s="261">
        <f ca="1">$S80*(1+INDEX(Methodology!$B$26:$E$31,MATCH($F80,Methodology!$B$26:$B$31,0),MATCH(V$5,Methodology!$B$26:$E$26,0)))</f>
        <v>0</v>
      </c>
      <c r="W80" s="63" cm="1">
        <f t="array" aca="1" ref="W80" ca="1">INDIRECT(""&amp;$D80&amp;"!R"&amp;W$142&amp;"C"&amp;W$143,FALSE)</f>
        <v>0</v>
      </c>
      <c r="X80" s="62" cm="1">
        <f t="array" aca="1" ref="X80" ca="1">INDIRECT(""&amp;$D80&amp;"!R"&amp;X$142&amp;"C"&amp;X$143,FALSE)</f>
        <v>0</v>
      </c>
      <c r="Y80" s="265">
        <f ca="1">$X80*(1+INDEX(Methodology!$B$26:$E$31,MATCH($F80,Methodology!$B$26:$B$31,0),MATCH(Z$5,Methodology!$B$26:$E$26,0)))</f>
        <v>0</v>
      </c>
      <c r="Z80" s="261">
        <f t="shared" ca="1" si="6"/>
        <v>0</v>
      </c>
      <c r="AA80" s="199"/>
      <c r="AB80" s="10">
        <f t="shared" ca="1" si="7"/>
        <v>435.01543993810037</v>
      </c>
      <c r="AC80" s="190" t="str">
        <f t="shared" ca="1" si="8"/>
        <v>kg/m³</v>
      </c>
      <c r="AD80" s="213" t="str" cm="1">
        <f t="array" aca="1" ref="AD80" ca="1">IF(INDIRECT(""&amp;$D80&amp;"!R"&amp;AD$142&amp;"C"&amp;AD$143,FALSE)=0,"",INDIRECT(""&amp;$D80&amp;"!R"&amp;AD$142&amp;"C"&amp;AD$143,FALSE))</f>
        <v/>
      </c>
      <c r="AE80" s="214" t="str" cm="1">
        <f t="array" aca="1" ref="AE80" ca="1">IFERROR(IF(INDIRECT(""&amp;$D80&amp;"!R"&amp;AE$142&amp;"C"&amp;AE$143,FALSE)="Average (weighted)","Yes","No"),"")</f>
        <v>No</v>
      </c>
      <c r="AF80" s="96"/>
    </row>
    <row r="81" spans="1:32" ht="45" customHeight="1" x14ac:dyDescent="0.25">
      <c r="A81" s="7" t="s">
        <v>3979</v>
      </c>
      <c r="B81" s="69" t="s">
        <v>2897</v>
      </c>
      <c r="C81" s="193" t="str" cm="1">
        <f t="array" aca="1" ref="C81" ca="1">INDIRECT(""&amp;$D81&amp;"!R"&amp;C$142&amp;"C"&amp;C$143,FALSE)</f>
        <v>Board made from plaster typically coated in paper. Thickness from 4 mm to 22 mm.</v>
      </c>
      <c r="D81" s="66" t="s">
        <v>2897</v>
      </c>
      <c r="E81" s="7" t="str" cm="1">
        <f t="array" aca="1" ref="E81" ca="1">INDIRECT(""&amp;$D81&amp;"!R"&amp;E$142&amp;"C"&amp;E$143,FALSE)</f>
        <v>m²</v>
      </c>
      <c r="F81" s="7" t="str" cm="1">
        <f t="array" aca="1" ref="F81" ca="1">INDIRECT(""&amp;$D81&amp;"!R"&amp;F$142&amp;"C"&amp;F$143,FALSE)</f>
        <v>Tier 4</v>
      </c>
      <c r="G81" s="188">
        <f ca="1">INDEX(Methodology!$B$26:$D$31,MATCH('EF Table_detail'!$F81,Methodology!$B$26:$B$31,0),MATCH('EF Table_detail'!$G$5,Methodology!$B$26:$D$26,0))</f>
        <v>1.2</v>
      </c>
      <c r="H81" s="236" cm="1">
        <f t="array" aca="1" ref="H81" ca="1">INDIRECT(""&amp;$D81&amp;"!R"&amp;H$142&amp;"C"&amp;H$143,FALSE)</f>
        <v>6.79</v>
      </c>
      <c r="I81" s="234" cm="1">
        <f t="array" aca="1" ref="I81" ca="1">INDIRECT(""&amp;$D81&amp;"!R"&amp;I$142&amp;"C"&amp;I$143,FALSE)</f>
        <v>1.49</v>
      </c>
      <c r="J81" s="231" cm="1">
        <f t="array" aca="1" ref="J81" ca="1">INDIRECT(""&amp;$D81&amp;"!R"&amp;J$142&amp;"C"&amp;J$143,FALSE)</f>
        <v>3.2460299999999993</v>
      </c>
      <c r="K81" s="262">
        <f ca="1">$J81*(1+INDEX(Methodology!$B$26:$E$31,MATCH($F81,Methodology!$B$26:$B$31,0),MATCH(L$5,Methodology!$B$26:$E$26,0)))</f>
        <v>3.8952359999999988</v>
      </c>
      <c r="L81" s="261">
        <f ca="1">$H81*(1+INDEX(Methodology!$B$26:$E$31,MATCH($F81,Methodology!$B$26:$B$31,0),MATCH(L$5,Methodology!$B$26:$E$26,0)))</f>
        <v>8.1479999999999997</v>
      </c>
      <c r="M81" s="234" cm="1">
        <f t="array" aca="1" ref="M81" ca="1">INDIRECT(""&amp;$D81&amp;"!R"&amp;M$142&amp;"C"&amp;M$143,FALSE)</f>
        <v>0.39374999999999999</v>
      </c>
      <c r="N81" s="234" cm="1">
        <f t="array" aca="1" ref="N81" ca="1">INDIRECT(""&amp;$D81&amp;"!R"&amp;N$142&amp;"C"&amp;N$143,FALSE)</f>
        <v>0.17519999999999999</v>
      </c>
      <c r="O81" s="231" cm="1">
        <f t="array" aca="1" ref="O81" ca="1">INDIRECT(""&amp;$D81&amp;"!R"&amp;O$142&amp;"C"&amp;O$143,FALSE)</f>
        <v>0.29826078812332296</v>
      </c>
      <c r="P81" s="265">
        <f ca="1">$O81*(1+INDEX(Methodology!$B$26:$E$31,MATCH($F81,Methodology!$B$26:$B$31,0),MATCH(Q$5,Methodology!$B$26:$E$26,0)))</f>
        <v>0.35791294574798754</v>
      </c>
      <c r="Q81" s="266">
        <f ca="1">$M81*(1+INDEX(Methodology!$B$26:$E$31,MATCH($F81,Methodology!$B$26:$B$31,0),MATCH(Q$5,Methodology!$B$26:$E$26,0)))</f>
        <v>0.47249999999999998</v>
      </c>
      <c r="R81" s="199"/>
      <c r="S81" s="63" cm="1">
        <f t="array" aca="1" ref="S81" ca="1">INDIRECT(""&amp;$D81&amp;"!R"&amp;S$142&amp;"C"&amp;S$143,FALSE)</f>
        <v>1.0669999999999999</v>
      </c>
      <c r="T81" s="62" cm="1">
        <f t="array" aca="1" ref="T81" ca="1">INDIRECT(""&amp;$D81&amp;"!R"&amp;T$142&amp;"C"&amp;T$143,FALSE)</f>
        <v>0.59678666666666669</v>
      </c>
      <c r="U81" s="265">
        <f ca="1">$T81*(1+INDEX(Methodology!$B$26:$E$31,MATCH($F81,Methodology!$B$26:$B$31,0),MATCH(V$5,Methodology!$B$26:$E$26,0)))</f>
        <v>0.716144</v>
      </c>
      <c r="V81" s="261">
        <f ca="1">$S81*(1+INDEX(Methodology!$B$26:$E$31,MATCH($F81,Methodology!$B$26:$B$31,0),MATCH(V$5,Methodology!$B$26:$E$26,0)))</f>
        <v>1.2804</v>
      </c>
      <c r="W81" s="63" cm="1">
        <f t="array" aca="1" ref="W81" ca="1">INDIRECT(""&amp;$D81&amp;"!R"&amp;W$142&amp;"C"&amp;W$143,FALSE)</f>
        <v>0.20395833333333335</v>
      </c>
      <c r="X81" s="62" cm="1">
        <f t="array" aca="1" ref="X81" ca="1">INDIRECT(""&amp;$D81&amp;"!R"&amp;X$142&amp;"C"&amp;X$143,FALSE)</f>
        <v>6.0758025026185471E-2</v>
      </c>
      <c r="Y81" s="265">
        <f ca="1">$X81*(1+INDEX(Methodology!$B$26:$E$31,MATCH($F81,Methodology!$B$26:$B$31,0),MATCH(Z$5,Methodology!$B$26:$E$26,0)))</f>
        <v>7.2909630031422562E-2</v>
      </c>
      <c r="Z81" s="261">
        <f t="shared" ca="1" si="6"/>
        <v>0.20395833333333335</v>
      </c>
      <c r="AA81" s="199"/>
      <c r="AB81" s="10">
        <f t="shared" ca="1" si="7"/>
        <v>10.883193933819593</v>
      </c>
      <c r="AC81" s="190" t="str">
        <f t="shared" ca="1" si="8"/>
        <v>kg/m²</v>
      </c>
      <c r="AD81" s="213" t="str" cm="1">
        <f t="array" aca="1" ref="AD81" ca="1">IF(INDIRECT(""&amp;$D81&amp;"!R"&amp;AD$142&amp;"C"&amp;AD$143,FALSE)=0,"",INDIRECT(""&amp;$D81&amp;"!R"&amp;AD$142&amp;"C"&amp;AD$143,FALSE))</f>
        <v xml:space="preserve">Important to consider board thickness. Recommended to use kg CO2e/kg EF when thickness and mass is known. </v>
      </c>
      <c r="AE81" s="214" t="str" cm="1">
        <f t="array" aca="1" ref="AE81" ca="1">IFERROR(IF(INDIRECT(""&amp;$D81&amp;"!R"&amp;AE$142&amp;"C"&amp;AE$143,FALSE)="Average (weighted)","Yes","No"),"")</f>
        <v>No</v>
      </c>
      <c r="AF81" s="96"/>
    </row>
    <row r="82" spans="1:32" ht="45" customHeight="1" x14ac:dyDescent="0.25">
      <c r="A82" s="7" t="s">
        <v>3979</v>
      </c>
      <c r="B82" s="1" t="s">
        <v>3985</v>
      </c>
      <c r="C82" s="193" t="str" cm="1">
        <f t="array" aca="1" ref="C82" ca="1">INDIRECT(""&amp;$D82&amp;"!R"&amp;C$142&amp;"C"&amp;C$143,FALSE)</f>
        <v xml:space="preserve">Particleboard for decorative purposes i.e. finished wall panel including coating </v>
      </c>
      <c r="D82" s="66" t="s">
        <v>3986</v>
      </c>
      <c r="E82" s="7" t="str" cm="1">
        <f t="array" aca="1" ref="E82" ca="1">INDIRECT(""&amp;$D82&amp;"!R"&amp;E$142&amp;"C"&amp;E$143,FALSE)</f>
        <v>m³</v>
      </c>
      <c r="F82" s="7" t="str" cm="1">
        <f t="array" aca="1" ref="F82" ca="1">INDIRECT(""&amp;$D82&amp;"!R"&amp;F$142&amp;"C"&amp;F$143,FALSE)</f>
        <v>Tier 2</v>
      </c>
      <c r="G82" s="188">
        <f ca="1">INDEX(Methodology!$B$26:$D$31,MATCH('EF Table_detail'!$F82,Methodology!$B$26:$B$31,0),MATCH('EF Table_detail'!$G$5,Methodology!$B$26:$D$26,0))</f>
        <v>1.05</v>
      </c>
      <c r="H82" s="237" cm="1">
        <f t="array" aca="1" ref="H82" ca="1">INDIRECT(""&amp;$D82&amp;"!R"&amp;H$142&amp;"C"&amp;H$143,FALSE)</f>
        <v>631.15094962264152</v>
      </c>
      <c r="I82" s="235" cm="1">
        <f t="array" aca="1" ref="I82" ca="1">INDIRECT(""&amp;$D82&amp;"!R"&amp;I$142&amp;"C"&amp;I$143,FALSE)</f>
        <v>177.05854346574552</v>
      </c>
      <c r="J82" s="99" cm="1">
        <f t="array" aca="1" ref="J82" ca="1">INDIRECT(""&amp;$D82&amp;"!R"&amp;J$142&amp;"C"&amp;J$143,FALSE)</f>
        <v>432.58792264440677</v>
      </c>
      <c r="K82" s="262">
        <f ca="1">$J82*(1+INDEX(Methodology!$B$26:$E$31,MATCH($F82,Methodology!$B$26:$B$31,0),MATCH(L$5,Methodology!$B$26:$E$26,0)))</f>
        <v>454.21731877662711</v>
      </c>
      <c r="L82" s="261">
        <f ca="1">$H82*(1+INDEX(Methodology!$B$26:$E$31,MATCH($F82,Methodology!$B$26:$B$31,0),MATCH(L$5,Methodology!$B$26:$E$26,0)))</f>
        <v>662.70849710377365</v>
      </c>
      <c r="M82" s="234" cm="1">
        <f t="array" aca="1" ref="M82" ca="1">INDIRECT(""&amp;$D82&amp;"!R"&amp;M$142&amp;"C"&amp;M$143,FALSE)</f>
        <v>0.95923728813559317</v>
      </c>
      <c r="N82" s="234" cm="1">
        <f t="array" aca="1" ref="N82" ca="1">INDIRECT(""&amp;$D82&amp;"!R"&amp;N$142&amp;"C"&amp;N$143,FALSE)</f>
        <v>0.28557829591249306</v>
      </c>
      <c r="O82" s="231" cm="1">
        <f t="array" aca="1" ref="O82" ca="1">INDIRECT(""&amp;$D82&amp;"!R"&amp;O$142&amp;"C"&amp;O$143,FALSE)</f>
        <v>0.66191851210364627</v>
      </c>
      <c r="P82" s="265">
        <f ca="1">$O82*(1+INDEX(Methodology!$B$26:$E$31,MATCH($F82,Methodology!$B$26:$B$31,0),MATCH(Q$5,Methodology!$B$26:$E$26,0)))</f>
        <v>0.69501443770882865</v>
      </c>
      <c r="Q82" s="266">
        <f ca="1">$M82*(1+INDEX(Methodology!$B$26:$E$31,MATCH($F82,Methodology!$B$26:$B$31,0),MATCH(Q$5,Methodology!$B$26:$E$26,0)))</f>
        <v>1.0071991525423729</v>
      </c>
      <c r="R82" s="199"/>
      <c r="S82" s="60" cm="1">
        <f t="array" aca="1" ref="S82" ca="1">INDIRECT(""&amp;$D82&amp;"!R"&amp;S$142&amp;"C"&amp;S$143,FALSE)</f>
        <v>1113.2</v>
      </c>
      <c r="T82" s="61" cm="1">
        <f t="array" aca="1" ref="T82" ca="1">INDIRECT(""&amp;$D82&amp;"!R"&amp;T$142&amp;"C"&amp;T$143,FALSE)</f>
        <v>1079.1451608220068</v>
      </c>
      <c r="U82" s="265">
        <f ca="1">$T82*(1+INDEX(Methodology!$B$26:$E$31,MATCH($F82,Methodology!$B$26:$B$31,0),MATCH(V$5,Methodology!$B$26:$E$26,0)))</f>
        <v>1133.1024188631072</v>
      </c>
      <c r="V82" s="261">
        <f ca="1">$S82*(1+INDEX(Methodology!$B$26:$E$31,MATCH($F82,Methodology!$B$26:$B$31,0),MATCH(V$5,Methodology!$B$26:$E$26,0)))</f>
        <v>1168.8600000000001</v>
      </c>
      <c r="W82" s="63" cm="1">
        <f t="array" aca="1" ref="W82" ca="1">INDIRECT(""&amp;$D82&amp;"!R"&amp;W$142&amp;"C"&amp;W$143,FALSE)</f>
        <v>1.6866666666666668</v>
      </c>
      <c r="X82" s="62" cm="1">
        <f t="array" aca="1" ref="X82" ca="1">INDIRECT(""&amp;$D82&amp;"!R"&amp;X$142&amp;"C"&amp;X$143,FALSE)</f>
        <v>1.6671342394433182</v>
      </c>
      <c r="Y82" s="265">
        <f ca="1">$X82*(1+INDEX(Methodology!$B$26:$E$31,MATCH($F82,Methodology!$B$26:$B$31,0),MATCH(Z$5,Methodology!$B$26:$E$26,0)))</f>
        <v>1.7504909514154841</v>
      </c>
      <c r="Z82" s="261">
        <f t="shared" ca="1" si="6"/>
        <v>1.6866666666666668</v>
      </c>
      <c r="AA82" s="199"/>
      <c r="AB82" s="10">
        <f t="shared" ca="1" si="7"/>
        <v>653.53652259943158</v>
      </c>
      <c r="AC82" s="190" t="str">
        <f t="shared" ca="1" si="8"/>
        <v>kg/m³</v>
      </c>
      <c r="AD82" s="213" t="str" cm="1">
        <f t="array" aca="1" ref="AD82" ca="1">IF(INDIRECT(""&amp;$D82&amp;"!R"&amp;AD$142&amp;"C"&amp;AD$143,FALSE)=0,"",INDIRECT(""&amp;$D82&amp;"!R"&amp;AD$142&amp;"C"&amp;AD$143,FALSE))</f>
        <v/>
      </c>
      <c r="AE82" s="214" t="str" cm="1">
        <f t="array" aca="1" ref="AE82" ca="1">IFERROR(IF(INDIRECT(""&amp;$D82&amp;"!R"&amp;AE$142&amp;"C"&amp;AE$143,FALSE)="Average (weighted)","Yes","No"),"")</f>
        <v>Yes</v>
      </c>
      <c r="AF82" s="96"/>
    </row>
    <row r="83" spans="1:32" ht="45" customHeight="1" x14ac:dyDescent="0.25">
      <c r="A83" s="7" t="s">
        <v>3979</v>
      </c>
      <c r="B83" s="1" t="s">
        <v>2375</v>
      </c>
      <c r="C83" s="193" t="str" cm="1">
        <f t="array" aca="1" ref="C83" ca="1">INDIRECT(""&amp;$D83&amp;"!R"&amp;C$142&amp;"C"&amp;C$143,FALSE)</f>
        <v xml:space="preserve">Medium density fibreboard (MDF) for decorative purposes i.e. finished wall panel including coating </v>
      </c>
      <c r="D83" s="66" t="s">
        <v>3987</v>
      </c>
      <c r="E83" s="7" t="str" cm="1">
        <f t="array" aca="1" ref="E83" ca="1">INDIRECT(""&amp;$D83&amp;"!R"&amp;E$142&amp;"C"&amp;E$143,FALSE)</f>
        <v>m³</v>
      </c>
      <c r="F83" s="7" t="str" cm="1">
        <f t="array" aca="1" ref="F83" ca="1">INDIRECT(""&amp;$D83&amp;"!R"&amp;F$142&amp;"C"&amp;F$143,FALSE)</f>
        <v>Tier 2</v>
      </c>
      <c r="G83" s="188">
        <f ca="1">INDEX(Methodology!$B$26:$D$31,MATCH('EF Table_detail'!$F83,Methodology!$B$26:$B$31,0),MATCH('EF Table_detail'!$G$5,Methodology!$B$26:$D$26,0))</f>
        <v>1.05</v>
      </c>
      <c r="H83" s="237" cm="1">
        <f t="array" aca="1" ref="H83" ca="1">INDIRECT(""&amp;$D83&amp;"!R"&amp;H$142&amp;"C"&amp;H$143,FALSE)</f>
        <v>1254.1817045454538</v>
      </c>
      <c r="I83" s="235" cm="1">
        <f t="array" aca="1" ref="I83" ca="1">INDIRECT(""&amp;$D83&amp;"!R"&amp;I$142&amp;"C"&amp;I$143,FALSE)</f>
        <v>525.92916666666667</v>
      </c>
      <c r="J83" s="99" cm="1">
        <f t="array" aca="1" ref="J83" ca="1">INDIRECT(""&amp;$D83&amp;"!R"&amp;J$142&amp;"C"&amp;J$143,FALSE)</f>
        <v>814.83092926189238</v>
      </c>
      <c r="K83" s="262">
        <f ca="1">$J83*(1+INDEX(Methodology!$B$26:$E$31,MATCH($F83,Methodology!$B$26:$B$31,0),MATCH(L$5,Methodology!$B$26:$E$26,0)))</f>
        <v>855.57247572498704</v>
      </c>
      <c r="L83" s="261">
        <f ca="1">$H83*(1+INDEX(Methodology!$B$26:$E$31,MATCH($F83,Methodology!$B$26:$B$31,0),MATCH(L$5,Methodology!$B$26:$E$26,0)))</f>
        <v>1316.8907897727265</v>
      </c>
      <c r="M83" s="234" cm="1">
        <f t="array" aca="1" ref="M83" ca="1">INDIRECT(""&amp;$D83&amp;"!R"&amp;M$142&amp;"C"&amp;M$143,FALSE)</f>
        <v>1.7419190340909083</v>
      </c>
      <c r="N83" s="234" cm="1">
        <f t="array" aca="1" ref="N83" ca="1">INDIRECT(""&amp;$D83&amp;"!R"&amp;N$142&amp;"C"&amp;N$143,FALSE)</f>
        <v>0.71360809588421525</v>
      </c>
      <c r="O83" s="231" cm="1">
        <f t="array" aca="1" ref="O83" ca="1">INDIRECT(""&amp;$D83&amp;"!R"&amp;O$142&amp;"C"&amp;O$143,FALSE)</f>
        <v>1.1293175241149223</v>
      </c>
      <c r="P83" s="265">
        <f ca="1">$O83*(1+INDEX(Methodology!$B$26:$E$31,MATCH($F83,Methodology!$B$26:$B$31,0),MATCH(Q$5,Methodology!$B$26:$E$26,0)))</f>
        <v>1.1857834003206684</v>
      </c>
      <c r="Q83" s="266">
        <f ca="1">$M83*(1+INDEX(Methodology!$B$26:$E$31,MATCH($F83,Methodology!$B$26:$B$31,0),MATCH(Q$5,Methodology!$B$26:$E$26,0)))</f>
        <v>1.8290149857954539</v>
      </c>
      <c r="R83" s="199"/>
      <c r="S83" s="60" cm="1">
        <f t="array" aca="1" ref="S83" ca="1">INDIRECT(""&amp;$D83&amp;"!R"&amp;S$142&amp;"C"&amp;S$143,FALSE)</f>
        <v>1227.5999999999997</v>
      </c>
      <c r="T83" s="61" cm="1">
        <f t="array" aca="1" ref="T83" ca="1">INDIRECT(""&amp;$D83&amp;"!R"&amp;T$142&amp;"C"&amp;T$143,FALSE)</f>
        <v>1232.1414855072464</v>
      </c>
      <c r="U83" s="265">
        <f ca="1">$T83*(1+INDEX(Methodology!$B$26:$E$31,MATCH($F83,Methodology!$B$26:$B$31,0),MATCH(V$5,Methodology!$B$26:$E$26,0)))</f>
        <v>1293.7485597826087</v>
      </c>
      <c r="V83" s="261">
        <f ca="1">$S83*(1+INDEX(Methodology!$B$26:$E$31,MATCH($F83,Methodology!$B$26:$B$31,0),MATCH(V$5,Methodology!$B$26:$E$26,0)))</f>
        <v>1288.9799999999998</v>
      </c>
      <c r="W83" s="63" cm="1">
        <f t="array" aca="1" ref="W83" ca="1">INDIRECT(""&amp;$D83&amp;"!R"&amp;W$142&amp;"C"&amp;W$143,FALSE)</f>
        <v>1.7049999999999996</v>
      </c>
      <c r="X83" s="62" cm="1">
        <f t="array" aca="1" ref="X83" ca="1">INDIRECT(""&amp;$D83&amp;"!R"&amp;X$142&amp;"C"&amp;X$143,FALSE)</f>
        <v>1.7022101449275362</v>
      </c>
      <c r="Y83" s="265">
        <f ca="1">$X83*(1+INDEX(Methodology!$B$26:$E$31,MATCH($F83,Methodology!$B$26:$B$31,0),MATCH(Z$5,Methodology!$B$26:$E$26,0)))</f>
        <v>1.7873206521739131</v>
      </c>
      <c r="Z83" s="261">
        <f t="shared" ca="1" si="6"/>
        <v>1.7049999999999996</v>
      </c>
      <c r="AA83" s="199"/>
      <c r="AB83" s="10">
        <f t="shared" ca="1" si="7"/>
        <v>721.52509091763022</v>
      </c>
      <c r="AC83" s="190" t="str">
        <f t="shared" ca="1" si="8"/>
        <v>kg/m³</v>
      </c>
      <c r="AD83" s="213" t="str" cm="1">
        <f t="array" aca="1" ref="AD83" ca="1">IF(INDIRECT(""&amp;$D83&amp;"!R"&amp;AD$142&amp;"C"&amp;AD$143,FALSE)=0,"",INDIRECT(""&amp;$D83&amp;"!R"&amp;AD$142&amp;"C"&amp;AD$143,FALSE))</f>
        <v/>
      </c>
      <c r="AE83" s="214" t="str" cm="1">
        <f t="array" aca="1" ref="AE83" ca="1">IFERROR(IF(INDIRECT(""&amp;$D83&amp;"!R"&amp;AE$142&amp;"C"&amp;AE$143,FALSE)="Average (weighted)","Yes","No"),"")</f>
        <v>Yes</v>
      </c>
      <c r="AF83" s="96"/>
    </row>
    <row r="84" spans="1:32" ht="45" customHeight="1" x14ac:dyDescent="0.25">
      <c r="A84" s="7" t="s">
        <v>3979</v>
      </c>
      <c r="B84" s="1" t="s">
        <v>3988</v>
      </c>
      <c r="C84" s="193" t="str" cm="1">
        <f t="array" aca="1" ref="C84" ca="1">INDIRECT(""&amp;$D84&amp;"!R"&amp;C$142&amp;"C"&amp;C$143,FALSE)</f>
        <v>Board made from fibre cement including compressed sheet, flooring, cladding, lining and roofing boards. Thickness from 4 mm to 22 mm.</v>
      </c>
      <c r="D84" s="7" t="s">
        <v>3964</v>
      </c>
      <c r="E84" s="7" t="str" cm="1">
        <f t="array" aca="1" ref="E84" ca="1">INDIRECT(""&amp;$D84&amp;"!R"&amp;E$142&amp;"C"&amp;E$143,FALSE)</f>
        <v>m²</v>
      </c>
      <c r="F84" s="7" t="str" cm="1">
        <f t="array" aca="1" ref="F84" ca="1">INDIRECT(""&amp;$D84&amp;"!R"&amp;F$142&amp;"C"&amp;F$143,FALSE)</f>
        <v>Tier 2</v>
      </c>
      <c r="G84" s="188">
        <f ca="1">INDEX(Methodology!$B$26:$D$31,MATCH('EF Table_detail'!$F84,Methodology!$B$26:$B$31,0),MATCH('EF Table_detail'!$G$5,Methodology!$B$26:$D$26,0))</f>
        <v>1.05</v>
      </c>
      <c r="H84" s="240" cm="1">
        <f t="array" aca="1" ref="H84" ca="1">INDIRECT(""&amp;$D84&amp;"!R"&amp;H$142&amp;"C"&amp;H$143,FALSE)</f>
        <v>45.9</v>
      </c>
      <c r="I84" s="238" cm="1">
        <f t="array" aca="1" ref="I84" ca="1">INDIRECT(""&amp;$D84&amp;"!R"&amp;I$142&amp;"C"&amp;I$143,FALSE)</f>
        <v>3.51</v>
      </c>
      <c r="J84" s="239" cm="1">
        <f t="array" aca="1" ref="J84" ca="1">INDIRECT(""&amp;$D84&amp;"!R"&amp;J$142&amp;"C"&amp;J$143,FALSE)</f>
        <v>12.889999999999999</v>
      </c>
      <c r="K84" s="262">
        <f ca="1">$J84*(1+INDEX(Methodology!$B$26:$E$31,MATCH($F84,Methodology!$B$26:$B$31,0),MATCH(L$5,Methodology!$B$26:$E$26,0)))</f>
        <v>13.5345</v>
      </c>
      <c r="L84" s="261">
        <f ca="1">$H84*(1+INDEX(Methodology!$B$26:$E$31,MATCH($F84,Methodology!$B$26:$B$31,0),MATCH(L$5,Methodology!$B$26:$E$26,0)))</f>
        <v>48.195</v>
      </c>
      <c r="M84" s="234" cm="1">
        <f t="array" aca="1" ref="M84" ca="1">INDIRECT(""&amp;$D84&amp;"!R"&amp;M$142&amp;"C"&amp;M$143,FALSE)</f>
        <v>1.3237797062469794</v>
      </c>
      <c r="N84" s="234" cm="1">
        <f t="array" aca="1" ref="N84" ca="1">INDIRECT(""&amp;$D84&amp;"!R"&amp;N$142&amp;"C"&amp;N$143,FALSE)</f>
        <v>0.30722992282728107</v>
      </c>
      <c r="O84" s="231" cm="1">
        <f t="array" aca="1" ref="O84" ca="1">INDIRECT(""&amp;$D84&amp;"!R"&amp;O$142&amp;"C"&amp;O$143,FALSE)</f>
        <v>0.852979655994341</v>
      </c>
      <c r="P84" s="265">
        <f ca="1">$O84*(1+INDEX(Methodology!$B$26:$E$31,MATCH($F84,Methodology!$B$26:$B$31,0),MATCH(Q$5,Methodology!$B$26:$E$26,0)))</f>
        <v>0.89562863879405807</v>
      </c>
      <c r="Q84" s="266">
        <f ca="1">$M84*(1+INDEX(Methodology!$B$26:$E$31,MATCH($F84,Methodology!$B$26:$B$31,0),MATCH(Q$5,Methodology!$B$26:$E$26,0)))</f>
        <v>1.3899686915593283</v>
      </c>
      <c r="R84" s="199"/>
      <c r="S84" s="63" cm="1">
        <f t="array" aca="1" ref="S84" ca="1">INDIRECT(""&amp;$D84&amp;"!R"&amp;S$142&amp;"C"&amp;S$143,FALSE)</f>
        <v>4.4999999999999998E-2</v>
      </c>
      <c r="T84" s="62" cm="1">
        <f t="array" aca="1" ref="T84" ca="1">INDIRECT(""&amp;$D84&amp;"!R"&amp;T$142&amp;"C"&amp;T$143,FALSE)</f>
        <v>3.7285714285714283E-2</v>
      </c>
      <c r="U84" s="265">
        <f ca="1">$T84*(1+INDEX(Methodology!$B$26:$E$31,MATCH($F84,Methodology!$B$26:$B$31,0),MATCH(V$5,Methodology!$B$26:$E$26,0)))</f>
        <v>3.9149999999999997E-2</v>
      </c>
      <c r="V84" s="261">
        <f ca="1">$S84*(1+INDEX(Methodology!$B$26:$E$31,MATCH($F84,Methodology!$B$26:$B$31,0),MATCH(V$5,Methodology!$B$26:$E$26,0)))</f>
        <v>4.725E-2</v>
      </c>
      <c r="W84" s="63" cm="1">
        <f t="array" aca="1" ref="W84" ca="1">INDIRECT(""&amp;$D84&amp;"!R"&amp;W$142&amp;"C"&amp;W$143,FALSE)</f>
        <v>8.3333333333333332E-3</v>
      </c>
      <c r="X84" s="62" cm="1">
        <f t="array" aca="1" ref="X84" ca="1">INDIRECT(""&amp;$D84&amp;"!R"&amp;X$142&amp;"C"&amp;X$143,FALSE)</f>
        <v>3.2122689436936249E-3</v>
      </c>
      <c r="Y84" s="265">
        <f ca="1">$X84*(1+INDEX(Methodology!$B$26:$E$31,MATCH($F84,Methodology!$B$26:$B$31,0),MATCH(Z$5,Methodology!$B$26:$E$26,0)))</f>
        <v>3.3728823908783061E-3</v>
      </c>
      <c r="Z84" s="261">
        <f t="shared" ca="1" si="6"/>
        <v>8.3333333333333332E-3</v>
      </c>
      <c r="AA84" s="199"/>
      <c r="AB84" s="10">
        <f t="shared" ca="1" si="7"/>
        <v>15.111732043566484</v>
      </c>
      <c r="AC84" s="190" t="str">
        <f t="shared" ca="1" si="8"/>
        <v>kg/m²</v>
      </c>
      <c r="AD84" s="213" t="str" cm="1">
        <f t="array" aca="1" ref="AD84" ca="1">IF(INDIRECT(""&amp;$D84&amp;"!R"&amp;AD$142&amp;"C"&amp;AD$143,FALSE)=0,"",INDIRECT(""&amp;$D84&amp;"!R"&amp;AD$142&amp;"C"&amp;AD$143,FALSE))</f>
        <v xml:space="preserve">Important to consider in the context of board thickness and size of sheet not cladding area (shape of sheet overlapping (i.e. when cladding) means area of sheet is more than area to be clad). Recommended to use kg CO2e/kg EF when thickness and mass is known. </v>
      </c>
      <c r="AE84" s="214" t="str" cm="1">
        <f t="array" aca="1" ref="AE84" ca="1">IFERROR(IF(INDIRECT(""&amp;$D84&amp;"!R"&amp;AE$142&amp;"C"&amp;AE$143,FALSE)="Average (weighted)","Yes","No"),"")</f>
        <v>No</v>
      </c>
      <c r="AF84" s="96"/>
    </row>
    <row r="85" spans="1:32" ht="45" customHeight="1" x14ac:dyDescent="0.25">
      <c r="A85" s="7" t="s">
        <v>3979</v>
      </c>
      <c r="B85" s="1" t="s">
        <v>2510</v>
      </c>
      <c r="C85" s="193" t="str" cm="1">
        <f t="array" aca="1" ref="C85" ca="1">INDIRECT(""&amp;$D85&amp;"!R"&amp;C$142&amp;"C"&amp;C$143,FALSE)</f>
        <v>Glass used in windows, doors, curtain wall purposes. Including single, double and triple glazing units.</v>
      </c>
      <c r="D85" s="7" t="s">
        <v>2510</v>
      </c>
      <c r="E85" s="7" t="str" cm="1">
        <f t="array" aca="1" ref="E85" ca="1">INDIRECT(""&amp;$D85&amp;"!R"&amp;E$142&amp;"C"&amp;E$143,FALSE)</f>
        <v>kg</v>
      </c>
      <c r="F85" s="7" t="str" cm="1">
        <f t="array" aca="1" ref="F85" ca="1">INDIRECT(""&amp;$D85&amp;"!R"&amp;F$142&amp;"C"&amp;F$143,FALSE)</f>
        <v>Tier 4</v>
      </c>
      <c r="G85" s="188">
        <f ca="1">INDEX(Methodology!$B$26:$D$31,MATCH('EF Table_detail'!$F85,Methodology!$B$26:$B$31,0),MATCH('EF Table_detail'!$G$5,Methodology!$B$26:$D$26,0))</f>
        <v>1.2</v>
      </c>
      <c r="H85" s="237" cm="1">
        <f t="array" aca="1" ref="H85" ca="1">INDIRECT(""&amp;$D85&amp;"!R"&amp;H$142&amp;"C"&amp;H$143,FALSE)</f>
        <v>1.9807692307692308</v>
      </c>
      <c r="I85" s="235" cm="1">
        <f t="array" aca="1" ref="I85" ca="1">INDIRECT(""&amp;$D85&amp;"!R"&amp;I$142&amp;"C"&amp;I$143,FALSE)</f>
        <v>1.1000000000000001</v>
      </c>
      <c r="J85" s="99" cm="1">
        <f t="array" aca="1" ref="J85" ca="1">INDIRECT(""&amp;$D85&amp;"!R"&amp;J$142&amp;"C"&amp;J$143,FALSE)</f>
        <v>1.6658576059412267</v>
      </c>
      <c r="K85" s="262">
        <f ca="1">$J85*(1+INDEX(Methodology!$B$26:$E$31,MATCH($F85,Methodology!$B$26:$B$31,0),MATCH(L$5,Methodology!$B$26:$E$26,0)))</f>
        <v>1.999029127129472</v>
      </c>
      <c r="L85" s="261">
        <f ca="1">$H85*(1+INDEX(Methodology!$B$26:$E$31,MATCH($F85,Methodology!$B$26:$B$31,0),MATCH(L$5,Methodology!$B$26:$E$26,0)))</f>
        <v>2.3769230769230769</v>
      </c>
      <c r="M85" s="234" cm="1">
        <f t="array" aca="1" ref="M85" ca="1">INDIRECT(""&amp;$D85&amp;"!R"&amp;M$142&amp;"C"&amp;M$143,FALSE)</f>
        <v>1.9807692307692308</v>
      </c>
      <c r="N85" s="234" cm="1">
        <f t="array" aca="1" ref="N85" ca="1">INDIRECT(""&amp;$D85&amp;"!R"&amp;N$142&amp;"C"&amp;N$143,FALSE)</f>
        <v>1.1000000000000001</v>
      </c>
      <c r="O85" s="231" cm="1">
        <f t="array" aca="1" ref="O85" ca="1">INDIRECT(""&amp;$D85&amp;"!R"&amp;O$142&amp;"C"&amp;O$143,FALSE)</f>
        <v>1.6658576059412267</v>
      </c>
      <c r="P85" s="265">
        <f ca="1">$O85*(1+INDEX(Methodology!$B$26:$E$31,MATCH($F85,Methodology!$B$26:$B$31,0),MATCH(Q$5,Methodology!$B$26:$E$26,0)))</f>
        <v>1.999029127129472</v>
      </c>
      <c r="Q85" s="266">
        <f ca="1">$M85*(1+INDEX(Methodology!$B$26:$E$31,MATCH($F85,Methodology!$B$26:$B$31,0),MATCH(Q$5,Methodology!$B$26:$E$26,0)))</f>
        <v>2.3769230769230769</v>
      </c>
      <c r="R85" s="199"/>
      <c r="S85" s="63" cm="1">
        <f t="array" aca="1" ref="S85" ca="1">INDIRECT(""&amp;$D85&amp;"!R"&amp;S$142&amp;"C"&amp;S$143,FALSE)</f>
        <v>0</v>
      </c>
      <c r="T85" s="62" cm="1">
        <f t="array" aca="1" ref="T85" ca="1">INDIRECT(""&amp;$D85&amp;"!R"&amp;T$142&amp;"C"&amp;T$143,FALSE)</f>
        <v>0</v>
      </c>
      <c r="U85" s="265">
        <f ca="1">$T85*(1+INDEX(Methodology!$B$26:$E$31,MATCH($F85,Methodology!$B$26:$B$31,0),MATCH(V$5,Methodology!$B$26:$E$26,0)))</f>
        <v>0</v>
      </c>
      <c r="V85" s="261">
        <f ca="1">$S85*(1+INDEX(Methodology!$B$26:$E$31,MATCH($F85,Methodology!$B$26:$B$31,0),MATCH(V$5,Methodology!$B$26:$E$26,0)))</f>
        <v>0</v>
      </c>
      <c r="W85" s="63" cm="1">
        <f t="array" aca="1" ref="W85" ca="1">INDIRECT(""&amp;$D85&amp;"!R"&amp;W$142&amp;"C"&amp;W$143,FALSE)</f>
        <v>0</v>
      </c>
      <c r="X85" s="62" cm="1">
        <f t="array" aca="1" ref="X85" ca="1">INDIRECT(""&amp;$D85&amp;"!R"&amp;X$142&amp;"C"&amp;X$143,FALSE)</f>
        <v>0</v>
      </c>
      <c r="Y85" s="265">
        <f ca="1">$X85*(1+INDEX(Methodology!$B$26:$E$31,MATCH($F85,Methodology!$B$26:$B$31,0),MATCH(Z$5,Methodology!$B$26:$E$26,0)))</f>
        <v>0</v>
      </c>
      <c r="Z85" s="261">
        <f t="shared" ca="1" si="6"/>
        <v>0</v>
      </c>
      <c r="AA85" s="199"/>
      <c r="AB85" s="10">
        <f t="shared" ca="1" si="7"/>
        <v>1</v>
      </c>
      <c r="AC85" s="190" t="str">
        <f t="shared" ca="1" si="8"/>
        <v>kg/kg</v>
      </c>
      <c r="AD85" s="213" t="str" cm="1">
        <f t="array" aca="1" ref="AD85" ca="1">IF(INDIRECT(""&amp;$D85&amp;"!R"&amp;AD$142&amp;"C"&amp;AD$143,FALSE)=0,"",INDIRECT(""&amp;$D85&amp;"!R"&amp;AD$142&amp;"C"&amp;AD$143,FALSE))</f>
        <v/>
      </c>
      <c r="AE85" s="214" t="str" cm="1">
        <f t="array" aca="1" ref="AE85" ca="1">IFERROR(IF(INDIRECT(""&amp;$D85&amp;"!R"&amp;AE$142&amp;"C"&amp;AE$143,FALSE)="Average (weighted)","Yes","No"),"")</f>
        <v>No</v>
      </c>
      <c r="AF85" s="96"/>
    </row>
    <row r="86" spans="1:32" ht="45" customHeight="1" x14ac:dyDescent="0.25">
      <c r="A86" s="66" t="s">
        <v>3989</v>
      </c>
      <c r="B86" s="1" t="s">
        <v>2512</v>
      </c>
      <c r="C86" s="193" t="str" cm="1">
        <f t="array" aca="1" ref="C86" ca="1">INDIRECT(""&amp;$D86&amp;"!R"&amp;C$142&amp;"C"&amp;C$143,FALSE)</f>
        <v>Glass used in windows, doors, curtain wall purposes. Including single, double and triple glazing units.</v>
      </c>
      <c r="D86" s="7" t="s">
        <v>2510</v>
      </c>
      <c r="E86" s="7" t="str" cm="1">
        <f t="array" aca="1" ref="E86" ca="1">INDIRECT(""&amp;$D86&amp;"!R"&amp;E$142&amp;"C"&amp;E$143,FALSE)</f>
        <v>kg</v>
      </c>
      <c r="F86" s="7" t="str" cm="1">
        <f t="array" aca="1" ref="F86" ca="1">INDIRECT(""&amp;$D86&amp;"!R"&amp;F$142&amp;"C"&amp;F$143,FALSE)</f>
        <v>Tier 4</v>
      </c>
      <c r="G86" s="188">
        <f ca="1">INDEX(Methodology!$B$26:$D$31,MATCH('EF Table_detail'!$F86,Methodology!$B$26:$B$31,0),MATCH('EF Table_detail'!$G$5,Methodology!$B$26:$D$26,0))</f>
        <v>1.2</v>
      </c>
      <c r="H86" s="237" cm="1">
        <f t="array" aca="1" ref="H86" ca="1">INDIRECT(""&amp;$D86&amp;"!R"&amp;H$142&amp;"C"&amp;H$143,FALSE)</f>
        <v>1.9807692307692308</v>
      </c>
      <c r="I86" s="235" cm="1">
        <f t="array" aca="1" ref="I86" ca="1">INDIRECT(""&amp;$D86&amp;"!R"&amp;I$142&amp;"C"&amp;I$143,FALSE)</f>
        <v>1.1000000000000001</v>
      </c>
      <c r="J86" s="99" cm="1">
        <f t="array" aca="1" ref="J86" ca="1">INDIRECT(""&amp;$D86&amp;"!R"&amp;J$142&amp;"C"&amp;J$143,FALSE)</f>
        <v>1.6658576059412267</v>
      </c>
      <c r="K86" s="262">
        <f ca="1">$J86*(1+INDEX(Methodology!$B$26:$E$31,MATCH($F86,Methodology!$B$26:$B$31,0),MATCH(L$5,Methodology!$B$26:$E$26,0)))</f>
        <v>1.999029127129472</v>
      </c>
      <c r="L86" s="261">
        <f ca="1">$H86*(1+INDEX(Methodology!$B$26:$E$31,MATCH($F86,Methodology!$B$26:$B$31,0),MATCH(L$5,Methodology!$B$26:$E$26,0)))</f>
        <v>2.3769230769230769</v>
      </c>
      <c r="M86" s="234" cm="1">
        <f t="array" aca="1" ref="M86" ca="1">INDIRECT(""&amp;$D86&amp;"!R"&amp;M$142&amp;"C"&amp;M$143,FALSE)</f>
        <v>1.9807692307692308</v>
      </c>
      <c r="N86" s="234" cm="1">
        <f t="array" aca="1" ref="N86" ca="1">INDIRECT(""&amp;$D86&amp;"!R"&amp;N$142&amp;"C"&amp;N$143,FALSE)</f>
        <v>1.1000000000000001</v>
      </c>
      <c r="O86" s="231" cm="1">
        <f t="array" aca="1" ref="O86" ca="1">INDIRECT(""&amp;$D86&amp;"!R"&amp;O$142&amp;"C"&amp;O$143,FALSE)</f>
        <v>1.6658576059412267</v>
      </c>
      <c r="P86" s="265">
        <f ca="1">$O86*(1+INDEX(Methodology!$B$26:$E$31,MATCH($F86,Methodology!$B$26:$B$31,0),MATCH(Q$5,Methodology!$B$26:$E$26,0)))</f>
        <v>1.999029127129472</v>
      </c>
      <c r="Q86" s="266">
        <f ca="1">$M86*(1+INDEX(Methodology!$B$26:$E$31,MATCH($F86,Methodology!$B$26:$B$31,0),MATCH(Q$5,Methodology!$B$26:$E$26,0)))</f>
        <v>2.3769230769230769</v>
      </c>
      <c r="R86" s="199"/>
      <c r="S86" s="63" cm="1">
        <f t="array" aca="1" ref="S86" ca="1">INDIRECT(""&amp;$D86&amp;"!R"&amp;S$142&amp;"C"&amp;S$143,FALSE)</f>
        <v>0</v>
      </c>
      <c r="T86" s="62" cm="1">
        <f t="array" aca="1" ref="T86" ca="1">INDIRECT(""&amp;$D86&amp;"!R"&amp;T$142&amp;"C"&amp;T$143,FALSE)</f>
        <v>0</v>
      </c>
      <c r="U86" s="265">
        <f ca="1">$T86*(1+INDEX(Methodology!$B$26:$E$31,MATCH($F86,Methodology!$B$26:$B$31,0),MATCH(V$5,Methodology!$B$26:$E$26,0)))</f>
        <v>0</v>
      </c>
      <c r="V86" s="261">
        <f ca="1">$S86*(1+INDEX(Methodology!$B$26:$E$31,MATCH($F86,Methodology!$B$26:$B$31,0),MATCH(V$5,Methodology!$B$26:$E$26,0)))</f>
        <v>0</v>
      </c>
      <c r="W86" s="63" cm="1">
        <f t="array" aca="1" ref="W86" ca="1">INDIRECT(""&amp;$D86&amp;"!R"&amp;W$142&amp;"C"&amp;W$143,FALSE)</f>
        <v>0</v>
      </c>
      <c r="X86" s="62" cm="1">
        <f t="array" aca="1" ref="X86" ca="1">INDIRECT(""&amp;$D86&amp;"!R"&amp;X$142&amp;"C"&amp;X$143,FALSE)</f>
        <v>0</v>
      </c>
      <c r="Y86" s="265">
        <f ca="1">$X86*(1+INDEX(Methodology!$B$26:$E$31,MATCH($F86,Methodology!$B$26:$B$31,0),MATCH(Z$5,Methodology!$B$26:$E$26,0)))</f>
        <v>0</v>
      </c>
      <c r="Z86" s="261">
        <f t="shared" ca="1" si="6"/>
        <v>0</v>
      </c>
      <c r="AA86" s="199"/>
      <c r="AB86" s="10">
        <f t="shared" ca="1" si="7"/>
        <v>1</v>
      </c>
      <c r="AC86" s="190" t="str">
        <f t="shared" ca="1" si="8"/>
        <v>kg/kg</v>
      </c>
      <c r="AD86" s="213" t="str" cm="1">
        <f t="array" aca="1" ref="AD86" ca="1">IF(INDIRECT(""&amp;$D86&amp;"!R"&amp;AD$142&amp;"C"&amp;AD$143,FALSE)=0,"",INDIRECT(""&amp;$D86&amp;"!R"&amp;AD$142&amp;"C"&amp;AD$143,FALSE))</f>
        <v/>
      </c>
      <c r="AE86" s="214" t="str" cm="1">
        <f t="array" aca="1" ref="AE86" ca="1">IFERROR(IF(INDIRECT(""&amp;$D86&amp;"!R"&amp;AE$142&amp;"C"&amp;AE$143,FALSE)="Average (weighted)","Yes","No"),"")</f>
        <v>No</v>
      </c>
      <c r="AF86" s="96"/>
    </row>
    <row r="87" spans="1:32" ht="45" customHeight="1" x14ac:dyDescent="0.25">
      <c r="A87" s="66" t="s">
        <v>3990</v>
      </c>
      <c r="B87" s="1" t="s">
        <v>180</v>
      </c>
      <c r="C87" s="193" t="str" cm="1">
        <f t="array" aca="1" ref="C87" ca="1">INDIRECT(""&amp;$D87&amp;"!R"&amp;C$142&amp;"C"&amp;C$143,FALSE)</f>
        <v xml:space="preserve">Extruded aluminium for use in construction. </v>
      </c>
      <c r="D87" s="7" t="s">
        <v>3971</v>
      </c>
      <c r="E87" s="7" t="str" cm="1">
        <f t="array" aca="1" ref="E87" ca="1">INDIRECT(""&amp;$D87&amp;"!R"&amp;E$142&amp;"C"&amp;E$143,FALSE)</f>
        <v>tonne</v>
      </c>
      <c r="F87" s="7" t="str" cm="1">
        <f t="array" aca="1" ref="F87" ca="1">INDIRECT(""&amp;$D87&amp;"!R"&amp;F$142&amp;"C"&amp;F$143,FALSE)</f>
        <v>Tier 2</v>
      </c>
      <c r="G87" s="188">
        <f ca="1">INDEX(Methodology!$B$26:$D$31,MATCH('EF Table_detail'!$F87,Methodology!$B$26:$B$31,0),MATCH('EF Table_detail'!$G$5,Methodology!$B$26:$D$26,0))</f>
        <v>1.05</v>
      </c>
      <c r="H87" s="237" cm="1">
        <f t="array" aca="1" ref="H87" ca="1">INDIRECT(""&amp;$D87&amp;"!R"&amp;H$142&amp;"C"&amp;H$143,FALSE)</f>
        <v>28800</v>
      </c>
      <c r="I87" s="235" cm="1">
        <f t="array" aca="1" ref="I87" ca="1">INDIRECT(""&amp;$D87&amp;"!R"&amp;I$142&amp;"C"&amp;I$143,FALSE)</f>
        <v>3494.15</v>
      </c>
      <c r="J87" s="99" cm="1">
        <f t="array" aca="1" ref="J87" ca="1">INDIRECT(""&amp;$D87&amp;"!R"&amp;J$142&amp;"C"&amp;J$143,FALSE)</f>
        <v>17399.67766304348</v>
      </c>
      <c r="K87" s="262">
        <f ca="1">$J87*(1+INDEX(Methodology!$B$26:$E$31,MATCH($F87,Methodology!$B$26:$B$31,0),MATCH(L$5,Methodology!$B$26:$E$26,0)))</f>
        <v>18269.661546195654</v>
      </c>
      <c r="L87" s="261">
        <f ca="1">$H87*(1+INDEX(Methodology!$B$26:$E$31,MATCH($F87,Methodology!$B$26:$B$31,0),MATCH(L$5,Methodology!$B$26:$E$26,0)))</f>
        <v>30240</v>
      </c>
      <c r="M87" s="234" cm="1">
        <f t="array" aca="1" ref="M87" ca="1">INDIRECT(""&amp;$D87&amp;"!R"&amp;M$142&amp;"C"&amp;M$143,FALSE)</f>
        <v>28.8</v>
      </c>
      <c r="N87" s="234" cm="1">
        <f t="array" aca="1" ref="N87" ca="1">INDIRECT(""&amp;$D87&amp;"!R"&amp;N$142&amp;"C"&amp;N$143,FALSE)</f>
        <v>3.4941500000000003</v>
      </c>
      <c r="O87" s="231" cm="1">
        <f t="array" aca="1" ref="O87" ca="1">INDIRECT(""&amp;$D87&amp;"!R"&amp;O$142&amp;"C"&amp;O$143,FALSE)</f>
        <v>17.399677663043477</v>
      </c>
      <c r="P87" s="265">
        <f ca="1">$O87*(1+INDEX(Methodology!$B$26:$E$31,MATCH($F87,Methodology!$B$26:$B$31,0),MATCH(Q$5,Methodology!$B$26:$E$26,0)))</f>
        <v>18.26966154619565</v>
      </c>
      <c r="Q87" s="266">
        <f ca="1">$M87*(1+INDEX(Methodology!$B$26:$E$31,MATCH($F87,Methodology!$B$26:$B$31,0),MATCH(Q$5,Methodology!$B$26:$E$26,0)))</f>
        <v>30.240000000000002</v>
      </c>
      <c r="R87" s="199"/>
      <c r="S87" s="63" cm="1">
        <f t="array" aca="1" ref="S87" ca="1">INDIRECT(""&amp;$D87&amp;"!R"&amp;S$142&amp;"C"&amp;S$143,FALSE)</f>
        <v>0</v>
      </c>
      <c r="T87" s="62" cm="1">
        <f t="array" aca="1" ref="T87" ca="1">INDIRECT(""&amp;$D87&amp;"!R"&amp;T$142&amp;"C"&amp;T$143,FALSE)</f>
        <v>0</v>
      </c>
      <c r="U87" s="265">
        <f ca="1">$T87*(1+INDEX(Methodology!$B$26:$E$31,MATCH($F87,Methodology!$B$26:$B$31,0),MATCH(V$5,Methodology!$B$26:$E$26,0)))</f>
        <v>0</v>
      </c>
      <c r="V87" s="261">
        <f ca="1">$S87*(1+INDEX(Methodology!$B$26:$E$31,MATCH($F87,Methodology!$B$26:$B$31,0),MATCH(V$5,Methodology!$B$26:$E$26,0)))</f>
        <v>0</v>
      </c>
      <c r="W87" s="63" cm="1">
        <f t="array" aca="1" ref="W87" ca="1">INDIRECT(""&amp;$D87&amp;"!R"&amp;W$142&amp;"C"&amp;W$143,FALSE)</f>
        <v>0</v>
      </c>
      <c r="X87" s="62" cm="1">
        <f t="array" aca="1" ref="X87" ca="1">INDIRECT(""&amp;$D87&amp;"!R"&amp;X$142&amp;"C"&amp;X$143,FALSE)</f>
        <v>0</v>
      </c>
      <c r="Y87" s="265">
        <f ca="1">$X87*(1+INDEX(Methodology!$B$26:$E$31,MATCH($F87,Methodology!$B$26:$B$31,0),MATCH(Z$5,Methodology!$B$26:$E$26,0)))</f>
        <v>0</v>
      </c>
      <c r="Z87" s="261">
        <f t="shared" ca="1" si="6"/>
        <v>0</v>
      </c>
      <c r="AA87" s="199"/>
      <c r="AB87" s="10">
        <f t="shared" ca="1" si="7"/>
        <v>1000.0000000000002</v>
      </c>
      <c r="AC87" s="190" t="str">
        <f t="shared" ca="1" si="8"/>
        <v>kg/tonne</v>
      </c>
      <c r="AD87" s="213" t="str" cm="1">
        <f t="array" aca="1" ref="AD87" ca="1">IF(INDIRECT(""&amp;$D87&amp;"!R"&amp;AD$142&amp;"C"&amp;AD$143,FALSE)=0,"",INDIRECT(""&amp;$D87&amp;"!R"&amp;AD$142&amp;"C"&amp;AD$143,FALSE))</f>
        <v/>
      </c>
      <c r="AE87" s="214" t="str" cm="1">
        <f t="array" aca="1" ref="AE87" ca="1">IFERROR(IF(INDIRECT(""&amp;$D87&amp;"!R"&amp;AE$142&amp;"C"&amp;AE$143,FALSE)="Average (weighted)","Yes","No"),"")</f>
        <v>Yes</v>
      </c>
      <c r="AF87" s="96"/>
    </row>
    <row r="88" spans="1:32" ht="45" customHeight="1" x14ac:dyDescent="0.25">
      <c r="A88" s="66" t="s">
        <v>3990</v>
      </c>
      <c r="B88" s="69" t="s">
        <v>3991</v>
      </c>
      <c r="C88" s="193" t="str" cm="1">
        <f t="array" aca="1" ref="C88" ca="1">INDIRECT(""&amp;$D88&amp;"!R"&amp;C$142&amp;"C"&amp;C$143,FALSE)</f>
        <v>Extruded aluminium (powder coated) for use in construction</v>
      </c>
      <c r="D88" s="7" t="s">
        <v>3975</v>
      </c>
      <c r="E88" s="7" t="str" cm="1">
        <f t="array" aca="1" ref="E88" ca="1">INDIRECT(""&amp;$D88&amp;"!R"&amp;E$142&amp;"C"&amp;E$143,FALSE)</f>
        <v>tonne</v>
      </c>
      <c r="F88" s="7" t="str" cm="1">
        <f t="array" aca="1" ref="F88" ca="1">INDIRECT(""&amp;$D88&amp;"!R"&amp;F$142&amp;"C"&amp;F$143,FALSE)</f>
        <v>Tier 2</v>
      </c>
      <c r="G88" s="188">
        <f ca="1">INDEX(Methodology!$B$26:$D$31,MATCH('EF Table_detail'!$F88,Methodology!$B$26:$B$31,0),MATCH('EF Table_detail'!$G$5,Methodology!$B$26:$D$26,0))</f>
        <v>1.05</v>
      </c>
      <c r="H88" s="237" cm="1">
        <f t="array" aca="1" ref="H88" ca="1">INDIRECT(""&amp;$D88&amp;"!R"&amp;H$142&amp;"C"&amp;H$143,FALSE)</f>
        <v>30460</v>
      </c>
      <c r="I88" s="235" cm="1">
        <f t="array" aca="1" ref="I88" ca="1">INDIRECT(""&amp;$D88&amp;"!R"&amp;I$142&amp;"C"&amp;I$143,FALSE)</f>
        <v>5154.1500000000005</v>
      </c>
      <c r="J88" s="99" cm="1">
        <f t="array" aca="1" ref="J88" ca="1">INDIRECT(""&amp;$D88&amp;"!R"&amp;J$142&amp;"C"&amp;J$143,FALSE)</f>
        <v>18229.677663043476</v>
      </c>
      <c r="K88" s="262">
        <f ca="1">$J88*(1+INDEX(Methodology!$B$26:$E$31,MATCH($F88,Methodology!$B$26:$B$31,0),MATCH(L$5,Methodology!$B$26:$E$26,0)))</f>
        <v>19141.16154619565</v>
      </c>
      <c r="L88" s="261">
        <f ca="1">$H88*(1+INDEX(Methodology!$B$26:$E$31,MATCH($F88,Methodology!$B$26:$B$31,0),MATCH(L$5,Methodology!$B$26:$E$26,0)))</f>
        <v>31983</v>
      </c>
      <c r="M88" s="234" cm="1">
        <f t="array" aca="1" ref="M88" ca="1">INDIRECT(""&amp;$D88&amp;"!R"&amp;M$142&amp;"C"&amp;M$143,FALSE)</f>
        <v>30.46</v>
      </c>
      <c r="N88" s="234" cm="1">
        <f t="array" aca="1" ref="N88" ca="1">INDIRECT(""&amp;$D88&amp;"!R"&amp;N$142&amp;"C"&amp;N$143,FALSE)</f>
        <v>5.1541500000000005</v>
      </c>
      <c r="O88" s="231" cm="1">
        <f t="array" aca="1" ref="O88" ca="1">INDIRECT(""&amp;$D88&amp;"!R"&amp;O$142&amp;"C"&amp;O$143,FALSE)</f>
        <v>18.229677663043478</v>
      </c>
      <c r="P88" s="265">
        <f ca="1">$O88*(1+INDEX(Methodology!$B$26:$E$31,MATCH($F88,Methodology!$B$26:$B$31,0),MATCH(Q$5,Methodology!$B$26:$E$26,0)))</f>
        <v>19.141161546195654</v>
      </c>
      <c r="Q88" s="266">
        <f ca="1">$M88*(1+INDEX(Methodology!$B$26:$E$31,MATCH($F88,Methodology!$B$26:$B$31,0),MATCH(Q$5,Methodology!$B$26:$E$26,0)))</f>
        <v>31.983000000000001</v>
      </c>
      <c r="R88" s="199"/>
      <c r="S88" s="63" cm="1">
        <f t="array" aca="1" ref="S88" ca="1">INDIRECT(""&amp;$D88&amp;"!R"&amp;S$142&amp;"C"&amp;S$143,FALSE)</f>
        <v>0</v>
      </c>
      <c r="T88" s="62" cm="1">
        <f t="array" aca="1" ref="T88" ca="1">INDIRECT(""&amp;$D88&amp;"!R"&amp;T$142&amp;"C"&amp;T$143,FALSE)</f>
        <v>0</v>
      </c>
      <c r="U88" s="265">
        <f ca="1">$T88*(1+INDEX(Methodology!$B$26:$E$31,MATCH($F88,Methodology!$B$26:$B$31,0),MATCH(V$5,Methodology!$B$26:$E$26,0)))</f>
        <v>0</v>
      </c>
      <c r="V88" s="261">
        <f ca="1">$S88*(1+INDEX(Methodology!$B$26:$E$31,MATCH($F88,Methodology!$B$26:$B$31,0),MATCH(V$5,Methodology!$B$26:$E$26,0)))</f>
        <v>0</v>
      </c>
      <c r="W88" s="63" cm="1">
        <f t="array" aca="1" ref="W88" ca="1">INDIRECT(""&amp;$D88&amp;"!R"&amp;W$142&amp;"C"&amp;W$143,FALSE)</f>
        <v>0</v>
      </c>
      <c r="X88" s="62" cm="1">
        <f t="array" aca="1" ref="X88" ca="1">INDIRECT(""&amp;$D88&amp;"!R"&amp;X$142&amp;"C"&amp;X$143,FALSE)</f>
        <v>0</v>
      </c>
      <c r="Y88" s="265">
        <f ca="1">$X88*(1+INDEX(Methodology!$B$26:$E$31,MATCH($F88,Methodology!$B$26:$B$31,0),MATCH(Z$5,Methodology!$B$26:$E$26,0)))</f>
        <v>0</v>
      </c>
      <c r="Z88" s="261">
        <f t="shared" ca="1" si="6"/>
        <v>0</v>
      </c>
      <c r="AA88" s="199"/>
      <c r="AB88" s="10">
        <f ca="1">IFERROR(J88/O88,"")</f>
        <v>999.99999999999989</v>
      </c>
      <c r="AC88" s="190" t="str">
        <f t="shared" ca="1" si="8"/>
        <v>kg/tonne</v>
      </c>
      <c r="AD88" s="213" t="str" cm="1">
        <f t="array" aca="1" ref="AD88" ca="1">IF(INDIRECT(""&amp;$D88&amp;"!R"&amp;AD$142&amp;"C"&amp;AD$143,FALSE)=0,"",INDIRECT(""&amp;$D88&amp;"!R"&amp;AD$142&amp;"C"&amp;AD$143,FALSE))</f>
        <v>Using EFs determined in aluminium_extruded than multiplying by a factor for powder coating as determined using additional data. Note this material category is to act as a proxy for polyvinylidene fluoride coating (PVDF coating).</v>
      </c>
      <c r="AE88" s="214" t="str" cm="1">
        <f t="array" aca="1" ref="AE88" ca="1">IFERROR(IF(INDIRECT(""&amp;$D88&amp;"!R"&amp;AE$142&amp;"C"&amp;AE$143,FALSE)="Average (weighted)","Yes","No"),"")</f>
        <v>Yes</v>
      </c>
      <c r="AF88" s="96"/>
    </row>
    <row r="89" spans="1:32" ht="45" customHeight="1" x14ac:dyDescent="0.25">
      <c r="A89" s="66" t="s">
        <v>3990</v>
      </c>
      <c r="B89" s="69" t="s">
        <v>3992</v>
      </c>
      <c r="C89" s="193" t="str" cm="1">
        <f t="array" aca="1" ref="C89" ca="1">INDIRECT(""&amp;$D89&amp;"!R"&amp;C$142&amp;"C"&amp;C$143,FALSE)</f>
        <v>Extruded aluminium (anodised) for use in construction</v>
      </c>
      <c r="D89" s="66" t="s">
        <v>3993</v>
      </c>
      <c r="E89" s="7" t="str" cm="1">
        <f t="array" aca="1" ref="E89" ca="1">INDIRECT(""&amp;$D89&amp;"!R"&amp;E$142&amp;"C"&amp;E$143,FALSE)</f>
        <v>tonne</v>
      </c>
      <c r="F89" s="7" t="str" cm="1">
        <f t="array" aca="1" ref="F89" ca="1">INDIRECT(""&amp;$D89&amp;"!R"&amp;F$142&amp;"C"&amp;F$143,FALSE)</f>
        <v>Tier 2</v>
      </c>
      <c r="G89" s="188">
        <f ca="1">INDEX(Methodology!$B$26:$D$31,MATCH('EF Table_detail'!$F89,Methodology!$B$26:$B$31,0),MATCH('EF Table_detail'!$G$5,Methodology!$B$26:$D$26,0))</f>
        <v>1.05</v>
      </c>
      <c r="H89" s="237" cm="1">
        <f t="array" aca="1" ref="H89" ca="1">INDIRECT(""&amp;$D89&amp;"!R"&amp;H$142&amp;"C"&amp;H$143,FALSE)</f>
        <v>32600</v>
      </c>
      <c r="I89" s="235" cm="1">
        <f t="array" aca="1" ref="I89" ca="1">INDIRECT(""&amp;$D89&amp;"!R"&amp;I$142&amp;"C"&amp;I$143,FALSE)</f>
        <v>7294.1500000000015</v>
      </c>
      <c r="J89" s="99" cm="1">
        <f t="array" aca="1" ref="J89" ca="1">INDIRECT(""&amp;$D89&amp;"!R"&amp;J$142&amp;"C"&amp;J$143,FALSE)</f>
        <v>19299.677663043476</v>
      </c>
      <c r="K89" s="262">
        <f ca="1">$J89*(1+INDEX(Methodology!$B$26:$E$31,MATCH($F89,Methodology!$B$26:$B$31,0),MATCH(L$5,Methodology!$B$26:$E$26,0)))</f>
        <v>20264.66154619565</v>
      </c>
      <c r="L89" s="261">
        <f ca="1">$H89*(1+INDEX(Methodology!$B$26:$E$31,MATCH($F89,Methodology!$B$26:$B$31,0),MATCH(L$5,Methodology!$B$26:$E$26,0)))</f>
        <v>34230</v>
      </c>
      <c r="M89" s="234" cm="1">
        <f t="array" aca="1" ref="M89" ca="1">INDIRECT(""&amp;$D89&amp;"!R"&amp;M$142&amp;"C"&amp;M$143,FALSE)</f>
        <v>32.6</v>
      </c>
      <c r="N89" s="234" cm="1">
        <f t="array" aca="1" ref="N89" ca="1">INDIRECT(""&amp;$D89&amp;"!R"&amp;N$142&amp;"C"&amp;N$143,FALSE)</f>
        <v>7.294150000000001</v>
      </c>
      <c r="O89" s="231" cm="1">
        <f t="array" aca="1" ref="O89" ca="1">INDIRECT(""&amp;$D89&amp;"!R"&amp;O$142&amp;"C"&amp;O$143,FALSE)</f>
        <v>19.299677663043479</v>
      </c>
      <c r="P89" s="265">
        <f ca="1">$O89*(1+INDEX(Methodology!$B$26:$E$31,MATCH($F89,Methodology!$B$26:$B$31,0),MATCH(Q$5,Methodology!$B$26:$E$26,0)))</f>
        <v>20.264661546195654</v>
      </c>
      <c r="Q89" s="266">
        <f ca="1">$M89*(1+INDEX(Methodology!$B$26:$E$31,MATCH($F89,Methodology!$B$26:$B$31,0),MATCH(Q$5,Methodology!$B$26:$E$26,0)))</f>
        <v>34.230000000000004</v>
      </c>
      <c r="R89" s="199"/>
      <c r="S89" s="63" cm="1">
        <f t="array" aca="1" ref="S89" ca="1">INDIRECT(""&amp;$D89&amp;"!R"&amp;S$142&amp;"C"&amp;S$143,FALSE)</f>
        <v>0</v>
      </c>
      <c r="T89" s="62" cm="1">
        <f t="array" aca="1" ref="T89" ca="1">INDIRECT(""&amp;$D89&amp;"!R"&amp;T$142&amp;"C"&amp;T$143,FALSE)</f>
        <v>0</v>
      </c>
      <c r="U89" s="265">
        <f ca="1">$T89*(1+INDEX(Methodology!$B$26:$E$31,MATCH($F89,Methodology!$B$26:$B$31,0),MATCH(V$5,Methodology!$B$26:$E$26,0)))</f>
        <v>0</v>
      </c>
      <c r="V89" s="261">
        <f ca="1">$S89*(1+INDEX(Methodology!$B$26:$E$31,MATCH($F89,Methodology!$B$26:$B$31,0),MATCH(V$5,Methodology!$B$26:$E$26,0)))</f>
        <v>0</v>
      </c>
      <c r="W89" s="63" cm="1">
        <f t="array" aca="1" ref="W89" ca="1">INDIRECT(""&amp;$D89&amp;"!R"&amp;W$142&amp;"C"&amp;W$143,FALSE)</f>
        <v>0</v>
      </c>
      <c r="X89" s="62" cm="1">
        <f t="array" aca="1" ref="X89" ca="1">INDIRECT(""&amp;$D89&amp;"!R"&amp;X$142&amp;"C"&amp;X$143,FALSE)</f>
        <v>0</v>
      </c>
      <c r="Y89" s="265">
        <f ca="1">$X89*(1+INDEX(Methodology!$B$26:$E$31,MATCH($F89,Methodology!$B$26:$B$31,0),MATCH(Z$5,Methodology!$B$26:$E$26,0)))</f>
        <v>0</v>
      </c>
      <c r="Z89" s="261">
        <f t="shared" ca="1" si="6"/>
        <v>0</v>
      </c>
      <c r="AA89" s="199"/>
      <c r="AB89" s="10">
        <f t="shared" ca="1" si="7"/>
        <v>999.99999999999989</v>
      </c>
      <c r="AC89" s="190" t="str">
        <f t="shared" ca="1" si="8"/>
        <v>kg/tonne</v>
      </c>
      <c r="AD89" s="213" t="str" cm="1">
        <f t="array" aca="1" ref="AD89" ca="1">IF(INDIRECT(""&amp;$D89&amp;"!R"&amp;AD$142&amp;"C"&amp;AD$143,FALSE)=0,"",INDIRECT(""&amp;$D89&amp;"!R"&amp;AD$142&amp;"C"&amp;AD$143,FALSE))</f>
        <v>Using EFs determined in aluminium_extruded than multiplying by a factor for powder coating as determined using additional data.</v>
      </c>
      <c r="AE89" s="214" t="str" cm="1">
        <f t="array" aca="1" ref="AE89" ca="1">IFERROR(IF(INDIRECT(""&amp;$D89&amp;"!R"&amp;AE$142&amp;"C"&amp;AE$143,FALSE)="Average (weighted)","Yes","No"),"")</f>
        <v>Yes</v>
      </c>
      <c r="AF89" s="96"/>
    </row>
    <row r="90" spans="1:32" ht="45" customHeight="1" x14ac:dyDescent="0.25">
      <c r="A90" s="66" t="s">
        <v>3994</v>
      </c>
      <c r="B90" s="69" t="s">
        <v>3995</v>
      </c>
      <c r="C90" s="193" t="str" cm="1">
        <f t="array" aca="1" ref="C90" ca="1">INDIRECT(""&amp;$D90&amp;"!R"&amp;C$142&amp;"C"&amp;C$143,FALSE)</f>
        <v>Concrete brick or block i.e. cinder block or concrete finishing brick used in masonry. Not including any core fill material or reinforcing.</v>
      </c>
      <c r="D90" s="66" t="s">
        <v>3900</v>
      </c>
      <c r="E90" s="7" t="str" cm="1">
        <f t="array" aca="1" ref="E90" ca="1">INDIRECT(""&amp;$D90&amp;"!R"&amp;E$142&amp;"C"&amp;E$143,FALSE)</f>
        <v>tonne</v>
      </c>
      <c r="F90" s="7" t="str" cm="1">
        <f t="array" aca="1" ref="F90" ca="1">INDIRECT(""&amp;$D90&amp;"!R"&amp;F$142&amp;"C"&amp;F$143,FALSE)</f>
        <v>Tier 3</v>
      </c>
      <c r="G90" s="188">
        <f ca="1">INDEX(Methodology!$B$26:$D$31,MATCH('EF Table_detail'!$F90,Methodology!$B$26:$B$31,0),MATCH('EF Table_detail'!$G$5,Methodology!$B$26:$D$26,0))</f>
        <v>1.1000000000000001</v>
      </c>
      <c r="H90" s="237" cm="1">
        <f t="array" aca="1" ref="H90" ca="1">INDIRECT(""&amp;$D90&amp;"!R"&amp;H$142&amp;"C"&amp;H$143,FALSE)</f>
        <v>240.39</v>
      </c>
      <c r="I90" s="235" cm="1">
        <f t="array" aca="1" ref="I90" ca="1">INDIRECT(""&amp;$D90&amp;"!R"&amp;I$142&amp;"C"&amp;I$143,FALSE)</f>
        <v>111.67</v>
      </c>
      <c r="J90" s="99" cm="1">
        <f t="array" aca="1" ref="J90" ca="1">INDIRECT(""&amp;$D90&amp;"!R"&amp;J$142&amp;"C"&amp;J$143,FALSE)</f>
        <v>158.68923076923076</v>
      </c>
      <c r="K90" s="262">
        <f ca="1">$J90*(1+INDEX(Methodology!$B$26:$E$31,MATCH($F90,Methodology!$B$26:$B$31,0),MATCH(L$5,Methodology!$B$26:$E$26,0)))</f>
        <v>174.55815384615386</v>
      </c>
      <c r="L90" s="261">
        <f ca="1">$H90*(1+INDEX(Methodology!$B$26:$E$31,MATCH($F90,Methodology!$B$26:$B$31,0),MATCH(L$5,Methodology!$B$26:$E$26,0)))</f>
        <v>264.42900000000003</v>
      </c>
      <c r="M90" s="234" cm="1">
        <f t="array" aca="1" ref="M90" ca="1">INDIRECT(""&amp;$D90&amp;"!R"&amp;M$142&amp;"C"&amp;M$143,FALSE)</f>
        <v>0.24038999999999999</v>
      </c>
      <c r="N90" s="234" cm="1">
        <f t="array" aca="1" ref="N90" ca="1">INDIRECT(""&amp;$D90&amp;"!R"&amp;N$142&amp;"C"&amp;N$143,FALSE)</f>
        <v>0.11167000000000001</v>
      </c>
      <c r="O90" s="231" cm="1">
        <f t="array" aca="1" ref="O90" ca="1">INDIRECT(""&amp;$D90&amp;"!R"&amp;O$142&amp;"C"&amp;O$143,FALSE)</f>
        <v>0.1586892307692308</v>
      </c>
      <c r="P90" s="265">
        <f ca="1">$O90*(1+INDEX(Methodology!$B$26:$E$31,MATCH($F90,Methodology!$B$26:$B$31,0),MATCH(Q$5,Methodology!$B$26:$E$26,0)))</f>
        <v>0.17455815384615389</v>
      </c>
      <c r="Q90" s="266">
        <f ca="1">$M90*(1+INDEX(Methodology!$B$26:$E$31,MATCH($F90,Methodology!$B$26:$B$31,0),MATCH(Q$5,Methodology!$B$26:$E$26,0)))</f>
        <v>0.26442900000000003</v>
      </c>
      <c r="R90" s="199"/>
      <c r="S90" s="63" cm="1">
        <f t="array" aca="1" ref="S90" ca="1">INDIRECT(""&amp;$D90&amp;"!R"&amp;S$142&amp;"C"&amp;S$143,FALSE)</f>
        <v>0</v>
      </c>
      <c r="T90" s="62" cm="1">
        <f t="array" aca="1" ref="T90" ca="1">INDIRECT(""&amp;$D90&amp;"!R"&amp;T$142&amp;"C"&amp;T$143,FALSE)</f>
        <v>0</v>
      </c>
      <c r="U90" s="265">
        <f ca="1">$T90*(1+INDEX(Methodology!$B$26:$E$31,MATCH($F90,Methodology!$B$26:$B$31,0),MATCH(V$5,Methodology!$B$26:$E$26,0)))</f>
        <v>0</v>
      </c>
      <c r="V90" s="261">
        <f ca="1">$S90*(1+INDEX(Methodology!$B$26:$E$31,MATCH($F90,Methodology!$B$26:$B$31,0),MATCH(V$5,Methodology!$B$26:$E$26,0)))</f>
        <v>0</v>
      </c>
      <c r="W90" s="63" cm="1">
        <f t="array" aca="1" ref="W90" ca="1">INDIRECT(""&amp;$D90&amp;"!R"&amp;W$142&amp;"C"&amp;W$143,FALSE)</f>
        <v>0</v>
      </c>
      <c r="X90" s="62" cm="1">
        <f t="array" aca="1" ref="X90" ca="1">INDIRECT(""&amp;$D90&amp;"!R"&amp;X$142&amp;"C"&amp;X$143,FALSE)</f>
        <v>0</v>
      </c>
      <c r="Y90" s="265">
        <f ca="1">$X90*(1+INDEX(Methodology!$B$26:$E$31,MATCH($F90,Methodology!$B$26:$B$31,0),MATCH(Z$5,Methodology!$B$26:$E$26,0)))</f>
        <v>0</v>
      </c>
      <c r="Z90" s="261">
        <f t="shared" ca="1" si="6"/>
        <v>0</v>
      </c>
      <c r="AA90" s="199"/>
      <c r="AB90" s="10">
        <f t="shared" ca="1" si="7"/>
        <v>999.99999999999977</v>
      </c>
      <c r="AC90" s="190" t="str">
        <f t="shared" ca="1" si="8"/>
        <v>kg/tonne</v>
      </c>
      <c r="AD90" s="213" t="str" cm="1">
        <f t="array" aca="1" ref="AD90" ca="1">IF(INDIRECT(""&amp;$D90&amp;"!R"&amp;AD$142&amp;"C"&amp;AD$143,FALSE)=0,"",INDIRECT(""&amp;$D90&amp;"!R"&amp;AD$142&amp;"C"&amp;AD$143,FALSE))</f>
        <v>Not including any core fill material or reinforcing.</v>
      </c>
      <c r="AE90" s="214" t="str" cm="1">
        <f t="array" aca="1" ref="AE90" ca="1">IFERROR(IF(INDIRECT(""&amp;$D90&amp;"!R"&amp;AE$142&amp;"C"&amp;AE$143,FALSE)="Average (weighted)","Yes","No"),"")</f>
        <v>No</v>
      </c>
      <c r="AF90" s="96"/>
    </row>
    <row r="91" spans="1:32" ht="45" customHeight="1" x14ac:dyDescent="0.25">
      <c r="A91" s="66" t="s">
        <v>3994</v>
      </c>
      <c r="B91" s="69" t="s">
        <v>3474</v>
      </c>
      <c r="C91" s="193" t="str" cm="1">
        <f t="array" aca="1" ref="C91" ca="1">INDIRECT(""&amp;$D91&amp;"!R"&amp;C$142&amp;"C"&amp;C$143,FALSE)</f>
        <v xml:space="preserve">Ceramic tiles (wall and floor) and pavers including porcelain tiles </v>
      </c>
      <c r="D91" s="66" t="s">
        <v>3996</v>
      </c>
      <c r="E91" s="7" t="str" cm="1">
        <f t="array" aca="1" ref="E91" ca="1">INDIRECT(""&amp;$D91&amp;"!R"&amp;E$142&amp;"C"&amp;E$143,FALSE)</f>
        <v>kg</v>
      </c>
      <c r="F91" s="7" t="str" cm="1">
        <f t="array" aca="1" ref="F91" ca="1">INDIRECT(""&amp;$D91&amp;"!R"&amp;F$142&amp;"C"&amp;F$143,FALSE)</f>
        <v>Tier 4</v>
      </c>
      <c r="G91" s="188">
        <f ca="1">INDEX(Methodology!$B$26:$D$31,MATCH('EF Table_detail'!$F91,Methodology!$B$26:$B$31,0),MATCH('EF Table_detail'!$G$5,Methodology!$B$26:$D$26,0))</f>
        <v>1.2</v>
      </c>
      <c r="H91" s="236" cm="1">
        <f t="array" aca="1" ref="H91" ca="1">INDIRECT(""&amp;$D91&amp;"!R"&amp;H$142&amp;"C"&amp;H$143,FALSE)</f>
        <v>0.81991020408163273</v>
      </c>
      <c r="I91" s="234" cm="1">
        <f t="array" aca="1" ref="I91" ca="1">INDIRECT(""&amp;$D91&amp;"!R"&amp;I$142&amp;"C"&amp;I$143,FALSE)</f>
        <v>0.30824699999999999</v>
      </c>
      <c r="J91" s="231" cm="1">
        <f t="array" aca="1" ref="J91" ca="1">INDIRECT(""&amp;$D91&amp;"!R"&amp;J$142&amp;"C"&amp;J$143,FALSE)</f>
        <v>0.58107269306953557</v>
      </c>
      <c r="K91" s="262">
        <f ca="1">$J91*(1+INDEX(Methodology!$B$26:$E$31,MATCH($F91,Methodology!$B$26:$B$31,0),MATCH(L$5,Methodology!$B$26:$E$26,0)))</f>
        <v>0.69728723168344264</v>
      </c>
      <c r="L91" s="261">
        <f ca="1">$H91*(1+INDEX(Methodology!$B$26:$E$31,MATCH($F91,Methodology!$B$26:$B$31,0),MATCH(L$5,Methodology!$B$26:$E$26,0)))</f>
        <v>0.98389224489795923</v>
      </c>
      <c r="M91" s="234" cm="1">
        <f t="array" aca="1" ref="M91" ca="1">INDIRECT(""&amp;$D91&amp;"!R"&amp;M$142&amp;"C"&amp;M$143,FALSE)</f>
        <v>0.81991020408163273</v>
      </c>
      <c r="N91" s="234" cm="1">
        <f t="array" aca="1" ref="N91" ca="1">INDIRECT(""&amp;$D91&amp;"!R"&amp;N$142&amp;"C"&amp;N$143,FALSE)</f>
        <v>0.30824699999999999</v>
      </c>
      <c r="O91" s="231" cm="1">
        <f t="array" aca="1" ref="O91" ca="1">INDIRECT(""&amp;$D91&amp;"!R"&amp;O$142&amp;"C"&amp;O$143,FALSE)</f>
        <v>0.58107269306953557</v>
      </c>
      <c r="P91" s="265">
        <f ca="1">$O91*(1+INDEX(Methodology!$B$26:$E$31,MATCH($F91,Methodology!$B$26:$B$31,0),MATCH(Q$5,Methodology!$B$26:$E$26,0)))</f>
        <v>0.69728723168344264</v>
      </c>
      <c r="Q91" s="266">
        <f ca="1">$M91*(1+INDEX(Methodology!$B$26:$E$31,MATCH($F91,Methodology!$B$26:$B$31,0),MATCH(Q$5,Methodology!$B$26:$E$26,0)))</f>
        <v>0.98389224489795923</v>
      </c>
      <c r="R91" s="199"/>
      <c r="S91" s="63" cm="1">
        <f t="array" aca="1" ref="S91" ca="1">INDIRECT(""&amp;$D91&amp;"!R"&amp;S$142&amp;"C"&amp;S$143,FALSE)</f>
        <v>0</v>
      </c>
      <c r="T91" s="62" cm="1">
        <f t="array" aca="1" ref="T91" ca="1">INDIRECT(""&amp;$D91&amp;"!R"&amp;T$142&amp;"C"&amp;T$143,FALSE)</f>
        <v>0</v>
      </c>
      <c r="U91" s="265">
        <f ca="1">$T91*(1+INDEX(Methodology!$B$26:$E$31,MATCH($F91,Methodology!$B$26:$B$31,0),MATCH(V$5,Methodology!$B$26:$E$26,0)))</f>
        <v>0</v>
      </c>
      <c r="V91" s="261">
        <f ca="1">$S91*(1+INDEX(Methodology!$B$26:$E$31,MATCH($F91,Methodology!$B$26:$B$31,0),MATCH(V$5,Methodology!$B$26:$E$26,0)))</f>
        <v>0</v>
      </c>
      <c r="W91" s="63" cm="1">
        <f t="array" aca="1" ref="W91" ca="1">INDIRECT(""&amp;$D91&amp;"!R"&amp;W$142&amp;"C"&amp;W$143,FALSE)</f>
        <v>0</v>
      </c>
      <c r="X91" s="62" cm="1">
        <f t="array" aca="1" ref="X91" ca="1">INDIRECT(""&amp;$D91&amp;"!R"&amp;X$142&amp;"C"&amp;X$143,FALSE)</f>
        <v>0</v>
      </c>
      <c r="Y91" s="265">
        <f ca="1">$X91*(1+INDEX(Methodology!$B$26:$E$31,MATCH($F91,Methodology!$B$26:$B$31,0),MATCH(Z$5,Methodology!$B$26:$E$26,0)))</f>
        <v>0</v>
      </c>
      <c r="Z91" s="261">
        <f t="shared" ca="1" si="6"/>
        <v>0</v>
      </c>
      <c r="AA91" s="199"/>
      <c r="AB91" s="10">
        <f t="shared" ca="1" si="7"/>
        <v>1</v>
      </c>
      <c r="AC91" s="190" t="str">
        <f t="shared" ca="1" si="8"/>
        <v>kg/kg</v>
      </c>
      <c r="AD91" s="213" t="str" cm="1">
        <f t="array" aca="1" ref="AD91" ca="1">IF(INDIRECT(""&amp;$D91&amp;"!R"&amp;AD$142&amp;"C"&amp;AD$143,FALSE)=0,"",INDIRECT(""&amp;$D91&amp;"!R"&amp;AD$142&amp;"C"&amp;AD$143,FALSE))</f>
        <v/>
      </c>
      <c r="AE91" s="214" t="str" cm="1">
        <f t="array" aca="1" ref="AE91" ca="1">IFERROR(IF(INDIRECT(""&amp;$D91&amp;"!R"&amp;AE$142&amp;"C"&amp;AE$143,FALSE)="Average (weighted)","Yes","No"),"")</f>
        <v>No</v>
      </c>
      <c r="AF91" s="96"/>
    </row>
    <row r="92" spans="1:32" ht="45" customHeight="1" x14ac:dyDescent="0.25">
      <c r="A92" s="66" t="s">
        <v>3994</v>
      </c>
      <c r="B92" s="69" t="s">
        <v>3997</v>
      </c>
      <c r="C92" s="193" t="str" cm="1">
        <f t="array" aca="1" ref="C92" ca="1">INDIRECT(""&amp;$D92&amp;"!R"&amp;C$142&amp;"C"&amp;C$143,FALSE)</f>
        <v>Stone tiles (wall and floor) and pavers including porcelain tiles, represented by granite and limestone quarry operations and surface preparation with stabilisation as needed.</v>
      </c>
      <c r="D92" s="66" t="s">
        <v>3944</v>
      </c>
      <c r="E92" s="7" t="str" cm="1">
        <f t="array" aca="1" ref="E92" ca="1">INDIRECT(""&amp;$D92&amp;"!R"&amp;E$142&amp;"C"&amp;E$143,FALSE)</f>
        <v>tonne</v>
      </c>
      <c r="F92" s="7" t="str" cm="1">
        <f t="array" aca="1" ref="F92" ca="1">INDIRECT(""&amp;$D92&amp;"!R"&amp;F$142&amp;"C"&amp;F$143,FALSE)</f>
        <v>Tier 4</v>
      </c>
      <c r="G92" s="188">
        <f ca="1">INDEX(Methodology!$B$26:$D$31,MATCH('EF Table_detail'!$F92,Methodology!$B$26:$B$31,0),MATCH('EF Table_detail'!$G$5,Methodology!$B$26:$D$26,0))</f>
        <v>1.2</v>
      </c>
      <c r="H92" s="237" cm="1">
        <f t="array" aca="1" ref="H92" ca="1">INDIRECT(""&amp;$D92&amp;"!R"&amp;H$142&amp;"C"&amp;H$143,FALSE)</f>
        <v>451.85185185185185</v>
      </c>
      <c r="I92" s="235" cm="1">
        <f t="array" aca="1" ref="I92" ca="1">INDIRECT(""&amp;$D92&amp;"!R"&amp;I$142&amp;"C"&amp;I$143,FALSE)</f>
        <v>75.727000000000004</v>
      </c>
      <c r="J92" s="99" cm="1">
        <f t="array" aca="1" ref="J92" ca="1">INDIRECT(""&amp;$D92&amp;"!R"&amp;J$142&amp;"C"&amp;J$143,FALSE)</f>
        <v>256.17095925925923</v>
      </c>
      <c r="K92" s="262">
        <f ca="1">$J92*(1+INDEX(Methodology!$B$26:$E$31,MATCH($F92,Methodology!$B$26:$B$31,0),MATCH(L$5,Methodology!$B$26:$E$26,0)))</f>
        <v>307.40515111111108</v>
      </c>
      <c r="L92" s="261">
        <f ca="1">$H92*(1+INDEX(Methodology!$B$26:$E$31,MATCH($F92,Methodology!$B$26:$B$31,0),MATCH(L$5,Methodology!$B$26:$E$26,0)))</f>
        <v>542.22222222222217</v>
      </c>
      <c r="M92" s="234" cm="1">
        <f t="array" aca="1" ref="M92" ca="1">INDIRECT(""&amp;$D92&amp;"!R"&amp;M$142&amp;"C"&amp;M$143,FALSE)</f>
        <v>0.45185185185185184</v>
      </c>
      <c r="N92" s="234" cm="1">
        <f t="array" aca="1" ref="N92" ca="1">INDIRECT(""&amp;$D92&amp;"!R"&amp;N$142&amp;"C"&amp;N$143,FALSE)</f>
        <v>7.5726999999999989E-2</v>
      </c>
      <c r="O92" s="231" cm="1">
        <f t="array" aca="1" ref="O92" ca="1">INDIRECT(""&amp;$D92&amp;"!R"&amp;O$142&amp;"C"&amp;O$143,FALSE)</f>
        <v>0.25617095925925926</v>
      </c>
      <c r="P92" s="265">
        <f ca="1">$O92*(1+INDEX(Methodology!$B$26:$E$31,MATCH($F92,Methodology!$B$26:$B$31,0),MATCH(Q$5,Methodology!$B$26:$E$26,0)))</f>
        <v>0.30740515111111111</v>
      </c>
      <c r="Q92" s="266">
        <f ca="1">$M92*(1+INDEX(Methodology!$B$26:$E$31,MATCH($F92,Methodology!$B$26:$B$31,0),MATCH(Q$5,Methodology!$B$26:$E$26,0)))</f>
        <v>0.54222222222222216</v>
      </c>
      <c r="R92" s="199"/>
      <c r="S92" s="63" cm="1">
        <f t="array" aca="1" ref="S92" ca="1">INDIRECT(""&amp;$D92&amp;"!R"&amp;S$142&amp;"C"&amp;S$143,FALSE)</f>
        <v>0</v>
      </c>
      <c r="T92" s="62" cm="1">
        <f t="array" aca="1" ref="T92" ca="1">INDIRECT(""&amp;$D92&amp;"!R"&amp;T$142&amp;"C"&amp;T$143,FALSE)</f>
        <v>0</v>
      </c>
      <c r="U92" s="265">
        <f ca="1">$T92*(1+INDEX(Methodology!$B$26:$E$31,MATCH($F92,Methodology!$B$26:$B$31,0),MATCH(V$5,Methodology!$B$26:$E$26,0)))</f>
        <v>0</v>
      </c>
      <c r="V92" s="261">
        <f ca="1">$S92*(1+INDEX(Methodology!$B$26:$E$31,MATCH($F92,Methodology!$B$26:$B$31,0),MATCH(V$5,Methodology!$B$26:$E$26,0)))</f>
        <v>0</v>
      </c>
      <c r="W92" s="63" cm="1">
        <f t="array" aca="1" ref="W92" ca="1">INDIRECT(""&amp;$D92&amp;"!R"&amp;W$142&amp;"C"&amp;W$143,FALSE)</f>
        <v>0</v>
      </c>
      <c r="X92" s="62" cm="1">
        <f t="array" aca="1" ref="X92" ca="1">INDIRECT(""&amp;$D92&amp;"!R"&amp;X$142&amp;"C"&amp;X$143,FALSE)</f>
        <v>0</v>
      </c>
      <c r="Y92" s="265">
        <f ca="1">$X92*(1+INDEX(Methodology!$B$26:$E$31,MATCH($F92,Methodology!$B$26:$B$31,0),MATCH(Z$5,Methodology!$B$26:$E$26,0)))</f>
        <v>0</v>
      </c>
      <c r="Z92" s="261">
        <f t="shared" ca="1" si="6"/>
        <v>0</v>
      </c>
      <c r="AA92" s="199"/>
      <c r="AB92" s="10">
        <f t="shared" ca="1" si="7"/>
        <v>999.99999999999989</v>
      </c>
      <c r="AC92" s="190" t="str">
        <f t="shared" ca="1" si="8"/>
        <v>kg/tonne</v>
      </c>
      <c r="AD92" s="213" t="str" cm="1">
        <f t="array" aca="1" ref="AD92" ca="1">IF(INDIRECT(""&amp;$D92&amp;"!R"&amp;AD$142&amp;"C"&amp;AD$143,FALSE)=0,"",INDIRECT(""&amp;$D92&amp;"!R"&amp;AD$142&amp;"C"&amp;AD$143,FALSE))</f>
        <v/>
      </c>
      <c r="AE92" s="214" t="str" cm="1">
        <f t="array" aca="1" ref="AE92" ca="1">IFERROR(IF(INDIRECT(""&amp;$D92&amp;"!R"&amp;AE$142&amp;"C"&amp;AE$143,FALSE)="Average (weighted)","Yes","No"),"")</f>
        <v>No</v>
      </c>
      <c r="AF92" s="96"/>
    </row>
    <row r="93" spans="1:32" ht="45" customHeight="1" x14ac:dyDescent="0.25">
      <c r="A93" s="66" t="s">
        <v>3998</v>
      </c>
      <c r="B93" s="69" t="s">
        <v>3728</v>
      </c>
      <c r="C93" s="193" t="str" cm="1">
        <f t="array" aca="1" ref="C93" ca="1">INDIRECT(""&amp;$D93&amp;"!R"&amp;C$142&amp;"C"&amp;C$143,FALSE)</f>
        <v>Lift (elevator) classified as category 5 and 6 from ISO 25745. Typically used in high use environments, shopping centres, high-rise commercial.residential (10+ floors). Includes all elements of a lift installation i.e. lift cars, fittings, finishes, drive elements, electronics, guide rails, counterweights, ropes etc.</v>
      </c>
      <c r="D93" s="66" t="s">
        <v>3999</v>
      </c>
      <c r="E93" s="7" t="str" cm="1">
        <f t="array" aca="1" ref="E93" ca="1">INDIRECT(""&amp;$D93&amp;"!R"&amp;E$142&amp;"C"&amp;E$143,FALSE)</f>
        <v>Unit</v>
      </c>
      <c r="F93" s="7" t="str" cm="1">
        <f t="array" aca="1" ref="F93" ca="1">INDIRECT(""&amp;$D93&amp;"!R"&amp;F$142&amp;"C"&amp;F$143,FALSE)</f>
        <v>Tier 4</v>
      </c>
      <c r="G93" s="188">
        <f ca="1">INDEX(Methodology!$B$26:$D$31,MATCH('EF Table_detail'!$F93,Methodology!$B$26:$B$31,0),MATCH('EF Table_detail'!$G$5,Methodology!$B$26:$D$26,0))</f>
        <v>1.2</v>
      </c>
      <c r="H93" s="237" cm="1">
        <f t="array" aca="1" ref="H93" ca="1">INDIRECT(""&amp;$D93&amp;"!R"&amp;H$142&amp;"C"&amp;H$143,FALSE)</f>
        <v>259409.09279999998</v>
      </c>
      <c r="I93" s="235" cm="1">
        <f t="array" aca="1" ref="I93" ca="1">INDIRECT(""&amp;$D93&amp;"!R"&amp;I$142&amp;"C"&amp;I$143,FALSE)</f>
        <v>140232.7248</v>
      </c>
      <c r="J93" s="99" cm="1">
        <f t="array" aca="1" ref="J93" ca="1">INDIRECT(""&amp;$D93&amp;"!R"&amp;J$142&amp;"C"&amp;J$143,FALSE)</f>
        <v>199820.90879999998</v>
      </c>
      <c r="K93" s="262">
        <f ca="1">$J93*(1+INDEX(Methodology!$B$26:$E$31,MATCH($F93,Methodology!$B$26:$B$31,0),MATCH(L$5,Methodology!$B$26:$E$26,0)))</f>
        <v>239785.09055999995</v>
      </c>
      <c r="L93" s="261">
        <f ca="1">$H93*(1+INDEX(Methodology!$B$26:$E$31,MATCH($F93,Methodology!$B$26:$B$31,0),MATCH(L$5,Methodology!$B$26:$E$26,0)))</f>
        <v>311290.91135999997</v>
      </c>
      <c r="M93" s="234" cm="1">
        <f t="array" aca="1" ref="M93" ca="1">INDIRECT(""&amp;$D93&amp;"!R"&amp;M$142&amp;"C"&amp;M$143,FALSE)</f>
        <v>5.5969856908604472</v>
      </c>
      <c r="N93" s="234" cm="1">
        <f t="array" aca="1" ref="N93" ca="1">INDIRECT(""&amp;$D93&amp;"!R"&amp;N$142&amp;"C"&amp;N$143,FALSE)</f>
        <v>2.2004193441079556</v>
      </c>
      <c r="O93" s="231" cm="1">
        <f t="array" aca="1" ref="O93" ca="1">INDIRECT(""&amp;$D93&amp;"!R"&amp;O$142&amp;"C"&amp;O$143,FALSE)</f>
        <v>3.8987025174842014</v>
      </c>
      <c r="P93" s="265">
        <f ca="1">$O93*(1+INDEX(Methodology!$B$26:$E$31,MATCH($F93,Methodology!$B$26:$B$31,0),MATCH(Q$5,Methodology!$B$26:$E$26,0)))</f>
        <v>4.6784430209810415</v>
      </c>
      <c r="Q93" s="266">
        <f ca="1">$M93*(1+INDEX(Methodology!$B$26:$E$31,MATCH($F93,Methodology!$B$26:$B$31,0),MATCH(Q$5,Methodology!$B$26:$E$26,0)))</f>
        <v>6.7163828290325363</v>
      </c>
      <c r="R93" s="199"/>
      <c r="S93" s="63" cm="1">
        <f t="array" aca="1" ref="S93" ca="1">INDIRECT(""&amp;$D93&amp;"!R"&amp;S$142&amp;"C"&amp;S$143,FALSE)</f>
        <v>0</v>
      </c>
      <c r="T93" s="62" cm="1">
        <f t="array" aca="1" ref="T93" ca="1">INDIRECT(""&amp;$D93&amp;"!R"&amp;T$142&amp;"C"&amp;T$143,FALSE)</f>
        <v>0</v>
      </c>
      <c r="U93" s="265">
        <f ca="1">$T93*(1+INDEX(Methodology!$B$26:$E$31,MATCH($F93,Methodology!$B$26:$B$31,0),MATCH(V$5,Methodology!$B$26:$E$26,0)))</f>
        <v>0</v>
      </c>
      <c r="V93" s="261">
        <f ca="1">$S93*(1+INDEX(Methodology!$B$26:$E$31,MATCH($F93,Methodology!$B$26:$B$31,0),MATCH(V$5,Methodology!$B$26:$E$26,0)))</f>
        <v>0</v>
      </c>
      <c r="W93" s="63" cm="1">
        <f t="array" aca="1" ref="W93" ca="1">INDIRECT(""&amp;$D93&amp;"!R"&amp;W$142&amp;"C"&amp;W$143,FALSE)</f>
        <v>0</v>
      </c>
      <c r="X93" s="62" cm="1">
        <f t="array" aca="1" ref="X93" ca="1">INDIRECT(""&amp;$D93&amp;"!R"&amp;X$142&amp;"C"&amp;X$143,FALSE)</f>
        <v>0</v>
      </c>
      <c r="Y93" s="265">
        <f ca="1">$X93*(1+INDEX(Methodology!$B$26:$E$31,MATCH($F93,Methodology!$B$26:$B$31,0),MATCH(Z$5,Methodology!$B$26:$E$26,0)))</f>
        <v>0</v>
      </c>
      <c r="Z93" s="261">
        <f t="shared" ca="1" si="6"/>
        <v>0</v>
      </c>
      <c r="AA93" s="199"/>
      <c r="AB93" s="10">
        <f t="shared" ca="1" si="7"/>
        <v>51253.181771083844</v>
      </c>
      <c r="AC93" s="190" t="str">
        <f t="shared" ca="1" si="8"/>
        <v>kg/Unit</v>
      </c>
      <c r="AD93" s="213" t="str" cm="1">
        <f t="array" aca="1" ref="AD93" ca="1">IF(INDIRECT(""&amp;$D93&amp;"!R"&amp;AD$142&amp;"C"&amp;AD$143,FALSE)=0,"",INDIRECT(""&amp;$D93&amp;"!R"&amp;AD$142&amp;"C"&amp;AD$143,FALSE))</f>
        <v/>
      </c>
      <c r="AE93" s="214" t="str" cm="1">
        <f t="array" aca="1" ref="AE93" ca="1">IFERROR(IF(INDIRECT(""&amp;$D93&amp;"!R"&amp;AE$142&amp;"C"&amp;AE$143,FALSE)="Average (weighted)","Yes","No"),"")</f>
        <v>No</v>
      </c>
      <c r="AF93" s="96"/>
    </row>
    <row r="94" spans="1:32" ht="45" customHeight="1" x14ac:dyDescent="0.25">
      <c r="A94" s="66" t="s">
        <v>3998</v>
      </c>
      <c r="B94" s="69" t="s">
        <v>3689</v>
      </c>
      <c r="C94" s="193" t="str" cm="1">
        <f t="array" aca="1" ref="C94" ca="1">INDIRECT(""&amp;$D94&amp;"!R"&amp;C$142&amp;"C"&amp;C$143,FALSE)</f>
        <v>Lift (elevator) classified as category 3 and 4 from ISO 25745. Typically used in medium rise (4-10 floor). Includes all elements of a lift installation i.e. lift cars, fittings, finishes, drive elements, electronics, guide rails, counterweights, ropes etc.</v>
      </c>
      <c r="D94" s="66" t="s">
        <v>4000</v>
      </c>
      <c r="E94" s="7" t="str" cm="1">
        <f t="array" aca="1" ref="E94" ca="1">INDIRECT(""&amp;$D94&amp;"!R"&amp;E$142&amp;"C"&amp;E$143,FALSE)</f>
        <v>Unit</v>
      </c>
      <c r="F94" s="7" t="str" cm="1">
        <f t="array" aca="1" ref="F94" ca="1">INDIRECT(""&amp;$D94&amp;"!R"&amp;F$142&amp;"C"&amp;F$143,FALSE)</f>
        <v>Tier 4</v>
      </c>
      <c r="G94" s="188">
        <f ca="1">INDEX(Methodology!$B$26:$D$31,MATCH('EF Table_detail'!$F94,Methodology!$B$26:$B$31,0),MATCH('EF Table_detail'!$G$5,Methodology!$B$26:$D$26,0))</f>
        <v>1.2</v>
      </c>
      <c r="H94" s="237" cm="1">
        <f t="array" aca="1" ref="H94" ca="1">INDIRECT(""&amp;$D94&amp;"!R"&amp;H$142&amp;"C"&amp;H$143,FALSE)</f>
        <v>117248.001</v>
      </c>
      <c r="I94" s="235" cm="1">
        <f t="array" aca="1" ref="I94" ca="1">INDIRECT(""&amp;$D94&amp;"!R"&amp;I$142&amp;"C"&amp;I$143,FALSE)</f>
        <v>4487.5919999999996</v>
      </c>
      <c r="J94" s="99" cm="1">
        <f t="array" aca="1" ref="J94" ca="1">INDIRECT(""&amp;$D94&amp;"!R"&amp;J$142&amp;"C"&amp;J$143,FALSE)</f>
        <v>47270.922666000006</v>
      </c>
      <c r="K94" s="262">
        <f ca="1">$J94*(1+INDEX(Methodology!$B$26:$E$31,MATCH($F94,Methodology!$B$26:$B$31,0),MATCH(L$5,Methodology!$B$26:$E$26,0)))</f>
        <v>56725.107199200007</v>
      </c>
      <c r="L94" s="261">
        <f ca="1">$H94*(1+INDEX(Methodology!$B$26:$E$31,MATCH($F94,Methodology!$B$26:$B$31,0),MATCH(L$5,Methodology!$B$26:$E$26,0)))</f>
        <v>140697.6012</v>
      </c>
      <c r="M94" s="234" cm="1">
        <f t="array" aca="1" ref="M94" ca="1">INDIRECT(""&amp;$D94&amp;"!R"&amp;M$142&amp;"C"&amp;M$143,FALSE)</f>
        <v>5.0227104096228876</v>
      </c>
      <c r="N94" s="234" cm="1">
        <f t="array" aca="1" ref="N94" ca="1">INDIRECT(""&amp;$D94&amp;"!R"&amp;N$142&amp;"C"&amp;N$143,FALSE)</f>
        <v>1.92352850407201</v>
      </c>
      <c r="O94" s="231" cm="1">
        <f t="array" aca="1" ref="O94" ca="1">INDIRECT(""&amp;$D94&amp;"!R"&amp;O$142&amp;"C"&amp;O$143,FALSE)</f>
        <v>3.0404392272111997</v>
      </c>
      <c r="P94" s="265">
        <f ca="1">$O94*(1+INDEX(Methodology!$B$26:$E$31,MATCH($F94,Methodology!$B$26:$B$31,0),MATCH(Q$5,Methodology!$B$26:$E$26,0)))</f>
        <v>3.6485270726534393</v>
      </c>
      <c r="Q94" s="266">
        <f ca="1">$M94*(1+INDEX(Methodology!$B$26:$E$31,MATCH($F94,Methodology!$B$26:$B$31,0),MATCH(Q$5,Methodology!$B$26:$E$26,0)))</f>
        <v>6.0272524915474648</v>
      </c>
      <c r="R94" s="199"/>
      <c r="S94" s="63" cm="1">
        <f t="array" aca="1" ref="S94" ca="1">INDIRECT(""&amp;$D94&amp;"!R"&amp;S$142&amp;"C"&amp;S$143,FALSE)</f>
        <v>0</v>
      </c>
      <c r="T94" s="62" cm="1">
        <f t="array" aca="1" ref="T94" ca="1">INDIRECT(""&amp;$D94&amp;"!R"&amp;T$142&amp;"C"&amp;T$143,FALSE)</f>
        <v>0</v>
      </c>
      <c r="U94" s="265">
        <f ca="1">$T94*(1+INDEX(Methodology!$B$26:$E$31,MATCH($F94,Methodology!$B$26:$B$31,0),MATCH(V$5,Methodology!$B$26:$E$26,0)))</f>
        <v>0</v>
      </c>
      <c r="V94" s="261">
        <f ca="1">$S94*(1+INDEX(Methodology!$B$26:$E$31,MATCH($F94,Methodology!$B$26:$B$31,0),MATCH(V$5,Methodology!$B$26:$E$26,0)))</f>
        <v>0</v>
      </c>
      <c r="W94" s="63" cm="1">
        <f t="array" aca="1" ref="W94" ca="1">INDIRECT(""&amp;$D94&amp;"!R"&amp;W$142&amp;"C"&amp;W$143,FALSE)</f>
        <v>0</v>
      </c>
      <c r="X94" s="62" cm="1">
        <f t="array" aca="1" ref="X94" ca="1">INDIRECT(""&amp;$D94&amp;"!R"&amp;X$142&amp;"C"&amp;X$143,FALSE)</f>
        <v>0</v>
      </c>
      <c r="Y94" s="265">
        <f ca="1">$X94*(1+INDEX(Methodology!$B$26:$E$31,MATCH($F94,Methodology!$B$26:$B$31,0),MATCH(Z$5,Methodology!$B$26:$E$26,0)))</f>
        <v>0</v>
      </c>
      <c r="Z94" s="261">
        <f t="shared" ca="1" si="6"/>
        <v>0</v>
      </c>
      <c r="AA94" s="199"/>
      <c r="AB94" s="10">
        <f t="shared" ca="1" si="7"/>
        <v>15547.399284595665</v>
      </c>
      <c r="AC94" s="190" t="str">
        <f t="shared" ca="1" si="8"/>
        <v>kg/Unit</v>
      </c>
      <c r="AD94" s="213" t="str" cm="1">
        <f t="array" aca="1" ref="AD94" ca="1">IF(INDIRECT(""&amp;$D94&amp;"!R"&amp;AD$142&amp;"C"&amp;AD$143,FALSE)=0,"",INDIRECT(""&amp;$D94&amp;"!R"&amp;AD$142&amp;"C"&amp;AD$143,FALSE))</f>
        <v/>
      </c>
      <c r="AE94" s="214" t="str" cm="1">
        <f t="array" aca="1" ref="AE94" ca="1">IFERROR(IF(INDIRECT(""&amp;$D94&amp;"!R"&amp;AE$142&amp;"C"&amp;AE$143,FALSE)="Average (weighted)","Yes","No"),"")</f>
        <v>No</v>
      </c>
      <c r="AF94" s="96"/>
    </row>
    <row r="95" spans="1:32" ht="45" customHeight="1" x14ac:dyDescent="0.25">
      <c r="A95" s="66" t="s">
        <v>3998</v>
      </c>
      <c r="B95" s="69" t="s">
        <v>3685</v>
      </c>
      <c r="C95" s="193" t="str" cm="1">
        <f t="array" aca="1" ref="C95" ca="1">INDIRECT(""&amp;$D95&amp;"!R"&amp;C$142&amp;"C"&amp;C$143,FALSE)</f>
        <v>Lift (elevator) classified as category 1 and 2 from ISO 25745. Typically used in low rise (less 4 floors) building. Includes all elements of a lift installation i.e. lift cars, fittings, finishes, drive elements, electronics, guide rails, counterweights, ropes etc.</v>
      </c>
      <c r="D95" s="66" t="s">
        <v>4001</v>
      </c>
      <c r="E95" s="7" t="str" cm="1">
        <f t="array" aca="1" ref="E95" ca="1">INDIRECT(""&amp;$D95&amp;"!R"&amp;E$142&amp;"C"&amp;E$143,FALSE)</f>
        <v>Unit</v>
      </c>
      <c r="F95" s="7" t="str" cm="1">
        <f t="array" aca="1" ref="F95" ca="1">INDIRECT(""&amp;$D95&amp;"!R"&amp;F$142&amp;"C"&amp;F$143,FALSE)</f>
        <v>Tier 4</v>
      </c>
      <c r="G95" s="188">
        <f ca="1">INDEX(Methodology!$B$26:$D$31,MATCH('EF Table_detail'!$F95,Methodology!$B$26:$B$31,0),MATCH('EF Table_detail'!$G$5,Methodology!$B$26:$D$26,0))</f>
        <v>1.2</v>
      </c>
      <c r="H95" s="237" cm="1">
        <f t="array" aca="1" ref="H95" ca="1">INDIRECT(""&amp;$D95&amp;"!R"&amp;H$142&amp;"C"&amp;H$143,FALSE)</f>
        <v>28801.149000000001</v>
      </c>
      <c r="I95" s="235" cm="1">
        <f t="array" aca="1" ref="I95" ca="1">INDIRECT(""&amp;$D95&amp;"!R"&amp;I$142&amp;"C"&amp;I$143,FALSE)</f>
        <v>4496.6500000000005</v>
      </c>
      <c r="J95" s="99" cm="1">
        <f t="array" aca="1" ref="J95" ca="1">INDIRECT(""&amp;$D95&amp;"!R"&amp;J$142&amp;"C"&amp;J$143,FALSE)</f>
        <v>14157.740250000001</v>
      </c>
      <c r="K95" s="262">
        <f ca="1">$J95*(1+INDEX(Methodology!$B$26:$E$31,MATCH($F95,Methodology!$B$26:$B$31,0),MATCH(L$5,Methodology!$B$26:$E$26,0)))</f>
        <v>16989.2883</v>
      </c>
      <c r="L95" s="261">
        <f ca="1">$H95*(1+INDEX(Methodology!$B$26:$E$31,MATCH($F95,Methodology!$B$26:$B$31,0),MATCH(L$5,Methodology!$B$26:$E$26,0)))</f>
        <v>34561.378799999999</v>
      </c>
      <c r="M95" s="234" cm="1">
        <f t="array" aca="1" ref="M95" ca="1">INDIRECT(""&amp;$D95&amp;"!R"&amp;M$142&amp;"C"&amp;M$143,FALSE)</f>
        <v>3.894678701825558</v>
      </c>
      <c r="N95" s="234" cm="1">
        <f t="array" aca="1" ref="N95" ca="1">INDIRECT(""&amp;$D95&amp;"!R"&amp;N$142&amp;"C"&amp;N$143,FALSE)</f>
        <v>1.9274110587226749</v>
      </c>
      <c r="O95" s="231" cm="1">
        <f t="array" aca="1" ref="O95" ca="1">INDIRECT(""&amp;$D95&amp;"!R"&amp;O$142&amp;"C"&amp;O$143,FALSE)</f>
        <v>2.9871948121179286</v>
      </c>
      <c r="P95" s="265">
        <f ca="1">$O95*(1+INDEX(Methodology!$B$26:$E$31,MATCH($F95,Methodology!$B$26:$B$31,0),MATCH(Q$5,Methodology!$B$26:$E$26,0)))</f>
        <v>3.5846337745415142</v>
      </c>
      <c r="Q95" s="266">
        <f ca="1">$M95*(1+INDEX(Methodology!$B$26:$E$31,MATCH($F95,Methodology!$B$26:$B$31,0),MATCH(Q$5,Methodology!$B$26:$E$26,0)))</f>
        <v>4.6736144421906696</v>
      </c>
      <c r="R95" s="199"/>
      <c r="S95" s="63" cm="1">
        <f t="array" aca="1" ref="S95" ca="1">INDIRECT(""&amp;$D95&amp;"!R"&amp;S$142&amp;"C"&amp;S$143,FALSE)</f>
        <v>0</v>
      </c>
      <c r="T95" s="62" cm="1">
        <f t="array" aca="1" ref="T95" ca="1">INDIRECT(""&amp;$D95&amp;"!R"&amp;T$142&amp;"C"&amp;T$143,FALSE)</f>
        <v>0</v>
      </c>
      <c r="U95" s="265">
        <f ca="1">$T95*(1+INDEX(Methodology!$B$26:$E$31,MATCH($F95,Methodology!$B$26:$B$31,0),MATCH(V$5,Methodology!$B$26:$E$26,0)))</f>
        <v>0</v>
      </c>
      <c r="V95" s="261">
        <f ca="1">$S95*(1+INDEX(Methodology!$B$26:$E$31,MATCH($F95,Methodology!$B$26:$B$31,0),MATCH(V$5,Methodology!$B$26:$E$26,0)))</f>
        <v>0</v>
      </c>
      <c r="W95" s="63" cm="1">
        <f t="array" aca="1" ref="W95" ca="1">INDIRECT(""&amp;$D95&amp;"!R"&amp;W$142&amp;"C"&amp;W$143,FALSE)</f>
        <v>0</v>
      </c>
      <c r="X95" s="62" cm="1">
        <f t="array" aca="1" ref="X95" ca="1">INDIRECT(""&amp;$D95&amp;"!R"&amp;X$142&amp;"C"&amp;X$143,FALSE)</f>
        <v>0</v>
      </c>
      <c r="Y95" s="265">
        <f ca="1">$X95*(1+INDEX(Methodology!$B$26:$E$31,MATCH($F95,Methodology!$B$26:$B$31,0),MATCH(Z$5,Methodology!$B$26:$E$26,0)))</f>
        <v>0</v>
      </c>
      <c r="Z95" s="261">
        <f t="shared" ca="1" si="6"/>
        <v>0</v>
      </c>
      <c r="AA95" s="199"/>
      <c r="AB95" s="10">
        <f t="shared" ca="1" si="7"/>
        <v>4739.4767132586603</v>
      </c>
      <c r="AC95" s="190" t="str">
        <f t="shared" ca="1" si="8"/>
        <v>kg/Unit</v>
      </c>
      <c r="AD95" s="213" t="str" cm="1">
        <f t="array" aca="1" ref="AD95" ca="1">IF(INDIRECT(""&amp;$D95&amp;"!R"&amp;AD$142&amp;"C"&amp;AD$143,FALSE)=0,"",INDIRECT(""&amp;$D95&amp;"!R"&amp;AD$142&amp;"C"&amp;AD$143,FALSE))</f>
        <v/>
      </c>
      <c r="AE95" s="214" t="str" cm="1">
        <f t="array" aca="1" ref="AE95" ca="1">IFERROR(IF(INDIRECT(""&amp;$D95&amp;"!R"&amp;AE$142&amp;"C"&amp;AE$143,FALSE)="Average (weighted)","Yes","No"),"")</f>
        <v>No</v>
      </c>
      <c r="AF95" s="96"/>
    </row>
    <row r="96" spans="1:32" ht="45" customHeight="1" x14ac:dyDescent="0.25">
      <c r="A96" s="66" t="s">
        <v>3709</v>
      </c>
      <c r="B96" s="69" t="s">
        <v>3709</v>
      </c>
      <c r="C96" s="193" t="str" cm="1">
        <f t="array" aca="1" ref="C96" ca="1">INDIRECT(""&amp;$D96&amp;"!R"&amp;C$142&amp;"C"&amp;C$143,FALSE)</f>
        <v xml:space="preserve">Escalator/travelator. Including all componentry (i.e. truss, stairs, rails and balustrade, drive train etc. </v>
      </c>
      <c r="D96" s="66" t="s">
        <v>3709</v>
      </c>
      <c r="E96" s="7" t="str" cm="1">
        <f t="array" aca="1" ref="E96" ca="1">INDIRECT(""&amp;$D96&amp;"!R"&amp;E$142&amp;"C"&amp;E$143,FALSE)</f>
        <v>Unit</v>
      </c>
      <c r="F96" s="7" t="str" cm="1">
        <f t="array" aca="1" ref="F96" ca="1">INDIRECT(""&amp;$D96&amp;"!R"&amp;F$142&amp;"C"&amp;F$143,FALSE)</f>
        <v>Tier 4</v>
      </c>
      <c r="G96" s="188">
        <f ca="1">INDEX(Methodology!$B$26:$D$31,MATCH('EF Table_detail'!$F96,Methodology!$B$26:$B$31,0),MATCH('EF Table_detail'!$G$5,Methodology!$B$26:$D$26,0))</f>
        <v>1.2</v>
      </c>
      <c r="H96" s="237" cm="1">
        <f t="array" aca="1" ref="H96" ca="1">INDIRECT(""&amp;$D96&amp;"!R"&amp;H$142&amp;"C"&amp;H$143,FALSE)</f>
        <v>118165.77</v>
      </c>
      <c r="I96" s="235" cm="1">
        <f t="array" aca="1" ref="I96" ca="1">INDIRECT(""&amp;$D96&amp;"!R"&amp;I$142&amp;"C"&amp;I$143,FALSE)</f>
        <v>20319.099999999999</v>
      </c>
      <c r="J96" s="99" cm="1">
        <f t="array" aca="1" ref="J96" ca="1">INDIRECT(""&amp;$D96&amp;"!R"&amp;J$142&amp;"C"&amp;J$143,FALSE)</f>
        <v>50510.063000000002</v>
      </c>
      <c r="K96" s="262">
        <f ca="1">$J96*(1+INDEX(Methodology!$B$26:$E$31,MATCH($F96,Methodology!$B$26:$B$31,0),MATCH(L$5,Methodology!$B$26:$E$26,0)))</f>
        <v>60612.075599999996</v>
      </c>
      <c r="L96" s="261">
        <f ca="1">$H96*(1+INDEX(Methodology!$B$26:$E$31,MATCH($F96,Methodology!$B$26:$B$31,0),MATCH(L$5,Methodology!$B$26:$E$26,0)))</f>
        <v>141798.924</v>
      </c>
      <c r="M96" s="234" cm="1">
        <f t="array" aca="1" ref="M96" ca="1">INDIRECT(""&amp;$D96&amp;"!R"&amp;M$142&amp;"C"&amp;M$143,FALSE)</f>
        <v>0</v>
      </c>
      <c r="N96" s="234" cm="1">
        <f t="array" aca="1" ref="N96" ca="1">INDIRECT(""&amp;$D96&amp;"!R"&amp;N$142&amp;"C"&amp;N$143,FALSE)</f>
        <v>0</v>
      </c>
      <c r="O96" s="231" cm="1">
        <f t="array" aca="1" ref="O96" ca="1">INDIRECT(""&amp;$D96&amp;"!R"&amp;O$142&amp;"C"&amp;O$143,FALSE)</f>
        <v>0</v>
      </c>
      <c r="P96" s="265">
        <f ca="1">$O96*(1+INDEX(Methodology!$B$26:$E$31,MATCH($F96,Methodology!$B$26:$B$31,0),MATCH(Q$5,Methodology!$B$26:$E$26,0)))</f>
        <v>0</v>
      </c>
      <c r="Q96" s="266">
        <f ca="1">$M96*(1+INDEX(Methodology!$B$26:$E$31,MATCH($F96,Methodology!$B$26:$B$31,0),MATCH(Q$5,Methodology!$B$26:$E$26,0)))</f>
        <v>0</v>
      </c>
      <c r="R96" s="199"/>
      <c r="S96" s="63" cm="1">
        <f t="array" aca="1" ref="S96" ca="1">INDIRECT(""&amp;$D96&amp;"!R"&amp;S$142&amp;"C"&amp;S$143,FALSE)</f>
        <v>0</v>
      </c>
      <c r="T96" s="62" cm="1">
        <f t="array" aca="1" ref="T96" ca="1">INDIRECT(""&amp;$D96&amp;"!R"&amp;T$142&amp;"C"&amp;T$143,FALSE)</f>
        <v>0</v>
      </c>
      <c r="U96" s="265">
        <f ca="1">$T96*(1+INDEX(Methodology!$B$26:$E$31,MATCH($F96,Methodology!$B$26:$B$31,0),MATCH(V$5,Methodology!$B$26:$E$26,0)))</f>
        <v>0</v>
      </c>
      <c r="V96" s="261">
        <f ca="1">$S96*(1+INDEX(Methodology!$B$26:$E$31,MATCH($F96,Methodology!$B$26:$B$31,0),MATCH(V$5,Methodology!$B$26:$E$26,0)))</f>
        <v>0</v>
      </c>
      <c r="W96" s="63" cm="1">
        <f t="array" aca="1" ref="W96" ca="1">INDIRECT(""&amp;$D96&amp;"!R"&amp;W$142&amp;"C"&amp;W$143,FALSE)</f>
        <v>0</v>
      </c>
      <c r="X96" s="62" cm="1">
        <f t="array" aca="1" ref="X96" ca="1">INDIRECT(""&amp;$D96&amp;"!R"&amp;X$142&amp;"C"&amp;X$143,FALSE)</f>
        <v>0</v>
      </c>
      <c r="Y96" s="265">
        <f ca="1">$X96*(1+INDEX(Methodology!$B$26:$E$31,MATCH($F96,Methodology!$B$26:$B$31,0),MATCH(Z$5,Methodology!$B$26:$E$26,0)))</f>
        <v>0</v>
      </c>
      <c r="Z96" s="261">
        <f t="shared" ca="1" si="6"/>
        <v>0</v>
      </c>
      <c r="AA96" s="199"/>
      <c r="AB96" s="10" t="str">
        <f t="shared" ca="1" si="7"/>
        <v/>
      </c>
      <c r="AC96" s="190"/>
      <c r="AD96" s="213" t="str" cm="1">
        <f t="array" aca="1" ref="AD96" ca="1">IF(INDIRECT(""&amp;$D96&amp;"!R"&amp;AD$142&amp;"C"&amp;AD$143,FALSE)=0,"",INDIRECT(""&amp;$D96&amp;"!R"&amp;AD$142&amp;"C"&amp;AD$143,FALSE))</f>
        <v/>
      </c>
      <c r="AE96" s="214" t="str" cm="1">
        <f t="array" aca="1" ref="AE96" ca="1">IFERROR(IF(INDIRECT(""&amp;$D96&amp;"!R"&amp;AE$142&amp;"C"&amp;AE$143,FALSE)="Average (weighted)","Yes","No"),"")</f>
        <v>No</v>
      </c>
      <c r="AF96" s="96"/>
    </row>
    <row r="97" spans="1:32" ht="45" customHeight="1" x14ac:dyDescent="0.25">
      <c r="A97" s="66" t="s">
        <v>259</v>
      </c>
      <c r="B97" s="69" t="s">
        <v>259</v>
      </c>
      <c r="C97" s="193" t="str" cm="1">
        <f t="array" aca="1" ref="C97" ca="1">INDIRECT(""&amp;$D97&amp;"!R"&amp;C$142&amp;"C"&amp;C$143,FALSE)</f>
        <v>Any asphalt mix</v>
      </c>
      <c r="D97" s="66" t="s">
        <v>259</v>
      </c>
      <c r="E97" s="7" t="str" cm="1">
        <f t="array" aca="1" ref="E97" ca="1">INDIRECT(""&amp;$D97&amp;"!R"&amp;E$142&amp;"C"&amp;E$143,FALSE)</f>
        <v>tonne</v>
      </c>
      <c r="F97" s="7" t="str" cm="1">
        <f t="array" aca="1" ref="F97" ca="1">INDIRECT(""&amp;$D97&amp;"!R"&amp;F$142&amp;"C"&amp;F$143,FALSE)</f>
        <v>Tier 2</v>
      </c>
      <c r="G97" s="188">
        <f ca="1">INDEX(Methodology!$B$26:$D$31,MATCH('EF Table_detail'!$F97,Methodology!$B$26:$B$31,0),MATCH('EF Table_detail'!$G$5,Methodology!$B$26:$D$26,0))</f>
        <v>1.05</v>
      </c>
      <c r="H97" s="237" cm="1">
        <f t="array" aca="1" ref="H97" ca="1">INDIRECT(""&amp;$D97&amp;"!R"&amp;H$142&amp;"C"&amp;H$143,FALSE)</f>
        <v>134.00033099999999</v>
      </c>
      <c r="I97" s="235" cm="1">
        <f t="array" aca="1" ref="I97" ca="1">INDIRECT(""&amp;$D97&amp;"!R"&amp;I$142&amp;"C"&amp;I$143,FALSE)</f>
        <v>11.3</v>
      </c>
      <c r="J97" s="99" cm="1">
        <f t="array" aca="1" ref="J97" ca="1">INDIRECT(""&amp;$D97&amp;"!R"&amp;J$142&amp;"C"&amp;J$143,FALSE)</f>
        <v>72.407449258333358</v>
      </c>
      <c r="K97" s="262">
        <f ca="1">$J97*(1+INDEX(Methodology!$B$26:$E$31,MATCH($F97,Methodology!$B$26:$B$31,0),MATCH(L$5,Methodology!$B$26:$E$26,0)))</f>
        <v>76.027821721250035</v>
      </c>
      <c r="L97" s="261">
        <f ca="1">$H97*(1+INDEX(Methodology!$B$26:$E$31,MATCH($F97,Methodology!$B$26:$B$31,0),MATCH(L$5,Methodology!$B$26:$E$26,0)))</f>
        <v>140.70034755</v>
      </c>
      <c r="M97" s="234" cm="1">
        <f t="array" aca="1" ref="M97" ca="1">INDIRECT(""&amp;$D97&amp;"!R"&amp;M$142&amp;"C"&amp;M$143,FALSE)</f>
        <v>0.134000331</v>
      </c>
      <c r="N97" s="234" cm="1">
        <f t="array" aca="1" ref="N97" ca="1">INDIRECT(""&amp;$D97&amp;"!R"&amp;N$142&amp;"C"&amp;N$143,FALSE)</f>
        <v>1.1300000000000001E-2</v>
      </c>
      <c r="O97" s="231" cm="1">
        <f t="array" aca="1" ref="O97" ca="1">INDIRECT(""&amp;$D97&amp;"!R"&amp;O$142&amp;"C"&amp;O$143,FALSE)</f>
        <v>7.2407449258333298E-2</v>
      </c>
      <c r="P97" s="265">
        <f ca="1">$O97*(1+INDEX(Methodology!$B$26:$E$31,MATCH($F97,Methodology!$B$26:$B$31,0),MATCH(Q$5,Methodology!$B$26:$E$26,0)))</f>
        <v>7.6027821721249972E-2</v>
      </c>
      <c r="Q97" s="266">
        <f ca="1">$M97*(1+INDEX(Methodology!$B$26:$E$31,MATCH($F97,Methodology!$B$26:$B$31,0),MATCH(Q$5,Methodology!$B$26:$E$26,0)))</f>
        <v>0.14070034754999999</v>
      </c>
      <c r="R97" s="199"/>
      <c r="S97" s="63" cm="1">
        <f t="array" aca="1" ref="S97" ca="1">INDIRECT(""&amp;$D97&amp;"!R"&amp;S$142&amp;"C"&amp;S$143,FALSE)</f>
        <v>0</v>
      </c>
      <c r="T97" s="62" cm="1">
        <f t="array" aca="1" ref="T97" ca="1">INDIRECT(""&amp;$D97&amp;"!R"&amp;T$142&amp;"C"&amp;T$143,FALSE)</f>
        <v>0</v>
      </c>
      <c r="U97" s="265">
        <f ca="1">$T97*(1+INDEX(Methodology!$B$26:$E$31,MATCH($F97,Methodology!$B$26:$B$31,0),MATCH(V$5,Methodology!$B$26:$E$26,0)))</f>
        <v>0</v>
      </c>
      <c r="V97" s="261">
        <f ca="1">$S97*(1+INDEX(Methodology!$B$26:$E$31,MATCH($F97,Methodology!$B$26:$B$31,0),MATCH(V$5,Methodology!$B$26:$E$26,0)))</f>
        <v>0</v>
      </c>
      <c r="W97" s="63" cm="1">
        <f t="array" aca="1" ref="W97" ca="1">INDIRECT(""&amp;$D97&amp;"!R"&amp;W$142&amp;"C"&amp;W$143,FALSE)</f>
        <v>0</v>
      </c>
      <c r="X97" s="62" cm="1">
        <f t="array" aca="1" ref="X97" ca="1">INDIRECT(""&amp;$D97&amp;"!R"&amp;X$142&amp;"C"&amp;X$143,FALSE)</f>
        <v>0</v>
      </c>
      <c r="Y97" s="265">
        <f ca="1">$X97*(1+INDEX(Methodology!$B$26:$E$31,MATCH($F97,Methodology!$B$26:$B$31,0),MATCH(Z$5,Methodology!$B$26:$E$26,0)))</f>
        <v>0</v>
      </c>
      <c r="Z97" s="261">
        <f t="shared" ca="1" si="6"/>
        <v>0</v>
      </c>
      <c r="AA97" s="199"/>
      <c r="AB97" s="10">
        <f t="shared" ca="1" si="7"/>
        <v>1000.0000000000008</v>
      </c>
      <c r="AC97" s="190" t="str">
        <f t="shared" ref="AC97:AC104" ca="1" si="9">"kg/"&amp;E97</f>
        <v>kg/tonne</v>
      </c>
      <c r="AD97" s="213" t="str" cm="1">
        <f t="array" aca="1" ref="AD97" ca="1">IF(INDIRECT(""&amp;$D97&amp;"!R"&amp;AD$142&amp;"C"&amp;AD$143,FALSE)=0,"",INDIRECT(""&amp;$D97&amp;"!R"&amp;AD$142&amp;"C"&amp;AD$143,FALSE))</f>
        <v/>
      </c>
      <c r="AE97" s="214" t="str" cm="1">
        <f t="array" aca="1" ref="AE97" ca="1">IFERROR(IF(INDIRECT(""&amp;$D97&amp;"!R"&amp;AE$142&amp;"C"&amp;AE$143,FALSE)="Average (weighted)","Yes","No"),"")</f>
        <v>No</v>
      </c>
      <c r="AF97" s="96"/>
    </row>
    <row r="98" spans="1:32" ht="45" customHeight="1" x14ac:dyDescent="0.25">
      <c r="A98" s="7" t="s">
        <v>3884</v>
      </c>
      <c r="B98" s="69" t="s">
        <v>4002</v>
      </c>
      <c r="C98" s="193" t="str" cm="1">
        <f t="array" aca="1" ref="C98" ca="1">INDIRECT(""&amp;$D98&amp;"!R"&amp;C$142&amp;"C"&amp;C$143,FALSE)</f>
        <v>Any concrete mix with a strength rating of 32 MPa or lower and greater than 25 MPa</v>
      </c>
      <c r="D98" s="7" t="s">
        <v>3888</v>
      </c>
      <c r="E98" s="7" t="str" cm="1">
        <f t="array" aca="1" ref="E98" ca="1">INDIRECT(""&amp;$D98&amp;"!R"&amp;E$142&amp;"C"&amp;E$143,FALSE)</f>
        <v>m³</v>
      </c>
      <c r="F98" s="7" t="str" cm="1">
        <f t="array" aca="1" ref="F98" ca="1">INDIRECT(""&amp;$D98&amp;"!R"&amp;F$142&amp;"C"&amp;F$143,FALSE)</f>
        <v>Tier 1</v>
      </c>
      <c r="G98" s="188">
        <f ca="1">INDEX(Methodology!$B$26:$D$31,MATCH('EF Table_detail'!$F98,Methodology!$B$26:$B$31,0),MATCH('EF Table_detail'!$G$5,Methodology!$B$26:$D$26,0))</f>
        <v>1.02</v>
      </c>
      <c r="H98" s="237" cm="1">
        <f t="array" aca="1" ref="H98" ca="1">INDIRECT(""&amp;$D98&amp;"!R"&amp;H$142&amp;"C"&amp;H$143,FALSE)</f>
        <v>459.166</v>
      </c>
      <c r="I98" s="235" cm="1">
        <f t="array" aca="1" ref="I98" ca="1">INDIRECT(""&amp;$D98&amp;"!R"&amp;I$142&amp;"C"&amp;I$143,FALSE)</f>
        <v>167.14</v>
      </c>
      <c r="J98" s="99" cm="1">
        <f t="array" aca="1" ref="J98" ca="1">INDIRECT(""&amp;$D98&amp;"!R"&amp;J$142&amp;"C"&amp;J$143,FALSE)</f>
        <v>249.09220948598124</v>
      </c>
      <c r="K98" s="262">
        <f ca="1">$J98*(1+INDEX(Methodology!$B$26:$E$31,MATCH($F98,Methodology!$B$26:$B$31,0),MATCH(L$5,Methodology!$B$26:$E$26,0)))</f>
        <v>254.07405367570087</v>
      </c>
      <c r="L98" s="261">
        <f ca="1">$H98*(1+INDEX(Methodology!$B$26:$E$31,MATCH($F98,Methodology!$B$26:$B$31,0),MATCH(L$5,Methodology!$B$26:$E$26,0)))</f>
        <v>468.34931999999998</v>
      </c>
      <c r="M98" s="234" cm="1">
        <f t="array" aca="1" ref="M98" ca="1">INDIRECT(""&amp;$D98&amp;"!R"&amp;M$142&amp;"C"&amp;M$143,FALSE)</f>
        <v>0.19131916666666668</v>
      </c>
      <c r="N98" s="234" cm="1">
        <f t="array" aca="1" ref="N98" ca="1">INDIRECT(""&amp;$D98&amp;"!R"&amp;N$142&amp;"C"&amp;N$143,FALSE)</f>
        <v>6.9641666666666657E-2</v>
      </c>
      <c r="O98" s="231" cm="1">
        <f t="array" aca="1" ref="O98" ca="1">INDIRECT(""&amp;$D98&amp;"!R"&amp;O$142&amp;"C"&amp;O$143,FALSE)</f>
        <v>0.10378842061915888</v>
      </c>
      <c r="P98" s="265">
        <f ca="1">$O98*(1+INDEX(Methodology!$B$26:$E$31,MATCH($F98,Methodology!$B$26:$B$31,0),MATCH(Q$5,Methodology!$B$26:$E$26,0)))</f>
        <v>0.10586418903154206</v>
      </c>
      <c r="Q98" s="266">
        <f ca="1">$M98*(1+INDEX(Methodology!$B$26:$E$31,MATCH($F98,Methodology!$B$26:$B$31,0),MATCH(Q$5,Methodology!$B$26:$E$26,0)))</f>
        <v>0.19514555000000003</v>
      </c>
      <c r="R98" s="199"/>
      <c r="S98" s="63" cm="1">
        <f t="array" aca="1" ref="S98" ca="1">INDIRECT(""&amp;$D98&amp;"!R"&amp;S$142&amp;"C"&amp;S$143,FALSE)</f>
        <v>0</v>
      </c>
      <c r="T98" s="62" cm="1">
        <f t="array" aca="1" ref="T98" ca="1">INDIRECT(""&amp;$D98&amp;"!R"&amp;T$142&amp;"C"&amp;T$143,FALSE)</f>
        <v>0</v>
      </c>
      <c r="U98" s="265">
        <f ca="1">$T98*(1+INDEX(Methodology!$B$26:$E$31,MATCH($F98,Methodology!$B$26:$B$31,0),MATCH(V$5,Methodology!$B$26:$E$26,0)))</f>
        <v>0</v>
      </c>
      <c r="V98" s="261">
        <f ca="1">$S98*(1+INDEX(Methodology!$B$26:$E$31,MATCH($F98,Methodology!$B$26:$B$31,0),MATCH(V$5,Methodology!$B$26:$E$26,0)))</f>
        <v>0</v>
      </c>
      <c r="W98" s="63" cm="1">
        <f t="array" aca="1" ref="W98" ca="1">INDIRECT(""&amp;$D98&amp;"!R"&amp;W$142&amp;"C"&amp;W$143,FALSE)</f>
        <v>0</v>
      </c>
      <c r="X98" s="62" cm="1">
        <f t="array" aca="1" ref="X98" ca="1">INDIRECT(""&amp;$D98&amp;"!R"&amp;X$142&amp;"C"&amp;X$143,FALSE)</f>
        <v>0</v>
      </c>
      <c r="Y98" s="265">
        <f ca="1">$X98*(1+INDEX(Methodology!$B$26:$E$31,MATCH($F98,Methodology!$B$26:$B$31,0),MATCH(Z$5,Methodology!$B$26:$E$26,0)))</f>
        <v>0</v>
      </c>
      <c r="Z98" s="261">
        <f t="shared" ca="1" si="6"/>
        <v>0</v>
      </c>
      <c r="AA98" s="199"/>
      <c r="AB98" s="10">
        <f t="shared" ca="1" si="7"/>
        <v>2399.9999999999991</v>
      </c>
      <c r="AC98" s="190" t="str">
        <f t="shared" ca="1" si="9"/>
        <v>kg/m³</v>
      </c>
      <c r="AD98" s="213" t="str" cm="1">
        <f t="array" aca="1" ref="AD98" ca="1">IF(INDIRECT(""&amp;$D98&amp;"!R"&amp;AD$142&amp;"C"&amp;AD$143,FALSE)=0,"",INDIRECT(""&amp;$D98&amp;"!R"&amp;AD$142&amp;"C"&amp;AD$143,FALSE))</f>
        <v xml:space="preserve">The material category is based on the strength of concrete.  Concrete mixes from all states and territories and with or without supplementary cementious materials are included in this dataset.  This provides a conservative default value for the material category. Promoting the use of specific published EFs based on the concrete product used. </v>
      </c>
      <c r="AE98" s="214" t="str" cm="1">
        <f t="array" aca="1" ref="AE98" ca="1">IFERROR(IF(INDIRECT(""&amp;$D98&amp;"!R"&amp;AE$142&amp;"C"&amp;AE$143,FALSE)="Average (weighted)","Yes","No"),"")</f>
        <v>No</v>
      </c>
      <c r="AF98" s="96"/>
    </row>
    <row r="99" spans="1:32" ht="45" customHeight="1" x14ac:dyDescent="0.25">
      <c r="A99" s="66" t="s">
        <v>4003</v>
      </c>
      <c r="B99" s="69" t="s">
        <v>2414</v>
      </c>
      <c r="C99" s="193" t="str" cm="1">
        <f t="array" aca="1" ref="C99" ca="1">INDIRECT(""&amp;$D99&amp;"!R"&amp;C$142&amp;"C"&amp;C$143,FALSE)</f>
        <v>Access floor (raised floor) including pedestal, base, componentry. Excluding finish top layer.</v>
      </c>
      <c r="D99" s="66" t="s">
        <v>4004</v>
      </c>
      <c r="E99" s="7" t="str" cm="1">
        <f t="array" aca="1" ref="E99" ca="1">INDIRECT(""&amp;$D99&amp;"!R"&amp;E$142&amp;"C"&amp;E$143,FALSE)</f>
        <v>m²</v>
      </c>
      <c r="F99" s="7" t="str" cm="1">
        <f t="array" aca="1" ref="F99" ca="1">INDIRECT(""&amp;$D99&amp;"!R"&amp;F$142&amp;"C"&amp;F$143,FALSE)</f>
        <v>Tier 3</v>
      </c>
      <c r="G99" s="188">
        <f ca="1">INDEX(Methodology!$B$26:$D$31,MATCH('EF Table_detail'!$F99,Methodology!$B$26:$B$31,0),MATCH('EF Table_detail'!$G$5,Methodology!$B$26:$D$26,0))</f>
        <v>1.1000000000000001</v>
      </c>
      <c r="H99" s="240" cm="1">
        <f t="array" aca="1" ref="H99" ca="1">INDIRECT(""&amp;$D99&amp;"!R"&amp;H$142&amp;"C"&amp;H$143,FALSE)</f>
        <v>76</v>
      </c>
      <c r="I99" s="238" cm="1">
        <f t="array" aca="1" ref="I99" ca="1">INDIRECT(""&amp;$D99&amp;"!R"&amp;I$142&amp;"C"&amp;I$143,FALSE)</f>
        <v>19</v>
      </c>
      <c r="J99" s="239" cm="1">
        <f t="array" aca="1" ref="J99" ca="1">INDIRECT(""&amp;$D99&amp;"!R"&amp;J$142&amp;"C"&amp;J$143,FALSE)</f>
        <v>38.39418214285714</v>
      </c>
      <c r="K99" s="262">
        <f ca="1">$J99*(1+INDEX(Methodology!$B$26:$E$31,MATCH($F99,Methodology!$B$26:$B$31,0),MATCH(L$5,Methodology!$B$26:$E$26,0)))</f>
        <v>42.233600357142855</v>
      </c>
      <c r="L99" s="261">
        <f ca="1">$H99*(1+INDEX(Methodology!$B$26:$E$31,MATCH($F99,Methodology!$B$26:$B$31,0),MATCH(L$5,Methodology!$B$26:$E$26,0)))</f>
        <v>83.600000000000009</v>
      </c>
      <c r="M99" s="234" cm="1">
        <f t="array" aca="1" ref="M99" ca="1">INDIRECT(""&amp;$D99&amp;"!R"&amp;M$142&amp;"C"&amp;M$143,FALSE)</f>
        <v>1.2925170068027212</v>
      </c>
      <c r="N99" s="234" cm="1">
        <f t="array" aca="1" ref="N99" ca="1">INDIRECT(""&amp;$D99&amp;"!R"&amp;N$142&amp;"C"&amp;N$143,FALSE)</f>
        <v>0.30583845612747351</v>
      </c>
      <c r="O99" s="231" cm="1">
        <f t="array" aca="1" ref="O99" ca="1">INDIRECT(""&amp;$D99&amp;"!R"&amp;O$142&amp;"C"&amp;O$143,FALSE)</f>
        <v>0.82217358485199188</v>
      </c>
      <c r="P99" s="265">
        <f ca="1">$O99*(1+INDEX(Methodology!$B$26:$E$31,MATCH($F99,Methodology!$B$26:$B$31,0),MATCH(Q$5,Methodology!$B$26:$E$26,0)))</f>
        <v>0.90439094333719117</v>
      </c>
      <c r="Q99" s="266">
        <f ca="1">$M99*(1+INDEX(Methodology!$B$26:$E$31,MATCH($F99,Methodology!$B$26:$B$31,0),MATCH(Q$5,Methodology!$B$26:$E$26,0)))</f>
        <v>1.4217687074829934</v>
      </c>
      <c r="R99" s="199"/>
      <c r="S99" s="63" cm="1">
        <f t="array" aca="1" ref="S99" ca="1">INDIRECT(""&amp;$D99&amp;"!R"&amp;S$142&amp;"C"&amp;S$143,FALSE)</f>
        <v>0</v>
      </c>
      <c r="T99" s="62" cm="1">
        <f t="array" aca="1" ref="T99" ca="1">INDIRECT(""&amp;$D99&amp;"!R"&amp;T$142&amp;"C"&amp;T$143,FALSE)</f>
        <v>0</v>
      </c>
      <c r="U99" s="265">
        <f ca="1">$T99*(1+INDEX(Methodology!$B$26:$E$31,MATCH($F99,Methodology!$B$26:$B$31,0),MATCH(V$5,Methodology!$B$26:$E$26,0)))</f>
        <v>0</v>
      </c>
      <c r="V99" s="261">
        <f ca="1">$S99*(1+INDEX(Methodology!$B$26:$E$31,MATCH($F99,Methodology!$B$26:$B$31,0),MATCH(V$5,Methodology!$B$26:$E$26,0)))</f>
        <v>0</v>
      </c>
      <c r="W99" s="63" cm="1">
        <f t="array" aca="1" ref="W99" ca="1">INDIRECT(""&amp;$D99&amp;"!R"&amp;W$142&amp;"C"&amp;W$143,FALSE)</f>
        <v>0</v>
      </c>
      <c r="X99" s="62" cm="1">
        <f t="array" aca="1" ref="X99" ca="1">INDIRECT(""&amp;$D99&amp;"!R"&amp;X$142&amp;"C"&amp;X$143,FALSE)</f>
        <v>0</v>
      </c>
      <c r="Y99" s="265">
        <f ca="1">$X99*(1+INDEX(Methodology!$B$26:$E$31,MATCH($F99,Methodology!$B$26:$B$31,0),MATCH(Z$5,Methodology!$B$26:$E$26,0)))</f>
        <v>0</v>
      </c>
      <c r="Z99" s="261">
        <f t="shared" ca="1" si="6"/>
        <v>0</v>
      </c>
      <c r="AA99" s="199"/>
      <c r="AB99" s="10">
        <f t="shared" ca="1" si="7"/>
        <v>46.698389306400401</v>
      </c>
      <c r="AC99" s="190" t="str">
        <f t="shared" ca="1" si="9"/>
        <v>kg/m²</v>
      </c>
      <c r="AD99" s="213" t="str" cm="1">
        <f t="array" aca="1" ref="AD99" ca="1">IF(INDIRECT(""&amp;$D99&amp;"!R"&amp;AD$142&amp;"C"&amp;AD$143,FALSE)=0,"",INDIRECT(""&amp;$D99&amp;"!R"&amp;AD$142&amp;"C"&amp;AD$143,FALSE))</f>
        <v xml:space="preserve">Recommended to use kg CO2e/kg EF when thickness and mass is known. </v>
      </c>
      <c r="AE99" s="214" t="str" cm="1">
        <f t="array" aca="1" ref="AE99" ca="1">IFERROR(IF(INDIRECT(""&amp;$D99&amp;"!R"&amp;AE$142&amp;"C"&amp;AE$143,FALSE)="Average (weighted)","Yes","No"),"")</f>
        <v>No</v>
      </c>
      <c r="AF99" s="96"/>
    </row>
    <row r="100" spans="1:32" ht="45" customHeight="1" x14ac:dyDescent="0.25">
      <c r="A100" s="66" t="s">
        <v>4003</v>
      </c>
      <c r="B100" s="69" t="s">
        <v>2430</v>
      </c>
      <c r="C100" s="193" t="str" cm="1">
        <f t="array" aca="1" ref="C100" ca="1">INDIRECT(""&amp;$D100&amp;"!R"&amp;C$142&amp;"C"&amp;C$143,FALSE)</f>
        <v>Carpet for flooring inc. carpet tiles.</v>
      </c>
      <c r="D100" s="66" t="s">
        <v>4005</v>
      </c>
      <c r="E100" s="7" t="str" cm="1">
        <f t="array" aca="1" ref="E100" ca="1">INDIRECT(""&amp;$D100&amp;"!R"&amp;E$142&amp;"C"&amp;E$143,FALSE)</f>
        <v>m²</v>
      </c>
      <c r="F100" s="7" t="str" cm="1">
        <f t="array" aca="1" ref="F100" ca="1">INDIRECT(""&amp;$D100&amp;"!R"&amp;F$142&amp;"C"&amp;F$143,FALSE)</f>
        <v>Tier 4</v>
      </c>
      <c r="G100" s="188">
        <f ca="1">INDEX(Methodology!$B$26:$D$31,MATCH('EF Table_detail'!$F100,Methodology!$B$26:$B$31,0),MATCH('EF Table_detail'!$G$5,Methodology!$B$26:$D$26,0))</f>
        <v>1.2</v>
      </c>
      <c r="H100" s="240" cm="1">
        <f t="array" aca="1" ref="H100" ca="1">INDIRECT(""&amp;$D100&amp;"!R"&amp;H$142&amp;"C"&amp;H$143,FALSE)</f>
        <v>28.52</v>
      </c>
      <c r="I100" s="238" cm="1">
        <f t="array" aca="1" ref="I100" ca="1">INDIRECT(""&amp;$D100&amp;"!R"&amp;I$142&amp;"C"&amp;I$143,FALSE)</f>
        <v>8.5299999999999994</v>
      </c>
      <c r="J100" s="239" cm="1">
        <f t="array" aca="1" ref="J100" ca="1">INDIRECT(""&amp;$D100&amp;"!R"&amp;J$142&amp;"C"&amp;J$143,FALSE)</f>
        <v>15.748526250000001</v>
      </c>
      <c r="K100" s="262">
        <f ca="1">$J100*(1+INDEX(Methodology!$B$26:$E$31,MATCH($F100,Methodology!$B$26:$B$31,0),MATCH(L$5,Methodology!$B$26:$E$26,0)))</f>
        <v>18.898231500000001</v>
      </c>
      <c r="L100" s="261">
        <f ca="1">$H100*(1+INDEX(Methodology!$B$26:$E$31,MATCH($F100,Methodology!$B$26:$B$31,0),MATCH(L$5,Methodology!$B$26:$E$26,0)))</f>
        <v>34.223999999999997</v>
      </c>
      <c r="M100" s="235" cm="1">
        <f t="array" aca="1" ref="M100" ca="1">INDIRECT(""&amp;$D100&amp;"!R"&amp;M$142&amp;"C"&amp;M$143,FALSE)</f>
        <v>11.097276264591441</v>
      </c>
      <c r="N100" s="235" cm="1">
        <f t="array" aca="1" ref="N100" ca="1">INDIRECT(""&amp;$D100&amp;"!R"&amp;N$142&amp;"C"&amp;N$143,FALSE)</f>
        <v>2.2565598086124408</v>
      </c>
      <c r="O100" s="231" cm="1">
        <f t="array" aca="1" ref="O100" ca="1">INDIRECT(""&amp;$D100&amp;"!R"&amp;O$142&amp;"C"&amp;O$143,FALSE)</f>
        <v>4.8977891824859556</v>
      </c>
      <c r="P100" s="265">
        <f ca="1">$O100*(1+INDEX(Methodology!$B$26:$E$31,MATCH($F100,Methodology!$B$26:$B$31,0),MATCH(Q$5,Methodology!$B$26:$E$26,0)))</f>
        <v>5.8773470189831469</v>
      </c>
      <c r="Q100" s="266">
        <f ca="1">$M100*(1+INDEX(Methodology!$B$26:$E$31,MATCH($F100,Methodology!$B$26:$B$31,0),MATCH(Q$5,Methodology!$B$26:$E$26,0)))</f>
        <v>13.316731517509728</v>
      </c>
      <c r="R100" s="199"/>
      <c r="S100" s="63" cm="1">
        <f t="array" aca="1" ref="S100" ca="1">INDIRECT(""&amp;$D100&amp;"!R"&amp;S$142&amp;"C"&amp;S$143,FALSE)</f>
        <v>0</v>
      </c>
      <c r="T100" s="62" cm="1">
        <f t="array" aca="1" ref="T100" ca="1">INDIRECT(""&amp;$D100&amp;"!R"&amp;T$142&amp;"C"&amp;T$143,FALSE)</f>
        <v>0</v>
      </c>
      <c r="U100" s="265">
        <f ca="1">$T100*(1+INDEX(Methodology!$B$26:$E$31,MATCH($F100,Methodology!$B$26:$B$31,0),MATCH(V$5,Methodology!$B$26:$E$26,0)))</f>
        <v>0</v>
      </c>
      <c r="V100" s="261">
        <f ca="1">$S100*(1+INDEX(Methodology!$B$26:$E$31,MATCH($F100,Methodology!$B$26:$B$31,0),MATCH(V$5,Methodology!$B$26:$E$26,0)))</f>
        <v>0</v>
      </c>
      <c r="W100" s="63" cm="1">
        <f t="array" aca="1" ref="W100" ca="1">INDIRECT(""&amp;$D100&amp;"!R"&amp;W$142&amp;"C"&amp;W$143,FALSE)</f>
        <v>0</v>
      </c>
      <c r="X100" s="62" cm="1">
        <f t="array" aca="1" ref="X100" ca="1">INDIRECT(""&amp;$D100&amp;"!R"&amp;X$142&amp;"C"&amp;X$143,FALSE)</f>
        <v>0</v>
      </c>
      <c r="Y100" s="265">
        <f ca="1">$X100*(1+INDEX(Methodology!$B$26:$E$31,MATCH($F100,Methodology!$B$26:$B$31,0),MATCH(Z$5,Methodology!$B$26:$E$26,0)))</f>
        <v>0</v>
      </c>
      <c r="Z100" s="261">
        <f t="shared" ca="1" si="6"/>
        <v>0</v>
      </c>
      <c r="AA100" s="199"/>
      <c r="AB100" s="10">
        <f t="shared" ca="1" si="7"/>
        <v>3.2154357125691089</v>
      </c>
      <c r="AC100" s="190" t="str">
        <f t="shared" ca="1" si="9"/>
        <v>kg/m²</v>
      </c>
      <c r="AD100" s="213" t="str" cm="1">
        <f t="array" aca="1" ref="AD100" ca="1">IF(INDIRECT(""&amp;$D100&amp;"!R"&amp;AD$142&amp;"C"&amp;AD$143,FALSE)=0,"",INDIRECT(""&amp;$D100&amp;"!R"&amp;AD$142&amp;"C"&amp;AD$143,FALSE))</f>
        <v xml:space="preserve">Recommended to use kg CO2e/kg EF when thickness and mass is known. </v>
      </c>
      <c r="AE100" s="214" t="str" cm="1">
        <f t="array" aca="1" ref="AE100" ca="1">IFERROR(IF(INDIRECT(""&amp;$D100&amp;"!R"&amp;AE$142&amp;"C"&amp;AE$143,FALSE)="Average (weighted)","Yes","No"),"")</f>
        <v>No</v>
      </c>
      <c r="AF100" s="96"/>
    </row>
    <row r="101" spans="1:32" ht="45" customHeight="1" x14ac:dyDescent="0.25">
      <c r="A101" s="66" t="s">
        <v>4003</v>
      </c>
      <c r="B101" s="69" t="s">
        <v>2391</v>
      </c>
      <c r="C101" s="193" t="str" cm="1">
        <f t="array" aca="1" ref="C101" ca="1">INDIRECT(""&amp;$D101&amp;"!R"&amp;C$142&amp;"C"&amp;C$143,FALSE)</f>
        <v xml:space="preserve">Vinyl flooring </v>
      </c>
      <c r="D101" s="66" t="s">
        <v>4006</v>
      </c>
      <c r="E101" s="7" t="str" cm="1">
        <f t="array" aca="1" ref="E101" ca="1">INDIRECT(""&amp;$D101&amp;"!R"&amp;E$142&amp;"C"&amp;E$143,FALSE)</f>
        <v>m²</v>
      </c>
      <c r="F101" s="7" t="str" cm="1">
        <f t="array" aca="1" ref="F101" ca="1">INDIRECT(""&amp;$D101&amp;"!R"&amp;F$142&amp;"C"&amp;F$143,FALSE)</f>
        <v>Tier 3</v>
      </c>
      <c r="G101" s="188">
        <f ca="1">INDEX(Methodology!$B$26:$D$31,MATCH('EF Table_detail'!$F101,Methodology!$B$26:$B$31,0),MATCH('EF Table_detail'!$G$5,Methodology!$B$26:$D$26,0))</f>
        <v>1.1000000000000001</v>
      </c>
      <c r="H101" s="240" cm="1">
        <f t="array" aca="1" ref="H101" ca="1">INDIRECT(""&amp;$D101&amp;"!R"&amp;H$142&amp;"C"&amp;H$143,FALSE)</f>
        <v>34.386000000000003</v>
      </c>
      <c r="I101" s="238" cm="1">
        <f t="array" aca="1" ref="I101" ca="1">INDIRECT(""&amp;$D101&amp;"!R"&amp;I$142&amp;"C"&amp;I$143,FALSE)</f>
        <v>9.1138000000000012</v>
      </c>
      <c r="J101" s="239" cm="1">
        <f t="array" aca="1" ref="J101" ca="1">INDIRECT(""&amp;$D101&amp;"!R"&amp;J$142&amp;"C"&amp;J$143,FALSE)</f>
        <v>21.35324</v>
      </c>
      <c r="K101" s="262">
        <f ca="1">$J101*(1+INDEX(Methodology!$B$26:$E$31,MATCH($F101,Methodology!$B$26:$B$31,0),MATCH(L$5,Methodology!$B$26:$E$26,0)))</f>
        <v>23.488564</v>
      </c>
      <c r="L101" s="261">
        <f ca="1">$H101*(1+INDEX(Methodology!$B$26:$E$31,MATCH($F101,Methodology!$B$26:$B$31,0),MATCH(L$5,Methodology!$B$26:$E$26,0)))</f>
        <v>37.824600000000004</v>
      </c>
      <c r="M101" s="234" cm="1">
        <f t="array" aca="1" ref="M101" ca="1">INDIRECT(""&amp;$D101&amp;"!R"&amp;M$142&amp;"C"&amp;M$143,FALSE)</f>
        <v>2.2969939879759522</v>
      </c>
      <c r="N101" s="234" cm="1">
        <f t="array" aca="1" ref="N101" ca="1">INDIRECT(""&amp;$D101&amp;"!R"&amp;N$142&amp;"C"&amp;N$143,FALSE)</f>
        <v>0.86798095238095241</v>
      </c>
      <c r="O101" s="231" cm="1">
        <f t="array" aca="1" ref="O101" ca="1">INDIRECT(""&amp;$D101&amp;"!R"&amp;O$142&amp;"C"&amp;O$143,FALSE)</f>
        <v>1.8380692737856665</v>
      </c>
      <c r="P101" s="265">
        <f ca="1">$O101*(1+INDEX(Methodology!$B$26:$E$31,MATCH($F101,Methodology!$B$26:$B$31,0),MATCH(Q$5,Methodology!$B$26:$E$26,0)))</f>
        <v>2.0218762011642335</v>
      </c>
      <c r="Q101" s="266">
        <f ca="1">$M101*(1+INDEX(Methodology!$B$26:$E$31,MATCH($F101,Methodology!$B$26:$B$31,0),MATCH(Q$5,Methodology!$B$26:$E$26,0)))</f>
        <v>2.5266933867735477</v>
      </c>
      <c r="R101" s="199"/>
      <c r="S101" s="63" cm="1">
        <f t="array" aca="1" ref="S101" ca="1">INDIRECT(""&amp;$D101&amp;"!R"&amp;S$142&amp;"C"&amp;S$143,FALSE)</f>
        <v>0</v>
      </c>
      <c r="T101" s="62" cm="1">
        <f t="array" aca="1" ref="T101" ca="1">INDIRECT(""&amp;$D101&amp;"!R"&amp;T$142&amp;"C"&amp;T$143,FALSE)</f>
        <v>0</v>
      </c>
      <c r="U101" s="265">
        <f ca="1">$T101*(1+INDEX(Methodology!$B$26:$E$31,MATCH($F101,Methodology!$B$26:$B$31,0),MATCH(V$5,Methodology!$B$26:$E$26,0)))</f>
        <v>0</v>
      </c>
      <c r="V101" s="261">
        <f ca="1">$S101*(1+INDEX(Methodology!$B$26:$E$31,MATCH($F101,Methodology!$B$26:$B$31,0),MATCH(V$5,Methodology!$B$26:$E$26,0)))</f>
        <v>0</v>
      </c>
      <c r="W101" s="63" cm="1">
        <f t="array" aca="1" ref="W101" ca="1">INDIRECT(""&amp;$D101&amp;"!R"&amp;W$142&amp;"C"&amp;W$143,FALSE)</f>
        <v>0</v>
      </c>
      <c r="X101" s="62" cm="1">
        <f t="array" aca="1" ref="X101" ca="1">INDIRECT(""&amp;$D101&amp;"!R"&amp;X$142&amp;"C"&amp;X$143,FALSE)</f>
        <v>0</v>
      </c>
      <c r="Y101" s="265">
        <f ca="1">$X101*(1+INDEX(Methodology!$B$26:$E$31,MATCH($F101,Methodology!$B$26:$B$31,0),MATCH(Z$5,Methodology!$B$26:$E$26,0)))</f>
        <v>0</v>
      </c>
      <c r="Z101" s="261">
        <f t="shared" ca="1" si="6"/>
        <v>0</v>
      </c>
      <c r="AA101" s="199"/>
      <c r="AB101" s="10">
        <f t="shared" ca="1" si="7"/>
        <v>11.617211769184907</v>
      </c>
      <c r="AC101" s="190" t="str">
        <f t="shared" ca="1" si="9"/>
        <v>kg/m²</v>
      </c>
      <c r="AD101" s="213" t="str" cm="1">
        <f t="array" aca="1" ref="AD101" ca="1">IF(INDIRECT(""&amp;$D101&amp;"!R"&amp;AD$142&amp;"C"&amp;AD$143,FALSE)=0,"",INDIRECT(""&amp;$D101&amp;"!R"&amp;AD$142&amp;"C"&amp;AD$143,FALSE))</f>
        <v xml:space="preserve">Recommended to use kg CO2e/kg EF when thickness and mass is known. </v>
      </c>
      <c r="AE101" s="214" t="str" cm="1">
        <f t="array" aca="1" ref="AE101" ca="1">IFERROR(IF(INDIRECT(""&amp;$D101&amp;"!R"&amp;AE$142&amp;"C"&amp;AE$143,FALSE)="Average (weighted)","Yes","No"),"")</f>
        <v>No</v>
      </c>
      <c r="AF101" s="96"/>
    </row>
    <row r="102" spans="1:32" ht="45" customHeight="1" x14ac:dyDescent="0.25">
      <c r="A102" s="66" t="s">
        <v>4003</v>
      </c>
      <c r="B102" s="69" t="s">
        <v>2409</v>
      </c>
      <c r="C102" s="193" t="str" cm="1">
        <f t="array" aca="1" ref="C102" ca="1">INDIRECT(""&amp;$D102&amp;"!R"&amp;C$142&amp;"C"&amp;C$143,FALSE)</f>
        <v>Rubber flooring</v>
      </c>
      <c r="D102" s="66" t="s">
        <v>4007</v>
      </c>
      <c r="E102" s="7" t="str" cm="1">
        <f t="array" aca="1" ref="E102" ca="1">INDIRECT(""&amp;$D102&amp;"!R"&amp;E$142&amp;"C"&amp;E$143,FALSE)</f>
        <v>m²</v>
      </c>
      <c r="F102" s="7" t="str" cm="1">
        <f t="array" aca="1" ref="F102" ca="1">INDIRECT(""&amp;$D102&amp;"!R"&amp;F$142&amp;"C"&amp;F$143,FALSE)</f>
        <v>Tier 4</v>
      </c>
      <c r="G102" s="188">
        <f ca="1">INDEX(Methodology!$B$26:$D$31,MATCH('EF Table_detail'!$F102,Methodology!$B$26:$B$31,0),MATCH('EF Table_detail'!$G$5,Methodology!$B$26:$D$26,0))</f>
        <v>1.2</v>
      </c>
      <c r="H102" s="240" cm="1">
        <f t="array" aca="1" ref="H102" ca="1">INDIRECT(""&amp;$D102&amp;"!R"&amp;H$142&amp;"C"&amp;H$143,FALSE)</f>
        <v>16.219000000000001</v>
      </c>
      <c r="I102" s="238" cm="1">
        <f t="array" aca="1" ref="I102" ca="1">INDIRECT(""&amp;$D102&amp;"!R"&amp;I$142&amp;"C"&amp;I$143,FALSE)</f>
        <v>16.219000000000001</v>
      </c>
      <c r="J102" s="239" cm="1">
        <f t="array" aca="1" ref="J102" ca="1">INDIRECT(""&amp;$D102&amp;"!R"&amp;J$142&amp;"C"&amp;J$143,FALSE)</f>
        <v>16.219000000000001</v>
      </c>
      <c r="K102" s="262">
        <f ca="1">$J102*(1+INDEX(Methodology!$B$26:$E$31,MATCH($F102,Methodology!$B$26:$B$31,0),MATCH(L$5,Methodology!$B$26:$E$26,0)))</f>
        <v>19.462800000000001</v>
      </c>
      <c r="L102" s="261">
        <f ca="1">$H102*(1+INDEX(Methodology!$B$26:$E$31,MATCH($F102,Methodology!$B$26:$B$31,0),MATCH(L$5,Methodology!$B$26:$E$26,0)))</f>
        <v>19.462800000000001</v>
      </c>
      <c r="M102" s="234" cm="1">
        <f t="array" aca="1" ref="M102" ca="1">INDIRECT(""&amp;$D102&amp;"!R"&amp;M$142&amp;"C"&amp;M$143,FALSE)</f>
        <v>8.5363157894736847</v>
      </c>
      <c r="N102" s="234" cm="1">
        <f t="array" aca="1" ref="N102" ca="1">INDIRECT(""&amp;$D102&amp;"!R"&amp;N$142&amp;"C"&amp;N$143,FALSE)</f>
        <v>8.5363157894736847</v>
      </c>
      <c r="O102" s="231" cm="1">
        <f t="array" aca="1" ref="O102" ca="1">INDIRECT(""&amp;$D102&amp;"!R"&amp;O$142&amp;"C"&amp;O$143,FALSE)</f>
        <v>8.5363157894736847</v>
      </c>
      <c r="P102" s="265">
        <f ca="1">$O102*(1+INDEX(Methodology!$B$26:$E$31,MATCH($F102,Methodology!$B$26:$B$31,0),MATCH(Q$5,Methodology!$B$26:$E$26,0)))</f>
        <v>10.243578947368421</v>
      </c>
      <c r="Q102" s="266">
        <f ca="1">$M102*(1+INDEX(Methodology!$B$26:$E$31,MATCH($F102,Methodology!$B$26:$B$31,0),MATCH(Q$5,Methodology!$B$26:$E$26,0)))</f>
        <v>10.243578947368421</v>
      </c>
      <c r="R102" s="199"/>
      <c r="S102" s="63" cm="1">
        <f t="array" aca="1" ref="S102" ca="1">INDIRECT(""&amp;$D102&amp;"!R"&amp;S$142&amp;"C"&amp;S$143,FALSE)</f>
        <v>0</v>
      </c>
      <c r="T102" s="62" cm="1">
        <f t="array" aca="1" ref="T102" ca="1">INDIRECT(""&amp;$D102&amp;"!R"&amp;T$142&amp;"C"&amp;T$143,FALSE)</f>
        <v>0</v>
      </c>
      <c r="U102" s="265">
        <f ca="1">$T102*(1+INDEX(Methodology!$B$26:$E$31,MATCH($F102,Methodology!$B$26:$B$31,0),MATCH(V$5,Methodology!$B$26:$E$26,0)))</f>
        <v>0</v>
      </c>
      <c r="V102" s="261">
        <f ca="1">$S102*(1+INDEX(Methodology!$B$26:$E$31,MATCH($F102,Methodology!$B$26:$B$31,0),MATCH(V$5,Methodology!$B$26:$E$26,0)))</f>
        <v>0</v>
      </c>
      <c r="W102" s="63" cm="1">
        <f t="array" aca="1" ref="W102" ca="1">INDIRECT(""&amp;$D102&amp;"!R"&amp;W$142&amp;"C"&amp;W$143,FALSE)</f>
        <v>0</v>
      </c>
      <c r="X102" s="62" cm="1">
        <f t="array" aca="1" ref="X102" ca="1">INDIRECT(""&amp;$D102&amp;"!R"&amp;X$142&amp;"C"&amp;X$143,FALSE)</f>
        <v>0</v>
      </c>
      <c r="Y102" s="265">
        <f ca="1">$X102*(1+INDEX(Methodology!$B$26:$E$31,MATCH($F102,Methodology!$B$26:$B$31,0),MATCH(Z$5,Methodology!$B$26:$E$26,0)))</f>
        <v>0</v>
      </c>
      <c r="Z102" s="261">
        <f t="shared" ca="1" si="6"/>
        <v>0</v>
      </c>
      <c r="AA102" s="199"/>
      <c r="AB102" s="10">
        <f t="shared" ca="1" si="7"/>
        <v>1.9</v>
      </c>
      <c r="AC102" s="190" t="str">
        <f t="shared" ca="1" si="9"/>
        <v>kg/m²</v>
      </c>
      <c r="AD102" s="213" t="str" cm="1">
        <f t="array" aca="1" ref="AD102" ca="1">IF(INDIRECT(""&amp;$D102&amp;"!R"&amp;AD$142&amp;"C"&amp;AD$143,FALSE)=0,"",INDIRECT(""&amp;$D102&amp;"!R"&amp;AD$142&amp;"C"&amp;AD$143,FALSE))</f>
        <v xml:space="preserve">Recommended to use kg CO2e/kg EF when thickness and mass is known. </v>
      </c>
      <c r="AE102" s="214" t="str" cm="1">
        <f t="array" aca="1" ref="AE102" ca="1">IFERROR(IF(INDIRECT(""&amp;$D102&amp;"!R"&amp;AE$142&amp;"C"&amp;AE$143,FALSE)="Average (weighted)","Yes","No"),"")</f>
        <v>No</v>
      </c>
      <c r="AF102" s="96"/>
    </row>
    <row r="103" spans="1:32" ht="45" customHeight="1" x14ac:dyDescent="0.25">
      <c r="A103" s="66" t="s">
        <v>4003</v>
      </c>
      <c r="B103" s="69" t="s">
        <v>2498</v>
      </c>
      <c r="C103" s="193" t="str" cm="1">
        <f t="array" aca="1" ref="C103" ca="1">INDIRECT(""&amp;$D103&amp;"!R"&amp;C$142&amp;"C"&amp;C$143,FALSE)</f>
        <v>Laminate flooring</v>
      </c>
      <c r="D103" s="66" t="s">
        <v>4008</v>
      </c>
      <c r="E103" s="7" t="str" cm="1">
        <f t="array" aca="1" ref="E103" ca="1">INDIRECT(""&amp;$D103&amp;"!R"&amp;E$142&amp;"C"&amp;E$143,FALSE)</f>
        <v>m²</v>
      </c>
      <c r="F103" s="7" t="str" cm="1">
        <f t="array" aca="1" ref="F103" ca="1">INDIRECT(""&amp;$D103&amp;"!R"&amp;F$142&amp;"C"&amp;F$143,FALSE)</f>
        <v>Tier 4</v>
      </c>
      <c r="G103" s="188">
        <f ca="1">INDEX(Methodology!$B$26:$D$31,MATCH('EF Table_detail'!$F103,Methodology!$B$26:$B$31,0),MATCH('EF Table_detail'!$G$5,Methodology!$B$26:$D$26,0))</f>
        <v>1.2</v>
      </c>
      <c r="H103" s="240" cm="1">
        <f t="array" aca="1" ref="H103" ca="1">INDIRECT(""&amp;$D103&amp;"!R"&amp;H$142&amp;"C"&amp;H$143,FALSE)</f>
        <v>4.7433000000000005</v>
      </c>
      <c r="I103" s="238" cm="1">
        <f t="array" aca="1" ref="I103" ca="1">INDIRECT(""&amp;$D103&amp;"!R"&amp;I$142&amp;"C"&amp;I$143,FALSE)</f>
        <v>2.66934</v>
      </c>
      <c r="J103" s="239" cm="1">
        <f t="array" aca="1" ref="J103" ca="1">INDIRECT(""&amp;$D103&amp;"!R"&amp;J$142&amp;"C"&amp;J$143,FALSE)</f>
        <v>3.7063200000000003</v>
      </c>
      <c r="K103" s="262">
        <f ca="1">$J103*(1+INDEX(Methodology!$B$26:$E$31,MATCH($F103,Methodology!$B$26:$B$31,0),MATCH(L$5,Methodology!$B$26:$E$26,0)))</f>
        <v>4.447584</v>
      </c>
      <c r="L103" s="261">
        <f ca="1">$H103*(1+INDEX(Methodology!$B$26:$E$31,MATCH($F103,Methodology!$B$26:$B$31,0),MATCH(L$5,Methodology!$B$26:$E$26,0)))</f>
        <v>5.6919600000000008</v>
      </c>
      <c r="M103" s="234" cm="1">
        <f t="array" aca="1" ref="M103" ca="1">INDIRECT(""&amp;$D103&amp;"!R"&amp;M$142&amp;"C"&amp;M$143,FALSE)</f>
        <v>0.67858369098712457</v>
      </c>
      <c r="N103" s="234" cm="1">
        <f t="array" aca="1" ref="N103" ca="1">INDIRECT(""&amp;$D103&amp;"!R"&amp;N$142&amp;"C"&amp;N$143,FALSE)</f>
        <v>0.38352586206896544</v>
      </c>
      <c r="O103" s="231" cm="1">
        <f t="array" aca="1" ref="O103" ca="1">INDIRECT(""&amp;$D103&amp;"!R"&amp;O$142&amp;"C"&amp;O$143,FALSE)</f>
        <v>0.531054776528045</v>
      </c>
      <c r="P103" s="265">
        <f ca="1">$O103*(1+INDEX(Methodology!$B$26:$E$31,MATCH($F103,Methodology!$B$26:$B$31,0),MATCH(Q$5,Methodology!$B$26:$E$26,0)))</f>
        <v>0.63726573183365398</v>
      </c>
      <c r="Q103" s="266">
        <f ca="1">$M103*(1+INDEX(Methodology!$B$26:$E$31,MATCH($F103,Methodology!$B$26:$B$31,0),MATCH(Q$5,Methodology!$B$26:$E$26,0)))</f>
        <v>0.81430042918454948</v>
      </c>
      <c r="R103" s="199"/>
      <c r="S103" s="63" cm="1">
        <f t="array" aca="1" ref="S103" ca="1">INDIRECT(""&amp;$D103&amp;"!R"&amp;S$142&amp;"C"&amp;S$143,FALSE)</f>
        <v>0</v>
      </c>
      <c r="T103" s="62" cm="1">
        <f t="array" aca="1" ref="T103" ca="1">INDIRECT(""&amp;$D103&amp;"!R"&amp;T$142&amp;"C"&amp;T$143,FALSE)</f>
        <v>0</v>
      </c>
      <c r="U103" s="265">
        <f ca="1">$T103*(1+INDEX(Methodology!$B$26:$E$31,MATCH($F103,Methodology!$B$26:$B$31,0),MATCH(V$5,Methodology!$B$26:$E$26,0)))</f>
        <v>0</v>
      </c>
      <c r="V103" s="261">
        <f ca="1">$S103*(1+INDEX(Methodology!$B$26:$E$31,MATCH($F103,Methodology!$B$26:$B$31,0),MATCH(V$5,Methodology!$B$26:$E$26,0)))</f>
        <v>0</v>
      </c>
      <c r="W103" s="63" cm="1">
        <f t="array" aca="1" ref="W103" ca="1">INDIRECT(""&amp;$D103&amp;"!R"&amp;W$142&amp;"C"&amp;W$143,FALSE)</f>
        <v>0</v>
      </c>
      <c r="X103" s="62" cm="1">
        <f t="array" aca="1" ref="X103" ca="1">INDIRECT(""&amp;$D103&amp;"!R"&amp;X$142&amp;"C"&amp;X$143,FALSE)</f>
        <v>0</v>
      </c>
      <c r="Y103" s="265">
        <f ca="1">$X103*(1+INDEX(Methodology!$B$26:$E$31,MATCH($F103,Methodology!$B$26:$B$31,0),MATCH(Z$5,Methodology!$B$26:$E$26,0)))</f>
        <v>0</v>
      </c>
      <c r="Z103" s="261">
        <f t="shared" ca="1" si="6"/>
        <v>0</v>
      </c>
      <c r="AA103" s="199"/>
      <c r="AB103" s="10">
        <f t="shared" ca="1" si="7"/>
        <v>6.9791670535972843</v>
      </c>
      <c r="AC103" s="190" t="str">
        <f t="shared" ca="1" si="9"/>
        <v>kg/m²</v>
      </c>
      <c r="AD103" s="213" t="str" cm="1">
        <f t="array" aca="1" ref="AD103" ca="1">IF(INDIRECT(""&amp;$D103&amp;"!R"&amp;AD$142&amp;"C"&amp;AD$143,FALSE)=0,"",INDIRECT(""&amp;$D103&amp;"!R"&amp;AD$142&amp;"C"&amp;AD$143,FALSE))</f>
        <v xml:space="preserve">Recommended to use kg CO2e/kg EF when thickness and mass is known. </v>
      </c>
      <c r="AE103" s="214" t="str" cm="1">
        <f t="array" aca="1" ref="AE103" ca="1">IFERROR(IF(INDIRECT(""&amp;$D103&amp;"!R"&amp;AE$142&amp;"C"&amp;AE$143,FALSE)="Average (weighted)","Yes","No"),"")</f>
        <v>No</v>
      </c>
      <c r="AF103" s="96"/>
    </row>
    <row r="104" spans="1:32" ht="45" customHeight="1" x14ac:dyDescent="0.25">
      <c r="A104" s="66" t="s">
        <v>4003</v>
      </c>
      <c r="B104" s="69" t="s">
        <v>2386</v>
      </c>
      <c r="C104" s="193" t="str" cm="1">
        <f t="array" aca="1" ref="C104" ca="1">INDIRECT(""&amp;$D104&amp;"!R"&amp;C$142&amp;"C"&amp;C$143,FALSE)</f>
        <v>Hybrid flooring</v>
      </c>
      <c r="D104" s="66" t="s">
        <v>4009</v>
      </c>
      <c r="E104" s="7" t="str" cm="1">
        <f t="array" aca="1" ref="E104" ca="1">INDIRECT(""&amp;$D104&amp;"!R"&amp;E$142&amp;"C"&amp;E$143,FALSE)</f>
        <v>m²</v>
      </c>
      <c r="F104" s="7" t="str" cm="1">
        <f t="array" aca="1" ref="F104" ca="1">INDIRECT(""&amp;$D104&amp;"!R"&amp;F$142&amp;"C"&amp;F$143,FALSE)</f>
        <v>Tier 4</v>
      </c>
      <c r="G104" s="188">
        <f ca="1">INDEX(Methodology!$B$26:$D$31,MATCH('EF Table_detail'!$F104,Methodology!$B$26:$B$31,0),MATCH('EF Table_detail'!$G$5,Methodology!$B$26:$D$26,0))</f>
        <v>1.2</v>
      </c>
      <c r="H104" s="240" cm="1">
        <f t="array" aca="1" ref="H104" ca="1">INDIRECT(""&amp;$D104&amp;"!R"&amp;H$142&amp;"C"&amp;H$143,FALSE)</f>
        <v>13.032</v>
      </c>
      <c r="I104" s="238" cm="1">
        <f t="array" aca="1" ref="I104" ca="1">INDIRECT(""&amp;$D104&amp;"!R"&amp;I$142&amp;"C"&amp;I$143,FALSE)</f>
        <v>13.032</v>
      </c>
      <c r="J104" s="239" cm="1">
        <f t="array" aca="1" ref="J104" ca="1">INDIRECT(""&amp;$D104&amp;"!R"&amp;J$142&amp;"C"&amp;J$143,FALSE)</f>
        <v>13.032</v>
      </c>
      <c r="K104" s="262">
        <f ca="1">$J104*(1+INDEX(Methodology!$B$26:$E$31,MATCH($F104,Methodology!$B$26:$B$31,0),MATCH(L$5,Methodology!$B$26:$E$26,0)))</f>
        <v>15.638399999999999</v>
      </c>
      <c r="L104" s="261">
        <f ca="1">$H104*(1+INDEX(Methodology!$B$26:$E$31,MATCH($F104,Methodology!$B$26:$B$31,0),MATCH(L$5,Methodology!$B$26:$E$26,0)))</f>
        <v>15.638399999999999</v>
      </c>
      <c r="M104" s="234" cm="1">
        <f t="array" aca="1" ref="M104" ca="1">INDIRECT(""&amp;$D104&amp;"!R"&amp;M$142&amp;"C"&amp;M$143,FALSE)</f>
        <v>1.5153488372093022</v>
      </c>
      <c r="N104" s="234" cm="1">
        <f t="array" aca="1" ref="N104" ca="1">INDIRECT(""&amp;$D104&amp;"!R"&amp;N$142&amp;"C"&amp;N$143,FALSE)</f>
        <v>1.5153488372093022</v>
      </c>
      <c r="O104" s="231" cm="1">
        <f t="array" aca="1" ref="O104" ca="1">INDIRECT(""&amp;$D104&amp;"!R"&amp;O$142&amp;"C"&amp;O$143,FALSE)</f>
        <v>1.5153488372093022</v>
      </c>
      <c r="P104" s="265">
        <f ca="1">$O104*(1+INDEX(Methodology!$B$26:$E$31,MATCH($F104,Methodology!$B$26:$B$31,0),MATCH(Q$5,Methodology!$B$26:$E$26,0)))</f>
        <v>1.8184186046511626</v>
      </c>
      <c r="Q104" s="266">
        <f ca="1">$M104*(1+INDEX(Methodology!$B$26:$E$31,MATCH($F104,Methodology!$B$26:$B$31,0),MATCH(Q$5,Methodology!$B$26:$E$26,0)))</f>
        <v>1.8184186046511626</v>
      </c>
      <c r="R104" s="199"/>
      <c r="S104" s="63" cm="1">
        <f t="array" aca="1" ref="S104" ca="1">INDIRECT(""&amp;$D104&amp;"!R"&amp;S$142&amp;"C"&amp;S$143,FALSE)</f>
        <v>9.0933333333333337</v>
      </c>
      <c r="T104" s="62" cm="1">
        <f t="array" aca="1" ref="T104" ca="1">INDIRECT(""&amp;$D104&amp;"!R"&amp;T$142&amp;"C"&amp;T$143,FALSE)</f>
        <v>9.0933333333333337</v>
      </c>
      <c r="U104" s="265">
        <f ca="1">$T104*(1+INDEX(Methodology!$B$26:$E$31,MATCH($F104,Methodology!$B$26:$B$31,0),MATCH(V$5,Methodology!$B$26:$E$26,0)))</f>
        <v>10.912000000000001</v>
      </c>
      <c r="V104" s="261">
        <f ca="1">$S104*(1+INDEX(Methodology!$B$26:$E$31,MATCH($F104,Methodology!$B$26:$B$31,0),MATCH(V$5,Methodology!$B$26:$E$26,0)))</f>
        <v>10.912000000000001</v>
      </c>
      <c r="W104" s="63" cm="1">
        <f t="array" aca="1" ref="W104" ca="1">INDIRECT(""&amp;$D104&amp;"!R"&amp;W$142&amp;"C"&amp;W$143,FALSE)</f>
        <v>1.0573643410852713</v>
      </c>
      <c r="X104" s="62" cm="1">
        <f t="array" aca="1" ref="X104" ca="1">INDIRECT(""&amp;$D104&amp;"!R"&amp;X$142&amp;"C"&amp;X$143,FALSE)</f>
        <v>1.0573643410852713</v>
      </c>
      <c r="Y104" s="265">
        <f ca="1">$X104*(1+INDEX(Methodology!$B$26:$E$31,MATCH($F104,Methodology!$B$26:$B$31,0),MATCH(Z$5,Methodology!$B$26:$E$26,0)))</f>
        <v>1.2688372093023255</v>
      </c>
      <c r="Z104" s="261">
        <f t="shared" ca="1" si="6"/>
        <v>1.0573643410852713</v>
      </c>
      <c r="AA104" s="199"/>
      <c r="AB104" s="10">
        <f t="shared" ca="1" si="7"/>
        <v>8.6</v>
      </c>
      <c r="AC104" s="190" t="str">
        <f t="shared" ca="1" si="9"/>
        <v>kg/m²</v>
      </c>
      <c r="AD104" s="213" t="str" cm="1">
        <f t="array" aca="1" ref="AD104" ca="1">IF(INDIRECT(""&amp;$D104&amp;"!R"&amp;AD$142&amp;"C"&amp;AD$143,FALSE)=0,"",INDIRECT(""&amp;$D104&amp;"!R"&amp;AD$142&amp;"C"&amp;AD$143,FALSE))</f>
        <v xml:space="preserve">Recommended to use kg CO2e/kg EF when thickness and mass is known. </v>
      </c>
      <c r="AE104" s="214" t="str" cm="1">
        <f t="array" aca="1" ref="AE104" ca="1">IFERROR(IF(INDIRECT(""&amp;$D104&amp;"!R"&amp;AE$142&amp;"C"&amp;AE$143,FALSE)="Average (weighted)","Yes","No"),"")</f>
        <v>No</v>
      </c>
      <c r="AF104" s="96"/>
    </row>
    <row r="105" spans="1:32" ht="45" customHeight="1" x14ac:dyDescent="0.25">
      <c r="A105" s="66" t="s">
        <v>3989</v>
      </c>
      <c r="B105" s="69" t="s">
        <v>4010</v>
      </c>
      <c r="C105" s="193" t="str" cm="1">
        <f t="array" aca="1" ref="C105" ca="1">INDIRECT(""&amp;$D105&amp;"!R"&amp;C$142&amp;"C"&amp;C$143,FALSE)</f>
        <v>Determination of a generic window and door as described in material category column. Includes glass, framing, thermal breaks, spandrel/cladding material and key componentry in one sqm rate.</v>
      </c>
      <c r="D105" s="66" t="s">
        <v>4011</v>
      </c>
      <c r="E105" s="66" t="s">
        <v>321</v>
      </c>
      <c r="F105" s="7" t="s">
        <v>72</v>
      </c>
      <c r="G105" s="188">
        <f>INDEX(Methodology!$B$26:$D$31,MATCH('EF Table_detail'!$F105,Methodology!$B$26:$B$31,0),MATCH('EF Table_detail'!$G$5,Methodology!$B$26:$D$26,0))</f>
        <v>1</v>
      </c>
      <c r="H105" s="241"/>
      <c r="I105" s="99">
        <f ca="1">INDEX(Window_doors_generic!$B$17:$L$27,MATCH($B105,Window_doors_generic!$B$17:$B$27,0),MATCH(I$6,Window_doors_generic!$B$17:$L$17,0))</f>
        <v>46.280920638894486</v>
      </c>
      <c r="J105" s="99">
        <f ca="1">INDEX(Window_doors_generic!$B$17:$L$27,MATCH($B105,Window_doors_generic!$B$17:$B$27,0),MATCH(J$6,Window_doors_generic!$B$17:$L$17,0))</f>
        <v>152.95690985157088</v>
      </c>
      <c r="K105" s="262">
        <f ca="1">$J105*(1+INDEX(Methodology!$B$26:$E$31,MATCH($F105,Methodology!$B$26:$B$31,0),MATCH(L$5,Methodology!$B$26:$E$26,0)))</f>
        <v>152.95690985157088</v>
      </c>
      <c r="L105" s="261">
        <f ca="1">INDEX(Window_doors_generic!$B$17:$L$27,MATCH($B105,Window_doors_generic!$B$17:$B$27,0),MATCH(L$6,Window_doors_generic!$B$17:$L$17,0))</f>
        <v>256.84829397375114</v>
      </c>
      <c r="M105" s="231"/>
      <c r="N105" s="231">
        <f ca="1">INDEX(Window_doors_generic!$B$17:$L$27,MATCH($B105,Window_doors_generic!$B$17:$B$27,0),MATCH(N$6,Window_doors_generic!$B$17:$L$17,0))</f>
        <v>2.0122139408214994</v>
      </c>
      <c r="O105" s="231">
        <f ca="1">INDEX(Window_doors_generic!$B$17:$L$27,MATCH($B105,Window_doors_generic!$B$17:$B$27,0),MATCH(O$6,Window_doors_generic!$B$17:$L$17,0))</f>
        <v>6.6503004283291691</v>
      </c>
      <c r="P105" s="265">
        <f ca="1">$O105*(1+INDEX(Methodology!$B$26:$E$31,MATCH($F105,Methodology!$B$26:$B$31,0),MATCH(Q$5,Methodology!$B$26:$E$26,0)))</f>
        <v>6.6503004283291691</v>
      </c>
      <c r="Q105" s="266">
        <f ca="1">INDEX(Window_doors_generic!$B$17:$L$27,MATCH($B105,Window_doors_generic!$B$17:$B$27,0),MATCH(Q$6,Window_doors_generic!$B$17:$L$17,0))</f>
        <v>11.167317129293528</v>
      </c>
      <c r="R105" s="199"/>
      <c r="S105" s="186"/>
      <c r="T105" s="185">
        <f ca="1">INDEX(Window_doors_generic!$B$17:$L$27,MATCH($B105,Window_doors_generic!$B$17:$B$27,0),MATCH(T$6,Window_doors_generic!$B$17:$L$17,0))</f>
        <v>0</v>
      </c>
      <c r="U105" s="265">
        <f ca="1">$T105*(1+INDEX(Methodology!$B$26:$E$31,MATCH($F105,Methodology!$B$26:$B$31,0),MATCH(V$5,Methodology!$B$26:$E$26,0)))</f>
        <v>0</v>
      </c>
      <c r="V105" s="261">
        <f ca="1">INDEX(Window_doors_generic!$B$17:$L$27,MATCH($B105,Window_doors_generic!$B$17:$B$27,0),MATCH(V$6,Window_doors_generic!$B$17:$L$17,0))</f>
        <v>0</v>
      </c>
      <c r="W105" s="186"/>
      <c r="X105" s="185">
        <f ca="1">INDEX(Window_doors_generic!$B$17:$L$27,MATCH($B105,Window_doors_generic!$B$17:$B$27,0),MATCH(X$6,Window_doors_generic!$B$17:$L$17,0))</f>
        <v>0</v>
      </c>
      <c r="Y105" s="265">
        <f ca="1">$X105*(1+INDEX(Methodology!$B$26:$E$31,MATCH($F105,Methodology!$B$26:$B$31,0),MATCH(Z$5,Methodology!$B$26:$E$26,0)))</f>
        <v>0</v>
      </c>
      <c r="Z105" s="261">
        <f ca="1">INDEX(Window_doors_generic!$B$17:$L$27,MATCH($B105,Window_doors_generic!$B$17:$B$27,0),MATCH(Z$6,Window_doors_generic!$B$17:$L$17,0))</f>
        <v>0</v>
      </c>
      <c r="AA105" s="199"/>
      <c r="AB105" s="10">
        <f t="shared" ref="AB105:AB113" ca="1" si="10">IFERROR(J105/O105,"")</f>
        <v>23</v>
      </c>
      <c r="AC105" s="190" t="str">
        <f t="shared" ref="AC105:AC113" si="11">"kg/"&amp;E105</f>
        <v>kg/m²</v>
      </c>
      <c r="AD105" s="213" t="str" cm="1">
        <f t="array" aca="1" ref="AD105" ca="1">IF(INDIRECT(""&amp;$D105&amp;"!R"&amp;AD$142&amp;"C"&amp;AD$143,FALSE)=0,"",INDIRECT(""&amp;$D105&amp;"!R"&amp;AD$142&amp;"C"&amp;AD$143,FALSE))</f>
        <v>A number of generic windows and doors can still be selected. Calculated using referenced material quantities and multiplied by the relevant maximum EF to get the default maximum EF or the Average EF to get the average EF overall.</v>
      </c>
      <c r="AE105" s="214" t="str" cm="1">
        <f t="array" aca="1" ref="AE105" ca="1">IFERROR(IF(INDIRECT(""&amp;$D105&amp;"!R"&amp;AE$142&amp;"C"&amp;AE$143,FALSE)="Average (weighted)","Yes","No"),"")</f>
        <v>No</v>
      </c>
    </row>
    <row r="106" spans="1:32" ht="45" customHeight="1" x14ac:dyDescent="0.25">
      <c r="A106" s="66" t="s">
        <v>3989</v>
      </c>
      <c r="B106" s="69" t="s">
        <v>4012</v>
      </c>
      <c r="C106" s="193" t="str" cm="1">
        <f t="array" aca="1" ref="C106" ca="1">INDIRECT(""&amp;$D106&amp;"!R"&amp;C$142&amp;"C"&amp;C$143,FALSE)</f>
        <v>Determination of a generic window and door as described in material category column. Includes glass, framing, thermal breaks, spandrel/cladding material and key componentry in one sqm rate.</v>
      </c>
      <c r="D106" s="66" t="s">
        <v>4011</v>
      </c>
      <c r="E106" s="66" t="s">
        <v>321</v>
      </c>
      <c r="F106" s="7" t="s">
        <v>72</v>
      </c>
      <c r="G106" s="188">
        <f>INDEX(Methodology!$B$26:$D$31,MATCH('EF Table_detail'!$F106,Methodology!$B$26:$B$31,0),MATCH('EF Table_detail'!$G$5,Methodology!$B$26:$D$26,0))</f>
        <v>1</v>
      </c>
      <c r="H106" s="241"/>
      <c r="I106" s="99">
        <f ca="1">INDEX(Window_doors_generic!$B$17:$L$27,MATCH($B106,Window_doors_generic!$B$17:$B$27,0),MATCH(I$6,Window_doors_generic!$B$17:$L$17,0))</f>
        <v>51.530250926473862</v>
      </c>
      <c r="J106" s="99">
        <f ca="1">INDEX(Window_doors_generic!$B$17:$L$27,MATCH($B106,Window_doors_generic!$B$17:$B$27,0),MATCH(J$6,Window_doors_generic!$B$17:$L$17,0))</f>
        <v>173.30332609063842</v>
      </c>
      <c r="K106" s="262">
        <f ca="1">$J106*(1+INDEX(Methodology!$B$26:$E$31,MATCH($F106,Methodology!$B$26:$B$31,0),MATCH(L$5,Methodology!$B$26:$E$26,0)))</f>
        <v>173.30332609063842</v>
      </c>
      <c r="L106" s="261">
        <f ca="1">INDEX(Window_doors_generic!$B$17:$L$27,MATCH($B106,Window_doors_generic!$B$17:$B$27,0),MATCH(L$6,Window_doors_generic!$B$17:$L$17,0))</f>
        <v>291.32801248424943</v>
      </c>
      <c r="M106" s="231"/>
      <c r="N106" s="231">
        <f ca="1">INDEX(Window_doors_generic!$B$17:$L$27,MATCH($B106,Window_doors_generic!$B$17:$B$27,0),MATCH(N$6,Window_doors_generic!$B$17:$L$17,0))</f>
        <v>1.8273138626409171</v>
      </c>
      <c r="O106" s="231">
        <f ca="1">INDEX(Window_doors_generic!$B$17:$L$27,MATCH($B106,Window_doors_generic!$B$17:$B$27,0),MATCH(O$6,Window_doors_generic!$B$17:$L$17,0))</f>
        <v>6.1455080173985257</v>
      </c>
      <c r="P106" s="265">
        <f ca="1">$O106*(1+INDEX(Methodology!$B$26:$E$31,MATCH($F106,Methodology!$B$26:$B$31,0),MATCH(Q$5,Methodology!$B$26:$E$26,0)))</f>
        <v>6.1455080173985257</v>
      </c>
      <c r="Q106" s="266">
        <f ca="1">INDEX(Window_doors_generic!$B$17:$L$27,MATCH($B106,Window_doors_generic!$B$17:$B$27,0),MATCH(Q$6,Window_doors_generic!$B$17:$L$17,0))</f>
        <v>10.330780584547853</v>
      </c>
      <c r="R106" s="199"/>
      <c r="S106" s="186"/>
      <c r="T106" s="185">
        <f ca="1">INDEX(Window_doors_generic!$B$17:$L$27,MATCH($B106,Window_doors_generic!$B$17:$B$27,0),MATCH(T$6,Window_doors_generic!$B$17:$L$17,0))</f>
        <v>5.6121461550000014</v>
      </c>
      <c r="U106" s="265">
        <f ca="1">$T106*(1+INDEX(Methodology!$B$26:$E$31,MATCH($F106,Methodology!$B$26:$B$31,0),MATCH(V$5,Methodology!$B$26:$E$26,0)))</f>
        <v>5.6121461550000014</v>
      </c>
      <c r="V106" s="261">
        <f ca="1">INDEX(Window_doors_generic!$B$17:$L$27,MATCH($B106,Window_doors_generic!$B$17:$B$27,0),MATCH(V$6,Window_doors_generic!$B$17:$L$17,0))</f>
        <v>5.7162104999999999</v>
      </c>
      <c r="W106" s="186"/>
      <c r="X106" s="185">
        <f ca="1">INDEX(Window_doors_generic!$B$17:$L$27,MATCH($B106,Window_doors_generic!$B$17:$B$27,0),MATCH(X$6,Window_doors_generic!$B$17:$L$17,0))</f>
        <v>0.19901227500000004</v>
      </c>
      <c r="Y106" s="265">
        <f ca="1">$X106*(1+INDEX(Methodology!$B$26:$E$31,MATCH($F106,Methodology!$B$26:$B$31,0),MATCH(Z$5,Methodology!$B$26:$E$26,0)))</f>
        <v>0.19901227500000004</v>
      </c>
      <c r="Z106" s="261">
        <f ca="1">INDEX(Window_doors_generic!$B$17:$L$27,MATCH($B106,Window_doors_generic!$B$17:$B$27,0),MATCH(Z$6,Window_doors_generic!$B$17:$L$17,0))</f>
        <v>0.20270250000000001</v>
      </c>
      <c r="AA106" s="199"/>
      <c r="AB106" s="10">
        <f t="shared" ca="1" si="10"/>
        <v>28.2</v>
      </c>
      <c r="AC106" s="190" t="str">
        <f t="shared" si="11"/>
        <v>kg/m²</v>
      </c>
      <c r="AD106" s="213" t="str" cm="1">
        <f t="array" aca="1" ref="AD106" ca="1">IF(INDIRECT(""&amp;$D106&amp;"!R"&amp;AD$142&amp;"C"&amp;AD$143,FALSE)=0,"",INDIRECT(""&amp;$D106&amp;"!R"&amp;AD$142&amp;"C"&amp;AD$143,FALSE))</f>
        <v>A number of generic windows and doors can still be selected. Calculated using referenced material quantities and multiplied by the relevant maximum EF to get the default maximum EF or the Average EF to get the average EF overall.</v>
      </c>
      <c r="AE106" s="214" t="str" cm="1">
        <f t="array" aca="1" ref="AE106" ca="1">IFERROR(IF(INDIRECT(""&amp;$D106&amp;"!R"&amp;AE$142&amp;"C"&amp;AE$143,FALSE)="Average (weighted)","Yes","No"),"")</f>
        <v>No</v>
      </c>
    </row>
    <row r="107" spans="1:32" ht="45" customHeight="1" x14ac:dyDescent="0.25">
      <c r="A107" s="66" t="s">
        <v>3989</v>
      </c>
      <c r="B107" s="69" t="s">
        <v>4013</v>
      </c>
      <c r="C107" s="193" t="str" cm="1">
        <f t="array" aca="1" ref="C107" ca="1">INDIRECT(""&amp;$D107&amp;"!R"&amp;C$142&amp;"C"&amp;C$143,FALSE)</f>
        <v>Determination of a generic window and door as described in material category column. Includes glass, framing, thermal breaks, spandrel/cladding material and key componentry in one sqm rate.</v>
      </c>
      <c r="D107" s="66" t="s">
        <v>4011</v>
      </c>
      <c r="E107" s="66" t="s">
        <v>321</v>
      </c>
      <c r="F107" s="7" t="s">
        <v>72</v>
      </c>
      <c r="G107" s="188">
        <f>INDEX(Methodology!$B$26:$D$31,MATCH('EF Table_detail'!$F107,Methodology!$B$26:$B$31,0),MATCH('EF Table_detail'!$G$5,Methodology!$B$26:$D$26,0))</f>
        <v>1</v>
      </c>
      <c r="H107" s="241"/>
      <c r="I107" s="99">
        <f ca="1">INDEX(Window_doors_generic!$B$17:$L$27,MATCH($B107,Window_doors_generic!$B$17:$B$27,0),MATCH(I$6,Window_doors_generic!$B$17:$L$17,0))</f>
        <v>67.985376115156512</v>
      </c>
      <c r="J107" s="99">
        <f ca="1">INDEX(Window_doors_generic!$B$17:$L$27,MATCH($B107,Window_doors_generic!$B$17:$B$27,0),MATCH(J$6,Window_doors_generic!$B$17:$L$17,0))</f>
        <v>115.07407438615839</v>
      </c>
      <c r="K107" s="262">
        <f ca="1">$J107*(1+INDEX(Methodology!$B$26:$E$31,MATCH($F107,Methodology!$B$26:$B$31,0),MATCH(L$5,Methodology!$B$26:$E$26,0)))</f>
        <v>115.07407438615839</v>
      </c>
      <c r="L107" s="261">
        <f ca="1">INDEX(Window_doors_generic!$B$17:$L$27,MATCH($B107,Window_doors_generic!$B$17:$B$27,0),MATCH(L$6,Window_doors_generic!$B$17:$L$17,0))</f>
        <v>180.63508649977189</v>
      </c>
      <c r="M107" s="231"/>
      <c r="N107" s="231">
        <f ca="1">INDEX(Window_doors_generic!$B$17:$L$27,MATCH($B107,Window_doors_generic!$B$17:$B$27,0),MATCH(N$6,Window_doors_generic!$B$17:$L$17,0))</f>
        <v>1.3139809840579149</v>
      </c>
      <c r="O107" s="231">
        <f ca="1">INDEX(Window_doors_generic!$B$17:$L$27,MATCH($B107,Window_doors_generic!$B$17:$B$27,0),MATCH(O$6,Window_doors_generic!$B$17:$L$17,0))</f>
        <v>2.2240833858940547</v>
      </c>
      <c r="P107" s="265">
        <f ca="1">$O107*(1+INDEX(Methodology!$B$26:$E$31,MATCH($F107,Methodology!$B$26:$B$31,0),MATCH(Q$5,Methodology!$B$26:$E$26,0)))</f>
        <v>2.2240833858940547</v>
      </c>
      <c r="Q107" s="266">
        <f ca="1">INDEX(Window_doors_generic!$B$17:$L$27,MATCH($B107,Window_doors_generic!$B$17:$B$27,0),MATCH(Q$6,Window_doors_generic!$B$17:$L$17,0))</f>
        <v>3.4912077019669865</v>
      </c>
      <c r="R107" s="199"/>
      <c r="S107" s="186"/>
      <c r="T107" s="185">
        <f ca="1">INDEX(Window_doors_generic!$B$17:$L$27,MATCH($B107,Window_doors_generic!$B$17:$B$27,0),MATCH(T$6,Window_doors_generic!$B$17:$L$17,0))</f>
        <v>0</v>
      </c>
      <c r="U107" s="265">
        <f ca="1">$T107*(1+INDEX(Methodology!$B$26:$E$31,MATCH($F107,Methodology!$B$26:$B$31,0),MATCH(V$5,Methodology!$B$26:$E$26,0)))</f>
        <v>0</v>
      </c>
      <c r="V107" s="261">
        <f ca="1">INDEX(Window_doors_generic!$B$17:$L$27,MATCH($B107,Window_doors_generic!$B$17:$B$27,0),MATCH(V$6,Window_doors_generic!$B$17:$L$17,0))</f>
        <v>0</v>
      </c>
      <c r="W107" s="186"/>
      <c r="X107" s="185">
        <f ca="1">INDEX(Window_doors_generic!$B$17:$L$27,MATCH($B107,Window_doors_generic!$B$17:$B$27,0),MATCH(X$6,Window_doors_generic!$B$17:$L$17,0))</f>
        <v>0</v>
      </c>
      <c r="Y107" s="265">
        <f ca="1">$X107*(1+INDEX(Methodology!$B$26:$E$31,MATCH($F107,Methodology!$B$26:$B$31,0),MATCH(Z$5,Methodology!$B$26:$E$26,0)))</f>
        <v>0</v>
      </c>
      <c r="Z107" s="261">
        <f ca="1">INDEX(Window_doors_generic!$B$17:$L$27,MATCH($B107,Window_doors_generic!$B$17:$B$27,0),MATCH(Z$6,Window_doors_generic!$B$17:$L$17,0))</f>
        <v>0</v>
      </c>
      <c r="AA107" s="199"/>
      <c r="AB107" s="10">
        <f t="shared" ca="1" si="10"/>
        <v>51.739999999999995</v>
      </c>
      <c r="AC107" s="190" t="str">
        <f t="shared" si="11"/>
        <v>kg/m²</v>
      </c>
      <c r="AD107" s="213" t="str" cm="1">
        <f t="array" aca="1" ref="AD107" ca="1">IF(INDIRECT(""&amp;$D107&amp;"!R"&amp;AD$142&amp;"C"&amp;AD$143,FALSE)=0,"",INDIRECT(""&amp;$D107&amp;"!R"&amp;AD$142&amp;"C"&amp;AD$143,FALSE))</f>
        <v>A number of generic windows and doors can still be selected. Calculated using referenced material quantities and multiplied by the relevant maximum EF to get the default maximum EF or the Average EF to get the average EF overall.</v>
      </c>
      <c r="AE107" s="214" t="str" cm="1">
        <f t="array" aca="1" ref="AE107" ca="1">IFERROR(IF(INDIRECT(""&amp;$D107&amp;"!R"&amp;AE$142&amp;"C"&amp;AE$143,FALSE)="Average (weighted)","Yes","No"),"")</f>
        <v>No</v>
      </c>
    </row>
    <row r="108" spans="1:32" ht="45" customHeight="1" x14ac:dyDescent="0.25">
      <c r="A108" s="66" t="s">
        <v>3989</v>
      </c>
      <c r="B108" s="69" t="s">
        <v>4014</v>
      </c>
      <c r="C108" s="193" t="str" cm="1">
        <f t="array" aca="1" ref="C108" ca="1">INDIRECT(""&amp;$D108&amp;"!R"&amp;C$142&amp;"C"&amp;C$143,FALSE)</f>
        <v>Determination of a generic window and door as described in material category column. Includes glass, framing, thermal breaks, spandrel/cladding material and key componentry in one sqm rate.</v>
      </c>
      <c r="D108" s="66" t="s">
        <v>4011</v>
      </c>
      <c r="E108" s="66" t="s">
        <v>321</v>
      </c>
      <c r="F108" s="7" t="s">
        <v>72</v>
      </c>
      <c r="G108" s="188">
        <f>INDEX(Methodology!$B$26:$D$31,MATCH('EF Table_detail'!$F108,Methodology!$B$26:$B$31,0),MATCH('EF Table_detail'!$G$5,Methodology!$B$26:$D$26,0))</f>
        <v>1</v>
      </c>
      <c r="H108" s="241"/>
      <c r="I108" s="99">
        <f ca="1">INDEX(Window_doors_generic!$B$17:$L$27,MATCH($B108,Window_doors_generic!$B$17:$B$27,0),MATCH(I$6,Window_doors_generic!$B$17:$L$17,0))</f>
        <v>70.737184361070007</v>
      </c>
      <c r="J108" s="99">
        <f ca="1">INDEX(Window_doors_generic!$B$17:$L$27,MATCH($B108,Window_doors_generic!$B$17:$B$27,0),MATCH(J$6,Window_doors_generic!$B$17:$L$17,0))</f>
        <v>189.06090875940023</v>
      </c>
      <c r="K108" s="262">
        <f ca="1">$J108*(1+INDEX(Methodology!$B$26:$E$31,MATCH($F108,Methodology!$B$26:$B$31,0),MATCH(L$5,Methodology!$B$26:$E$26,0)))</f>
        <v>189.06090875940023</v>
      </c>
      <c r="L108" s="261">
        <f ca="1">INDEX(Window_doors_generic!$B$17:$L$27,MATCH($B108,Window_doors_generic!$B$17:$B$27,0),MATCH(L$6,Window_doors_generic!$B$17:$L$17,0))</f>
        <v>306.52828243799314</v>
      </c>
      <c r="M108" s="231"/>
      <c r="N108" s="231">
        <f ca="1">INDEX(Window_doors_generic!$B$17:$L$27,MATCH($B108,Window_doors_generic!$B$17:$B$27,0),MATCH(N$6,Window_doors_generic!$B$17:$L$17,0))</f>
        <v>1.6076632809334093</v>
      </c>
      <c r="O108" s="231">
        <f ca="1">INDEX(Window_doors_generic!$B$17:$L$27,MATCH($B108,Window_doors_generic!$B$17:$B$27,0),MATCH(O$6,Window_doors_generic!$B$17:$L$17,0))</f>
        <v>4.2968388354409148</v>
      </c>
      <c r="P108" s="265">
        <f ca="1">$O108*(1+INDEX(Methodology!$B$26:$E$31,MATCH($F108,Methodology!$B$26:$B$31,0),MATCH(Q$5,Methodology!$B$26:$E$26,0)))</f>
        <v>4.2968388354409148</v>
      </c>
      <c r="Q108" s="266">
        <f ca="1">INDEX(Window_doors_generic!$B$17:$L$27,MATCH($B108,Window_doors_generic!$B$17:$B$27,0),MATCH(Q$6,Window_doors_generic!$B$17:$L$17,0))</f>
        <v>6.9665518735907535</v>
      </c>
      <c r="R108" s="199"/>
      <c r="S108" s="186"/>
      <c r="T108" s="185">
        <f ca="1">INDEX(Window_doors_generic!$B$17:$L$27,MATCH($B108,Window_doors_generic!$B$17:$B$27,0),MATCH(T$6,Window_doors_generic!$B$17:$L$17,0))</f>
        <v>0</v>
      </c>
      <c r="U108" s="265">
        <f ca="1">$T108*(1+INDEX(Methodology!$B$26:$E$31,MATCH($F108,Methodology!$B$26:$B$31,0),MATCH(V$5,Methodology!$B$26:$E$26,0)))</f>
        <v>0</v>
      </c>
      <c r="V108" s="261">
        <f ca="1">INDEX(Window_doors_generic!$B$17:$L$27,MATCH($B108,Window_doors_generic!$B$17:$B$27,0),MATCH(V$6,Window_doors_generic!$B$17:$L$17,0))</f>
        <v>0</v>
      </c>
      <c r="W108" s="186"/>
      <c r="X108" s="185">
        <f ca="1">INDEX(Window_doors_generic!$B$17:$L$27,MATCH($B108,Window_doors_generic!$B$17:$B$27,0),MATCH(X$6,Window_doors_generic!$B$17:$L$17,0))</f>
        <v>0</v>
      </c>
      <c r="Y108" s="265">
        <f ca="1">$X108*(1+INDEX(Methodology!$B$26:$E$31,MATCH($F108,Methodology!$B$26:$B$31,0),MATCH(Z$5,Methodology!$B$26:$E$26,0)))</f>
        <v>0</v>
      </c>
      <c r="Z108" s="261">
        <f ca="1">INDEX(Window_doors_generic!$B$17:$L$27,MATCH($B108,Window_doors_generic!$B$17:$B$27,0),MATCH(Z$6,Window_doors_generic!$B$17:$L$17,0))</f>
        <v>0</v>
      </c>
      <c r="AA108" s="199"/>
      <c r="AB108" s="10">
        <f t="shared" ca="1" si="10"/>
        <v>43.999999999999993</v>
      </c>
      <c r="AC108" s="190" t="str">
        <f t="shared" si="11"/>
        <v>kg/m²</v>
      </c>
      <c r="AD108" s="213" t="str" cm="1">
        <f t="array" aca="1" ref="AD108" ca="1">IF(INDIRECT(""&amp;$D108&amp;"!R"&amp;AD$142&amp;"C"&amp;AD$143,FALSE)=0,"",INDIRECT(""&amp;$D108&amp;"!R"&amp;AD$142&amp;"C"&amp;AD$143,FALSE))</f>
        <v>A number of generic windows and doors can still be selected. Calculated using referenced material quantities and multiplied by the relevant maximum EF to get the default maximum EF or the Average EF to get the average EF overall.</v>
      </c>
      <c r="AE108" s="214" t="str" cm="1">
        <f t="array" aca="1" ref="AE108" ca="1">IFERROR(IF(INDIRECT(""&amp;$D108&amp;"!R"&amp;AE$142&amp;"C"&amp;AE$143,FALSE)="Average (weighted)","Yes","No"),"")</f>
        <v>No</v>
      </c>
    </row>
    <row r="109" spans="1:32" ht="45" customHeight="1" x14ac:dyDescent="0.25">
      <c r="A109" s="66" t="s">
        <v>3989</v>
      </c>
      <c r="B109" s="69" t="s">
        <v>4015</v>
      </c>
      <c r="C109" s="193" t="str" cm="1">
        <f t="array" aca="1" ref="C109" ca="1">INDIRECT(""&amp;$D109&amp;"!R"&amp;C$142&amp;"C"&amp;C$143,FALSE)</f>
        <v>Determination of a generic window and door as described in material category column. Includes glass, framing, thermal breaks, spandrel/cladding material and key componentry in one sqm rate.</v>
      </c>
      <c r="D109" s="66" t="s">
        <v>4011</v>
      </c>
      <c r="E109" s="66" t="s">
        <v>321</v>
      </c>
      <c r="F109" s="7" t="s">
        <v>72</v>
      </c>
      <c r="G109" s="188">
        <f>INDEX(Methodology!$B$26:$D$31,MATCH('EF Table_detail'!$F109,Methodology!$B$26:$B$31,0),MATCH('EF Table_detail'!$G$5,Methodology!$B$26:$D$26,0))</f>
        <v>1</v>
      </c>
      <c r="H109" s="241"/>
      <c r="I109" s="99">
        <f ca="1">INDEX(Window_doors_generic!$B$17:$L$27,MATCH($B109,Window_doors_generic!$B$17:$B$27,0),MATCH(I$6,Window_doors_generic!$B$17:$L$17,0))</f>
        <v>51.688218708803888</v>
      </c>
      <c r="J109" s="99">
        <f ca="1">INDEX(Window_doors_generic!$B$17:$L$27,MATCH($B109,Window_doors_generic!$B$17:$B$27,0),MATCH(J$6,Window_doors_generic!$B$17:$L$17,0))</f>
        <v>184.58502147523663</v>
      </c>
      <c r="K109" s="262">
        <f ca="1">$J109*(1+INDEX(Methodology!$B$26:$E$31,MATCH($F109,Methodology!$B$26:$B$31,0),MATCH(L$5,Methodology!$B$26:$E$26,0)))</f>
        <v>184.58502147523663</v>
      </c>
      <c r="L109" s="261">
        <f ca="1">INDEX(Window_doors_generic!$B$17:$L$27,MATCH($B109,Window_doors_generic!$B$17:$B$27,0),MATCH(L$6,Window_doors_generic!$B$17:$L$17,0))</f>
        <v>312.74827579542688</v>
      </c>
      <c r="M109" s="231"/>
      <c r="N109" s="231">
        <f ca="1">INDEX(Window_doors_generic!$B$17:$L$27,MATCH($B109,Window_doors_generic!$B$17:$B$27,0),MATCH(N$6,Window_doors_generic!$B$17:$L$17,0))</f>
        <v>1.7762274470379342</v>
      </c>
      <c r="O109" s="231">
        <f ca="1">INDEX(Window_doors_generic!$B$17:$L$27,MATCH($B109,Window_doors_generic!$B$17:$B$27,0),MATCH(O$6,Window_doors_generic!$B$17:$L$17,0))</f>
        <v>6.3431278857469628</v>
      </c>
      <c r="P109" s="265">
        <f ca="1">$O109*(1+INDEX(Methodology!$B$26:$E$31,MATCH($F109,Methodology!$B$26:$B$31,0),MATCH(Q$5,Methodology!$B$26:$E$26,0)))</f>
        <v>6.3431278857469628</v>
      </c>
      <c r="Q109" s="266">
        <f ca="1">INDEX(Window_doors_generic!$B$17:$L$27,MATCH($B109,Window_doors_generic!$B$17:$B$27,0),MATCH(Q$6,Window_doors_generic!$B$17:$L$17,0))</f>
        <v>10.747363429396112</v>
      </c>
      <c r="R109" s="199"/>
      <c r="S109" s="186"/>
      <c r="T109" s="185">
        <f ca="1">INDEX(Window_doors_generic!$B$17:$L$27,MATCH($B109,Window_doors_generic!$B$17:$B$27,0),MATCH(T$6,Window_doors_generic!$B$17:$L$17,0))</f>
        <v>0</v>
      </c>
      <c r="U109" s="265">
        <f ca="1">$T109*(1+INDEX(Methodology!$B$26:$E$31,MATCH($F109,Methodology!$B$26:$B$31,0),MATCH(V$5,Methodology!$B$26:$E$26,0)))</f>
        <v>0</v>
      </c>
      <c r="V109" s="261">
        <f ca="1">INDEX(Window_doors_generic!$B$17:$L$27,MATCH($B109,Window_doors_generic!$B$17:$B$27,0),MATCH(V$6,Window_doors_generic!$B$17:$L$17,0))</f>
        <v>0</v>
      </c>
      <c r="W109" s="186"/>
      <c r="X109" s="185">
        <f ca="1">INDEX(Window_doors_generic!$B$17:$L$27,MATCH($B109,Window_doors_generic!$B$17:$B$27,0),MATCH(X$6,Window_doors_generic!$B$17:$L$17,0))</f>
        <v>0</v>
      </c>
      <c r="Y109" s="265">
        <f ca="1">$X109*(1+INDEX(Methodology!$B$26:$E$31,MATCH($F109,Methodology!$B$26:$B$31,0),MATCH(Z$5,Methodology!$B$26:$E$26,0)))</f>
        <v>0</v>
      </c>
      <c r="Z109" s="261">
        <f ca="1">INDEX(Window_doors_generic!$B$17:$L$27,MATCH($B109,Window_doors_generic!$B$17:$B$27,0),MATCH(Z$6,Window_doors_generic!$B$17:$L$17,0))</f>
        <v>0</v>
      </c>
      <c r="AA109" s="199"/>
      <c r="AB109" s="10">
        <f t="shared" ca="1" si="10"/>
        <v>29.1</v>
      </c>
      <c r="AC109" s="190" t="str">
        <f t="shared" si="11"/>
        <v>kg/m²</v>
      </c>
      <c r="AD109" s="213" t="str" cm="1">
        <f t="array" aca="1" ref="AD109" ca="1">IF(INDIRECT(""&amp;$D109&amp;"!R"&amp;AD$142&amp;"C"&amp;AD$143,FALSE)=0,"",INDIRECT(""&amp;$D109&amp;"!R"&amp;AD$142&amp;"C"&amp;AD$143,FALSE))</f>
        <v>A number of generic windows and doors can still be selected. Calculated using referenced material quantities and multiplied by the relevant maximum EF to get the default maximum EF or the Average EF to get the average EF overall.</v>
      </c>
      <c r="AE109" s="214" t="str" cm="1">
        <f t="array" aca="1" ref="AE109" ca="1">IFERROR(IF(INDIRECT(""&amp;$D109&amp;"!R"&amp;AE$142&amp;"C"&amp;AE$143,FALSE)="Average (weighted)","Yes","No"),"")</f>
        <v>No</v>
      </c>
    </row>
    <row r="110" spans="1:32" ht="45" customHeight="1" x14ac:dyDescent="0.25">
      <c r="A110" s="66" t="s">
        <v>3989</v>
      </c>
      <c r="B110" s="69" t="s">
        <v>4016</v>
      </c>
      <c r="C110" s="193" t="str" cm="1">
        <f t="array" aca="1" ref="C110" ca="1">INDIRECT(""&amp;$D110&amp;"!R"&amp;C$142&amp;"C"&amp;C$143,FALSE)</f>
        <v>Determination of a generic window and door as described in material category column. Includes glass, framing, thermal breaks, spandrel/cladding material and key componentry in one sqm rate.</v>
      </c>
      <c r="D110" s="66" t="s">
        <v>4011</v>
      </c>
      <c r="E110" s="66" t="s">
        <v>321</v>
      </c>
      <c r="F110" s="7" t="s">
        <v>72</v>
      </c>
      <c r="G110" s="188">
        <f>INDEX(Methodology!$B$26:$D$31,MATCH('EF Table_detail'!$F110,Methodology!$B$26:$B$31,0),MATCH('EF Table_detail'!$G$5,Methodology!$B$26:$D$26,0))</f>
        <v>1</v>
      </c>
      <c r="H110" s="241"/>
      <c r="I110" s="99">
        <f ca="1">INDEX(Window_doors_generic!$B$17:$L$27,MATCH($B110,Window_doors_generic!$B$17:$B$27,0),MATCH(I$6,Window_doors_generic!$B$17:$L$17,0))</f>
        <v>55.002147265491629</v>
      </c>
      <c r="J110" s="99">
        <f ca="1">INDEX(Window_doors_generic!$B$17:$L$27,MATCH($B110,Window_doors_generic!$B$17:$B$27,0),MATCH(J$6,Window_doors_generic!$B$17:$L$17,0))</f>
        <v>184.97979132369565</v>
      </c>
      <c r="K110" s="262">
        <f ca="1">$J110*(1+INDEX(Methodology!$B$26:$E$31,MATCH($F110,Methodology!$B$26:$B$31,0),MATCH(L$5,Methodology!$B$26:$E$26,0)))</f>
        <v>184.97979132369565</v>
      </c>
      <c r="L110" s="261">
        <f ca="1">INDEX(Window_doors_generic!$B$17:$L$27,MATCH($B110,Window_doors_generic!$B$17:$B$27,0),MATCH(L$6,Window_doors_generic!$B$17:$L$17,0))</f>
        <v>310.9564955948905</v>
      </c>
      <c r="M110" s="231"/>
      <c r="N110" s="231">
        <f ca="1">INDEX(Window_doors_generic!$B$17:$L$27,MATCH($B110,Window_doors_generic!$B$17:$B$27,0),MATCH(N$6,Window_doors_generic!$B$17:$L$17,0))</f>
        <v>1.8273138626409178</v>
      </c>
      <c r="O110" s="231">
        <f ca="1">INDEX(Window_doors_generic!$B$17:$L$27,MATCH($B110,Window_doors_generic!$B$17:$B$27,0),MATCH(O$6,Window_doors_generic!$B$17:$L$17,0))</f>
        <v>6.1455080173985266</v>
      </c>
      <c r="P110" s="265">
        <f ca="1">$O110*(1+INDEX(Methodology!$B$26:$E$31,MATCH($F110,Methodology!$B$26:$B$31,0),MATCH(Q$5,Methodology!$B$26:$E$26,0)))</f>
        <v>6.1455080173985266</v>
      </c>
      <c r="Q110" s="266">
        <f ca="1">INDEX(Window_doors_generic!$B$17:$L$27,MATCH($B110,Window_doors_generic!$B$17:$B$27,0),MATCH(Q$6,Window_doors_generic!$B$17:$L$17,0))</f>
        <v>10.330780584547856</v>
      </c>
      <c r="R110" s="199"/>
      <c r="S110" s="186"/>
      <c r="T110" s="185">
        <f ca="1">INDEX(Window_doors_generic!$B$17:$L$27,MATCH($B110,Window_doors_generic!$B$17:$B$27,0),MATCH(T$6,Window_doors_generic!$B$17:$L$17,0))</f>
        <v>5.9902694775000027</v>
      </c>
      <c r="U110" s="265">
        <f ca="1">$T110*(1+INDEX(Methodology!$B$26:$E$31,MATCH($F110,Methodology!$B$26:$B$31,0),MATCH(V$5,Methodology!$B$26:$E$26,0)))</f>
        <v>5.9902694775000027</v>
      </c>
      <c r="V110" s="261">
        <f ca="1">INDEX(Window_doors_generic!$B$17:$L$27,MATCH($B110,Window_doors_generic!$B$17:$B$27,0),MATCH(V$6,Window_doors_generic!$B$17:$L$17,0))</f>
        <v>6.1013452500000005</v>
      </c>
      <c r="W110" s="186"/>
      <c r="X110" s="185">
        <f ca="1">INDEX(Window_doors_generic!$B$17:$L$27,MATCH($B110,Window_doors_generic!$B$17:$B$27,0),MATCH(X$6,Window_doors_generic!$B$17:$L$17,0))</f>
        <v>0.19901227500000007</v>
      </c>
      <c r="Y110" s="265">
        <f ca="1">$X110*(1+INDEX(Methodology!$B$26:$E$31,MATCH($F110,Methodology!$B$26:$B$31,0),MATCH(Z$5,Methodology!$B$26:$E$26,0)))</f>
        <v>0.19901227500000007</v>
      </c>
      <c r="Z110" s="261">
        <f ca="1">INDEX(Window_doors_generic!$B$17:$L$27,MATCH($B110,Window_doors_generic!$B$17:$B$27,0),MATCH(Z$6,Window_doors_generic!$B$17:$L$17,0))</f>
        <v>0.20270250000000001</v>
      </c>
      <c r="AA110" s="199"/>
      <c r="AB110" s="10">
        <f t="shared" ca="1" si="10"/>
        <v>30.1</v>
      </c>
      <c r="AC110" s="190" t="str">
        <f t="shared" si="11"/>
        <v>kg/m²</v>
      </c>
      <c r="AD110" s="213" t="str" cm="1">
        <f t="array" aca="1" ref="AD110" ca="1">IF(INDIRECT(""&amp;$D110&amp;"!R"&amp;AD$142&amp;"C"&amp;AD$143,FALSE)=0,"",INDIRECT(""&amp;$D110&amp;"!R"&amp;AD$142&amp;"C"&amp;AD$143,FALSE))</f>
        <v>A number of generic windows and doors can still be selected. Calculated using referenced material quantities and multiplied by the relevant maximum EF to get the default maximum EF or the Average EF to get the average EF overall.</v>
      </c>
      <c r="AE110" s="214" t="str" cm="1">
        <f t="array" aca="1" ref="AE110" ca="1">IFERROR(IF(INDIRECT(""&amp;$D110&amp;"!R"&amp;AE$142&amp;"C"&amp;AE$143,FALSE)="Average (weighted)","Yes","No"),"")</f>
        <v>No</v>
      </c>
    </row>
    <row r="111" spans="1:32" ht="45" customHeight="1" x14ac:dyDescent="0.25">
      <c r="A111" s="66" t="s">
        <v>3989</v>
      </c>
      <c r="B111" s="69" t="s">
        <v>4017</v>
      </c>
      <c r="C111" s="193" t="str" cm="1">
        <f t="array" aca="1" ref="C111" ca="1">INDIRECT(""&amp;$D111&amp;"!R"&amp;C$142&amp;"C"&amp;C$143,FALSE)</f>
        <v>Determination of a generic window and door as described in material category column. Includes glass, framing, thermal breaks, spandrel/cladding material and key componentry in one sqm rate.</v>
      </c>
      <c r="D111" s="66" t="s">
        <v>4011</v>
      </c>
      <c r="E111" s="66" t="s">
        <v>321</v>
      </c>
      <c r="F111" s="7" t="s">
        <v>72</v>
      </c>
      <c r="G111" s="188">
        <f>INDEX(Methodology!$B$26:$D$31,MATCH('EF Table_detail'!$F111,Methodology!$B$26:$B$31,0),MATCH('EF Table_detail'!$G$5,Methodology!$B$26:$D$26,0))</f>
        <v>1</v>
      </c>
      <c r="H111" s="241"/>
      <c r="I111" s="99">
        <f ca="1">INDEX(Window_doors_generic!$B$17:$L$27,MATCH($B111,Window_doors_generic!$B$17:$B$27,0),MATCH(I$6,Window_doors_generic!$B$17:$L$17,0))</f>
        <v>32.694778634904004</v>
      </c>
      <c r="J111" s="99">
        <f ca="1">INDEX(Window_doors_generic!$B$17:$L$27,MATCH($B111,Window_doors_generic!$B$17:$B$27,0),MATCH(J$6,Window_doors_generic!$B$17:$L$17,0))</f>
        <v>68.338348205516226</v>
      </c>
      <c r="K111" s="262">
        <f ca="1">$J111*(1+INDEX(Methodology!$B$26:$E$31,MATCH($F111,Methodology!$B$26:$B$31,0),MATCH(L$5,Methodology!$B$26:$E$26,0)))</f>
        <v>68.338348205516226</v>
      </c>
      <c r="L111" s="261">
        <f ca="1">INDEX(Window_doors_generic!$B$17:$L$27,MATCH($B111,Window_doors_generic!$B$17:$B$27,0),MATCH(L$6,Window_doors_generic!$B$17:$L$17,0))</f>
        <v>111.46450816616185</v>
      </c>
      <c r="M111" s="231"/>
      <c r="N111" s="231">
        <f ca="1">INDEX(Window_doors_generic!$B$17:$L$27,MATCH($B111,Window_doors_generic!$B$17:$B$27,0),MATCH(N$6,Window_doors_generic!$B$17:$L$17,0))</f>
        <v>0.52733513927264519</v>
      </c>
      <c r="O111" s="231">
        <f ca="1">INDEX(Window_doors_generic!$B$17:$L$27,MATCH($B111,Window_doors_generic!$B$17:$B$27,0),MATCH(O$6,Window_doors_generic!$B$17:$L$17,0))</f>
        <v>1.1022314226696166</v>
      </c>
      <c r="P111" s="265">
        <f ca="1">$O111*(1+INDEX(Methodology!$B$26:$E$31,MATCH($F111,Methodology!$B$26:$B$31,0),MATCH(Q$5,Methodology!$B$26:$E$26,0)))</f>
        <v>1.1022314226696166</v>
      </c>
      <c r="Q111" s="266">
        <f ca="1">INDEX(Window_doors_generic!$B$17:$L$27,MATCH($B111,Window_doors_generic!$B$17:$B$27,0),MATCH(Q$6,Window_doors_generic!$B$17:$L$17,0))</f>
        <v>1.7978146478413202</v>
      </c>
      <c r="R111" s="199"/>
      <c r="S111" s="186"/>
      <c r="T111" s="184">
        <f ca="1">INDEX(Window_doors_generic!$B$17:$L$27,MATCH($B111,Window_doors_generic!$B$17:$B$27,0),MATCH(T$6,Window_doors_generic!$B$17:$L$17,0))</f>
        <v>68.759591492307706</v>
      </c>
      <c r="U111" s="265">
        <f ca="1">$T111*(1+INDEX(Methodology!$B$26:$E$31,MATCH($F111,Methodology!$B$26:$B$31,0),MATCH(V$5,Methodology!$B$26:$E$26,0)))</f>
        <v>68.759591492307706</v>
      </c>
      <c r="V111" s="261">
        <f ca="1">INDEX(Window_doors_generic!$B$17:$L$27,MATCH($B111,Window_doors_generic!$B$17:$B$27,0),MATCH(V$6,Window_doors_generic!$B$17:$L$17,0))</f>
        <v>70.034579999999991</v>
      </c>
      <c r="W111" s="186"/>
      <c r="X111" s="185">
        <f ca="1">INDEX(Window_doors_generic!$B$17:$L$27,MATCH($B111,Window_doors_generic!$B$17:$B$27,0),MATCH(X$6,Window_doors_generic!$B$17:$L$17,0))</f>
        <v>1.1090256692307694</v>
      </c>
      <c r="Y111" s="265">
        <f ca="1">$X111*(1+INDEX(Methodology!$B$26:$E$31,MATCH($F111,Methodology!$B$26:$B$31,0),MATCH(Z$5,Methodology!$B$26:$E$26,0)))</f>
        <v>1.1090256692307694</v>
      </c>
      <c r="Z111" s="261">
        <f ca="1">INDEX(Window_doors_generic!$B$17:$L$27,MATCH($B111,Window_doors_generic!$B$17:$B$27,0),MATCH(Z$6,Window_doors_generic!$B$17:$L$17,0))</f>
        <v>1.1295899999999999</v>
      </c>
      <c r="AA111" s="199"/>
      <c r="AB111" s="10">
        <f t="shared" ca="1" si="10"/>
        <v>62</v>
      </c>
      <c r="AC111" s="190" t="str">
        <f t="shared" si="11"/>
        <v>kg/m²</v>
      </c>
      <c r="AD111" s="213" t="str" cm="1">
        <f t="array" aca="1" ref="AD111" ca="1">IF(INDIRECT(""&amp;$D111&amp;"!R"&amp;AD$142&amp;"C"&amp;AD$143,FALSE)=0,"",INDIRECT(""&amp;$D111&amp;"!R"&amp;AD$142&amp;"C"&amp;AD$143,FALSE))</f>
        <v>A number of generic windows and doors can still be selected. Calculated using referenced material quantities and multiplied by the relevant maximum EF to get the default maximum EF or the Average EF to get the average EF overall.</v>
      </c>
      <c r="AE111" s="214" t="str" cm="1">
        <f t="array" aca="1" ref="AE111" ca="1">IFERROR(IF(INDIRECT(""&amp;$D111&amp;"!R"&amp;AE$142&amp;"C"&amp;AE$143,FALSE)="Average (weighted)","Yes","No"),"")</f>
        <v>No</v>
      </c>
    </row>
    <row r="112" spans="1:32" ht="45" customHeight="1" x14ac:dyDescent="0.25">
      <c r="A112" s="66" t="s">
        <v>3989</v>
      </c>
      <c r="B112" s="69" t="s">
        <v>4018</v>
      </c>
      <c r="C112" s="193" t="str" cm="1">
        <f t="array" aca="1" ref="C112" ca="1">INDIRECT(""&amp;$D112&amp;"!R"&amp;C$142&amp;"C"&amp;C$143,FALSE)</f>
        <v>Determination of a generic window and door as described in material category column. Includes glass, framing, thermal breaks, spandrel/cladding material and key componentry in one sqm rate.</v>
      </c>
      <c r="D112" s="66" t="s">
        <v>4011</v>
      </c>
      <c r="E112" s="66" t="s">
        <v>321</v>
      </c>
      <c r="F112" s="7" t="s">
        <v>72</v>
      </c>
      <c r="G112" s="188">
        <f>INDEX(Methodology!$B$26:$D$31,MATCH('EF Table_detail'!$F112,Methodology!$B$26:$B$31,0),MATCH('EF Table_detail'!$G$5,Methodology!$B$26:$D$26,0))</f>
        <v>1</v>
      </c>
      <c r="H112" s="241"/>
      <c r="I112" s="99">
        <f ca="1">INDEX(Window_doors_generic!$B$17:$L$27,MATCH($B112,Window_doors_generic!$B$17:$B$27,0),MATCH(I$6,Window_doors_generic!$B$17:$L$17,0))</f>
        <v>122.00291751233461</v>
      </c>
      <c r="J112" s="99">
        <f ca="1">INDEX(Window_doors_generic!$B$17:$L$27,MATCH($B112,Window_doors_generic!$B$17:$B$27,0),MATCH(J$6,Window_doors_generic!$B$17:$L$17,0))</f>
        <v>231.20987195057927</v>
      </c>
      <c r="K112" s="262">
        <f ca="1">$J112*(1+INDEX(Methodology!$B$26:$E$31,MATCH($F112,Methodology!$B$26:$B$31,0),MATCH(L$5,Methodology!$B$26:$E$26,0)))</f>
        <v>231.20987195057927</v>
      </c>
      <c r="L112" s="261">
        <f ca="1">INDEX(Window_doors_generic!$B$17:$L$27,MATCH($B112,Window_doors_generic!$B$17:$B$27,0),MATCH(L$6,Window_doors_generic!$B$17:$L$17,0))</f>
        <v>379.62027051233463</v>
      </c>
      <c r="M112" s="231"/>
      <c r="N112" s="231">
        <f ca="1">INDEX(Window_doors_generic!$B$17:$L$27,MATCH($B112,Window_doors_generic!$B$17:$B$27,0),MATCH(N$6,Window_doors_generic!$B$17:$L$17,0))</f>
        <v>1.2449277297177002</v>
      </c>
      <c r="O112" s="231">
        <f ca="1">INDEX(Window_doors_generic!$B$17:$L$27,MATCH($B112,Window_doors_generic!$B$17:$B$27,0),MATCH(O$6,Window_doors_generic!$B$17:$L$17,0))</f>
        <v>2.3592844076589721</v>
      </c>
      <c r="P112" s="265">
        <f ca="1">$O112*(1+INDEX(Methodology!$B$26:$E$31,MATCH($F112,Methodology!$B$26:$B$31,0),MATCH(Q$5,Methodology!$B$26:$E$26,0)))</f>
        <v>2.3592844076589721</v>
      </c>
      <c r="Q112" s="266">
        <f ca="1">INDEX(Window_doors_generic!$B$17:$L$27,MATCH($B112,Window_doors_generic!$B$17:$B$27,0),MATCH(Q$6,Window_doors_generic!$B$17:$L$17,0))</f>
        <v>3.8736762297177001</v>
      </c>
      <c r="R112" s="199"/>
      <c r="S112" s="186"/>
      <c r="T112" s="185">
        <f ca="1">INDEX(Window_doors_generic!$B$17:$L$27,MATCH($B112,Window_doors_generic!$B$17:$B$27,0),MATCH(T$6,Window_doors_generic!$B$17:$L$17,0))</f>
        <v>0</v>
      </c>
      <c r="U112" s="265">
        <f ca="1">$T112*(1+INDEX(Methodology!$B$26:$E$31,MATCH($F112,Methodology!$B$26:$B$31,0),MATCH(V$5,Methodology!$B$26:$E$26,0)))</f>
        <v>0</v>
      </c>
      <c r="V112" s="261">
        <f ca="1">INDEX(Window_doors_generic!$B$17:$L$27,MATCH($B112,Window_doors_generic!$B$17:$B$27,0),MATCH(V$6,Window_doors_generic!$B$17:$L$17,0))</f>
        <v>0</v>
      </c>
      <c r="W112" s="186"/>
      <c r="X112" s="185">
        <f ca="1">INDEX(Window_doors_generic!$B$17:$L$27,MATCH($B112,Window_doors_generic!$B$17:$B$27,0),MATCH(X$6,Window_doors_generic!$B$17:$L$17,0))</f>
        <v>0</v>
      </c>
      <c r="Y112" s="265">
        <f ca="1">$X112*(1+INDEX(Methodology!$B$26:$E$31,MATCH($F112,Methodology!$B$26:$B$31,0),MATCH(Z$5,Methodology!$B$26:$E$26,0)))</f>
        <v>0</v>
      </c>
      <c r="Z112" s="261">
        <f ca="1">INDEX(Window_doors_generic!$B$17:$L$27,MATCH($B112,Window_doors_generic!$B$17:$B$27,0),MATCH(Z$6,Window_doors_generic!$B$17:$L$17,0))</f>
        <v>0</v>
      </c>
      <c r="AA112" s="199"/>
      <c r="AB112" s="10">
        <f t="shared" ca="1" si="10"/>
        <v>98</v>
      </c>
      <c r="AC112" s="190" t="str">
        <f t="shared" si="11"/>
        <v>kg/m²</v>
      </c>
      <c r="AD112" s="213" t="str" cm="1">
        <f t="array" aca="1" ref="AD112" ca="1">IF(INDIRECT(""&amp;$D112&amp;"!R"&amp;AD$142&amp;"C"&amp;AD$143,FALSE)=0,"",INDIRECT(""&amp;$D112&amp;"!R"&amp;AD$142&amp;"C"&amp;AD$143,FALSE))</f>
        <v>A number of generic windows and doors can still be selected. Calculated using referenced material quantities and multiplied by the relevant maximum EF to get the default maximum EF or the Average EF to get the average EF overall.</v>
      </c>
      <c r="AE112" s="214" t="str" cm="1">
        <f t="array" aca="1" ref="AE112" ca="1">IFERROR(IF(INDIRECT(""&amp;$D112&amp;"!R"&amp;AE$142&amp;"C"&amp;AE$143,FALSE)="Average (weighted)","Yes","No"),"")</f>
        <v>No</v>
      </c>
    </row>
    <row r="113" spans="1:31" ht="45" customHeight="1" x14ac:dyDescent="0.25">
      <c r="A113" s="66" t="s">
        <v>3989</v>
      </c>
      <c r="B113" s="69" t="s">
        <v>4019</v>
      </c>
      <c r="C113" s="193" t="str" cm="1">
        <f t="array" aca="1" ref="C113" ca="1">INDIRECT(""&amp;$D113&amp;"!R"&amp;C$142&amp;"C"&amp;C$143,FALSE)</f>
        <v>Determination of a generic window and door as described in material category column. Includes glass, framing, thermal breaks, spandrel/cladding material and key componentry in one sqm rate.</v>
      </c>
      <c r="D113" s="66" t="s">
        <v>4011</v>
      </c>
      <c r="E113" s="66" t="s">
        <v>321</v>
      </c>
      <c r="F113" s="7" t="s">
        <v>72</v>
      </c>
      <c r="G113" s="188">
        <f>INDEX(Methodology!$B$26:$D$31,MATCH('EF Table_detail'!$F113,Methodology!$B$26:$B$31,0),MATCH('EF Table_detail'!$G$5,Methodology!$B$26:$D$26,0))</f>
        <v>1</v>
      </c>
      <c r="H113" s="241"/>
      <c r="I113" s="99">
        <f ca="1">INDEX(Window_doors_generic!$B$17:$L$27,MATCH($B113,Window_doors_generic!$B$17:$B$27,0),MATCH(I$6,Window_doors_generic!$B$17:$L$17,0))</f>
        <v>282.77043747053426</v>
      </c>
      <c r="J113" s="99">
        <f ca="1">INDEX(Window_doors_generic!$B$17:$L$27,MATCH($B113,Window_doors_generic!$B$17:$B$27,0),MATCH(J$6,Window_doors_generic!$B$17:$L$17,0))</f>
        <v>943.11705598251683</v>
      </c>
      <c r="K113" s="262">
        <f ca="1">$J113*(1+INDEX(Methodology!$B$26:$E$31,MATCH($F113,Methodology!$B$26:$B$31,0),MATCH(L$5,Methodology!$B$26:$E$26,0)))</f>
        <v>943.11705598251683</v>
      </c>
      <c r="L113" s="261">
        <f ca="1">INDEX(Window_doors_generic!$B$17:$L$27,MATCH($B113,Window_doors_generic!$B$17:$B$27,0),MATCH(L$6,Window_doors_generic!$B$17:$L$17,0))</f>
        <v>1592.1275454888</v>
      </c>
      <c r="M113" s="231"/>
      <c r="N113" s="231">
        <f ca="1">INDEX(Window_doors_generic!$B$17:$L$27,MATCH($B113,Window_doors_generic!$B$17:$B$27,0),MATCH(N$6,Window_doors_generic!$B$17:$L$17,0))</f>
        <v>1.7241378860320944</v>
      </c>
      <c r="O113" s="231">
        <f ca="1">INDEX(Window_doors_generic!$B$17:$L$27,MATCH($B113,Window_doors_generic!$B$17:$B$27,0),MATCH(O$6,Window_doors_generic!$B$17:$L$17,0))</f>
        <v>5.7504732875477869</v>
      </c>
      <c r="P113" s="265">
        <f ca="1">$O113*(1+INDEX(Methodology!$B$26:$E$31,MATCH($F113,Methodology!$B$26:$B$31,0),MATCH(Q$5,Methodology!$B$26:$E$26,0)))</f>
        <v>5.7504732875477869</v>
      </c>
      <c r="Q113" s="266">
        <f ca="1">INDEX(Window_doors_generic!$B$17:$L$27,MATCH($B113,Window_doors_generic!$B$17:$B$27,0),MATCH(Q$6,Window_doors_generic!$B$17:$L$17,0))</f>
        <v>9.7076888416193476</v>
      </c>
      <c r="R113" s="199"/>
      <c r="S113" s="186"/>
      <c r="T113" s="184">
        <f ca="1">INDEX(Window_doors_generic!$B$17:$L$27,MATCH($B113,Window_doors_generic!$B$17:$B$27,0),MATCH(T$6,Window_doors_generic!$B$17:$L$17,0))</f>
        <v>26.287252839669588</v>
      </c>
      <c r="U113" s="265">
        <f ca="1">$T113*(1+INDEX(Methodology!$B$26:$E$31,MATCH($F113,Methodology!$B$26:$B$31,0),MATCH(V$5,Methodology!$B$26:$E$26,0)))</f>
        <v>26.287252839669588</v>
      </c>
      <c r="V113" s="261">
        <f ca="1">INDEX(Window_doors_generic!$B$17:$L$27,MATCH($B113,Window_doors_generic!$B$17:$B$27,0),MATCH(V$6,Window_doors_generic!$B$17:$L$17,0))</f>
        <v>26.77468949457074</v>
      </c>
      <c r="W113" s="186"/>
      <c r="X113" s="185">
        <f ca="1">INDEX(Window_doors_generic!$B$17:$L$27,MATCH($B113,Window_doors_generic!$B$17:$B$27,0),MATCH(X$6,Window_doors_generic!$B$17:$L$17,0))</f>
        <v>0.16028142455769234</v>
      </c>
      <c r="Y113" s="265">
        <f ca="1">$X113*(1+INDEX(Methodology!$B$26:$E$31,MATCH($F113,Methodology!$B$26:$B$31,0),MATCH(Z$5,Methodology!$B$26:$E$26,0)))</f>
        <v>0.16028142455769234</v>
      </c>
      <c r="Z113" s="261">
        <f ca="1">INDEX(Window_doors_generic!$B$17:$L$27,MATCH($B113,Window_doors_generic!$B$17:$B$27,0),MATCH(Z$6,Window_doors_generic!$B$17:$L$17,0))</f>
        <v>0.16325347499999998</v>
      </c>
      <c r="AA113" s="199"/>
      <c r="AB113" s="10">
        <f t="shared" ca="1" si="10"/>
        <v>164.00685801371606</v>
      </c>
      <c r="AC113" s="190" t="str">
        <f t="shared" si="11"/>
        <v>kg/m²</v>
      </c>
      <c r="AD113" s="213" t="str" cm="1">
        <f t="array" aca="1" ref="AD113" ca="1">IF(INDIRECT(""&amp;$D113&amp;"!R"&amp;AD$142&amp;"C"&amp;AD$143,FALSE)=0,"",INDIRECT(""&amp;$D113&amp;"!R"&amp;AD$142&amp;"C"&amp;AD$143,FALSE))</f>
        <v>A number of generic windows and doors can still be selected. Calculated using referenced material quantities and multiplied by the relevant maximum EF to get the default maximum EF or the Average EF to get the average EF overall.</v>
      </c>
      <c r="AE113" s="214" t="str" cm="1">
        <f t="array" aca="1" ref="AE113" ca="1">IFERROR(IF(INDIRECT(""&amp;$D113&amp;"!R"&amp;AE$142&amp;"C"&amp;AE$143,FALSE)="Average (weighted)","Yes","No"),"")</f>
        <v>No</v>
      </c>
    </row>
    <row r="114" spans="1:31" ht="45" customHeight="1" x14ac:dyDescent="0.25">
      <c r="A114" s="66" t="s">
        <v>2222</v>
      </c>
      <c r="B114" s="69" t="s">
        <v>4020</v>
      </c>
      <c r="C114" s="193" t="str" cm="1">
        <f t="array" aca="1" ref="C114" ca="1">INDIRECT(""&amp;$D114&amp;"!R"&amp;C$142&amp;"C"&amp;C$143,FALSE)</f>
        <v>Determination of a generic curtain wall as described in material category column. Includes glass, framing, thermal breaks, spandrel/cladding material and insulation in one sqm rate.</v>
      </c>
      <c r="D114" s="66" t="s">
        <v>4021</v>
      </c>
      <c r="E114" s="66" t="s">
        <v>321</v>
      </c>
      <c r="F114" s="7" t="s">
        <v>72</v>
      </c>
      <c r="G114" s="188">
        <f>INDEX(Methodology!$B$26:$D$31,MATCH('EF Table_detail'!$F114,Methodology!$B$26:$B$31,0),MATCH('EF Table_detail'!$G$5,Methodology!$B$26:$D$26,0))</f>
        <v>1</v>
      </c>
      <c r="H114" s="241"/>
      <c r="I114" s="99">
        <f ca="1">INDEX(Curtain_wall!$B$43:$R$101,MATCH(I$6,Curtain_wall!$B$43:$B$101,0),MATCH($B114,Curtain_wall!$B$43:$R$43,0))</f>
        <v>114.8207794156432</v>
      </c>
      <c r="J114" s="99">
        <f ca="1">INDEX(Curtain_wall!$B$43:$R$101,MATCH(J$6,Curtain_wall!$B$43:$B$101,0),MATCH($B114,Curtain_wall!$B$43:$R$43,0))</f>
        <v>267.3310764105936</v>
      </c>
      <c r="K114" s="262">
        <f ca="1">$J114*(1+INDEX(Methodology!$B$26:$E$31,MATCH($F114,Methodology!$B$26:$B$31,0),MATCH(L$5,Methodology!$B$26:$E$26,0)))</f>
        <v>267.3310764105936</v>
      </c>
      <c r="L114" s="261">
        <f ca="1">INDEX(Curtain_wall!$B$43:$R$101,MATCH(L$6,Curtain_wall!$B$43:$B$101,0),MATCH($B114,Curtain_wall!$B$43:$R$43,0))</f>
        <v>434.55885118891831</v>
      </c>
      <c r="M114" s="231"/>
      <c r="N114" s="231">
        <f ca="1">INDEX(Curtain_wall!$B$43:$R$101,MATCH(N$6,Curtain_wall!$B$43:$B$101,0),MATCH($B114,Curtain_wall!$B$43:$R$43,0))</f>
        <v>2.0721352345259114</v>
      </c>
      <c r="O114" s="231">
        <f ca="1">INDEX(Curtain_wall!$B$43:$R$101,MATCH(O$6,Curtain_wall!$B$43:$B$101,0),MATCH($B114,Curtain_wall!$B$43:$R$43,0))</f>
        <v>4.8244415822059814</v>
      </c>
      <c r="P114" s="265">
        <f ca="1">$O114*(1+INDEX(Methodology!$B$26:$E$31,MATCH($F114,Methodology!$B$26:$B$31,0),MATCH(Q$5,Methodology!$B$26:$E$26,0)))</f>
        <v>4.8244415822059814</v>
      </c>
      <c r="Q114" s="266">
        <f ca="1">INDEX(Curtain_wall!$B$43:$R$101,MATCH(Q$6,Curtain_wall!$B$43:$B$101,0),MATCH($B114,Curtain_wall!$B$43:$R$43,0))</f>
        <v>7.8423497175893617</v>
      </c>
      <c r="R114" s="199"/>
      <c r="S114" s="186"/>
      <c r="T114" s="185">
        <f ca="1">INDEX(Curtain_wall!$B$43:$R$101,MATCH(T$6,Curtain_wall!$B$43:$B$101,0),MATCH($B114,Curtain_wall!$B$43:$R$43,0))</f>
        <v>0</v>
      </c>
      <c r="U114" s="265">
        <f ca="1">$T114*(1+INDEX(Methodology!$B$26:$E$31,MATCH($F114,Methodology!$B$26:$B$31,0),MATCH(V$5,Methodology!$B$26:$E$26,0)))</f>
        <v>0</v>
      </c>
      <c r="V114" s="261">
        <f ca="1">INDEX(Curtain_wall!$B$43:$R$101,MATCH(V$6,Curtain_wall!$B$43:$B$101,0),MATCH($B114,Curtain_wall!$B$43:$R$43,0))</f>
        <v>0</v>
      </c>
      <c r="W114" s="186"/>
      <c r="X114" s="185">
        <f ca="1">INDEX(Curtain_wall!$B$43:$R$101,MATCH(X$6,Curtain_wall!$B$43:$B$101,0),MATCH($B114,Curtain_wall!$B$43:$R$43,0))</f>
        <v>0</v>
      </c>
      <c r="Y114" s="265">
        <f ca="1">$X114*(1+INDEX(Methodology!$B$26:$E$31,MATCH($F114,Methodology!$B$26:$B$31,0),MATCH(Z$5,Methodology!$B$26:$E$26,0)))</f>
        <v>0</v>
      </c>
      <c r="Z114" s="261">
        <f ca="1">INDEX(Curtain_wall!$B$43:$R$101,MATCH(Z$6,Curtain_wall!$B$43:$B$101,0),MATCH($B114,Curtain_wall!$B$43:$R$43,0))</f>
        <v>0</v>
      </c>
      <c r="AA114" s="199"/>
      <c r="AB114" s="10">
        <f t="shared" ref="AB114:AB129" ca="1" si="12">IFERROR(J114/O114,"")</f>
        <v>55.411817483</v>
      </c>
      <c r="AC114" s="190" t="str">
        <f t="shared" ref="AC114:AC134" si="13">"kg/"&amp;E114</f>
        <v>kg/m²</v>
      </c>
      <c r="AD114" s="213" t="str" cm="1">
        <f t="array" aca="1" ref="AD114" ca="1">IF(INDIRECT(""&amp;$D114&amp;"!R"&amp;AD$142&amp;"C"&amp;AD$143,FALSE)=0,"",INDIRECT(""&amp;$D114&amp;"!R"&amp;AD$142&amp;"C"&amp;AD$143,FALSE))</f>
        <v>A number of generic Curtain Wall systems are presented for cases when Curtain Wall information is not available. Calculated using referenced material quantities and multiplied by the relevant maximum EF to get the default maximum EF or the Average EF to get the average EF overall. Reference material quantites based on generic designs for a european context. More information see material tab.</v>
      </c>
      <c r="AE114" s="214" t="str" cm="1">
        <f t="array" aca="1" ref="AE114" ca="1">IFERROR(IF(INDIRECT(""&amp;$D114&amp;"!R"&amp;AE$142&amp;"C"&amp;AE$143,FALSE)="Average (weighted)","Yes","No"),"")</f>
        <v>No</v>
      </c>
    </row>
    <row r="115" spans="1:31" ht="45" customHeight="1" x14ac:dyDescent="0.25">
      <c r="A115" s="66" t="s">
        <v>2222</v>
      </c>
      <c r="B115" s="69" t="s">
        <v>4022</v>
      </c>
      <c r="C115" s="193" t="str" cm="1">
        <f t="array" aca="1" ref="C115" ca="1">INDIRECT(""&amp;$D115&amp;"!R"&amp;C$142&amp;"C"&amp;C$143,FALSE)</f>
        <v>Determination of a generic curtain wall as described in material category column. Includes glass, framing, thermal breaks, spandrel/cladding material and insulation in one sqm rate.</v>
      </c>
      <c r="D115" s="66" t="s">
        <v>4021</v>
      </c>
      <c r="E115" s="66" t="s">
        <v>321</v>
      </c>
      <c r="F115" s="7" t="s">
        <v>72</v>
      </c>
      <c r="G115" s="188">
        <f>INDEX(Methodology!$B$26:$D$31,MATCH('EF Table_detail'!$F115,Methodology!$B$26:$B$31,0),MATCH('EF Table_detail'!$G$5,Methodology!$B$26:$D$26,0))</f>
        <v>1</v>
      </c>
      <c r="H115" s="241"/>
      <c r="I115" s="99">
        <f ca="1">INDEX(Curtain_wall!$B$43:$R$101,MATCH(I$6,Curtain_wall!$B$43:$B$101,0),MATCH($B115,Curtain_wall!$B$43:$R$43,0))</f>
        <v>137.907114372168</v>
      </c>
      <c r="J115" s="99">
        <f ca="1">INDEX(Curtain_wall!$B$43:$R$101,MATCH(J$6,Curtain_wall!$B$43:$B$101,0),MATCH($B115,Curtain_wall!$B$43:$R$43,0))</f>
        <v>386.31380877010236</v>
      </c>
      <c r="K115" s="262">
        <f ca="1">$J115*(1+INDEX(Methodology!$B$26:$E$31,MATCH($F115,Methodology!$B$26:$B$31,0),MATCH(L$5,Methodology!$B$26:$E$26,0)))</f>
        <v>386.31380877010236</v>
      </c>
      <c r="L115" s="261">
        <f ca="1">INDEX(Curtain_wall!$B$43:$R$101,MATCH(L$6,Curtain_wall!$B$43:$B$101,0),MATCH($B115,Curtain_wall!$B$43:$R$43,0))</f>
        <v>654.93598042865563</v>
      </c>
      <c r="M115" s="231"/>
      <c r="N115" s="231">
        <f ca="1">INDEX(Curtain_wall!$B$43:$R$101,MATCH(N$6,Curtain_wall!$B$43:$B$101,0),MATCH($B115,Curtain_wall!$B$43:$R$43,0))</f>
        <v>3.0341153969911585</v>
      </c>
      <c r="O115" s="231">
        <f ca="1">INDEX(Curtain_wall!$B$43:$R$101,MATCH(O$6,Curtain_wall!$B$43:$B$101,0),MATCH($B115,Curtain_wall!$B$43:$R$43,0))</f>
        <v>8.4993488595264193</v>
      </c>
      <c r="P115" s="265">
        <f ca="1">$O115*(1+INDEX(Methodology!$B$26:$E$31,MATCH($F115,Methodology!$B$26:$B$31,0),MATCH(Q$5,Methodology!$B$26:$E$26,0)))</f>
        <v>8.4993488595264193</v>
      </c>
      <c r="Q115" s="266">
        <f ca="1">INDEX(Curtain_wall!$B$43:$R$101,MATCH(Q$6,Curtain_wall!$B$43:$B$101,0),MATCH($B115,Curtain_wall!$B$43:$R$43,0))</f>
        <v>14.409346111755966</v>
      </c>
      <c r="R115" s="199"/>
      <c r="S115" s="186"/>
      <c r="T115" s="185">
        <f ca="1">INDEX(Curtain_wall!$B$43:$R$101,MATCH(T$6,Curtain_wall!$B$43:$B$101,0),MATCH($B115,Curtain_wall!$B$43:$R$43,0))</f>
        <v>0</v>
      </c>
      <c r="U115" s="265">
        <f ca="1">$T115*(1+INDEX(Methodology!$B$26:$E$31,MATCH($F115,Methodology!$B$26:$B$31,0),MATCH(V$5,Methodology!$B$26:$E$26,0)))</f>
        <v>0</v>
      </c>
      <c r="V115" s="261">
        <f ca="1">INDEX(Curtain_wall!$B$43:$R$101,MATCH(V$6,Curtain_wall!$B$43:$B$101,0),MATCH($B115,Curtain_wall!$B$43:$R$43,0))</f>
        <v>0</v>
      </c>
      <c r="W115" s="186"/>
      <c r="X115" s="185">
        <f ca="1">INDEX(Curtain_wall!$B$43:$R$101,MATCH(X$6,Curtain_wall!$B$43:$B$101,0),MATCH($B115,Curtain_wall!$B$43:$R$43,0))</f>
        <v>0</v>
      </c>
      <c r="Y115" s="265">
        <f ca="1">$X115*(1+INDEX(Methodology!$B$26:$E$31,MATCH($F115,Methodology!$B$26:$B$31,0),MATCH(Z$5,Methodology!$B$26:$E$26,0)))</f>
        <v>0</v>
      </c>
      <c r="Z115" s="261">
        <f ca="1">INDEX(Curtain_wall!$B$43:$R$101,MATCH(Z$6,Curtain_wall!$B$43:$B$101,0),MATCH($B115,Curtain_wall!$B$43:$R$43,0))</f>
        <v>0</v>
      </c>
      <c r="AA115" s="199"/>
      <c r="AB115" s="10">
        <f t="shared" ca="1" si="12"/>
        <v>45.452165237000003</v>
      </c>
      <c r="AC115" s="190" t="str">
        <f t="shared" si="13"/>
        <v>kg/m²</v>
      </c>
      <c r="AD115" s="213" t="str" cm="1">
        <f t="array" aca="1" ref="AD115" ca="1">IF(INDIRECT(""&amp;$D115&amp;"!R"&amp;AD$142&amp;"C"&amp;AD$143,FALSE)=0,"",INDIRECT(""&amp;$D115&amp;"!R"&amp;AD$142&amp;"C"&amp;AD$143,FALSE))</f>
        <v>A number of generic Curtain Wall systems are presented for cases when Curtain Wall information is not available. Calculated using referenced material quantities and multiplied by the relevant maximum EF to get the default maximum EF or the Average EF to get the average EF overall. Reference material quantites based on generic designs for a european context. More information see material tab.</v>
      </c>
      <c r="AE115" s="214" t="str" cm="1">
        <f t="array" aca="1" ref="AE115" ca="1">IFERROR(IF(INDIRECT(""&amp;$D115&amp;"!R"&amp;AE$142&amp;"C"&amp;AE$143,FALSE)="Average (weighted)","Yes","No"),"")</f>
        <v>No</v>
      </c>
    </row>
    <row r="116" spans="1:31" ht="45" customHeight="1" x14ac:dyDescent="0.25">
      <c r="A116" s="66" t="s">
        <v>2222</v>
      </c>
      <c r="B116" s="69" t="s">
        <v>4023</v>
      </c>
      <c r="C116" s="193" t="str" cm="1">
        <f t="array" aca="1" ref="C116" ca="1">INDIRECT(""&amp;$D116&amp;"!R"&amp;C$142&amp;"C"&amp;C$143,FALSE)</f>
        <v>Determination of a generic curtain wall as described in material category column. Includes glass, framing, thermal breaks, spandrel/cladding material and insulation in one sqm rate.</v>
      </c>
      <c r="D116" s="66" t="s">
        <v>4021</v>
      </c>
      <c r="E116" s="66" t="s">
        <v>321</v>
      </c>
      <c r="F116" s="7" t="s">
        <v>72</v>
      </c>
      <c r="G116" s="188">
        <f>INDEX(Methodology!$B$26:$D$31,MATCH('EF Table_detail'!$F116,Methodology!$B$26:$B$31,0),MATCH('EF Table_detail'!$G$5,Methodology!$B$26:$D$26,0))</f>
        <v>1</v>
      </c>
      <c r="H116" s="241"/>
      <c r="I116" s="99">
        <f ca="1">INDEX(Curtain_wall!$B$43:$R$101,MATCH(I$6,Curtain_wall!$B$43:$B$101,0),MATCH($B116,Curtain_wall!$B$43:$R$43,0))</f>
        <v>174.33218444743389</v>
      </c>
      <c r="J116" s="99">
        <f ca="1">INDEX(Curtain_wall!$B$43:$R$101,MATCH(J$6,Curtain_wall!$B$43:$B$101,0),MATCH($B116,Curtain_wall!$B$43:$R$43,0))</f>
        <v>506.71026797453555</v>
      </c>
      <c r="K116" s="262">
        <f ca="1">$J116*(1+INDEX(Methodology!$B$26:$E$31,MATCH($F116,Methodology!$B$26:$B$31,0),MATCH(L$5,Methodology!$B$26:$E$26,0)))</f>
        <v>506.71026797453555</v>
      </c>
      <c r="L116" s="261">
        <f ca="1">INDEX(Curtain_wall!$B$43:$R$101,MATCH(L$6,Curtain_wall!$B$43:$B$101,0),MATCH($B116,Curtain_wall!$B$43:$R$43,0))</f>
        <v>866.06488664686344</v>
      </c>
      <c r="M116" s="231"/>
      <c r="N116" s="231">
        <f ca="1">INDEX(Curtain_wall!$B$43:$R$101,MATCH(N$6,Curtain_wall!$B$43:$B$101,0),MATCH($B116,Curtain_wall!$B$43:$R$43,0))</f>
        <v>3.3219268404300286</v>
      </c>
      <c r="O116" s="231">
        <f ca="1">INDEX(Curtain_wall!$B$43:$R$101,MATCH(O$6,Curtain_wall!$B$43:$B$101,0),MATCH($B116,Curtain_wall!$B$43:$R$43,0))</f>
        <v>9.6554428250949336</v>
      </c>
      <c r="P116" s="265">
        <f ca="1">$O116*(1+INDEX(Methodology!$B$26:$E$31,MATCH($F116,Methodology!$B$26:$B$31,0),MATCH(Q$5,Methodology!$B$26:$E$26,0)))</f>
        <v>9.6554428250949336</v>
      </c>
      <c r="Q116" s="266">
        <f ca="1">INDEX(Curtain_wall!$B$43:$R$101,MATCH(Q$6,Curtain_wall!$B$43:$B$101,0),MATCH($B116,Curtain_wall!$B$43:$R$43,0))</f>
        <v>16.503000875169466</v>
      </c>
      <c r="R116" s="199"/>
      <c r="S116" s="186"/>
      <c r="T116" s="185">
        <f ca="1">INDEX(Curtain_wall!$B$43:$R$101,MATCH(T$6,Curtain_wall!$B$43:$B$101,0),MATCH($B116,Curtain_wall!$B$43:$R$43,0))</f>
        <v>0</v>
      </c>
      <c r="U116" s="265">
        <f ca="1">$T116*(1+INDEX(Methodology!$B$26:$E$31,MATCH($F116,Methodology!$B$26:$B$31,0),MATCH(V$5,Methodology!$B$26:$E$26,0)))</f>
        <v>0</v>
      </c>
      <c r="V116" s="261">
        <f ca="1">INDEX(Curtain_wall!$B$43:$R$101,MATCH(V$6,Curtain_wall!$B$43:$B$101,0),MATCH($B116,Curtain_wall!$B$43:$R$43,0))</f>
        <v>0</v>
      </c>
      <c r="W116" s="186"/>
      <c r="X116" s="185">
        <f ca="1">INDEX(Curtain_wall!$B$43:$R$101,MATCH(X$6,Curtain_wall!$B$43:$B$101,0),MATCH($B116,Curtain_wall!$B$43:$R$43,0))</f>
        <v>0</v>
      </c>
      <c r="Y116" s="265">
        <f ca="1">$X116*(1+INDEX(Methodology!$B$26:$E$31,MATCH($F116,Methodology!$B$26:$B$31,0),MATCH(Z$5,Methodology!$B$26:$E$26,0)))</f>
        <v>0</v>
      </c>
      <c r="Z116" s="261">
        <f ca="1">INDEX(Curtain_wall!$B$43:$R$101,MATCH(Z$6,Curtain_wall!$B$43:$B$101,0),MATCH($B116,Curtain_wall!$B$43:$R$43,0))</f>
        <v>0</v>
      </c>
      <c r="AA116" s="199"/>
      <c r="AB116" s="10">
        <f t="shared" ca="1" si="12"/>
        <v>52.479236546000003</v>
      </c>
      <c r="AC116" s="190" t="str">
        <f t="shared" si="13"/>
        <v>kg/m²</v>
      </c>
      <c r="AD116" s="213" t="str" cm="1">
        <f t="array" aca="1" ref="AD116" ca="1">IF(INDIRECT(""&amp;$D116&amp;"!R"&amp;AD$142&amp;"C"&amp;AD$143,FALSE)=0,"",INDIRECT(""&amp;$D116&amp;"!R"&amp;AD$142&amp;"C"&amp;AD$143,FALSE))</f>
        <v>A number of generic Curtain Wall systems are presented for cases when Curtain Wall information is not available. Calculated using referenced material quantities and multiplied by the relevant maximum EF to get the default maximum EF or the Average EF to get the average EF overall. Reference material quantites based on generic designs for a european context. More information see material tab.</v>
      </c>
      <c r="AE116" s="214" t="str" cm="1">
        <f t="array" aca="1" ref="AE116" ca="1">IFERROR(IF(INDIRECT(""&amp;$D116&amp;"!R"&amp;AE$142&amp;"C"&amp;AE$143,FALSE)="Average (weighted)","Yes","No"),"")</f>
        <v>No</v>
      </c>
    </row>
    <row r="117" spans="1:31" ht="45" customHeight="1" x14ac:dyDescent="0.25">
      <c r="A117" s="66" t="s">
        <v>2222</v>
      </c>
      <c r="B117" s="69" t="s">
        <v>4024</v>
      </c>
      <c r="C117" s="193" t="str" cm="1">
        <f t="array" aca="1" ref="C117" ca="1">INDIRECT(""&amp;$D117&amp;"!R"&amp;C$142&amp;"C"&amp;C$143,FALSE)</f>
        <v>Determination of a generic curtain wall as described in material category column. Includes glass, framing, thermal breaks, spandrel/cladding material and insulation in one sqm rate.</v>
      </c>
      <c r="D117" s="66" t="s">
        <v>4021</v>
      </c>
      <c r="E117" s="66" t="s">
        <v>321</v>
      </c>
      <c r="F117" s="7" t="s">
        <v>72</v>
      </c>
      <c r="G117" s="188">
        <f>INDEX(Methodology!$B$26:$D$31,MATCH('EF Table_detail'!$F117,Methodology!$B$26:$B$31,0),MATCH('EF Table_detail'!$G$5,Methodology!$B$26:$D$26,0))</f>
        <v>1</v>
      </c>
      <c r="H117" s="241"/>
      <c r="I117" s="99">
        <f ca="1">INDEX(Curtain_wall!$B$43:$R$101,MATCH(I$6,Curtain_wall!$B$43:$B$101,0),MATCH($B117,Curtain_wall!$B$43:$R$43,0))</f>
        <v>147.54409133182403</v>
      </c>
      <c r="J117" s="99">
        <f ca="1">INDEX(Curtain_wall!$B$43:$R$101,MATCH(J$6,Curtain_wall!$B$43:$B$101,0),MATCH($B117,Curtain_wall!$B$43:$R$43,0))</f>
        <v>395.09574268097305</v>
      </c>
      <c r="K117" s="262">
        <f ca="1">$J117*(1+INDEX(Methodology!$B$26:$E$31,MATCH($F117,Methodology!$B$26:$B$31,0),MATCH(L$5,Methodology!$B$26:$E$26,0)))</f>
        <v>395.09574268097305</v>
      </c>
      <c r="L117" s="261">
        <f ca="1">INDEX(Curtain_wall!$B$43:$R$101,MATCH(L$6,Curtain_wall!$B$43:$B$101,0),MATCH($B117,Curtain_wall!$B$43:$R$43,0))</f>
        <v>664.70340147499212</v>
      </c>
      <c r="M117" s="231"/>
      <c r="N117" s="231">
        <f ca="1">INDEX(Curtain_wall!$B$43:$R$101,MATCH(N$6,Curtain_wall!$B$43:$B$101,0),MATCH($B117,Curtain_wall!$B$43:$R$43,0))</f>
        <v>2.7480935351183007</v>
      </c>
      <c r="O117" s="231">
        <f ca="1">INDEX(Curtain_wall!$B$43:$R$101,MATCH(O$6,Curtain_wall!$B$43:$B$101,0),MATCH($B117,Curtain_wall!$B$43:$R$43,0))</f>
        <v>7.3588853773377529</v>
      </c>
      <c r="P117" s="265">
        <f ca="1">$O117*(1+INDEX(Methodology!$B$26:$E$31,MATCH($F117,Methodology!$B$26:$B$31,0),MATCH(Q$5,Methodology!$B$26:$E$26,0)))</f>
        <v>7.3588853773377529</v>
      </c>
      <c r="Q117" s="266">
        <f ca="1">INDEX(Curtain_wall!$B$43:$R$101,MATCH(Q$6,Curtain_wall!$B$43:$B$101,0),MATCH($B117,Curtain_wall!$B$43:$R$43,0))</f>
        <v>12.380483039855717</v>
      </c>
      <c r="R117" s="199"/>
      <c r="S117" s="186"/>
      <c r="T117" s="185">
        <f ca="1">INDEX(Curtain_wall!$B$43:$R$101,MATCH(T$6,Curtain_wall!$B$43:$B$101,0),MATCH($B117,Curtain_wall!$B$43:$R$43,0))</f>
        <v>0</v>
      </c>
      <c r="U117" s="265">
        <f ca="1">$T117*(1+INDEX(Methodology!$B$26:$E$31,MATCH($F117,Methodology!$B$26:$B$31,0),MATCH(V$5,Methodology!$B$26:$E$26,0)))</f>
        <v>0</v>
      </c>
      <c r="V117" s="261">
        <f ca="1">INDEX(Curtain_wall!$B$43:$R$101,MATCH(V$6,Curtain_wall!$B$43:$B$101,0),MATCH($B117,Curtain_wall!$B$43:$R$43,0))</f>
        <v>0</v>
      </c>
      <c r="W117" s="186"/>
      <c r="X117" s="185">
        <f ca="1">INDEX(Curtain_wall!$B$43:$R$101,MATCH(X$6,Curtain_wall!$B$43:$B$101,0),MATCH($B117,Curtain_wall!$B$43:$R$43,0))</f>
        <v>0</v>
      </c>
      <c r="Y117" s="265">
        <f ca="1">$X117*(1+INDEX(Methodology!$B$26:$E$31,MATCH($F117,Methodology!$B$26:$B$31,0),MATCH(Z$5,Methodology!$B$26:$E$26,0)))</f>
        <v>0</v>
      </c>
      <c r="Z117" s="261">
        <f ca="1">INDEX(Curtain_wall!$B$43:$R$101,MATCH(Z$6,Curtain_wall!$B$43:$B$101,0),MATCH($B117,Curtain_wall!$B$43:$R$43,0))</f>
        <v>0</v>
      </c>
      <c r="AA117" s="199"/>
      <c r="AB117" s="10">
        <f t="shared" ca="1" si="12"/>
        <v>53.68961771</v>
      </c>
      <c r="AC117" s="190" t="str">
        <f t="shared" si="13"/>
        <v>kg/m²</v>
      </c>
      <c r="AD117" s="213" t="str" cm="1">
        <f t="array" aca="1" ref="AD117" ca="1">IF(INDIRECT(""&amp;$D117&amp;"!R"&amp;AD$142&amp;"C"&amp;AD$143,FALSE)=0,"",INDIRECT(""&amp;$D117&amp;"!R"&amp;AD$142&amp;"C"&amp;AD$143,FALSE))</f>
        <v>A number of generic Curtain Wall systems are presented for cases when Curtain Wall information is not available. Calculated using referenced material quantities and multiplied by the relevant maximum EF to get the default maximum EF or the Average EF to get the average EF overall. Reference material quantites based on generic designs for a european context. More information see material tab.</v>
      </c>
      <c r="AE117" s="214" t="str" cm="1">
        <f t="array" aca="1" ref="AE117" ca="1">IFERROR(IF(INDIRECT(""&amp;$D117&amp;"!R"&amp;AE$142&amp;"C"&amp;AE$143,FALSE)="Average (weighted)","Yes","No"),"")</f>
        <v>No</v>
      </c>
    </row>
    <row r="118" spans="1:31" ht="45" customHeight="1" x14ac:dyDescent="0.25">
      <c r="A118" s="66" t="s">
        <v>2222</v>
      </c>
      <c r="B118" s="69" t="s">
        <v>4025</v>
      </c>
      <c r="C118" s="193" t="str" cm="1">
        <f t="array" aca="1" ref="C118" ca="1">INDIRECT(""&amp;$D118&amp;"!R"&amp;C$142&amp;"C"&amp;C$143,FALSE)</f>
        <v>Determination of a generic curtain wall as described in material category column. Includes glass, framing, thermal breaks, spandrel/cladding material and insulation in one sqm rate.</v>
      </c>
      <c r="D118" s="66" t="s">
        <v>4021</v>
      </c>
      <c r="E118" s="66" t="s">
        <v>321</v>
      </c>
      <c r="F118" s="7" t="s">
        <v>72</v>
      </c>
      <c r="G118" s="188">
        <f>INDEX(Methodology!$B$26:$D$31,MATCH('EF Table_detail'!$F118,Methodology!$B$26:$B$31,0),MATCH('EF Table_detail'!$G$5,Methodology!$B$26:$D$26,0))</f>
        <v>1</v>
      </c>
      <c r="H118" s="241"/>
      <c r="I118" s="99">
        <f ca="1">INDEX(Curtain_wall!$B$43:$R$101,MATCH(I$6,Curtain_wall!$B$43:$B$101,0),MATCH($B118,Curtain_wall!$B$43:$R$43,0))</f>
        <v>141.54569107429586</v>
      </c>
      <c r="J118" s="99">
        <f ca="1">INDEX(Curtain_wall!$B$43:$R$101,MATCH(J$6,Curtain_wall!$B$43:$B$101,0),MATCH($B118,Curtain_wall!$B$43:$R$43,0))</f>
        <v>348.59567786365329</v>
      </c>
      <c r="K118" s="262">
        <f ca="1">$J118*(1+INDEX(Methodology!$B$26:$E$31,MATCH($F118,Methodology!$B$26:$B$31,0),MATCH(L$5,Methodology!$B$26:$E$26,0)))</f>
        <v>348.59567786365329</v>
      </c>
      <c r="L118" s="261">
        <f ca="1">INDEX(Curtain_wall!$B$43:$R$101,MATCH(L$6,Curtain_wall!$B$43:$B$101,0),MATCH($B118,Curtain_wall!$B$43:$R$43,0))</f>
        <v>575.33660082041399</v>
      </c>
      <c r="M118" s="231"/>
      <c r="N118" s="231">
        <f ca="1">INDEX(Curtain_wall!$B$43:$R$101,MATCH(N$6,Curtain_wall!$B$43:$B$101,0),MATCH($B118,Curtain_wall!$B$43:$R$43,0))</f>
        <v>2.2944668134903665</v>
      </c>
      <c r="O118" s="231">
        <f ca="1">INDEX(Curtain_wall!$B$43:$R$101,MATCH(O$6,Curtain_wall!$B$43:$B$101,0),MATCH($B118,Curtain_wall!$B$43:$R$43,0))</f>
        <v>5.6507634256736399</v>
      </c>
      <c r="P118" s="265">
        <f ca="1">$O118*(1+INDEX(Methodology!$B$26:$E$31,MATCH($F118,Methodology!$B$26:$B$31,0),MATCH(Q$5,Methodology!$B$26:$E$26,0)))</f>
        <v>5.6507634256736399</v>
      </c>
      <c r="Q118" s="266">
        <f ca="1">INDEX(Curtain_wall!$B$43:$R$101,MATCH(Q$6,Curtain_wall!$B$43:$B$101,0),MATCH($B118,Curtain_wall!$B$43:$R$43,0))</f>
        <v>9.3262516658023333</v>
      </c>
      <c r="R118" s="199"/>
      <c r="S118" s="186"/>
      <c r="T118" s="185">
        <f ca="1">INDEX(Curtain_wall!$B$43:$R$101,MATCH(T$6,Curtain_wall!$B$43:$B$101,0),MATCH($B118,Curtain_wall!$B$43:$R$43,0))</f>
        <v>0</v>
      </c>
      <c r="U118" s="265">
        <f ca="1">$T118*(1+INDEX(Methodology!$B$26:$E$31,MATCH($F118,Methodology!$B$26:$B$31,0),MATCH(V$5,Methodology!$B$26:$E$26,0)))</f>
        <v>0</v>
      </c>
      <c r="V118" s="261">
        <f ca="1">INDEX(Curtain_wall!$B$43:$R$101,MATCH(V$6,Curtain_wall!$B$43:$B$101,0),MATCH($B118,Curtain_wall!$B$43:$R$43,0))</f>
        <v>0</v>
      </c>
      <c r="W118" s="186"/>
      <c r="X118" s="185">
        <f ca="1">INDEX(Curtain_wall!$B$43:$R$101,MATCH(X$6,Curtain_wall!$B$43:$B$101,0),MATCH($B118,Curtain_wall!$B$43:$R$43,0))</f>
        <v>0</v>
      </c>
      <c r="Y118" s="265">
        <f ca="1">$X118*(1+INDEX(Methodology!$B$26:$E$31,MATCH($F118,Methodology!$B$26:$B$31,0),MATCH(Z$5,Methodology!$B$26:$E$26,0)))</f>
        <v>0</v>
      </c>
      <c r="Z118" s="261">
        <f ca="1">INDEX(Curtain_wall!$B$43:$R$101,MATCH(Z$6,Curtain_wall!$B$43:$B$101,0),MATCH($B118,Curtain_wall!$B$43:$R$43,0))</f>
        <v>0</v>
      </c>
      <c r="AA118" s="199"/>
      <c r="AB118" s="10">
        <f t="shared" ca="1" si="12"/>
        <v>61.69001453500001</v>
      </c>
      <c r="AC118" s="190" t="str">
        <f t="shared" si="13"/>
        <v>kg/m²</v>
      </c>
      <c r="AD118" s="213" t="str" cm="1">
        <f t="array" aca="1" ref="AD118" ca="1">IF(INDIRECT(""&amp;$D118&amp;"!R"&amp;AD$142&amp;"C"&amp;AD$143,FALSE)=0,"",INDIRECT(""&amp;$D118&amp;"!R"&amp;AD$142&amp;"C"&amp;AD$143,FALSE))</f>
        <v>A number of generic Curtain Wall systems are presented for cases when Curtain Wall information is not available. Calculated using referenced material quantities and multiplied by the relevant maximum EF to get the default maximum EF or the Average EF to get the average EF overall. Reference material quantites based on generic designs for a european context. More information see material tab.</v>
      </c>
      <c r="AE118" s="214" t="str" cm="1">
        <f t="array" aca="1" ref="AE118" ca="1">IFERROR(IF(INDIRECT(""&amp;$D118&amp;"!R"&amp;AE$142&amp;"C"&amp;AE$143,FALSE)="Average (weighted)","Yes","No"),"")</f>
        <v>No</v>
      </c>
    </row>
    <row r="119" spans="1:31" ht="45" customHeight="1" x14ac:dyDescent="0.25">
      <c r="A119" s="66" t="s">
        <v>2222</v>
      </c>
      <c r="B119" s="69" t="s">
        <v>4026</v>
      </c>
      <c r="C119" s="193" t="str" cm="1">
        <f t="array" aca="1" ref="C119" ca="1">INDIRECT(""&amp;$D119&amp;"!R"&amp;C$142&amp;"C"&amp;C$143,FALSE)</f>
        <v>Determination of a generic curtain wall as described in material category column. Includes glass, framing, thermal breaks, spandrel/cladding material and insulation in one sqm rate.</v>
      </c>
      <c r="D119" s="66" t="s">
        <v>4021</v>
      </c>
      <c r="E119" s="66" t="s">
        <v>321</v>
      </c>
      <c r="F119" s="7" t="s">
        <v>72</v>
      </c>
      <c r="G119" s="188">
        <f>INDEX(Methodology!$B$26:$D$31,MATCH('EF Table_detail'!$F119,Methodology!$B$26:$B$31,0),MATCH('EF Table_detail'!$G$5,Methodology!$B$26:$D$26,0))</f>
        <v>1</v>
      </c>
      <c r="H119" s="241"/>
      <c r="I119" s="99">
        <f ca="1">INDEX(Curtain_wall!$B$43:$R$101,MATCH(I$6,Curtain_wall!$B$43:$B$101,0),MATCH($B119,Curtain_wall!$B$43:$R$43,0))</f>
        <v>167.24882646293688</v>
      </c>
      <c r="J119" s="99">
        <f ca="1">INDEX(Curtain_wall!$B$43:$R$101,MATCH(J$6,Curtain_wall!$B$43:$B$101,0),MATCH($B119,Curtain_wall!$B$43:$R$43,0))</f>
        <v>452.01843278278574</v>
      </c>
      <c r="K119" s="262">
        <f ca="1">$J119*(1+INDEX(Methodology!$B$26:$E$31,MATCH($F119,Methodology!$B$26:$B$31,0),MATCH(L$5,Methodology!$B$26:$E$26,0)))</f>
        <v>452.01843278278574</v>
      </c>
      <c r="L119" s="261">
        <f ca="1">INDEX(Curtain_wall!$B$43:$R$101,MATCH(L$6,Curtain_wall!$B$43:$B$101,0),MATCH($B119,Curtain_wall!$B$43:$R$43,0))</f>
        <v>764.51892956468259</v>
      </c>
      <c r="M119" s="231"/>
      <c r="N119" s="231">
        <f ca="1">INDEX(Curtain_wall!$B$43:$R$101,MATCH(N$6,Curtain_wall!$B$43:$B$101,0),MATCH($B119,Curtain_wall!$B$43:$R$43,0))</f>
        <v>2.2020941272802061</v>
      </c>
      <c r="O119" s="231">
        <f ca="1">INDEX(Curtain_wall!$B$43:$R$101,MATCH(O$6,Curtain_wall!$B$43:$B$101,0),MATCH($B119,Curtain_wall!$B$43:$R$43,0))</f>
        <v>5.9515343533603664</v>
      </c>
      <c r="P119" s="265">
        <f ca="1">$O119*(1+INDEX(Methodology!$B$26:$E$31,MATCH($F119,Methodology!$B$26:$B$31,0),MATCH(Q$5,Methodology!$B$26:$E$26,0)))</f>
        <v>5.9515343533603664</v>
      </c>
      <c r="Q119" s="266">
        <f ca="1">INDEX(Curtain_wall!$B$43:$R$101,MATCH(Q$6,Curtain_wall!$B$43:$B$101,0),MATCH($B119,Curtain_wall!$B$43:$R$43,0))</f>
        <v>10.066095413602309</v>
      </c>
      <c r="R119" s="199"/>
      <c r="S119" s="186"/>
      <c r="T119" s="185">
        <f ca="1">INDEX(Curtain_wall!$B$43:$R$101,MATCH(T$6,Curtain_wall!$B$43:$B$101,0),MATCH($B119,Curtain_wall!$B$43:$R$43,0))</f>
        <v>0</v>
      </c>
      <c r="U119" s="265">
        <f ca="1">$T119*(1+INDEX(Methodology!$B$26:$E$31,MATCH($F119,Methodology!$B$26:$B$31,0),MATCH(V$5,Methodology!$B$26:$E$26,0)))</f>
        <v>0</v>
      </c>
      <c r="V119" s="261">
        <f ca="1">INDEX(Curtain_wall!$B$43:$R$101,MATCH(V$6,Curtain_wall!$B$43:$B$101,0),MATCH($B119,Curtain_wall!$B$43:$R$43,0))</f>
        <v>0</v>
      </c>
      <c r="W119" s="186"/>
      <c r="X119" s="185">
        <f ca="1">INDEX(Curtain_wall!$B$43:$R$101,MATCH(X$6,Curtain_wall!$B$43:$B$101,0),MATCH($B119,Curtain_wall!$B$43:$R$43,0))</f>
        <v>0</v>
      </c>
      <c r="Y119" s="265">
        <f ca="1">$X119*(1+INDEX(Methodology!$B$26:$E$31,MATCH($F119,Methodology!$B$26:$B$31,0),MATCH(Z$5,Methodology!$B$26:$E$26,0)))</f>
        <v>0</v>
      </c>
      <c r="Z119" s="261">
        <f ca="1">INDEX(Curtain_wall!$B$43:$R$101,MATCH(Z$6,Curtain_wall!$B$43:$B$101,0),MATCH($B119,Curtain_wall!$B$43:$R$43,0))</f>
        <v>0</v>
      </c>
      <c r="AA119" s="199"/>
      <c r="AB119" s="10">
        <f t="shared" ca="1" si="12"/>
        <v>75.949898958000006</v>
      </c>
      <c r="AC119" s="190" t="str">
        <f t="shared" si="13"/>
        <v>kg/m²</v>
      </c>
      <c r="AD119" s="213" t="str" cm="1">
        <f t="array" aca="1" ref="AD119" ca="1">IF(INDIRECT(""&amp;$D119&amp;"!R"&amp;AD$142&amp;"C"&amp;AD$143,FALSE)=0,"",INDIRECT(""&amp;$D119&amp;"!R"&amp;AD$142&amp;"C"&amp;AD$143,FALSE))</f>
        <v>A number of generic Curtain Wall systems are presented for cases when Curtain Wall information is not available. Calculated using referenced material quantities and multiplied by the relevant maximum EF to get the default maximum EF or the Average EF to get the average EF overall. Reference material quantites based on generic designs for a european context. More information see material tab.</v>
      </c>
      <c r="AE119" s="214" t="str" cm="1">
        <f t="array" aca="1" ref="AE119" ca="1">IFERROR(IF(INDIRECT(""&amp;$D119&amp;"!R"&amp;AE$142&amp;"C"&amp;AE$143,FALSE)="Average (weighted)","Yes","No"),"")</f>
        <v>No</v>
      </c>
    </row>
    <row r="120" spans="1:31" ht="45" customHeight="1" x14ac:dyDescent="0.25">
      <c r="A120" s="66" t="s">
        <v>2222</v>
      </c>
      <c r="B120" s="69" t="s">
        <v>4027</v>
      </c>
      <c r="C120" s="193" t="str" cm="1">
        <f t="array" aca="1" ref="C120" ca="1">INDIRECT(""&amp;$D120&amp;"!R"&amp;C$142&amp;"C"&amp;C$143,FALSE)</f>
        <v>Determination of a generic curtain wall as described in material category column. Includes glass, framing, thermal breaks, spandrel/cladding material and insulation in one sqm rate.</v>
      </c>
      <c r="D120" s="66" t="s">
        <v>4021</v>
      </c>
      <c r="E120" s="66" t="s">
        <v>321</v>
      </c>
      <c r="F120" s="7" t="s">
        <v>72</v>
      </c>
      <c r="G120" s="188">
        <f>INDEX(Methodology!$B$26:$D$31,MATCH('EF Table_detail'!$F120,Methodology!$B$26:$B$31,0),MATCH('EF Table_detail'!$G$5,Methodology!$B$26:$D$26,0))</f>
        <v>1</v>
      </c>
      <c r="H120" s="241"/>
      <c r="I120" s="99">
        <f ca="1">INDEX(Curtain_wall!$B$43:$R$101,MATCH(I$6,Curtain_wall!$B$43:$B$101,0),MATCH($B120,Curtain_wall!$B$43:$R$43,0))</f>
        <v>105.33999172499182</v>
      </c>
      <c r="J120" s="99">
        <f ca="1">INDEX(Curtain_wall!$B$43:$R$101,MATCH(J$6,Curtain_wall!$B$43:$B$101,0),MATCH($B120,Curtain_wall!$B$43:$R$43,0))</f>
        <v>282.3603219194647</v>
      </c>
      <c r="K120" s="262">
        <f ca="1">$J120*(1+INDEX(Methodology!$B$26:$E$31,MATCH($F120,Methodology!$B$26:$B$31,0),MATCH(L$5,Methodology!$B$26:$E$26,0)))</f>
        <v>282.3603219194647</v>
      </c>
      <c r="L120" s="261">
        <f ca="1">INDEX(Curtain_wall!$B$43:$R$101,MATCH(L$6,Curtain_wall!$B$43:$B$101,0),MATCH($B120,Curtain_wall!$B$43:$R$43,0))</f>
        <v>476.37764915994609</v>
      </c>
      <c r="M120" s="231"/>
      <c r="N120" s="231">
        <f ca="1">INDEX(Curtain_wall!$B$43:$R$101,MATCH(N$6,Curtain_wall!$B$43:$B$101,0),MATCH($B120,Curtain_wall!$B$43:$R$43,0))</f>
        <v>2.6734473050098448</v>
      </c>
      <c r="O120" s="231">
        <f ca="1">INDEX(Curtain_wall!$B$43:$R$101,MATCH(O$6,Curtain_wall!$B$43:$B$101,0),MATCH($B120,Curtain_wall!$B$43:$R$43,0))</f>
        <v>7.1660860164868572</v>
      </c>
      <c r="P120" s="265">
        <f ca="1">$O120*(1+INDEX(Methodology!$B$26:$E$31,MATCH($F120,Methodology!$B$26:$B$31,0),MATCH(Q$5,Methodology!$B$26:$E$26,0)))</f>
        <v>7.1660860164868572</v>
      </c>
      <c r="Q120" s="266">
        <f ca="1">INDEX(Curtain_wall!$B$43:$R$101,MATCH(Q$6,Curtain_wall!$B$43:$B$101,0),MATCH($B120,Curtain_wall!$B$43:$R$43,0))</f>
        <v>12.090095332819642</v>
      </c>
      <c r="R120" s="199"/>
      <c r="S120" s="186"/>
      <c r="T120" s="185">
        <f ca="1">INDEX(Curtain_wall!$B$43:$R$101,MATCH(T$6,Curtain_wall!$B$43:$B$101,0),MATCH($B120,Curtain_wall!$B$43:$R$43,0))</f>
        <v>0</v>
      </c>
      <c r="U120" s="265">
        <f ca="1">$T120*(1+INDEX(Methodology!$B$26:$E$31,MATCH($F120,Methodology!$B$26:$B$31,0),MATCH(V$5,Methodology!$B$26:$E$26,0)))</f>
        <v>0</v>
      </c>
      <c r="V120" s="261">
        <f ca="1">INDEX(Curtain_wall!$B$43:$R$101,MATCH(V$6,Curtain_wall!$B$43:$B$101,0),MATCH($B120,Curtain_wall!$B$43:$R$43,0))</f>
        <v>0</v>
      </c>
      <c r="W120" s="186"/>
      <c r="X120" s="185">
        <f ca="1">INDEX(Curtain_wall!$B$43:$R$101,MATCH(X$6,Curtain_wall!$B$43:$B$101,0),MATCH($B120,Curtain_wall!$B$43:$R$43,0))</f>
        <v>0</v>
      </c>
      <c r="Y120" s="265">
        <f ca="1">$X120*(1+INDEX(Methodology!$B$26:$E$31,MATCH($F120,Methodology!$B$26:$B$31,0),MATCH(Z$5,Methodology!$B$26:$E$26,0)))</f>
        <v>0</v>
      </c>
      <c r="Z120" s="261">
        <f ca="1">INDEX(Curtain_wall!$B$43:$R$101,MATCH(Z$6,Curtain_wall!$B$43:$B$101,0),MATCH($B120,Curtain_wall!$B$43:$R$43,0))</f>
        <v>0</v>
      </c>
      <c r="AA120" s="199"/>
      <c r="AB120" s="10">
        <f t="shared" ca="1" si="12"/>
        <v>39.402307098999998</v>
      </c>
      <c r="AC120" s="190" t="str">
        <f t="shared" si="13"/>
        <v>kg/m²</v>
      </c>
      <c r="AD120" s="213" t="str" cm="1">
        <f t="array" aca="1" ref="AD120" ca="1">IF(INDIRECT(""&amp;$D120&amp;"!R"&amp;AD$142&amp;"C"&amp;AD$143,FALSE)=0,"",INDIRECT(""&amp;$D120&amp;"!R"&amp;AD$142&amp;"C"&amp;AD$143,FALSE))</f>
        <v>A number of generic Curtain Wall systems are presented for cases when Curtain Wall information is not available. Calculated using referenced material quantities and multiplied by the relevant maximum EF to get the default maximum EF or the Average EF to get the average EF overall. Reference material quantites based on generic designs for a european context. More information see material tab.</v>
      </c>
      <c r="AE120" s="214" t="str" cm="1">
        <f t="array" aca="1" ref="AE120" ca="1">IFERROR(IF(INDIRECT(""&amp;$D120&amp;"!R"&amp;AE$142&amp;"C"&amp;AE$143,FALSE)="Average (weighted)","Yes","No"),"")</f>
        <v>No</v>
      </c>
    </row>
    <row r="121" spans="1:31" ht="45" customHeight="1" x14ac:dyDescent="0.25">
      <c r="A121" s="66" t="s">
        <v>2222</v>
      </c>
      <c r="B121" s="69" t="s">
        <v>4028</v>
      </c>
      <c r="C121" s="193" t="str" cm="1">
        <f t="array" aca="1" ref="C121" ca="1">INDIRECT(""&amp;$D121&amp;"!R"&amp;C$142&amp;"C"&amp;C$143,FALSE)</f>
        <v>Determination of a generic curtain wall as described in material category column. Includes glass, framing, thermal breaks, spandrel/cladding material and insulation in one sqm rate.</v>
      </c>
      <c r="D121" s="66" t="s">
        <v>4021</v>
      </c>
      <c r="E121" s="66" t="s">
        <v>321</v>
      </c>
      <c r="F121" s="7" t="s">
        <v>72</v>
      </c>
      <c r="G121" s="188">
        <f>INDEX(Methodology!$B$26:$D$31,MATCH('EF Table_detail'!$F121,Methodology!$B$26:$B$31,0),MATCH('EF Table_detail'!$G$5,Methodology!$B$26:$D$26,0))</f>
        <v>1</v>
      </c>
      <c r="H121" s="241"/>
      <c r="I121" s="99">
        <f ca="1">INDEX(Curtain_wall!$B$43:$R$101,MATCH(I$6,Curtain_wall!$B$43:$B$101,0),MATCH($B121,Curtain_wall!$B$43:$R$43,0))</f>
        <v>119.31655945571285</v>
      </c>
      <c r="J121" s="99">
        <f ca="1">INDEX(Curtain_wall!$B$43:$R$101,MATCH(J$6,Curtain_wall!$B$43:$B$101,0),MATCH($B121,Curtain_wall!$B$43:$R$43,0))</f>
        <v>247.57730950527193</v>
      </c>
      <c r="K121" s="262">
        <f ca="1">$J121*(1+INDEX(Methodology!$B$26:$E$31,MATCH($F121,Methodology!$B$26:$B$31,0),MATCH(L$5,Methodology!$B$26:$E$26,0)))</f>
        <v>247.57730950527193</v>
      </c>
      <c r="L121" s="261">
        <f ca="1">INDEX(Curtain_wall!$B$43:$R$101,MATCH(L$6,Curtain_wall!$B$43:$B$101,0),MATCH($B121,Curtain_wall!$B$43:$R$43,0))</f>
        <v>404.60888260020869</v>
      </c>
      <c r="M121" s="231"/>
      <c r="N121" s="231">
        <f ca="1">INDEX(Curtain_wall!$B$43:$R$101,MATCH(N$6,Curtain_wall!$B$43:$B$101,0),MATCH($B121,Curtain_wall!$B$43:$R$43,0))</f>
        <v>1.6543612713219551</v>
      </c>
      <c r="O121" s="231">
        <f ca="1">INDEX(Curtain_wall!$B$43:$R$101,MATCH(O$6,Curtain_wall!$B$43:$B$101,0),MATCH($B121,Curtain_wall!$B$43:$R$43,0))</f>
        <v>3.4327365318946947</v>
      </c>
      <c r="P121" s="265">
        <f ca="1">$O121*(1+INDEX(Methodology!$B$26:$E$31,MATCH($F121,Methodology!$B$26:$B$31,0),MATCH(Q$5,Methodology!$B$26:$E$26,0)))</f>
        <v>3.4327365318946947</v>
      </c>
      <c r="Q121" s="266">
        <f ca="1">INDEX(Curtain_wall!$B$43:$R$101,MATCH(Q$6,Curtain_wall!$B$43:$B$101,0),MATCH($B121,Curtain_wall!$B$43:$R$43,0))</f>
        <v>5.6100282178777467</v>
      </c>
      <c r="R121" s="199"/>
      <c r="S121" s="186"/>
      <c r="T121" s="185">
        <f ca="1">INDEX(Curtain_wall!$B$43:$R$101,MATCH(T$6,Curtain_wall!$B$43:$B$101,0),MATCH($B121,Curtain_wall!$B$43:$R$43,0))</f>
        <v>0</v>
      </c>
      <c r="U121" s="265">
        <f ca="1">$T121*(1+INDEX(Methodology!$B$26:$E$31,MATCH($F121,Methodology!$B$26:$B$31,0),MATCH(V$5,Methodology!$B$26:$E$26,0)))</f>
        <v>0</v>
      </c>
      <c r="V121" s="261">
        <f ca="1">INDEX(Curtain_wall!$B$43:$R$101,MATCH(V$6,Curtain_wall!$B$43:$B$101,0),MATCH($B121,Curtain_wall!$B$43:$R$43,0))</f>
        <v>0</v>
      </c>
      <c r="W121" s="186"/>
      <c r="X121" s="185">
        <f ca="1">INDEX(Curtain_wall!$B$43:$R$101,MATCH(X$6,Curtain_wall!$B$43:$B$101,0),MATCH($B121,Curtain_wall!$B$43:$R$43,0))</f>
        <v>0</v>
      </c>
      <c r="Y121" s="265">
        <f ca="1">$X121*(1+INDEX(Methodology!$B$26:$E$31,MATCH($F121,Methodology!$B$26:$B$31,0),MATCH(Z$5,Methodology!$B$26:$E$26,0)))</f>
        <v>0</v>
      </c>
      <c r="Z121" s="261">
        <f ca="1">INDEX(Curtain_wall!$B$43:$R$101,MATCH(Z$6,Curtain_wall!$B$43:$B$101,0),MATCH($B121,Curtain_wall!$B$43:$R$43,0))</f>
        <v>0</v>
      </c>
      <c r="AA121" s="199"/>
      <c r="AB121" s="10">
        <f t="shared" ca="1" si="12"/>
        <v>72.122432701999983</v>
      </c>
      <c r="AC121" s="190" t="str">
        <f t="shared" si="13"/>
        <v>kg/m²</v>
      </c>
      <c r="AD121" s="213" t="str" cm="1">
        <f t="array" aca="1" ref="AD121" ca="1">IF(INDIRECT(""&amp;$D121&amp;"!R"&amp;AD$142&amp;"C"&amp;AD$143,FALSE)=0,"",INDIRECT(""&amp;$D121&amp;"!R"&amp;AD$142&amp;"C"&amp;AD$143,FALSE))</f>
        <v>A number of generic Curtain Wall systems are presented for cases when Curtain Wall information is not available. Calculated using referenced material quantities and multiplied by the relevant maximum EF to get the default maximum EF or the Average EF to get the average EF overall. Reference material quantites based on generic designs for a european context. More information see material tab.</v>
      </c>
      <c r="AE121" s="214" t="str" cm="1">
        <f t="array" aca="1" ref="AE121" ca="1">IFERROR(IF(INDIRECT(""&amp;$D121&amp;"!R"&amp;AE$142&amp;"C"&amp;AE$143,FALSE)="Average (weighted)","Yes","No"),"")</f>
        <v>No</v>
      </c>
    </row>
    <row r="122" spans="1:31" ht="45" customHeight="1" x14ac:dyDescent="0.25">
      <c r="A122" s="66" t="s">
        <v>2222</v>
      </c>
      <c r="B122" s="69" t="s">
        <v>4029</v>
      </c>
      <c r="C122" s="193" t="str" cm="1">
        <f t="array" aca="1" ref="C122" ca="1">INDIRECT(""&amp;$D122&amp;"!R"&amp;C$142&amp;"C"&amp;C$143,FALSE)</f>
        <v>Determination of a generic curtain wall as described in material category column. Includes glass, framing, thermal breaks, spandrel/cladding material and insulation in one sqm rate.</v>
      </c>
      <c r="D122" s="66" t="s">
        <v>4021</v>
      </c>
      <c r="E122" s="66" t="s">
        <v>321</v>
      </c>
      <c r="F122" s="7" t="s">
        <v>72</v>
      </c>
      <c r="G122" s="188">
        <f>INDEX(Methodology!$B$26:$D$31,MATCH('EF Table_detail'!$F122,Methodology!$B$26:$B$31,0),MATCH('EF Table_detail'!$G$5,Methodology!$B$26:$D$26,0))</f>
        <v>1</v>
      </c>
      <c r="H122" s="241"/>
      <c r="I122" s="99">
        <f ca="1">INDEX(Curtain_wall!$B$43:$R$101,MATCH(I$6,Curtain_wall!$B$43:$B$101,0),MATCH($B122,Curtain_wall!$B$43:$R$43,0))</f>
        <v>85.885499946731315</v>
      </c>
      <c r="J122" s="99">
        <f ca="1">INDEX(Curtain_wall!$B$43:$R$101,MATCH(J$6,Curtain_wall!$B$43:$B$101,0),MATCH($B122,Curtain_wall!$B$43:$R$43,0))</f>
        <v>211.13521841974145</v>
      </c>
      <c r="K122" s="262">
        <f ca="1">$J122*(1+INDEX(Methodology!$B$26:$E$31,MATCH($F122,Methodology!$B$26:$B$31,0),MATCH(L$5,Methodology!$B$26:$E$26,0)))</f>
        <v>211.13521841974145</v>
      </c>
      <c r="L122" s="261">
        <f ca="1">INDEX(Curtain_wall!$B$43:$R$101,MATCH(L$6,Curtain_wall!$B$43:$B$101,0),MATCH($B122,Curtain_wall!$B$43:$R$43,0))</f>
        <v>349.77131824395036</v>
      </c>
      <c r="M122" s="231"/>
      <c r="N122" s="231">
        <f ca="1">INDEX(Curtain_wall!$B$43:$R$101,MATCH(N$6,Curtain_wall!$B$43:$B$101,0),MATCH($B122,Curtain_wall!$B$43:$R$43,0))</f>
        <v>1.8334751355811671</v>
      </c>
      <c r="O122" s="231">
        <f ca="1">INDEX(Curtain_wall!$B$43:$R$101,MATCH(O$6,Curtain_wall!$B$43:$B$101,0),MATCH($B122,Curtain_wall!$B$43:$R$43,0))</f>
        <v>4.5072937045041641</v>
      </c>
      <c r="P122" s="265">
        <f ca="1">$O122*(1+INDEX(Methodology!$B$26:$E$31,MATCH($F122,Methodology!$B$26:$B$31,0),MATCH(Q$5,Methodology!$B$26:$E$26,0)))</f>
        <v>4.5072937045041641</v>
      </c>
      <c r="Q122" s="266">
        <f ca="1">INDEX(Curtain_wall!$B$43:$R$101,MATCH(Q$6,Curtain_wall!$B$43:$B$101,0),MATCH($B122,Curtain_wall!$B$43:$R$43,0))</f>
        <v>7.4668834149825232</v>
      </c>
      <c r="R122" s="199"/>
      <c r="S122" s="186"/>
      <c r="T122" s="185">
        <f ca="1">INDEX(Curtain_wall!$B$43:$R$101,MATCH(T$6,Curtain_wall!$B$43:$B$101,0),MATCH($B122,Curtain_wall!$B$43:$R$43,0))</f>
        <v>18.773050791258083</v>
      </c>
      <c r="U122" s="265">
        <f ca="1">$T122*(1+INDEX(Methodology!$B$26:$E$31,MATCH($F122,Methodology!$B$26:$B$31,0),MATCH(V$5,Methodology!$B$26:$E$26,0)))</f>
        <v>18.773050791258083</v>
      </c>
      <c r="V122" s="261">
        <f ca="1">INDEX(Curtain_wall!$B$43:$R$101,MATCH(V$6,Curtain_wall!$B$43:$B$101,0),MATCH($B122,Curtain_wall!$B$43:$R$43,0))</f>
        <v>20.077211540924999</v>
      </c>
      <c r="W122" s="186"/>
      <c r="X122" s="185">
        <f ca="1">INDEX(Curtain_wall!$B$43:$R$101,MATCH(X$6,Curtain_wall!$B$43:$B$101,0),MATCH($B122,Curtain_wall!$B$43:$R$43,0))</f>
        <v>0.40076522656469704</v>
      </c>
      <c r="Y122" s="265">
        <f ca="1">$X122*(1+INDEX(Methodology!$B$26:$E$31,MATCH($F122,Methodology!$B$26:$B$31,0),MATCH(Z$5,Methodology!$B$26:$E$26,0)))</f>
        <v>0.40076522656469704</v>
      </c>
      <c r="Z122" s="261">
        <f ca="1">INDEX(Curtain_wall!$B$43:$R$101,MATCH(Z$6,Curtain_wall!$B$43:$B$101,0),MATCH($B122,Curtain_wall!$B$43:$R$43,0))</f>
        <v>0.4286063209147124</v>
      </c>
      <c r="AA122" s="199"/>
      <c r="AB122" s="10">
        <f t="shared" ca="1" si="12"/>
        <v>46.843013182999997</v>
      </c>
      <c r="AC122" s="190" t="str">
        <f t="shared" si="13"/>
        <v>kg/m²</v>
      </c>
      <c r="AD122" s="213" t="str" cm="1">
        <f t="array" aca="1" ref="AD122" ca="1">IF(INDIRECT(""&amp;$D122&amp;"!R"&amp;AD$142&amp;"C"&amp;AD$143,FALSE)=0,"",INDIRECT(""&amp;$D122&amp;"!R"&amp;AD$142&amp;"C"&amp;AD$143,FALSE))</f>
        <v>A number of generic Curtain Wall systems are presented for cases when Curtain Wall information is not available. Calculated using referenced material quantities and multiplied by the relevant maximum EF to get the default maximum EF or the Average EF to get the average EF overall. Reference material quantites based on generic designs for a european context. More information see material tab.</v>
      </c>
      <c r="AE122" s="214" t="str" cm="1">
        <f t="array" aca="1" ref="AE122" ca="1">IFERROR(IF(INDIRECT(""&amp;$D122&amp;"!R"&amp;AE$142&amp;"C"&amp;AE$143,FALSE)="Average (weighted)","Yes","No"),"")</f>
        <v>No</v>
      </c>
    </row>
    <row r="123" spans="1:31" ht="45" customHeight="1" x14ac:dyDescent="0.25">
      <c r="A123" s="66" t="s">
        <v>2222</v>
      </c>
      <c r="B123" s="69" t="s">
        <v>4030</v>
      </c>
      <c r="C123" s="193" t="str" cm="1">
        <f t="array" aca="1" ref="C123" ca="1">INDIRECT(""&amp;$D123&amp;"!R"&amp;C$142&amp;"C"&amp;C$143,FALSE)</f>
        <v>Determination of a generic curtain wall as described in material category column. Includes glass, framing, thermal breaks, spandrel/cladding material and insulation in one sqm rate.</v>
      </c>
      <c r="D123" s="66" t="s">
        <v>4021</v>
      </c>
      <c r="E123" s="66" t="s">
        <v>321</v>
      </c>
      <c r="F123" s="7" t="s">
        <v>72</v>
      </c>
      <c r="G123" s="188">
        <f>INDEX(Methodology!$B$26:$D$31,MATCH('EF Table_detail'!$F123,Methodology!$B$26:$B$31,0),MATCH('EF Table_detail'!$G$5,Methodology!$B$26:$D$26,0))</f>
        <v>1</v>
      </c>
      <c r="H123" s="241"/>
      <c r="I123" s="99">
        <f ca="1">INDEX(Curtain_wall!$B$43:$R$101,MATCH(I$6,Curtain_wall!$B$43:$B$101,0),MATCH($B123,Curtain_wall!$B$43:$R$43,0))</f>
        <v>293.20711416907733</v>
      </c>
      <c r="J123" s="99">
        <f ca="1">INDEX(Curtain_wall!$B$43:$R$101,MATCH(J$6,Curtain_wall!$B$43:$B$101,0),MATCH($B123,Curtain_wall!$B$43:$R$43,0))</f>
        <v>752.59075236869319</v>
      </c>
      <c r="K123" s="262">
        <f ca="1">$J123*(1+INDEX(Methodology!$B$26:$E$31,MATCH($F123,Methodology!$B$26:$B$31,0),MATCH(L$5,Methodology!$B$26:$E$26,0)))</f>
        <v>752.59075236869319</v>
      </c>
      <c r="L123" s="261">
        <f ca="1">INDEX(Curtain_wall!$B$43:$R$101,MATCH(L$6,Curtain_wall!$B$43:$B$101,0),MATCH($B123,Curtain_wall!$B$43:$R$43,0))</f>
        <v>1257.547671309879</v>
      </c>
      <c r="M123" s="231"/>
      <c r="N123" s="231">
        <f ca="1">INDEX(Curtain_wall!$B$43:$R$101,MATCH(N$6,Curtain_wall!$B$43:$B$101,0),MATCH($B123,Curtain_wall!$B$43:$R$43,0))</f>
        <v>2.1281544430671619</v>
      </c>
      <c r="O123" s="231">
        <f ca="1">INDEX(Curtain_wall!$B$43:$R$101,MATCH(O$6,Curtain_wall!$B$43:$B$101,0),MATCH($B123,Curtain_wall!$B$43:$R$43,0))</f>
        <v>5.4624505206961524</v>
      </c>
      <c r="P123" s="265">
        <f ca="1">$O123*(1+INDEX(Methodology!$B$26:$E$31,MATCH($F123,Methodology!$B$26:$B$31,0),MATCH(Q$5,Methodology!$B$26:$E$26,0)))</f>
        <v>5.4624505206961524</v>
      </c>
      <c r="Q123" s="266">
        <f ca="1">INDEX(Curtain_wall!$B$43:$R$101,MATCH(Q$6,Curtain_wall!$B$43:$B$101,0),MATCH($B123,Curtain_wall!$B$43:$R$43,0))</f>
        <v>9.1275263618727358</v>
      </c>
      <c r="R123" s="199"/>
      <c r="S123" s="186"/>
      <c r="T123" s="185">
        <f ca="1">INDEX(Curtain_wall!$B$43:$R$101,MATCH(T$6,Curtain_wall!$B$43:$B$101,0),MATCH($B123,Curtain_wall!$B$43:$R$43,0))</f>
        <v>0</v>
      </c>
      <c r="U123" s="265">
        <f ca="1">$T123*(1+INDEX(Methodology!$B$26:$E$31,MATCH($F123,Methodology!$B$26:$B$31,0),MATCH(V$5,Methodology!$B$26:$E$26,0)))</f>
        <v>0</v>
      </c>
      <c r="V123" s="261">
        <f ca="1">INDEX(Curtain_wall!$B$43:$R$101,MATCH(V$6,Curtain_wall!$B$43:$B$101,0),MATCH($B123,Curtain_wall!$B$43:$R$43,0))</f>
        <v>0</v>
      </c>
      <c r="W123" s="186"/>
      <c r="X123" s="185">
        <f ca="1">INDEX(Curtain_wall!$B$43:$R$101,MATCH(X$6,Curtain_wall!$B$43:$B$101,0),MATCH($B123,Curtain_wall!$B$43:$R$43,0))</f>
        <v>0</v>
      </c>
      <c r="Y123" s="265">
        <f ca="1">$X123*(1+INDEX(Methodology!$B$26:$E$31,MATCH($F123,Methodology!$B$26:$B$31,0),MATCH(Z$5,Methodology!$B$26:$E$26,0)))</f>
        <v>0</v>
      </c>
      <c r="Z123" s="261">
        <f ca="1">INDEX(Curtain_wall!$B$43:$R$101,MATCH(Z$6,Curtain_wall!$B$43:$B$101,0),MATCH($B123,Curtain_wall!$B$43:$R$43,0))</f>
        <v>0</v>
      </c>
      <c r="AA123" s="199"/>
      <c r="AB123" s="10">
        <f t="shared" ca="1" si="12"/>
        <v>137.77529874499999</v>
      </c>
      <c r="AC123" s="190" t="str">
        <f t="shared" si="13"/>
        <v>kg/m²</v>
      </c>
      <c r="AD123" s="213" t="str" cm="1">
        <f t="array" aca="1" ref="AD123" ca="1">IF(INDIRECT(""&amp;$D123&amp;"!R"&amp;AD$142&amp;"C"&amp;AD$143,FALSE)=0,"",INDIRECT(""&amp;$D123&amp;"!R"&amp;AD$142&amp;"C"&amp;AD$143,FALSE))</f>
        <v>A number of generic Curtain Wall systems are presented for cases when Curtain Wall information is not available. Calculated using referenced material quantities and multiplied by the relevant maximum EF to get the default maximum EF or the Average EF to get the average EF overall. Reference material quantites based on generic designs for a european context. More information see material tab.</v>
      </c>
      <c r="AE123" s="214" t="str" cm="1">
        <f t="array" aca="1" ref="AE123" ca="1">IFERROR(IF(INDIRECT(""&amp;$D123&amp;"!R"&amp;AE$142&amp;"C"&amp;AE$143,FALSE)="Average (weighted)","Yes","No"),"")</f>
        <v>No</v>
      </c>
    </row>
    <row r="124" spans="1:31" ht="45" customHeight="1" x14ac:dyDescent="0.25">
      <c r="A124" s="66" t="s">
        <v>2222</v>
      </c>
      <c r="B124" s="69" t="s">
        <v>4031</v>
      </c>
      <c r="C124" s="193" t="str" cm="1">
        <f t="array" aca="1" ref="C124" ca="1">INDIRECT(""&amp;$D124&amp;"!R"&amp;C$142&amp;"C"&amp;C$143,FALSE)</f>
        <v>Determination of a generic curtain wall as described in material category column. Includes glass, framing, thermal breaks, spandrel/cladding material and insulation in one sqm rate.</v>
      </c>
      <c r="D124" s="66" t="s">
        <v>4021</v>
      </c>
      <c r="E124" s="66" t="s">
        <v>321</v>
      </c>
      <c r="F124" s="7" t="s">
        <v>72</v>
      </c>
      <c r="G124" s="188">
        <f>INDEX(Methodology!$B$26:$D$31,MATCH('EF Table_detail'!$F124,Methodology!$B$26:$B$31,0),MATCH('EF Table_detail'!$G$5,Methodology!$B$26:$D$26,0))</f>
        <v>1</v>
      </c>
      <c r="H124" s="241"/>
      <c r="I124" s="99">
        <f ca="1">INDEX(Curtain_wall!$B$43:$R$101,MATCH(I$6,Curtain_wall!$B$43:$B$101,0),MATCH($B124,Curtain_wall!$B$43:$R$43,0))</f>
        <v>182.87782563262599</v>
      </c>
      <c r="J124" s="99">
        <f ca="1">INDEX(Curtain_wall!$B$43:$R$101,MATCH(J$6,Curtain_wall!$B$43:$B$101,0),MATCH($B124,Curtain_wall!$B$43:$R$43,0))</f>
        <v>411.51491470055208</v>
      </c>
      <c r="K124" s="262">
        <f ca="1">$J124*(1+INDEX(Methodology!$B$26:$E$31,MATCH($F124,Methodology!$B$26:$B$31,0),MATCH(L$5,Methodology!$B$26:$E$26,0)))</f>
        <v>411.51491470055208</v>
      </c>
      <c r="L124" s="261">
        <f ca="1">INDEX(Curtain_wall!$B$43:$R$101,MATCH(L$6,Curtain_wall!$B$43:$B$101,0),MATCH($B124,Curtain_wall!$B$43:$R$43,0))</f>
        <v>667.5426624290734</v>
      </c>
      <c r="M124" s="231"/>
      <c r="N124" s="231">
        <f ca="1">INDEX(Curtain_wall!$B$43:$R$101,MATCH(N$6,Curtain_wall!$B$43:$B$101,0),MATCH($B124,Curtain_wall!$B$43:$R$43,0))</f>
        <v>1.9651203439536296</v>
      </c>
      <c r="O124" s="231">
        <f ca="1">INDEX(Curtain_wall!$B$43:$R$101,MATCH(O$6,Curtain_wall!$B$43:$B$101,0),MATCH($B124,Curtain_wall!$B$43:$R$43,0))</f>
        <v>4.4219485217573968</v>
      </c>
      <c r="P124" s="265">
        <f ca="1">$O124*(1+INDEX(Methodology!$B$26:$E$31,MATCH($F124,Methodology!$B$26:$B$31,0),MATCH(Q$5,Methodology!$B$26:$E$26,0)))</f>
        <v>4.4219485217573968</v>
      </c>
      <c r="Q124" s="266">
        <f ca="1">INDEX(Curtain_wall!$B$43:$R$101,MATCH(Q$6,Curtain_wall!$B$43:$B$101,0),MATCH($B124,Curtain_wall!$B$43:$R$43,0))</f>
        <v>7.1731040209957131</v>
      </c>
      <c r="R124" s="199"/>
      <c r="S124" s="186"/>
      <c r="T124" s="185">
        <f ca="1">INDEX(Curtain_wall!$B$43:$R$101,MATCH(T$6,Curtain_wall!$B$43:$B$101,0),MATCH($B124,Curtain_wall!$B$43:$R$43,0))</f>
        <v>0</v>
      </c>
      <c r="U124" s="265">
        <f ca="1">$T124*(1+INDEX(Methodology!$B$26:$E$31,MATCH($F124,Methodology!$B$26:$B$31,0),MATCH(V$5,Methodology!$B$26:$E$26,0)))</f>
        <v>0</v>
      </c>
      <c r="V124" s="261">
        <f ca="1">INDEX(Curtain_wall!$B$43:$R$101,MATCH(V$6,Curtain_wall!$B$43:$B$101,0),MATCH($B124,Curtain_wall!$B$43:$R$43,0))</f>
        <v>0</v>
      </c>
      <c r="W124" s="186"/>
      <c r="X124" s="185">
        <f ca="1">INDEX(Curtain_wall!$B$43:$R$101,MATCH(X$6,Curtain_wall!$B$43:$B$101,0),MATCH($B124,Curtain_wall!$B$43:$R$43,0))</f>
        <v>0</v>
      </c>
      <c r="Y124" s="265">
        <f ca="1">$X124*(1+INDEX(Methodology!$B$26:$E$31,MATCH($F124,Methodology!$B$26:$B$31,0),MATCH(Z$5,Methodology!$B$26:$E$26,0)))</f>
        <v>0</v>
      </c>
      <c r="Z124" s="261">
        <f ca="1">INDEX(Curtain_wall!$B$43:$R$101,MATCH(Z$6,Curtain_wall!$B$43:$B$101,0),MATCH($B124,Curtain_wall!$B$43:$R$43,0))</f>
        <v>0</v>
      </c>
      <c r="AA124" s="199"/>
      <c r="AB124" s="10">
        <f t="shared" ca="1" si="12"/>
        <v>93.06189628300001</v>
      </c>
      <c r="AC124" s="190" t="str">
        <f t="shared" si="13"/>
        <v>kg/m²</v>
      </c>
      <c r="AD124" s="213" t="str" cm="1">
        <f t="array" aca="1" ref="AD124" ca="1">IF(INDIRECT(""&amp;$D124&amp;"!R"&amp;AD$142&amp;"C"&amp;AD$143,FALSE)=0,"",INDIRECT(""&amp;$D124&amp;"!R"&amp;AD$142&amp;"C"&amp;AD$143,FALSE))</f>
        <v>A number of generic Curtain Wall systems are presented for cases when Curtain Wall information is not available. Calculated using referenced material quantities and multiplied by the relevant maximum EF to get the default maximum EF or the Average EF to get the average EF overall. Reference material quantites based on generic designs for a european context. More information see material tab.</v>
      </c>
      <c r="AE124" s="214" t="str" cm="1">
        <f t="array" aca="1" ref="AE124" ca="1">IFERROR(IF(INDIRECT(""&amp;$D124&amp;"!R"&amp;AE$142&amp;"C"&amp;AE$143,FALSE)="Average (weighted)","Yes","No"),"")</f>
        <v>No</v>
      </c>
    </row>
    <row r="125" spans="1:31" ht="45" customHeight="1" x14ac:dyDescent="0.25">
      <c r="A125" s="66" t="s">
        <v>2222</v>
      </c>
      <c r="B125" s="69" t="s">
        <v>4032</v>
      </c>
      <c r="C125" s="193" t="str" cm="1">
        <f t="array" aca="1" ref="C125" ca="1">INDIRECT(""&amp;$D125&amp;"!R"&amp;C$142&amp;"C"&amp;C$143,FALSE)</f>
        <v>Determination of a generic curtain wall as described in material category column. Includes glass, framing, thermal breaks, spandrel/cladding material and insulation in one sqm rate.</v>
      </c>
      <c r="D125" s="66" t="s">
        <v>4021</v>
      </c>
      <c r="E125" s="66" t="s">
        <v>321</v>
      </c>
      <c r="F125" s="7" t="s">
        <v>72</v>
      </c>
      <c r="G125" s="188">
        <f>INDEX(Methodology!$B$26:$D$31,MATCH('EF Table_detail'!$F125,Methodology!$B$26:$B$31,0),MATCH('EF Table_detail'!$G$5,Methodology!$B$26:$D$26,0))</f>
        <v>1</v>
      </c>
      <c r="H125" s="241"/>
      <c r="I125" s="99">
        <f ca="1">INDEX(Curtain_wall!$B$43:$R$101,MATCH(I$6,Curtain_wall!$B$43:$B$101,0),MATCH($B125,Curtain_wall!$B$43:$R$43,0))</f>
        <v>159.19261853967416</v>
      </c>
      <c r="J125" s="99">
        <f ca="1">INDEX(Curtain_wall!$B$43:$R$101,MATCH(J$6,Curtain_wall!$B$43:$B$101,0),MATCH($B125,Curtain_wall!$B$43:$R$43,0))</f>
        <v>251.03518841183327</v>
      </c>
      <c r="K125" s="262">
        <f ca="1">$J125*(1+INDEX(Methodology!$B$26:$E$31,MATCH($F125,Methodology!$B$26:$B$31,0),MATCH(L$5,Methodology!$B$26:$E$26,0)))</f>
        <v>251.03518841183327</v>
      </c>
      <c r="L125" s="261">
        <f ca="1">INDEX(Curtain_wall!$B$43:$R$101,MATCH(L$6,Curtain_wall!$B$43:$B$101,0),MATCH($B125,Curtain_wall!$B$43:$R$43,0))</f>
        <v>374.55864394566402</v>
      </c>
      <c r="M125" s="231"/>
      <c r="N125" s="231">
        <f ca="1">INDEX(Curtain_wall!$B$43:$R$101,MATCH(N$6,Curtain_wall!$B$43:$B$101,0),MATCH($B125,Curtain_wall!$B$43:$R$43,0))</f>
        <v>0.48427131077781499</v>
      </c>
      <c r="O125" s="231">
        <f ca="1">INDEX(Curtain_wall!$B$43:$R$101,MATCH(O$6,Curtain_wall!$B$43:$B$101,0),MATCH($B125,Curtain_wall!$B$43:$R$43,0))</f>
        <v>0.76366065750251266</v>
      </c>
      <c r="P125" s="265">
        <f ca="1">$O125*(1+INDEX(Methodology!$B$26:$E$31,MATCH($F125,Methodology!$B$26:$B$31,0),MATCH(Q$5,Methodology!$B$26:$E$26,0)))</f>
        <v>0.76366065750251266</v>
      </c>
      <c r="Q125" s="266">
        <f ca="1">INDEX(Curtain_wall!$B$43:$R$101,MATCH(Q$6,Curtain_wall!$B$43:$B$101,0),MATCH($B125,Curtain_wall!$B$43:$R$43,0))</f>
        <v>1.1394247241527842</v>
      </c>
      <c r="R125" s="199"/>
      <c r="S125" s="186"/>
      <c r="T125" s="185">
        <f ca="1">INDEX(Curtain_wall!$B$43:$R$101,MATCH(T$6,Curtain_wall!$B$43:$B$101,0),MATCH($B125,Curtain_wall!$B$43:$R$43,0))</f>
        <v>0.44048352986218053</v>
      </c>
      <c r="U125" s="265">
        <f ca="1">$T125*(1+INDEX(Methodology!$B$26:$E$31,MATCH($F125,Methodology!$B$26:$B$31,0),MATCH(V$5,Methodology!$B$26:$E$26,0)))</f>
        <v>0.44048352986218053</v>
      </c>
      <c r="V125" s="261">
        <f ca="1">INDEX(Curtain_wall!$B$43:$R$101,MATCH(V$6,Curtain_wall!$B$43:$B$101,0),MATCH($B125,Curtain_wall!$B$43:$R$43,0))</f>
        <v>1.4786571250917813</v>
      </c>
      <c r="W125" s="186"/>
      <c r="X125" s="185">
        <f ca="1">INDEX(Curtain_wall!$B$43:$R$101,MATCH(X$6,Curtain_wall!$B$43:$B$101,0),MATCH($B125,Curtain_wall!$B$43:$R$43,0))</f>
        <v>1.3399712771810129E-3</v>
      </c>
      <c r="Y125" s="265">
        <f ca="1">$X125*(1+INDEX(Methodology!$B$26:$E$31,MATCH($F125,Methodology!$B$26:$B$31,0),MATCH(Z$5,Methodology!$B$26:$E$26,0)))</f>
        <v>1.3399712771810129E-3</v>
      </c>
      <c r="Z125" s="261">
        <f ca="1">INDEX(Curtain_wall!$B$43:$R$101,MATCH(Z$6,Curtain_wall!$B$43:$B$101,0),MATCH($B125,Curtain_wall!$B$43:$R$43,0))</f>
        <v>4.4981433858423056E-3</v>
      </c>
      <c r="AA125" s="199"/>
      <c r="AB125" s="10">
        <f t="shared" ca="1" si="12"/>
        <v>328.72609836000004</v>
      </c>
      <c r="AC125" s="190" t="str">
        <f t="shared" si="13"/>
        <v>kg/m²</v>
      </c>
      <c r="AD125" s="213" t="str" cm="1">
        <f t="array" aca="1" ref="AD125" ca="1">IF(INDIRECT(""&amp;$D125&amp;"!R"&amp;AD$142&amp;"C"&amp;AD$143,FALSE)=0,"",INDIRECT(""&amp;$D125&amp;"!R"&amp;AD$142&amp;"C"&amp;AD$143,FALSE))</f>
        <v>A number of generic Curtain Wall systems are presented for cases when Curtain Wall information is not available. Calculated using referenced material quantities and multiplied by the relevant maximum EF to get the default maximum EF or the Average EF to get the average EF overall. Reference material quantites based on generic designs for a european context. More information see material tab.</v>
      </c>
      <c r="AE125" s="214" t="str" cm="1">
        <f t="array" aca="1" ref="AE125" ca="1">IFERROR(IF(INDIRECT(""&amp;$D125&amp;"!R"&amp;AE$142&amp;"C"&amp;AE$143,FALSE)="Average (weighted)","Yes","No"),"")</f>
        <v>No</v>
      </c>
    </row>
    <row r="126" spans="1:31" ht="45" customHeight="1" x14ac:dyDescent="0.25">
      <c r="A126" s="66" t="s">
        <v>2222</v>
      </c>
      <c r="B126" s="69" t="s">
        <v>4033</v>
      </c>
      <c r="C126" s="193" t="str" cm="1">
        <f t="array" aca="1" ref="C126" ca="1">INDIRECT(""&amp;$D126&amp;"!R"&amp;C$142&amp;"C"&amp;C$143,FALSE)</f>
        <v>Determination of a generic curtain wall as described in material category column. Includes glass, framing, thermal breaks, spandrel/cladding material and insulation in one sqm rate.</v>
      </c>
      <c r="D126" s="66" t="s">
        <v>4021</v>
      </c>
      <c r="E126" s="66" t="s">
        <v>321</v>
      </c>
      <c r="F126" s="7" t="s">
        <v>72</v>
      </c>
      <c r="G126" s="188">
        <f>INDEX(Methodology!$B$26:$D$31,MATCH('EF Table_detail'!$F126,Methodology!$B$26:$B$31,0),MATCH('EF Table_detail'!$G$5,Methodology!$B$26:$D$26,0))</f>
        <v>1</v>
      </c>
      <c r="H126" s="241"/>
      <c r="I126" s="99">
        <f ca="1">INDEX(Curtain_wall!$B$43:$R$101,MATCH(I$6,Curtain_wall!$B$43:$B$101,0),MATCH($B126,Curtain_wall!$B$43:$R$43,0))</f>
        <v>92.019503263839312</v>
      </c>
      <c r="J126" s="99">
        <f ca="1">INDEX(Curtain_wall!$B$43:$R$101,MATCH(J$6,Curtain_wall!$B$43:$B$101,0),MATCH($B126,Curtain_wall!$B$43:$R$43,0))</f>
        <v>225.89281065043701</v>
      </c>
      <c r="K126" s="262">
        <f ca="1">$J126*(1+INDEX(Methodology!$B$26:$E$31,MATCH($F126,Methodology!$B$26:$B$31,0),MATCH(L$5,Methodology!$B$26:$E$26,0)))</f>
        <v>225.89281065043701</v>
      </c>
      <c r="L126" s="261">
        <f ca="1">INDEX(Curtain_wall!$B$43:$R$101,MATCH(L$6,Curtain_wall!$B$43:$B$101,0),MATCH($B126,Curtain_wall!$B$43:$R$43,0))</f>
        <v>379.18882980555128</v>
      </c>
      <c r="M126" s="231"/>
      <c r="N126" s="231">
        <f ca="1">INDEX(Curtain_wall!$B$43:$R$101,MATCH(N$6,Curtain_wall!$B$43:$B$101,0),MATCH($B126,Curtain_wall!$B$43:$R$43,0))</f>
        <v>1.8452952128467897</v>
      </c>
      <c r="O126" s="231">
        <f ca="1">INDEX(Curtain_wall!$B$43:$R$101,MATCH(O$6,Curtain_wall!$B$43:$B$101,0),MATCH($B126,Curtain_wall!$B$43:$R$43,0))</f>
        <v>4.5298975469862368</v>
      </c>
      <c r="P126" s="265">
        <f ca="1">$O126*(1+INDEX(Methodology!$B$26:$E$31,MATCH($F126,Methodology!$B$26:$B$31,0),MATCH(Q$5,Methodology!$B$26:$E$26,0)))</f>
        <v>4.5298975469862368</v>
      </c>
      <c r="Q126" s="266">
        <f ca="1">INDEX(Curtain_wall!$B$43:$R$101,MATCH(Q$6,Curtain_wall!$B$43:$B$101,0),MATCH($B126,Curtain_wall!$B$43:$R$43,0))</f>
        <v>7.6039894542674116</v>
      </c>
      <c r="R126" s="199"/>
      <c r="S126" s="186"/>
      <c r="T126" s="185">
        <f ca="1">INDEX(Curtain_wall!$B$43:$R$101,MATCH(T$6,Curtain_wall!$B$43:$B$101,0),MATCH($B126,Curtain_wall!$B$43:$R$43,0))</f>
        <v>0.38791719717606782</v>
      </c>
      <c r="U126" s="265">
        <f ca="1">$T126*(1+INDEX(Methodology!$B$26:$E$31,MATCH($F126,Methodology!$B$26:$B$31,0),MATCH(V$5,Methodology!$B$26:$E$26,0)))</f>
        <v>0.38791719717606782</v>
      </c>
      <c r="V126" s="261">
        <f ca="1">INDEX(Curtain_wall!$B$43:$R$101,MATCH(V$6,Curtain_wall!$B$43:$B$101,0),MATCH($B126,Curtain_wall!$B$43:$R$43,0))</f>
        <v>1.2897126666637502</v>
      </c>
      <c r="W126" s="186"/>
      <c r="X126" s="185">
        <f ca="1">INDEX(Curtain_wall!$B$43:$R$101,MATCH(X$6,Curtain_wall!$B$43:$B$101,0),MATCH($B126,Curtain_wall!$B$43:$R$43,0))</f>
        <v>7.7790220718485107E-3</v>
      </c>
      <c r="Y126" s="265">
        <f ca="1">$X126*(1+INDEX(Methodology!$B$26:$E$31,MATCH($F126,Methodology!$B$26:$B$31,0),MATCH(Z$5,Methodology!$B$26:$E$26,0)))</f>
        <v>7.7790220718485107E-3</v>
      </c>
      <c r="Z126" s="261">
        <f ca="1">INDEX(Curtain_wall!$B$43:$R$101,MATCH(Z$6,Curtain_wall!$B$43:$B$101,0),MATCH($B126,Curtain_wall!$B$43:$R$43,0))</f>
        <v>2.5863002139000998E-2</v>
      </c>
      <c r="AA126" s="199"/>
      <c r="AB126" s="10">
        <f t="shared" ca="1" si="12"/>
        <v>49.867090437999998</v>
      </c>
      <c r="AC126" s="190" t="str">
        <f t="shared" si="13"/>
        <v>kg/m²</v>
      </c>
      <c r="AD126" s="213" t="str" cm="1">
        <f t="array" aca="1" ref="AD126" ca="1">IF(INDIRECT(""&amp;$D126&amp;"!R"&amp;AD$142&amp;"C"&amp;AD$143,FALSE)=0,"",INDIRECT(""&amp;$D126&amp;"!R"&amp;AD$142&amp;"C"&amp;AD$143,FALSE))</f>
        <v>A number of generic Curtain Wall systems are presented for cases when Curtain Wall information is not available. Calculated using referenced material quantities and multiplied by the relevant maximum EF to get the default maximum EF or the Average EF to get the average EF overall. Reference material quantites based on generic designs for a european context. More information see material tab.</v>
      </c>
      <c r="AE126" s="214" t="str" cm="1">
        <f t="array" aca="1" ref="AE126" ca="1">IFERROR(IF(INDIRECT(""&amp;$D126&amp;"!R"&amp;AE$142&amp;"C"&amp;AE$143,FALSE)="Average (weighted)","Yes","No"),"")</f>
        <v>No</v>
      </c>
    </row>
    <row r="127" spans="1:31" ht="45" customHeight="1" x14ac:dyDescent="0.25">
      <c r="A127" s="66" t="s">
        <v>2222</v>
      </c>
      <c r="B127" s="69" t="s">
        <v>4034</v>
      </c>
      <c r="C127" s="193" t="str" cm="1">
        <f t="array" aca="1" ref="C127" ca="1">INDIRECT(""&amp;$D127&amp;"!R"&amp;C$142&amp;"C"&amp;C$143,FALSE)</f>
        <v>Determination of a generic curtain wall as described in material category column. Includes glass, framing, thermal breaks, spandrel/cladding material and insulation in one sqm rate.</v>
      </c>
      <c r="D127" s="66" t="s">
        <v>4021</v>
      </c>
      <c r="E127" s="66" t="s">
        <v>321</v>
      </c>
      <c r="F127" s="7" t="s">
        <v>72</v>
      </c>
      <c r="G127" s="188">
        <f>INDEX(Methodology!$B$26:$D$31,MATCH('EF Table_detail'!$F127,Methodology!$B$26:$B$31,0),MATCH('EF Table_detail'!$G$5,Methodology!$B$26:$D$26,0))</f>
        <v>1</v>
      </c>
      <c r="H127" s="241"/>
      <c r="I127" s="99">
        <f ca="1">INDEX(Curtain_wall!$B$43:$R$101,MATCH(I$6,Curtain_wall!$B$43:$B$101,0),MATCH($B127,Curtain_wall!$B$43:$R$43,0))</f>
        <v>79.573495131189333</v>
      </c>
      <c r="J127" s="99">
        <f ca="1">INDEX(Curtain_wall!$B$43:$R$101,MATCH(J$6,Curtain_wall!$B$43:$B$101,0),MATCH($B127,Curtain_wall!$B$43:$R$43,0))</f>
        <v>160.73256439334511</v>
      </c>
      <c r="K127" s="262">
        <f ca="1">$J127*(1+INDEX(Methodology!$B$26:$E$31,MATCH($F127,Methodology!$B$26:$B$31,0),MATCH(L$5,Methodology!$B$26:$E$26,0)))</f>
        <v>160.73256439334511</v>
      </c>
      <c r="L127" s="261">
        <f ca="1">INDEX(Curtain_wall!$B$43:$R$101,MATCH(L$6,Curtain_wall!$B$43:$B$101,0),MATCH($B127,Curtain_wall!$B$43:$R$43,0))</f>
        <v>264.27958928631813</v>
      </c>
      <c r="M127" s="231"/>
      <c r="N127" s="231">
        <f ca="1">INDEX(Curtain_wall!$B$43:$R$101,MATCH(N$6,Curtain_wall!$B$43:$B$101,0),MATCH($B127,Curtain_wall!$B$43:$R$43,0))</f>
        <v>1.5834103021305646</v>
      </c>
      <c r="O127" s="231">
        <f ca="1">INDEX(Curtain_wall!$B$43:$R$101,MATCH(O$6,Curtain_wall!$B$43:$B$101,0),MATCH($B127,Curtain_wall!$B$43:$R$43,0))</f>
        <v>3.1983714920237549</v>
      </c>
      <c r="P127" s="265">
        <f ca="1">$O127*(1+INDEX(Methodology!$B$26:$E$31,MATCH($F127,Methodology!$B$26:$B$31,0),MATCH(Q$5,Methodology!$B$26:$E$26,0)))</f>
        <v>3.1983714920237549</v>
      </c>
      <c r="Q127" s="266">
        <f ca="1">INDEX(Curtain_wall!$B$43:$R$101,MATCH(Q$6,Curtain_wall!$B$43:$B$101,0),MATCH($B127,Curtain_wall!$B$43:$R$43,0))</f>
        <v>5.2588242307176385</v>
      </c>
      <c r="R127" s="199"/>
      <c r="S127" s="186"/>
      <c r="T127" s="185">
        <f ca="1">INDEX(Curtain_wall!$B$43:$R$101,MATCH(T$6,Curtain_wall!$B$43:$B$101,0),MATCH($B127,Curtain_wall!$B$43:$R$43,0))</f>
        <v>0.39675698912141871</v>
      </c>
      <c r="U127" s="265">
        <f ca="1">$T127*(1+INDEX(Methodology!$B$26:$E$31,MATCH($F127,Methodology!$B$26:$B$31,0),MATCH(V$5,Methodology!$B$26:$E$26,0)))</f>
        <v>0.39675698912141871</v>
      </c>
      <c r="V127" s="261">
        <f ca="1">INDEX(Curtain_wall!$B$43:$R$101,MATCH(V$6,Curtain_wall!$B$43:$B$101,0),MATCH($B127,Curtain_wall!$B$43:$R$43,0))</f>
        <v>1.3131135695234377</v>
      </c>
      <c r="W127" s="186"/>
      <c r="X127" s="185">
        <f ca="1">INDEX(Curtain_wall!$B$43:$R$101,MATCH(X$6,Curtain_wall!$B$43:$B$101,0),MATCH($B127,Curtain_wall!$B$43:$R$43,0))</f>
        <v>7.894954255577501E-3</v>
      </c>
      <c r="Y127" s="265">
        <f ca="1">$X127*(1+INDEX(Methodology!$B$26:$E$31,MATCH($F127,Methodology!$B$26:$B$31,0),MATCH(Z$5,Methodology!$B$26:$E$26,0)))</f>
        <v>7.894954255577501E-3</v>
      </c>
      <c r="Z127" s="261">
        <f ca="1">INDEX(Curtain_wall!$B$43:$R$101,MATCH(Z$6,Curtain_wall!$B$43:$B$101,0),MATCH($B127,Curtain_wall!$B$43:$R$43,0))</f>
        <v>2.6129272698440214E-2</v>
      </c>
      <c r="AA127" s="199"/>
      <c r="AB127" s="10">
        <f t="shared" ca="1" si="12"/>
        <v>50.254501327999996</v>
      </c>
      <c r="AC127" s="190" t="str">
        <f t="shared" si="13"/>
        <v>kg/m²</v>
      </c>
      <c r="AD127" s="213" t="str" cm="1">
        <f t="array" aca="1" ref="AD127" ca="1">IF(INDIRECT(""&amp;$D127&amp;"!R"&amp;AD$142&amp;"C"&amp;AD$143,FALSE)=0,"",INDIRECT(""&amp;$D127&amp;"!R"&amp;AD$142&amp;"C"&amp;AD$143,FALSE))</f>
        <v>A number of generic Curtain Wall systems are presented for cases when Curtain Wall information is not available. Calculated using referenced material quantities and multiplied by the relevant maximum EF to get the default maximum EF or the Average EF to get the average EF overall. Reference material quantites based on generic designs for a european context. More information see material tab.</v>
      </c>
      <c r="AE127" s="214" t="str" cm="1">
        <f t="array" aca="1" ref="AE127" ca="1">IFERROR(IF(INDIRECT(""&amp;$D127&amp;"!R"&amp;AE$142&amp;"C"&amp;AE$143,FALSE)="Average (weighted)","Yes","No"),"")</f>
        <v>No</v>
      </c>
    </row>
    <row r="128" spans="1:31" ht="45" customHeight="1" x14ac:dyDescent="0.25">
      <c r="A128" s="66" t="s">
        <v>2222</v>
      </c>
      <c r="B128" s="69" t="s">
        <v>4035</v>
      </c>
      <c r="C128" s="193" t="str" cm="1">
        <f t="array" aca="1" ref="C128" ca="1">INDIRECT(""&amp;$D128&amp;"!R"&amp;C$142&amp;"C"&amp;C$143,FALSE)</f>
        <v>Determination of a generic curtain wall as described in material category column. Includes glass, framing, thermal breaks, spandrel/cladding material and insulation in one sqm rate.</v>
      </c>
      <c r="D128" s="66" t="s">
        <v>4021</v>
      </c>
      <c r="E128" s="66" t="s">
        <v>321</v>
      </c>
      <c r="F128" s="7" t="s">
        <v>72</v>
      </c>
      <c r="G128" s="188">
        <f>INDEX(Methodology!$B$26:$D$31,MATCH('EF Table_detail'!$F128,Methodology!$B$26:$B$31,0),MATCH('EF Table_detail'!$G$5,Methodology!$B$26:$D$26,0))</f>
        <v>1</v>
      </c>
      <c r="H128" s="241"/>
      <c r="I128" s="99">
        <f ca="1">INDEX(Curtain_wall!$B$43:$R$101,MATCH(I$6,Curtain_wall!$B$43:$B$101,0),MATCH($B128,Curtain_wall!$B$43:$R$43,0))</f>
        <v>89.091447308608053</v>
      </c>
      <c r="J128" s="99">
        <f ca="1">INDEX(Curtain_wall!$B$43:$R$101,MATCH(J$6,Curtain_wall!$B$43:$B$101,0),MATCH($B128,Curtain_wall!$B$43:$R$43,0))</f>
        <v>181.69854332282208</v>
      </c>
      <c r="K128" s="262">
        <f ca="1">$J128*(1+INDEX(Methodology!$B$26:$E$31,MATCH($F128,Methodology!$B$26:$B$31,0),MATCH(L$5,Methodology!$B$26:$E$26,0)))</f>
        <v>181.69854332282208</v>
      </c>
      <c r="L128" s="261">
        <f ca="1">INDEX(Curtain_wall!$B$43:$R$101,MATCH(L$6,Curtain_wall!$B$43:$B$101,0),MATCH($B128,Curtain_wall!$B$43:$R$43,0))</f>
        <v>308.46046438932785</v>
      </c>
      <c r="M128" s="231"/>
      <c r="N128" s="231">
        <f ca="1">INDEX(Curtain_wall!$B$43:$R$101,MATCH(N$6,Curtain_wall!$B$43:$B$101,0),MATCH($B128,Curtain_wall!$B$43:$R$43,0))</f>
        <v>0.62881143264852279</v>
      </c>
      <c r="O128" s="231">
        <f ca="1">INDEX(Curtain_wall!$B$43:$R$101,MATCH(O$6,Curtain_wall!$B$43:$B$101,0),MATCH($B128,Curtain_wall!$B$43:$R$43,0))</f>
        <v>1.2824364716088088</v>
      </c>
      <c r="P128" s="265">
        <f ca="1">$O128*(1+INDEX(Methodology!$B$26:$E$31,MATCH($F128,Methodology!$B$26:$B$31,0),MATCH(Q$5,Methodology!$B$26:$E$26,0)))</f>
        <v>1.2824364716088088</v>
      </c>
      <c r="Q128" s="266">
        <f ca="1">INDEX(Curtain_wall!$B$43:$R$101,MATCH(Q$6,Curtain_wall!$B$43:$B$101,0),MATCH($B128,Curtain_wall!$B$43:$R$43,0))</f>
        <v>2.1771277983194359</v>
      </c>
      <c r="R128" s="199"/>
      <c r="S128" s="186"/>
      <c r="T128" s="185">
        <f ca="1">INDEX(Curtain_wall!$B$43:$R$101,MATCH(T$6,Curtain_wall!$B$43:$B$101,0),MATCH($B128,Curtain_wall!$B$43:$R$43,0))</f>
        <v>0.27726133005533826</v>
      </c>
      <c r="U128" s="265">
        <f ca="1">$T128*(1+INDEX(Methodology!$B$26:$E$31,MATCH($F128,Methodology!$B$26:$B$31,0),MATCH(V$5,Methodology!$B$26:$E$26,0)))</f>
        <v>0.27726133005533826</v>
      </c>
      <c r="V128" s="261">
        <f ca="1">INDEX(Curtain_wall!$B$43:$R$101,MATCH(V$6,Curtain_wall!$B$43:$B$101,0),MATCH($B128,Curtain_wall!$B$43:$R$43,0))</f>
        <v>0.92181386118346886</v>
      </c>
      <c r="W128" s="186"/>
      <c r="X128" s="185">
        <f ca="1">INDEX(Curtain_wall!$B$43:$R$101,MATCH(X$6,Curtain_wall!$B$43:$B$101,0),MATCH($B128,Curtain_wall!$B$43:$R$43,0))</f>
        <v>1.9569229082810834E-3</v>
      </c>
      <c r="Y128" s="265">
        <f ca="1">$X128*(1+INDEX(Methodology!$B$26:$E$31,MATCH($F128,Methodology!$B$26:$B$31,0),MATCH(Z$5,Methodology!$B$26:$E$26,0)))</f>
        <v>1.9569229082810834E-3</v>
      </c>
      <c r="Z128" s="261">
        <f ca="1">INDEX(Curtain_wall!$B$43:$R$101,MATCH(Z$6,Curtain_wall!$B$43:$B$101,0),MATCH($B128,Curtain_wall!$B$43:$R$43,0))</f>
        <v>6.5062035941359968E-3</v>
      </c>
      <c r="AA128" s="199"/>
      <c r="AB128" s="10">
        <f t="shared" ca="1" si="12"/>
        <v>141.68229564999999</v>
      </c>
      <c r="AC128" s="190" t="str">
        <f t="shared" si="13"/>
        <v>kg/m²</v>
      </c>
      <c r="AD128" s="213" t="str" cm="1">
        <f t="array" aca="1" ref="AD128" ca="1">IF(INDIRECT(""&amp;$D128&amp;"!R"&amp;AD$142&amp;"C"&amp;AD$143,FALSE)=0,"",INDIRECT(""&amp;$D128&amp;"!R"&amp;AD$142&amp;"C"&amp;AD$143,FALSE))</f>
        <v>A number of generic Curtain Wall systems are presented for cases when Curtain Wall information is not available. Calculated using referenced material quantities and multiplied by the relevant maximum EF to get the default maximum EF or the Average EF to get the average EF overall. Reference material quantites based on generic designs for a european context. More information see material tab.</v>
      </c>
      <c r="AE128" s="214" t="str" cm="1">
        <f t="array" aca="1" ref="AE128" ca="1">IFERROR(IF(INDIRECT(""&amp;$D128&amp;"!R"&amp;AE$142&amp;"C"&amp;AE$143,FALSE)="Average (weighted)","Yes","No"),"")</f>
        <v>No</v>
      </c>
    </row>
    <row r="129" spans="1:32" ht="45" customHeight="1" x14ac:dyDescent="0.25">
      <c r="A129" s="66" t="s">
        <v>2222</v>
      </c>
      <c r="B129" s="69" t="s">
        <v>4036</v>
      </c>
      <c r="C129" s="193" t="str" cm="1">
        <f t="array" aca="1" ref="C129" ca="1">INDIRECT(""&amp;$D129&amp;"!R"&amp;C$142&amp;"C"&amp;C$143,FALSE)</f>
        <v>Determination of a generic curtain wall as described in material category column. Includes glass, framing, thermal breaks, spandrel/cladding material and insulation in one sqm rate.</v>
      </c>
      <c r="D129" s="66" t="s">
        <v>4021</v>
      </c>
      <c r="E129" s="66" t="s">
        <v>321</v>
      </c>
      <c r="F129" s="7" t="s">
        <v>72</v>
      </c>
      <c r="G129" s="188">
        <f>INDEX(Methodology!$B$26:$D$31,MATCH('EF Table_detail'!$F129,Methodology!$B$26:$B$31,0),MATCH('EF Table_detail'!$G$5,Methodology!$B$26:$D$26,0))</f>
        <v>1</v>
      </c>
      <c r="H129" s="241"/>
      <c r="I129" s="99">
        <f ca="1">INDEX(Curtain_wall!$B$43:$R$101,MATCH(I$6,Curtain_wall!$B$43:$B$101,0),MATCH($B129,Curtain_wall!$B$43:$R$43,0))</f>
        <v>87.27928214157572</v>
      </c>
      <c r="J129" s="99">
        <f ca="1">INDEX(Curtain_wall!$B$43:$R$101,MATCH(J$6,Curtain_wall!$B$43:$B$101,0),MATCH($B129,Curtain_wall!$B$43:$R$43,0))</f>
        <v>174.35682751127445</v>
      </c>
      <c r="K129" s="262">
        <f ca="1">$J129*(1+INDEX(Methodology!$B$26:$E$31,MATCH($F129,Methodology!$B$26:$B$31,0),MATCH(L$5,Methodology!$B$26:$E$26,0)))</f>
        <v>174.35682751127445</v>
      </c>
      <c r="L129" s="261">
        <f ca="1">INDEX(Curtain_wall!$B$43:$R$101,MATCH(L$6,Curtain_wall!$B$43:$B$101,0),MATCH($B129,Curtain_wall!$B$43:$R$43,0))</f>
        <v>293.56236574260913</v>
      </c>
      <c r="M129" s="231"/>
      <c r="N129" s="231">
        <f ca="1">INDEX(Curtain_wall!$B$43:$R$101,MATCH(N$6,Curtain_wall!$B$43:$B$101,0),MATCH($B129,Curtain_wall!$B$43:$R$43,0))</f>
        <v>0.61969608705315915</v>
      </c>
      <c r="O129" s="231">
        <f ca="1">INDEX(Curtain_wall!$B$43:$R$101,MATCH(O$6,Curtain_wall!$B$43:$B$101,0),MATCH($B129,Curtain_wall!$B$43:$R$43,0))</f>
        <v>1.2379598125529301</v>
      </c>
      <c r="P129" s="265">
        <f ca="1">$O129*(1+INDEX(Methodology!$B$26:$E$31,MATCH($F129,Methodology!$B$26:$B$31,0),MATCH(Q$5,Methodology!$B$26:$E$26,0)))</f>
        <v>1.2379598125529301</v>
      </c>
      <c r="Q129" s="266">
        <f ca="1">INDEX(Curtain_wall!$B$43:$R$101,MATCH(Q$6,Curtain_wall!$B$43:$B$101,0),MATCH($B129,Curtain_wall!$B$43:$R$43,0))</f>
        <v>2.0843371404186359</v>
      </c>
      <c r="R129" s="199"/>
      <c r="S129" s="186"/>
      <c r="T129" s="185">
        <f ca="1">INDEX(Curtain_wall!$B$43:$R$101,MATCH(T$6,Curtain_wall!$B$43:$B$101,0),MATCH($B129,Curtain_wall!$B$43:$R$43,0))</f>
        <v>10.125564705255998</v>
      </c>
      <c r="U129" s="265">
        <f ca="1">$T129*(1+INDEX(Methodology!$B$26:$E$31,MATCH($F129,Methodology!$B$26:$B$31,0),MATCH(V$5,Methodology!$B$26:$E$26,0)))</f>
        <v>10.125564705255998</v>
      </c>
      <c r="V129" s="261">
        <f ca="1">INDEX(Curtain_wall!$B$43:$R$101,MATCH(V$6,Curtain_wall!$B$43:$B$101,0),MATCH($B129,Curtain_wall!$B$43:$R$43,0))</f>
        <v>10.125564705255998</v>
      </c>
      <c r="W129" s="186"/>
      <c r="X129" s="185">
        <f ca="1">INDEX(Curtain_wall!$B$43:$R$101,MATCH(X$6,Curtain_wall!$B$43:$B$101,0),MATCH($B129,Curtain_wall!$B$43:$R$43,0))</f>
        <v>7.1893038910109369E-2</v>
      </c>
      <c r="Y129" s="265">
        <f ca="1">$X129*(1+INDEX(Methodology!$B$26:$E$31,MATCH($F129,Methodology!$B$26:$B$31,0),MATCH(Z$5,Methodology!$B$26:$E$26,0)))</f>
        <v>7.1893038910109369E-2</v>
      </c>
      <c r="Z129" s="261">
        <f ca="1">INDEX(Curtain_wall!$B$43:$R$101,MATCH(Z$6,Curtain_wall!$B$43:$B$101,0),MATCH($B129,Curtain_wall!$B$43:$R$43,0))</f>
        <v>7.1893038910109369E-2</v>
      </c>
      <c r="AA129" s="199"/>
      <c r="AB129" s="10">
        <f t="shared" ca="1" si="12"/>
        <v>140.84207398599997</v>
      </c>
      <c r="AC129" s="190" t="str">
        <f t="shared" si="13"/>
        <v>kg/m²</v>
      </c>
      <c r="AD129" s="213" t="str" cm="1">
        <f t="array" aca="1" ref="AD129" ca="1">IF(INDIRECT(""&amp;$D129&amp;"!R"&amp;AD$142&amp;"C"&amp;AD$143,FALSE)=0,"",INDIRECT(""&amp;$D129&amp;"!R"&amp;AD$142&amp;"C"&amp;AD$143,FALSE))</f>
        <v>A number of generic Curtain Wall systems are presented for cases when Curtain Wall information is not available. Calculated using referenced material quantities and multiplied by the relevant maximum EF to get the default maximum EF or the Average EF to get the average EF overall. Reference material quantites based on generic designs for a european context. More information see material tab.</v>
      </c>
      <c r="AE129" s="214" t="str" cm="1">
        <f t="array" aca="1" ref="AE129" ca="1">IFERROR(IF(INDIRECT(""&amp;$D129&amp;"!R"&amp;AE$142&amp;"C"&amp;AE$143,FALSE)="Average (weighted)","Yes","No"),"")</f>
        <v>No</v>
      </c>
    </row>
    <row r="130" spans="1:32" ht="45" customHeight="1" x14ac:dyDescent="0.25">
      <c r="A130" s="66" t="s">
        <v>4037</v>
      </c>
      <c r="B130" s="14" t="s">
        <v>4038</v>
      </c>
      <c r="C130" s="193" t="str" cm="1">
        <f t="array" aca="1" ref="C130" ca="1">INDIRECT(""&amp;$D130&amp;"!R"&amp;C$142&amp;"C"&amp;C$143,FALSE)</f>
        <v xml:space="preserve">Determination of a generic buildings services rate according to the description in material category column. Includes mechanical, electrical and heating, ventilation and air conditioning. </v>
      </c>
      <c r="D130" s="66" t="s">
        <v>4039</v>
      </c>
      <c r="E130" s="66" t="s">
        <v>321</v>
      </c>
      <c r="F130" s="7" t="s">
        <v>72</v>
      </c>
      <c r="G130" s="188">
        <f>INDEX(Methodology!$B$26:$D$31,MATCH('EF Table_detail'!$F130,Methodology!$B$26:$B$31,0),MATCH('EF Table_detail'!$G$5,Methodology!$B$26:$D$26,0))</f>
        <v>1</v>
      </c>
      <c r="H130" s="241"/>
      <c r="I130" s="99">
        <f>INDEX(Building_services!$B$18:$G$33,MATCH(I$6,Building_services!$B$18:$B$33,0),MATCH($B130,Building_services!$B$18:$G$18,0))</f>
        <v>41.194200541438939</v>
      </c>
      <c r="J130" s="99">
        <f>INDEX(Building_services!$B$18:$G$33,MATCH(J$6,Building_services!$B$18:$B$33,0),MATCH($B130,Building_services!$B$18:$G$18,0))</f>
        <v>46.758460767678756</v>
      </c>
      <c r="K130" s="262">
        <f>$J130*(1+INDEX(Methodology!$B$26:$E$31,MATCH($F130,Methodology!$B$26:$B$31,0),MATCH(L$5,Methodology!$B$26:$E$26,0)))</f>
        <v>46.758460767678756</v>
      </c>
      <c r="L130" s="261">
        <f>INDEX(Building_services!$B$18:$G$33,MATCH(L$6,Building_services!$B$18:$B$33,0),MATCH($B130,Building_services!$B$18:$G$18,0))</f>
        <v>57.386152348483385</v>
      </c>
      <c r="M130" s="231"/>
      <c r="N130" s="231">
        <f>INDEX(Building_services!$B$18:$G$33,MATCH(N$6,Building_services!$B$18:$B$33,0),MATCH($B130,Building_services!$B$18:$G$18,0))</f>
        <v>2.2624594796845234</v>
      </c>
      <c r="O130" s="231">
        <f>INDEX(Building_services!$B$18:$G$33,MATCH(O$6,Building_services!$B$18:$B$33,0),MATCH($B130,Building_services!$B$18:$G$18,0))</f>
        <v>2.2624594796845234</v>
      </c>
      <c r="P130" s="265">
        <f>$O130*(1+INDEX(Methodology!$B$26:$E$31,MATCH($F130,Methodology!$B$26:$B$31,0),MATCH(Q$5,Methodology!$B$26:$E$26,0)))</f>
        <v>2.2624594796845234</v>
      </c>
      <c r="Q130" s="266">
        <f>INDEX(Building_services!$B$18:$G$33,MATCH(Q$6,Building_services!$B$18:$B$33,0),MATCH($B130,Building_services!$B$18:$G$18,0))</f>
        <v>2.6881025149932594</v>
      </c>
      <c r="R130" s="199"/>
      <c r="S130" s="186"/>
      <c r="T130" s="185">
        <f>INDEX(Building_services!$B$18:$G$25,MATCH(T$6,Building_services!$B$18:$B$33,0),MATCH($B130,Building_services!$B$18:$G$18,0))</f>
        <v>0</v>
      </c>
      <c r="U130" s="265">
        <f>$T130*(1+INDEX(Methodology!$B$26:$E$31,MATCH($F130,Methodology!$B$26:$B$31,0),MATCH(V$5,Methodology!$B$26:$E$26,0)))</f>
        <v>0</v>
      </c>
      <c r="V130" s="261">
        <f>INDEX(Building_services!$B$18:$G$25,MATCH(V$6,Building_services!$B$18:$B$33,0),MATCH($B130,Building_services!$B$18:$G$18,0))</f>
        <v>0</v>
      </c>
      <c r="W130" s="186"/>
      <c r="X130" s="185"/>
      <c r="Y130" s="265">
        <f>$X130*(1+INDEX(Methodology!$B$26:$E$31,MATCH($F130,Methodology!$B$26:$B$31,0),MATCH(Z$5,Methodology!$B$26:$E$26,0)))</f>
        <v>0</v>
      </c>
      <c r="Z130" s="265"/>
      <c r="AA130" s="199"/>
      <c r="AB130" s="10">
        <f t="shared" ref="AB130:AB134" si="14">IFERROR(J130/O130,"")</f>
        <v>20.667093129198822</v>
      </c>
      <c r="AC130" s="190" t="str">
        <f t="shared" si="13"/>
        <v>kg/m²</v>
      </c>
      <c r="AD130" s="213" t="str" cm="1">
        <f t="array" aca="1" ref="AD130" ca="1">IF(INDIRECT(""&amp;$D130&amp;"!R"&amp;AD$142&amp;"C"&amp;AD$143,FALSE)=0,"",INDIRECT(""&amp;$D130&amp;"!R"&amp;AD$142&amp;"C"&amp;AD$143,FALSE))</f>
        <v>Building services includes electrical, mechanical and plumbing services in a building. It excludes transportation services i.e. lifts and escalators. 
It does not include use phase of these services i.e. electricity consumption of lighting of the building or leakage of refrigerants. 
Categories were defined during industry consultation. 
EFs are based on detailed study conducted by Carbon Leadership Forum. 
The study is limited to expert agreed commercial buildings in America's north west. This may mean some items are oversized for the Australian context i.e. ducting due to predominantly cooler climates in the studies' buildings.</v>
      </c>
      <c r="AE130" s="214" t="str" cm="1">
        <f t="array" aca="1" ref="AE130" ca="1">IFERROR(IF(INDIRECT(""&amp;$D130&amp;"!R"&amp;AE$142&amp;"C"&amp;AE$143,FALSE)="Average (weighted)","Yes","No"),"")</f>
        <v>No</v>
      </c>
    </row>
    <row r="131" spans="1:32" ht="45" customHeight="1" x14ac:dyDescent="0.25">
      <c r="A131" s="66" t="s">
        <v>4040</v>
      </c>
      <c r="B131" s="69" t="s">
        <v>4041</v>
      </c>
      <c r="C131" s="193" t="str" cm="1">
        <f t="array" aca="1" ref="C131" ca="1">INDIRECT(""&amp;$D131&amp;"!R"&amp;C$142&amp;"C"&amp;C$143,FALSE)</f>
        <v xml:space="preserve">Determination of a generic buildings services rate according to the description in material category column. Includes mechanical, electrical and heating, ventilation and air conditioning. </v>
      </c>
      <c r="D131" s="66" t="s">
        <v>4039</v>
      </c>
      <c r="E131" s="66" t="s">
        <v>321</v>
      </c>
      <c r="F131" s="7" t="s">
        <v>72</v>
      </c>
      <c r="G131" s="188">
        <f>INDEX(Methodology!$B$26:$D$31,MATCH('EF Table_detail'!$F131,Methodology!$B$26:$B$31,0),MATCH('EF Table_detail'!$G$5,Methodology!$B$26:$D$26,0))</f>
        <v>1</v>
      </c>
      <c r="H131" s="241"/>
      <c r="I131" s="99">
        <f>INDEX(Building_services!$B$18:$G$25,MATCH(I$6,Building_services!$B$18:$B$33,0),MATCH($B131,Building_services!$B$18:$G$18,0))</f>
        <v>11.786818371300932</v>
      </c>
      <c r="J131" s="99">
        <f>INDEX(Building_services!$B$18:$G$25,MATCH(J$6,Building_services!$B$18:$B$33,0),MATCH($B131,Building_services!$B$18:$G$18,0))</f>
        <v>12.599466827196689</v>
      </c>
      <c r="K131" s="262">
        <f>$J131*(1+INDEX(Methodology!$B$26:$E$31,MATCH($F131,Methodology!$B$26:$B$31,0),MATCH(L$5,Methodology!$B$26:$E$26,0)))</f>
        <v>12.599466827196689</v>
      </c>
      <c r="L131" s="261">
        <f>INDEX(Building_services!$B$18:$G$25,MATCH(L$6,Building_services!$B$18:$B$33,0),MATCH($B131,Building_services!$B$18:$G$18,0))</f>
        <v>13.412115283092447</v>
      </c>
      <c r="M131" s="231"/>
      <c r="N131" s="231">
        <f>INDEX(Building_services!$B$18:$G$33,MATCH(N$6,Building_services!$B$18:$B$33,0),MATCH($B131,Building_services!$B$18:$G$18,0))</f>
        <v>1.5905296939739419</v>
      </c>
      <c r="O131" s="231">
        <f>INDEX(Building_services!$B$18:$G$33,MATCH(O$6,Building_services!$B$18:$B$33,0),MATCH($B131,Building_services!$B$18:$G$18,0))</f>
        <v>2.1821803110196751</v>
      </c>
      <c r="P131" s="265">
        <f>$O131*(1+INDEX(Methodology!$B$26:$E$31,MATCH($F131,Methodology!$B$26:$B$31,0),MATCH(Q$5,Methodology!$B$26:$E$26,0)))</f>
        <v>2.1821803110196751</v>
      </c>
      <c r="Q131" s="266">
        <f>INDEX(Building_services!$B$18:$G$33,MATCH(Q$6,Building_services!$B$18:$B$33,0),MATCH($B131,Building_services!$B$18:$G$18,0))</f>
        <v>2.7738309280654079</v>
      </c>
      <c r="R131" s="199"/>
      <c r="S131" s="186"/>
      <c r="T131" s="185">
        <f>INDEX(Building_services!$B$18:$G$25,MATCH(T$6,Building_services!$B$18:$B$33,0),MATCH($B131,Building_services!$B$18:$G$18,0))</f>
        <v>0</v>
      </c>
      <c r="U131" s="265">
        <f>$T131*(1+INDEX(Methodology!$B$26:$E$31,MATCH($F131,Methodology!$B$26:$B$31,0),MATCH(V$5,Methodology!$B$26:$E$26,0)))</f>
        <v>0</v>
      </c>
      <c r="V131" s="261">
        <f>INDEX(Building_services!$B$18:$G$25,MATCH(V$6,Building_services!$B$18:$B$33,0),MATCH($B131,Building_services!$B$18:$G$18,0))</f>
        <v>0</v>
      </c>
      <c r="W131" s="186"/>
      <c r="X131" s="185"/>
      <c r="Y131" s="265">
        <f>$X131*(1+INDEX(Methodology!$B$26:$E$31,MATCH($F131,Methodology!$B$26:$B$31,0),MATCH(Z$5,Methodology!$B$26:$E$26,0)))</f>
        <v>0</v>
      </c>
      <c r="Z131" s="261"/>
      <c r="AA131" s="199"/>
      <c r="AB131" s="10">
        <f t="shared" si="14"/>
        <v>5.7737973180178184</v>
      </c>
      <c r="AC131" s="190" t="str">
        <f t="shared" si="13"/>
        <v>kg/m²</v>
      </c>
      <c r="AD131" s="213" t="str" cm="1">
        <f t="array" aca="1" ref="AD131" ca="1">IF(INDIRECT(""&amp;$D131&amp;"!R"&amp;AD$142&amp;"C"&amp;AD$143,FALSE)=0,"",INDIRECT(""&amp;$D131&amp;"!R"&amp;AD$142&amp;"C"&amp;AD$143,FALSE))</f>
        <v>Building services includes electrical, mechanical and plumbing services in a building. It excludes transportation services i.e. lifts and escalators. 
It does not include use phase of these services i.e. electricity consumption of lighting of the building or leakage of refrigerants. 
Categories were defined during industry consultation. 
EFs are based on detailed study conducted by Carbon Leadership Forum. 
The study is limited to expert agreed commercial buildings in America's north west. This may mean some items are oversized for the Australian context i.e. ducting due to predominantly cooler climates in the studies' buildings.</v>
      </c>
      <c r="AE131" s="214" t="str" cm="1">
        <f t="array" aca="1" ref="AE131" ca="1">IFERROR(IF(INDIRECT(""&amp;$D131&amp;"!R"&amp;AE$142&amp;"C"&amp;AE$143,FALSE)="Average (weighted)","Yes","No"),"")</f>
        <v>No</v>
      </c>
    </row>
    <row r="132" spans="1:32" ht="45" customHeight="1" x14ac:dyDescent="0.25">
      <c r="A132" s="66" t="s">
        <v>4042</v>
      </c>
      <c r="B132" s="69" t="s">
        <v>4043</v>
      </c>
      <c r="C132" s="193" t="str" cm="1">
        <f t="array" aca="1" ref="C132" ca="1">INDIRECT(""&amp;$D132&amp;"!R"&amp;C$142&amp;"C"&amp;C$143,FALSE)</f>
        <v xml:space="preserve">Determination of a generic buildings services rate according to the description in material category column. Includes mechanical, electrical and heating, ventilation and air conditioning. </v>
      </c>
      <c r="D132" s="66" t="s">
        <v>4039</v>
      </c>
      <c r="E132" s="66" t="s">
        <v>321</v>
      </c>
      <c r="F132" s="7" t="s">
        <v>72</v>
      </c>
      <c r="G132" s="188">
        <f>INDEX(Methodology!$B$26:$D$31,MATCH('EF Table_detail'!$F132,Methodology!$B$26:$B$31,0),MATCH('EF Table_detail'!$G$5,Methodology!$B$26:$D$26,0))</f>
        <v>1</v>
      </c>
      <c r="H132" s="241"/>
      <c r="I132" s="99">
        <f>INDEX(Building_services!$B$18:$G$25,MATCH(I$6,Building_services!$B$18:$B$33,0),MATCH($B132,Building_services!$B$18:$G$18,0))</f>
        <v>41.262974656378759</v>
      </c>
      <c r="J132" s="99">
        <f>INDEX(Building_services!$B$18:$G$25,MATCH(J$6,Building_services!$B$18:$B$33,0),MATCH($B132,Building_services!$B$18:$G$18,0))</f>
        <v>55.338089143417491</v>
      </c>
      <c r="K132" s="262">
        <f>$J132*(1+INDEX(Methodology!$B$26:$E$31,MATCH($F132,Methodology!$B$26:$B$31,0),MATCH(L$5,Methodology!$B$26:$E$26,0)))</f>
        <v>55.338089143417491</v>
      </c>
      <c r="L132" s="261">
        <f>INDEX(Building_services!$B$18:$G$25,MATCH(L$6,Building_services!$B$18:$B$33,0),MATCH($B132,Building_services!$B$18:$G$18,0))</f>
        <v>66.952527204591888</v>
      </c>
      <c r="M132" s="231"/>
      <c r="N132" s="231">
        <f>INDEX(Building_services!$B$18:$G$33,MATCH(N$6,Building_services!$B$18:$B$33,0),MATCH($B132,Building_services!$B$18:$G$18,0))</f>
        <v>2.7709219781880017</v>
      </c>
      <c r="O132" s="231">
        <f>INDEX(Building_services!$B$18:$G$33,MATCH(O$6,Building_services!$B$18:$B$33,0),MATCH($B132,Building_services!$B$18:$G$18,0))</f>
        <v>2.9480507660795832</v>
      </c>
      <c r="P132" s="265">
        <f>$O132*(1+INDEX(Methodology!$B$26:$E$31,MATCH($F132,Methodology!$B$26:$B$31,0),MATCH(Q$5,Methodology!$B$26:$E$26,0)))</f>
        <v>2.9480507660795832</v>
      </c>
      <c r="Q132" s="266">
        <f>INDEX(Building_services!$B$18:$G$33,MATCH(Q$6,Building_services!$B$18:$B$33,0),MATCH($B132,Building_services!$B$18:$G$18,0))</f>
        <v>3.1104463890775889</v>
      </c>
      <c r="R132" s="199"/>
      <c r="S132" s="186"/>
      <c r="T132" s="185">
        <f>INDEX(Building_services!$B$18:$G$25,MATCH(T$6,Building_services!$B$18:$B$33,0),MATCH($B132,Building_services!$B$18:$G$18,0))</f>
        <v>0</v>
      </c>
      <c r="U132" s="265">
        <f>$T132*(1+INDEX(Methodology!$B$26:$E$31,MATCH($F132,Methodology!$B$26:$B$31,0),MATCH(V$5,Methodology!$B$26:$E$26,0)))</f>
        <v>0</v>
      </c>
      <c r="V132" s="261">
        <f>INDEX(Building_services!$B$18:$G$25,MATCH(V$6,Building_services!$B$18:$B$33,0),MATCH($B132,Building_services!$B$18:$G$18,0))</f>
        <v>0</v>
      </c>
      <c r="W132" s="186"/>
      <c r="X132" s="185"/>
      <c r="Y132" s="265">
        <f>$X132*(1+INDEX(Methodology!$B$26:$E$31,MATCH($F132,Methodology!$B$26:$B$31,0),MATCH(Z$5,Methodology!$B$26:$E$26,0)))</f>
        <v>0</v>
      </c>
      <c r="Z132" s="261"/>
      <c r="AA132" s="199"/>
      <c r="AB132" s="10">
        <f t="shared" si="14"/>
        <v>18.771077411603716</v>
      </c>
      <c r="AC132" s="190" t="str">
        <f t="shared" si="13"/>
        <v>kg/m²</v>
      </c>
      <c r="AD132" s="213" t="str" cm="1">
        <f t="array" aca="1" ref="AD132" ca="1">IF(INDIRECT(""&amp;$D132&amp;"!R"&amp;AD$142&amp;"C"&amp;AD$143,FALSE)=0,"",INDIRECT(""&amp;$D132&amp;"!R"&amp;AD$142&amp;"C"&amp;AD$143,FALSE))</f>
        <v>Building services includes electrical, mechanical and plumbing services in a building. It excludes transportation services i.e. lifts and escalators. 
It does not include use phase of these services i.e. electricity consumption of lighting of the building or leakage of refrigerants. 
Categories were defined during industry consultation. 
EFs are based on detailed study conducted by Carbon Leadership Forum. 
The study is limited to expert agreed commercial buildings in America's north west. This may mean some items are oversized for the Australian context i.e. ducting due to predominantly cooler climates in the studies' buildings.</v>
      </c>
      <c r="AE132" s="214" t="str" cm="1">
        <f t="array" aca="1" ref="AE132" ca="1">IFERROR(IF(INDIRECT(""&amp;$D132&amp;"!R"&amp;AE$142&amp;"C"&amp;AE$143,FALSE)="Average (weighted)","Yes","No"),"")</f>
        <v>No</v>
      </c>
    </row>
    <row r="133" spans="1:32" ht="45" customHeight="1" x14ac:dyDescent="0.25">
      <c r="A133" s="66" t="s">
        <v>4044</v>
      </c>
      <c r="B133" s="69" t="s">
        <v>4045</v>
      </c>
      <c r="C133" s="193" t="str" cm="1">
        <f t="array" aca="1" ref="C133" ca="1">INDIRECT(""&amp;$D133&amp;"!R"&amp;C$142&amp;"C"&amp;C$143,FALSE)</f>
        <v xml:space="preserve">Determination of a generic buildings services rate according to the description in material category column. Includes mechanical, electrical and heating, ventilation and air conditioning. </v>
      </c>
      <c r="D133" s="66" t="s">
        <v>4039</v>
      </c>
      <c r="E133" s="66" t="s">
        <v>321</v>
      </c>
      <c r="F133" s="7" t="s">
        <v>72</v>
      </c>
      <c r="G133" s="188">
        <f>INDEX(Methodology!$B$26:$D$31,MATCH('EF Table_detail'!$F133,Methodology!$B$26:$B$31,0),MATCH('EF Table_detail'!$G$5,Methodology!$B$26:$D$26,0))</f>
        <v>1</v>
      </c>
      <c r="H133" s="241"/>
      <c r="I133" s="99">
        <f>INDEX(Building_services!$B$18:$G$25,MATCH(I$6,Building_services!$B$18:$B$33,0),MATCH($B133,Building_services!$B$18:$G$18,0))</f>
        <v>48.904603883975469</v>
      </c>
      <c r="J133" s="99">
        <f>INDEX(Building_services!$B$18:$G$25,MATCH(J$6,Building_services!$B$18:$B$33,0),MATCH($B133,Building_services!$B$18:$G$18,0))</f>
        <v>62.556305154500464</v>
      </c>
      <c r="K133" s="262">
        <f>$J133*(1+INDEX(Methodology!$B$26:$E$31,MATCH($F133,Methodology!$B$26:$B$31,0),MATCH(L$5,Methodology!$B$26:$E$26,0)))</f>
        <v>62.556305154500464</v>
      </c>
      <c r="L133" s="261">
        <f>INDEX(Building_services!$B$18:$G$25,MATCH(L$6,Building_services!$B$18:$B$33,0),MATCH($B133,Building_services!$B$18:$G$18,0))</f>
        <v>74.843651551634153</v>
      </c>
      <c r="M133" s="231"/>
      <c r="N133" s="231">
        <f>INDEX(Building_services!$B$18:$G$33,MATCH(N$6,Building_services!$B$18:$B$33,0),MATCH($B133,Building_services!$B$18:$G$18,0))</f>
        <v>2.8792082157447152</v>
      </c>
      <c r="O133" s="231">
        <f>INDEX(Building_services!$B$18:$G$33,MATCH(O$6,Building_services!$B$18:$B$33,0),MATCH($B133,Building_services!$B$18:$G$18,0))</f>
        <v>3.2360758708660509</v>
      </c>
      <c r="P133" s="265">
        <f>$O133*(1+INDEX(Methodology!$B$26:$E$31,MATCH($F133,Methodology!$B$26:$B$31,0),MATCH(Q$5,Methodology!$B$26:$E$26,0)))</f>
        <v>3.2360758708660509</v>
      </c>
      <c r="Q133" s="266">
        <f>INDEX(Building_services!$B$18:$G$33,MATCH(Q$6,Building_services!$B$18:$B$33,0),MATCH($B133,Building_services!$B$18:$G$18,0))</f>
        <v>3.8785995325129483</v>
      </c>
      <c r="R133" s="199"/>
      <c r="S133" s="186"/>
      <c r="T133" s="185">
        <f>INDEX(Building_services!$B$18:$G$25,MATCH(T$6,Building_services!$B$18:$B$33,0),MATCH($B133,Building_services!$B$18:$G$18,0))</f>
        <v>0</v>
      </c>
      <c r="U133" s="265">
        <f>$T133*(1+INDEX(Methodology!$B$26:$E$31,MATCH($F133,Methodology!$B$26:$B$31,0),MATCH(V$5,Methodology!$B$26:$E$26,0)))</f>
        <v>0</v>
      </c>
      <c r="V133" s="261">
        <f>INDEX(Building_services!$B$18:$G$25,MATCH(V$6,Building_services!$B$18:$B$33,0),MATCH($B133,Building_services!$B$18:$G$18,0))</f>
        <v>0</v>
      </c>
      <c r="W133" s="186"/>
      <c r="X133" s="185"/>
      <c r="Y133" s="265">
        <f>$X133*(1+INDEX(Methodology!$B$26:$E$31,MATCH($F133,Methodology!$B$26:$B$31,0),MATCH(Z$5,Methodology!$B$26:$E$26,0)))</f>
        <v>0</v>
      </c>
      <c r="Z133" s="261"/>
      <c r="AA133" s="199"/>
      <c r="AB133" s="10">
        <f t="shared" si="14"/>
        <v>19.330914246382893</v>
      </c>
      <c r="AC133" s="190" t="str">
        <f t="shared" si="13"/>
        <v>kg/m²</v>
      </c>
      <c r="AD133" s="213" t="str" cm="1">
        <f t="array" aca="1" ref="AD133" ca="1">IF(INDIRECT(""&amp;$D133&amp;"!R"&amp;AD$142&amp;"C"&amp;AD$143,FALSE)=0,"",INDIRECT(""&amp;$D133&amp;"!R"&amp;AD$142&amp;"C"&amp;AD$143,FALSE))</f>
        <v>Building services includes electrical, mechanical and plumbing services in a building. It excludes transportation services i.e. lifts and escalators. 
It does not include use phase of these services i.e. electricity consumption of lighting of the building or leakage of refrigerants. 
Categories were defined during industry consultation. 
EFs are based on detailed study conducted by Carbon Leadership Forum. 
The study is limited to expert agreed commercial buildings in America's north west. This may mean some items are oversized for the Australian context i.e. ducting due to predominantly cooler climates in the studies' buildings.</v>
      </c>
      <c r="AE133" s="214" t="str" cm="1">
        <f t="array" aca="1" ref="AE133" ca="1">IFERROR(IF(INDIRECT(""&amp;$D133&amp;"!R"&amp;AE$142&amp;"C"&amp;AE$143,FALSE)="Average (weighted)","Yes","No"),"")</f>
        <v>No</v>
      </c>
    </row>
    <row r="134" spans="1:32" ht="45" customHeight="1" x14ac:dyDescent="0.25">
      <c r="A134" s="66" t="s">
        <v>4046</v>
      </c>
      <c r="B134" s="69" t="s">
        <v>4047</v>
      </c>
      <c r="C134" s="193" t="str" cm="1">
        <f t="array" aca="1" ref="C134" ca="1">INDIRECT(""&amp;$D134&amp;"!R"&amp;C$142&amp;"C"&amp;C$143,FALSE)</f>
        <v xml:space="preserve">Determination of a generic buildings services rate according to the description in material category column. Includes mechanical, electrical and heating, ventilation and air conditioning. </v>
      </c>
      <c r="D134" s="66" t="s">
        <v>4039</v>
      </c>
      <c r="E134" s="66" t="s">
        <v>321</v>
      </c>
      <c r="F134" s="7" t="s">
        <v>72</v>
      </c>
      <c r="G134" s="188">
        <f>INDEX(Methodology!$B$26:$D$31,MATCH('EF Table_detail'!$F134,Methodology!$B$26:$B$31,0),MATCH('EF Table_detail'!$G$5,Methodology!$B$26:$D$26,0))</f>
        <v>1</v>
      </c>
      <c r="H134" s="241"/>
      <c r="I134" s="99">
        <f>INDEX(Building_services!$B$18:$G$25,MATCH(I$6,Building_services!$B$18:$B$33,0),MATCH($B134,Building_services!$B$18:$G$18,0))</f>
        <v>55.055548011704559</v>
      </c>
      <c r="J134" s="99">
        <f>INDEX(Building_services!$B$18:$G$25,MATCH(J$6,Building_services!$B$18:$B$33,0),MATCH($B134,Building_services!$B$18:$G$18,0))</f>
        <v>66.039671720641991</v>
      </c>
      <c r="K134" s="262">
        <f>$J134*(1+INDEX(Methodology!$B$26:$E$31,MATCH($F134,Methodology!$B$26:$B$31,0),MATCH(L$5,Methodology!$B$26:$E$26,0)))</f>
        <v>66.039671720641991</v>
      </c>
      <c r="L134" s="261">
        <f>INDEX(Building_services!$B$18:$G$25,MATCH(L$6,Building_services!$B$18:$B$33,0),MATCH($B134,Building_services!$B$18:$G$18,0))</f>
        <v>74.843651551634153</v>
      </c>
      <c r="M134" s="231"/>
      <c r="N134" s="231">
        <f>INDEX(Building_services!$B$18:$G$33,MATCH(N$6,Building_services!$B$18:$B$33,0),MATCH($B134,Building_services!$B$18:$G$18,0))</f>
        <v>2.9120024369187045</v>
      </c>
      <c r="O134" s="231">
        <f>INDEX(Building_services!$B$18:$G$33,MATCH(O$6,Building_services!$B$18:$B$33,0),MATCH($B134,Building_services!$B$18:$G$18,0))</f>
        <v>3.2936833001163777</v>
      </c>
      <c r="P134" s="265">
        <f>$O134*(1+INDEX(Methodology!$B$26:$E$31,MATCH($F134,Methodology!$B$26:$B$31,0),MATCH(Q$5,Methodology!$B$26:$E$26,0)))</f>
        <v>3.2936833001163777</v>
      </c>
      <c r="Q134" s="266">
        <f>INDEX(Building_services!$B$18:$G$33,MATCH(Q$6,Building_services!$B$18:$B$33,0),MATCH($B134,Building_services!$B$18:$G$18,0))</f>
        <v>3.9477185803937713</v>
      </c>
      <c r="R134" s="199"/>
      <c r="S134" s="186"/>
      <c r="T134" s="185">
        <f>INDEX(Building_services!$B$18:$G$25,MATCH(T$6,Building_services!$B$18:$B$33,0),MATCH($B134,Building_services!$B$18:$G$18,0))</f>
        <v>0</v>
      </c>
      <c r="U134" s="265">
        <f>$T134*(1+INDEX(Methodology!$B$26:$E$31,MATCH($F134,Methodology!$B$26:$B$31,0),MATCH(V$5,Methodology!$B$26:$E$26,0)))</f>
        <v>0</v>
      </c>
      <c r="V134" s="261">
        <f>INDEX(Building_services!$B$18:$G$25,MATCH(V$6,Building_services!$B$18:$B$33,0),MATCH($B134,Building_services!$B$18:$G$18,0))</f>
        <v>0</v>
      </c>
      <c r="W134" s="186"/>
      <c r="X134" s="185"/>
      <c r="Y134" s="265">
        <f>$X134*(1+INDEX(Methodology!$B$26:$E$31,MATCH($F134,Methodology!$B$26:$B$31,0),MATCH(Z$5,Methodology!$B$26:$E$26,0)))</f>
        <v>0</v>
      </c>
      <c r="Z134" s="261"/>
      <c r="AA134" s="199"/>
      <c r="AB134" s="10">
        <f t="shared" si="14"/>
        <v>20.050401238731293</v>
      </c>
      <c r="AC134" s="190" t="str">
        <f t="shared" si="13"/>
        <v>kg/m²</v>
      </c>
      <c r="AD134" s="213" t="str" cm="1">
        <f t="array" aca="1" ref="AD134" ca="1">IF(INDIRECT(""&amp;$D134&amp;"!R"&amp;AD$142&amp;"C"&amp;AD$143,FALSE)=0,"",INDIRECT(""&amp;$D134&amp;"!R"&amp;AD$142&amp;"C"&amp;AD$143,FALSE))</f>
        <v>Building services includes electrical, mechanical and plumbing services in a building. It excludes transportation services i.e. lifts and escalators. 
It does not include use phase of these services i.e. electricity consumption of lighting of the building or leakage of refrigerants. 
Categories were defined during industry consultation. 
EFs are based on detailed study conducted by Carbon Leadership Forum. 
The study is limited to expert agreed commercial buildings in America's north west. This may mean some items are oversized for the Australian context i.e. ducting due to predominantly cooler climates in the studies' buildings.</v>
      </c>
      <c r="AE134" s="214" t="str" cm="1">
        <f t="array" aca="1" ref="AE134" ca="1">IFERROR(IF(INDIRECT(""&amp;$D134&amp;"!R"&amp;AE$142&amp;"C"&amp;AE$143,FALSE)="Average (weighted)","Yes","No"),"")</f>
        <v>No</v>
      </c>
    </row>
    <row r="135" spans="1:32" x14ac:dyDescent="0.25">
      <c r="R135" s="199"/>
    </row>
    <row r="136" spans="1:32" x14ac:dyDescent="0.25">
      <c r="R136" s="199"/>
    </row>
    <row r="142" spans="1:32" s="8" customFormat="1" x14ac:dyDescent="0.25">
      <c r="A142" s="11" t="s">
        <v>3847</v>
      </c>
      <c r="B142" s="6"/>
      <c r="C142" s="211">
        <v>3</v>
      </c>
      <c r="D142" s="6"/>
      <c r="E142" s="6">
        <v>17</v>
      </c>
      <c r="F142" s="6">
        <v>9</v>
      </c>
      <c r="G142" s="6"/>
      <c r="H142" s="6">
        <v>18</v>
      </c>
      <c r="I142" s="6">
        <v>19</v>
      </c>
      <c r="J142" s="6">
        <v>20</v>
      </c>
      <c r="K142" s="6"/>
      <c r="L142" s="6"/>
      <c r="M142" s="6">
        <v>18</v>
      </c>
      <c r="N142" s="6">
        <v>19</v>
      </c>
      <c r="O142" s="232">
        <v>20</v>
      </c>
      <c r="P142" s="232"/>
      <c r="Q142" s="232"/>
      <c r="R142" s="6"/>
      <c r="S142" s="6">
        <v>18</v>
      </c>
      <c r="T142" s="6">
        <v>20</v>
      </c>
      <c r="U142" s="6"/>
      <c r="V142" s="6"/>
      <c r="W142" s="6">
        <v>18</v>
      </c>
      <c r="X142" s="6">
        <v>20</v>
      </c>
      <c r="Y142" s="6"/>
      <c r="Z142" s="6"/>
      <c r="AA142" s="6"/>
      <c r="AB142" s="6"/>
      <c r="AC142" s="6"/>
      <c r="AD142" s="211">
        <v>11</v>
      </c>
      <c r="AE142" s="6">
        <v>20</v>
      </c>
      <c r="AF142" s="64"/>
    </row>
    <row r="143" spans="1:32" s="8" customFormat="1" x14ac:dyDescent="0.25">
      <c r="A143" s="9" t="s">
        <v>3848</v>
      </c>
      <c r="B143" s="5"/>
      <c r="C143" s="212">
        <v>2</v>
      </c>
      <c r="D143" s="5"/>
      <c r="E143" s="5">
        <v>4</v>
      </c>
      <c r="F143" s="5">
        <v>2</v>
      </c>
      <c r="G143" s="5"/>
      <c r="H143" s="5">
        <v>4</v>
      </c>
      <c r="I143" s="5">
        <v>4</v>
      </c>
      <c r="J143" s="5">
        <v>4</v>
      </c>
      <c r="K143" s="5"/>
      <c r="L143" s="5"/>
      <c r="M143" s="5">
        <v>5</v>
      </c>
      <c r="N143" s="5">
        <v>5</v>
      </c>
      <c r="O143" s="233">
        <v>5</v>
      </c>
      <c r="P143" s="233"/>
      <c r="Q143" s="233"/>
      <c r="R143" s="5"/>
      <c r="S143" s="5">
        <v>6</v>
      </c>
      <c r="T143" s="5">
        <v>6</v>
      </c>
      <c r="U143" s="5"/>
      <c r="V143" s="5"/>
      <c r="W143" s="5">
        <v>7</v>
      </c>
      <c r="X143" s="5">
        <v>7</v>
      </c>
      <c r="Y143" s="5"/>
      <c r="Z143" s="5"/>
      <c r="AA143" s="5"/>
      <c r="AB143" s="5"/>
      <c r="AC143" s="5"/>
      <c r="AD143" s="212">
        <v>2</v>
      </c>
      <c r="AE143" s="5">
        <v>3</v>
      </c>
      <c r="AF143" s="65"/>
    </row>
  </sheetData>
  <dataConsolidate/>
  <mergeCells count="8">
    <mergeCell ref="H2:AE2"/>
    <mergeCell ref="AB3:AE3"/>
    <mergeCell ref="H3:Q3"/>
    <mergeCell ref="S3:Z3"/>
    <mergeCell ref="H4:L4"/>
    <mergeCell ref="M4:Q4"/>
    <mergeCell ref="S4:V4"/>
    <mergeCell ref="W4:Z4"/>
  </mergeCells>
  <phoneticPr fontId="4" type="noConversion"/>
  <conditionalFormatting sqref="C7:C134">
    <cfRule type="cellIs" dxfId="3" priority="1" operator="equal">
      <formula>"Mixed"</formula>
    </cfRule>
  </conditionalFormatting>
  <conditionalFormatting sqref="E7:E134 AB7:AC134">
    <cfRule type="cellIs" dxfId="2" priority="4" operator="equal">
      <formula>"Mixed"</formula>
    </cfRule>
  </conditionalFormatting>
  <pageMargins left="0.7" right="0.7" top="0.75" bottom="0.75" header="0.3" footer="0.3"/>
  <ignoredErrors>
    <ignoredError sqref="G7:G104" formula="1"/>
  </ignoredErrors>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187227-772E-4A40-82E0-C59446CA7EA8}">
  <sheetPr codeName="Sheet81">
    <tabColor rgb="FF00CCFF"/>
  </sheetPr>
  <dimension ref="A1:J166"/>
  <sheetViews>
    <sheetView showGridLines="0" zoomScale="80" zoomScaleNormal="80" workbookViewId="0"/>
  </sheetViews>
  <sheetFormatPr defaultRowHeight="13.2" x14ac:dyDescent="0.25"/>
  <cols>
    <col min="1" max="1" width="26.109375" customWidth="1"/>
    <col min="2" max="2" width="128.88671875" customWidth="1"/>
    <col min="3" max="3" width="21" customWidth="1"/>
    <col min="4" max="6" width="19.88671875" style="96" customWidth="1"/>
    <col min="7" max="7" width="23.5546875" style="96" customWidth="1"/>
    <col min="8" max="8" width="14.44140625" style="161" customWidth="1"/>
    <col min="9" max="9" width="14.44140625" customWidth="1"/>
    <col min="10" max="10" width="13.109375" customWidth="1"/>
  </cols>
  <sheetData>
    <row r="1" spans="1:8" x14ac:dyDescent="0.25">
      <c r="A1" s="4" t="str" cm="1">
        <f t="array" aca="1" ref="A1" ca="1">MID(CELL("filename",A1),FIND("]",CELL("filename",A1))+1,255)</f>
        <v>Eng_Timber_OSB</v>
      </c>
      <c r="H1"/>
    </row>
    <row r="2" spans="1:8" x14ac:dyDescent="0.25">
      <c r="A2" s="4"/>
      <c r="C2" s="4"/>
      <c r="H2"/>
    </row>
    <row r="3" spans="1:8" x14ac:dyDescent="0.25">
      <c r="A3" s="4" t="s">
        <v>4048</v>
      </c>
      <c r="B3" t="s">
        <v>4229</v>
      </c>
      <c r="H3"/>
    </row>
    <row r="4" spans="1:8" x14ac:dyDescent="0.25">
      <c r="A4" s="4"/>
      <c r="H4"/>
    </row>
    <row r="5" spans="1:8" ht="92.25" customHeight="1" x14ac:dyDescent="0.25">
      <c r="A5" s="26" t="s">
        <v>4050</v>
      </c>
      <c r="B5" s="14" t="s">
        <v>4230</v>
      </c>
      <c r="D5" s="14"/>
      <c r="E5" s="43"/>
      <c r="H5"/>
    </row>
    <row r="6" spans="1:8" x14ac:dyDescent="0.25">
      <c r="A6" s="26" t="s">
        <v>4052</v>
      </c>
      <c r="B6" t="s">
        <v>71</v>
      </c>
      <c r="D6"/>
      <c r="H6"/>
    </row>
    <row r="7" spans="1:8" x14ac:dyDescent="0.25">
      <c r="A7" s="26" t="s">
        <v>4053</v>
      </c>
      <c r="B7" s="27" t="s">
        <v>68</v>
      </c>
      <c r="H7"/>
    </row>
    <row r="8" spans="1:8" x14ac:dyDescent="0.25">
      <c r="A8" s="26" t="s">
        <v>4054</v>
      </c>
      <c r="B8" s="27" t="s">
        <v>71</v>
      </c>
      <c r="H8"/>
    </row>
    <row r="9" spans="1:8" x14ac:dyDescent="0.25">
      <c r="A9" s="26" t="s">
        <v>4055</v>
      </c>
      <c r="B9" s="4" t="s">
        <v>71</v>
      </c>
      <c r="H9"/>
    </row>
    <row r="10" spans="1:8" x14ac:dyDescent="0.25">
      <c r="A10" s="26"/>
      <c r="B10" s="4"/>
      <c r="H10"/>
    </row>
    <row r="11" spans="1:8" x14ac:dyDescent="0.25">
      <c r="A11" s="26" t="s">
        <v>4056</v>
      </c>
      <c r="B11" s="14"/>
      <c r="H11"/>
    </row>
    <row r="12" spans="1:8" x14ac:dyDescent="0.25">
      <c r="A12" s="101"/>
      <c r="H12"/>
    </row>
    <row r="13" spans="1:8" x14ac:dyDescent="0.25">
      <c r="A13" s="101"/>
      <c r="H13"/>
    </row>
    <row r="14" spans="1:8" x14ac:dyDescent="0.25">
      <c r="A14" s="26" t="s">
        <v>4057</v>
      </c>
      <c r="H14"/>
    </row>
    <row r="15" spans="1:8" x14ac:dyDescent="0.25">
      <c r="A15" s="26"/>
      <c r="D15" s="112" t="s">
        <v>4058</v>
      </c>
      <c r="E15" s="113"/>
      <c r="F15" s="114" t="s">
        <v>4059</v>
      </c>
      <c r="G15" s="113"/>
      <c r="H15"/>
    </row>
    <row r="16" spans="1:8" ht="39.6" x14ac:dyDescent="0.25">
      <c r="B16" s="28" t="s">
        <v>3504</v>
      </c>
      <c r="C16" s="23" t="s">
        <v>23</v>
      </c>
      <c r="D16" s="24" t="s">
        <v>141</v>
      </c>
      <c r="E16" s="25" t="s">
        <v>148</v>
      </c>
      <c r="F16" s="24" t="s">
        <v>142</v>
      </c>
      <c r="G16" s="45" t="s">
        <v>149</v>
      </c>
      <c r="H16" s="44" t="s">
        <v>4201</v>
      </c>
    </row>
    <row r="17" spans="2:10" x14ac:dyDescent="0.25">
      <c r="B17" s="29"/>
      <c r="C17" s="30" t="s">
        <v>4060</v>
      </c>
      <c r="D17" s="118" t="str" cm="1">
        <f t="array" ref="D17">IF(AND(_xlfn.ANCHORARRAY(C23)=C23),C23,"Mixed")</f>
        <v>m³</v>
      </c>
      <c r="E17" s="118" t="s">
        <v>219</v>
      </c>
      <c r="F17" s="118" t="str" cm="1">
        <f t="array" ref="F17">IF(AND(_xlfn.ANCHORARRAY(C23)=C23),C23,"Mixed")</f>
        <v>m³</v>
      </c>
      <c r="G17" s="118" t="s">
        <v>219</v>
      </c>
    </row>
    <row r="18" spans="2:10" s="14" customFormat="1" x14ac:dyDescent="0.25">
      <c r="B18" s="31"/>
      <c r="C18" s="4" t="s">
        <v>4061</v>
      </c>
      <c r="D18" s="96">
        <f>MAX(_xlfn.ANCHORARRAY(D23))</f>
        <v>384.37333333333322</v>
      </c>
      <c r="E18" s="96">
        <f t="shared" ref="E18" si="0">MAX(_xlfn.ANCHORARRAY(E23))</f>
        <v>0.63955629506378253</v>
      </c>
      <c r="F18" s="162">
        <f>VLOOKUP($D18,$D$23:$F$211,3,FALSE)</f>
        <v>1041.3333333333333</v>
      </c>
      <c r="G18" s="162">
        <f>VLOOKUP($D18,$D$23:$G$211,4,FALSE)</f>
        <v>1.732667775929007</v>
      </c>
      <c r="H18" s="163">
        <f>D18/E18</f>
        <v>600.99999999999989</v>
      </c>
      <c r="I18"/>
      <c r="J18"/>
    </row>
    <row r="19" spans="2:10" x14ac:dyDescent="0.25">
      <c r="B19" s="122"/>
      <c r="C19" s="4" t="s">
        <v>4062</v>
      </c>
      <c r="D19" s="96">
        <f>MIN(_xlfn.ANCHORARRAY(D23))</f>
        <v>101.17899999999997</v>
      </c>
      <c r="E19" s="96">
        <f t="shared" ref="E19:G19" si="1">MIN(_xlfn.ANCHORARRAY(E23))</f>
        <v>0.1646420967741935</v>
      </c>
      <c r="F19" s="96">
        <f t="shared" si="1"/>
        <v>979.29333333333318</v>
      </c>
      <c r="G19" s="96">
        <f t="shared" si="1"/>
        <v>1.6133333333333331</v>
      </c>
      <c r="H19" s="163">
        <f>D19/E19</f>
        <v>614.53906371689914</v>
      </c>
    </row>
    <row r="20" spans="2:10" x14ac:dyDescent="0.25">
      <c r="B20" s="122"/>
      <c r="C20" s="4" t="s">
        <v>4063</v>
      </c>
      <c r="D20" s="96">
        <f>AVERAGE(_xlfn.ANCHORARRAY(D23))</f>
        <v>201.78475333333327</v>
      </c>
      <c r="E20" s="96">
        <f t="shared" ref="E20:G20" si="2">AVERAGE(_xlfn.ANCHORARRAY(E23))</f>
        <v>0.33103200369904573</v>
      </c>
      <c r="F20" s="96">
        <f t="shared" si="2"/>
        <v>1014.6253333333332</v>
      </c>
      <c r="G20" s="96">
        <f t="shared" si="2"/>
        <v>1.659200221852468</v>
      </c>
      <c r="H20" s="163">
        <f>D20/E20</f>
        <v>609.56267393645646</v>
      </c>
    </row>
    <row r="21" spans="2:10" x14ac:dyDescent="0.25">
      <c r="B21" s="122"/>
      <c r="C21" s="4"/>
      <c r="H21" s="163"/>
    </row>
    <row r="22" spans="2:10" x14ac:dyDescent="0.25">
      <c r="B22" s="32" t="s">
        <v>4064</v>
      </c>
      <c r="D22"/>
      <c r="E22"/>
      <c r="F22"/>
      <c r="G22"/>
      <c r="H22" s="163"/>
    </row>
    <row r="23" spans="2:10" x14ac:dyDescent="0.25">
      <c r="B23" s="122" t="str" cm="1">
        <f t="array" ref="B23:B27">_xlfn.UNIQUE(_xlfn._xlws.FILTER('EPD List'!D:D,ISNUMBER(SEARCH(B16,'EPD List'!C:C)),0))</f>
        <v>Oriented Strand Board (OSB) (Kronospan Orman) (Turkey)</v>
      </c>
      <c r="C23" t="str" cm="1">
        <f t="array" ref="C23:C27">_xlfn.IFNA(INDEX('EPD List'!$A:$AB,MATCH(_xlfn.ANCHORARRAY(B23),'EPD List'!$D:$D,0),MATCH(C$16,'EPD List'!$7:$7,0)),"")</f>
        <v>m³</v>
      </c>
      <c r="D23" s="96" cm="1">
        <f t="array" ref="D23:D27">_xlfn.IFNA(VALUE((INDEX('EPD List'!$A:$AD,MATCH(_xlfn.ANCHORARRAY($B23),'EPD List'!$D:$D,0),MATCH(D$16,'EPD List'!$7:$7,0)))),"")</f>
        <v>195</v>
      </c>
      <c r="E23" s="96" cm="1">
        <f t="array" ref="E23:E27">_xlfn.IFNA(VALUE((INDEX('EPD List'!$A:$AD,MATCH(_xlfn.ANCHORARRAY($B23),'EPD List'!$D:$D,0),MATCH(E$16,'EPD List'!$7:$7,0)))),"")</f>
        <v>0.30952380952380953</v>
      </c>
      <c r="F23" s="96" cm="1">
        <f t="array" ref="F23:F27">_xlfn.IFNA(VALUE((INDEX('EPD List'!$A:$AD,MATCH(_xlfn.ANCHORARRAY($B23),'EPD List'!$D:$D,0),MATCH(F$16,'EPD List'!$7:$7,0)))),"")</f>
        <v>1039.5</v>
      </c>
      <c r="G23" s="96" cm="1">
        <f t="array" ref="G23:G27">_xlfn.IFNA(VALUE((INDEX('EPD List'!$A:$AD,MATCH(_xlfn.ANCHORARRAY($B23),'EPD List'!$D:$D,0),MATCH(G$16,'EPD List'!$7:$7,0)))),"")</f>
        <v>1.65</v>
      </c>
      <c r="H23" s="163">
        <f>IFERROR(IF($C23="kg",1,
IF($C23="tonne",1000,
IF(OR($C23="m³",$C23="m³"),INDEX('EPD List'!$A:$AB,MATCH($B23,'EPD List'!$D:$D,0),MATCH("Density (kg/m3)",'EPD List'!$7:$7,0)),
IF(OR($C23="m²",$C23="m2"),INDEX('EPD List'!$A:$AB,MATCH($B23,'EPD List'!$D:$D,0),MATCH("Area density (kg/m2)",'EPD List'!$7:$7,0)),
IF($C23="m",INDEX('EPD List'!$A:$AB,MATCH($B23,'EPD List'!$D:$D,0),MATCH("mass per m (kg/m)",'EPD List'!$7:$7,0)),
IF($C23="unit",INDEX('EPD List'!$A:$AB,MATCH($B23,'EPD List'!$D:$D,0),MATCH("Mass per unit (kg/unit)",'EPD List'!$7:$7,0)),NA())))))),"")</f>
        <v>630</v>
      </c>
    </row>
    <row r="24" spans="2:10" x14ac:dyDescent="0.25">
      <c r="B24" s="122" t="str">
        <v>OSB, , Egger OSB boards Fritz Egger GmbH and Co. OG (Egger) (Global)</v>
      </c>
      <c r="C24" t="str">
        <v>m³</v>
      </c>
      <c r="D24" s="96">
        <v>226.29333333333318</v>
      </c>
      <c r="E24" s="96">
        <v>0.37280615046677634</v>
      </c>
      <c r="F24" s="96">
        <v>979.29333333333318</v>
      </c>
      <c r="G24" s="96">
        <v>1.6133333333333331</v>
      </c>
      <c r="H24" s="163">
        <f>IFERROR(IF($C24="kg",1,
IF($C24="tonne",1000,
IF(OR($C24="m³",$C24="m³"),INDEX('EPD List'!$A:$AB,MATCH($B24,'EPD List'!$D:$D,0),MATCH("Density (kg/m3)",'EPD List'!$7:$7,0)),
IF(OR($C24="m²",$C24="m2"),INDEX('EPD List'!$A:$AB,MATCH($B24,'EPD List'!$D:$D,0),MATCH("Area density (kg/m2)",'EPD List'!$7:$7,0)),
IF($C24="m",INDEX('EPD List'!$A:$AB,MATCH($B24,'EPD List'!$D:$D,0),MATCH("mass per m (kg/m)",'EPD List'!$7:$7,0)),
IF($C24="unit",INDEX('EPD List'!$A:$AB,MATCH($B24,'EPD List'!$D:$D,0),MATCH("Mass per unit (kg/unit)",'EPD List'!$7:$7,0)),NA())))))),"")</f>
        <v>607</v>
      </c>
    </row>
    <row r="25" spans="2:10" x14ac:dyDescent="0.25">
      <c r="B25" s="122" t="str">
        <v>OSB, , Oreinted Strand Board (Sonae Arauco) (Global)</v>
      </c>
      <c r="C25" t="str">
        <v>m³</v>
      </c>
      <c r="D25" s="96">
        <v>384.37333333333322</v>
      </c>
      <c r="E25" s="96">
        <v>0.63955629506378253</v>
      </c>
      <c r="F25" s="96">
        <v>1041.3333333333333</v>
      </c>
      <c r="G25" s="96">
        <v>1.732667775929007</v>
      </c>
      <c r="H25" s="163">
        <f>IFERROR(IF($C25="kg",1,
IF($C25="tonne",1000,
IF(OR($C25="m³",$C25="m³"),INDEX('EPD List'!$A:$AB,MATCH($B25,'EPD List'!$D:$D,0),MATCH("Density (kg/m3)",'EPD List'!$7:$7,0)),
IF(OR($C25="m²",$C25="m2"),INDEX('EPD List'!$A:$AB,MATCH($B25,'EPD List'!$D:$D,0),MATCH("Area density (kg/m2)",'EPD List'!$7:$7,0)),
IF($C25="m",INDEX('EPD List'!$A:$AB,MATCH($B25,'EPD List'!$D:$D,0),MATCH("mass per m (kg/m)",'EPD List'!$7:$7,0)),
IF($C25="unit",INDEX('EPD List'!$A:$AB,MATCH($B25,'EPD List'!$D:$D,0),MATCH("Mass per unit (kg/unit)",'EPD List'!$7:$7,0)),NA())))))),"")</f>
        <v>601</v>
      </c>
    </row>
    <row r="26" spans="2:10" x14ac:dyDescent="0.25">
      <c r="B26" s="122" t="str">
        <v>OSB, Global, Oriented Strand Board (620kg/m3) (Norbord Europe Ltd) (Global)</v>
      </c>
      <c r="C26" t="str">
        <v>m³</v>
      </c>
      <c r="D26" s="96">
        <v>102.07809999999995</v>
      </c>
      <c r="E26" s="96">
        <v>0.1646420967741935</v>
      </c>
      <c r="F26" s="96">
        <v>1023</v>
      </c>
      <c r="G26" s="96">
        <v>1.65</v>
      </c>
      <c r="H26" s="163">
        <f>IFERROR(IF($C26="kg",1,
IF($C26="tonne",1000,
IF(OR($C26="m³",$C26="m³"),INDEX('EPD List'!$A:$AB,MATCH($B26,'EPD List'!$D:$D,0),MATCH("Density (kg/m3)",'EPD List'!$7:$7,0)),
IF(OR($C26="m²",$C26="m2"),INDEX('EPD List'!$A:$AB,MATCH($B26,'EPD List'!$D:$D,0),MATCH("Area density (kg/m2)",'EPD List'!$7:$7,0)),
IF($C26="m",INDEX('EPD List'!$A:$AB,MATCH($B26,'EPD List'!$D:$D,0),MATCH("mass per m (kg/m)",'EPD List'!$7:$7,0)),
IF($C26="unit",INDEX('EPD List'!$A:$AB,MATCH($B26,'EPD List'!$D:$D,0),MATCH("Mass per unit (kg/unit)",'EPD List'!$7:$7,0)),NA())))))),"")</f>
        <v>620</v>
      </c>
    </row>
    <row r="27" spans="2:10" x14ac:dyDescent="0.25">
      <c r="B27" s="122" t="str">
        <v>OSB, Global, Oriented Strand Board (600kg/m3) (Norbord Europe Ltd) (Global)</v>
      </c>
      <c r="C27" t="str">
        <v>m³</v>
      </c>
      <c r="D27" s="96">
        <v>101.17899999999997</v>
      </c>
      <c r="E27" s="96">
        <v>0.16863166666666674</v>
      </c>
      <c r="F27" s="96">
        <v>990</v>
      </c>
      <c r="G27" s="96">
        <v>1.65</v>
      </c>
      <c r="H27" s="163">
        <f>IFERROR(IF($C27="kg",1,
IF($C27="tonne",1000,
IF(OR($C27="m³",$C27="m³"),INDEX('EPD List'!$A:$AB,MATCH($B27,'EPD List'!$D:$D,0),MATCH("Density (kg/m3)",'EPD List'!$7:$7,0)),
IF(OR($C27="m²",$C27="m2"),INDEX('EPD List'!$A:$AB,MATCH($B27,'EPD List'!$D:$D,0),MATCH("Area density (kg/m2)",'EPD List'!$7:$7,0)),
IF($C27="m",INDEX('EPD List'!$A:$AB,MATCH($B27,'EPD List'!$D:$D,0),MATCH("mass per m (kg/m)",'EPD List'!$7:$7,0)),
IF($C27="unit",INDEX('EPD List'!$A:$AB,MATCH($B27,'EPD List'!$D:$D,0),MATCH("Mass per unit (kg/unit)",'EPD List'!$7:$7,0)),NA())))))),"")</f>
        <v>600</v>
      </c>
    </row>
    <row r="28" spans="2:10" x14ac:dyDescent="0.25">
      <c r="B28" s="122"/>
      <c r="H28" s="163" t="str">
        <f>IFERROR(IF($C28="kg",1,
IF($C28="tonne",1000,
IF(OR($C28="m³",$C28="m³"),INDEX('EPD List'!$A:$AB,MATCH($B28,'EPD List'!$D:$D,0),MATCH("Density (kg/m3)",'EPD List'!$7:$7,0)),
IF(OR($C28="m²",$C28="m2"),INDEX('EPD List'!$A:$AB,MATCH($B28,'EPD List'!$D:$D,0),MATCH("Area density (kg/m2)",'EPD List'!$7:$7,0)),
IF($C28="m",INDEX('EPD List'!$A:$AB,MATCH($B28,'EPD List'!$D:$D,0),MATCH("mass per m (kg/m)",'EPD List'!$7:$7,0)),
IF($C28="unit",INDEX('EPD List'!$A:$AB,MATCH($B28,'EPD List'!$D:$D,0),MATCH("Mass per unit (kg/unit)",'EPD List'!$7:$7,0)),NA())))))),"")</f>
        <v/>
      </c>
    </row>
    <row r="29" spans="2:10" x14ac:dyDescent="0.25">
      <c r="B29" s="122"/>
      <c r="H29" s="163" t="str">
        <f>IFERROR(IF($C29="kg",1,
IF($C29="tonne",1000,
IF(OR($C29="m³",$C29="m³"),INDEX('EPD List'!$A:$AB,MATCH($B29,'EPD List'!$D:$D,0),MATCH("Density (kg/m3)",'EPD List'!$7:$7,0)),
IF(OR($C29="m²",$C29="m2"),INDEX('EPD List'!$A:$AB,MATCH($B29,'EPD List'!$D:$D,0),MATCH("Area density (kg/m2)",'EPD List'!$7:$7,0)),
IF($C29="m",INDEX('EPD List'!$A:$AB,MATCH($B29,'EPD List'!$D:$D,0),MATCH("mass per m (kg/m)",'EPD List'!$7:$7,0)),
IF($C29="unit",INDEX('EPD List'!$A:$AB,MATCH($B29,'EPD List'!$D:$D,0),MATCH("Mass per unit (kg/unit)",'EPD List'!$7:$7,0)),NA())))))),"")</f>
        <v/>
      </c>
    </row>
    <row r="30" spans="2:10" x14ac:dyDescent="0.25">
      <c r="B30" s="122"/>
      <c r="H30" s="163" t="str">
        <f>IFERROR(IF($C30="kg",1,
IF($C30="tonne",1000,
IF(OR($C30="m³",$C30="m³"),INDEX('EPD List'!$A:$AB,MATCH($B30,'EPD List'!$D:$D,0),MATCH("Density (kg/m3)",'EPD List'!$7:$7,0)),
IF(OR($C30="m²",$C30="m2"),INDEX('EPD List'!$A:$AB,MATCH($B30,'EPD List'!$D:$D,0),MATCH("Area density (kg/m2)",'EPD List'!$7:$7,0)),
IF($C30="m",INDEX('EPD List'!$A:$AB,MATCH($B30,'EPD List'!$D:$D,0),MATCH("mass per m (kg/m)",'EPD List'!$7:$7,0)),
IF($C30="unit",INDEX('EPD List'!$A:$AB,MATCH($B30,'EPD List'!$D:$D,0),MATCH("Mass per unit (kg/unit)",'EPD List'!$7:$7,0)),NA())))))),"")</f>
        <v/>
      </c>
    </row>
    <row r="31" spans="2:10" x14ac:dyDescent="0.25">
      <c r="B31" s="122"/>
      <c r="H31" s="163" t="str">
        <f>IFERROR(IF($C31="kg",1,
IF($C31="tonne",1000,
IF(OR($C31="m³",$C31="m³"),INDEX('EPD List'!$A:$AB,MATCH($B31,'EPD List'!$D:$D,0),MATCH("Density (kg/m3)",'EPD List'!$7:$7,0)),
IF(OR($C31="m²",$C31="m2"),INDEX('EPD List'!$A:$AB,MATCH($B31,'EPD List'!$D:$D,0),MATCH("Area density (kg/m2)",'EPD List'!$7:$7,0)),
IF($C31="m",INDEX('EPD List'!$A:$AB,MATCH($B31,'EPD List'!$D:$D,0),MATCH("mass per m (kg/m)",'EPD List'!$7:$7,0)),
IF($C31="unit",INDEX('EPD List'!$A:$AB,MATCH($B31,'EPD List'!$D:$D,0),MATCH("Mass per unit (kg/unit)",'EPD List'!$7:$7,0)),NA())))))),"")</f>
        <v/>
      </c>
    </row>
    <row r="32" spans="2:10" x14ac:dyDescent="0.25">
      <c r="B32" s="122"/>
      <c r="H32" s="163" t="str">
        <f>IFERROR(IF($C32="kg",1,
IF($C32="tonne",1000,
IF(OR($C32="m³",$C32="m³"),INDEX('EPD List'!$A:$AB,MATCH($B32,'EPD List'!$D:$D,0),MATCH("Density (kg/m3)",'EPD List'!$7:$7,0)),
IF(OR($C32="m²",$C32="m2"),INDEX('EPD List'!$A:$AB,MATCH($B32,'EPD List'!$D:$D,0),MATCH("Area density (kg/m2)",'EPD List'!$7:$7,0)),
IF($C32="m",INDEX('EPD List'!$A:$AB,MATCH($B32,'EPD List'!$D:$D,0),MATCH("mass per m (kg/m)",'EPD List'!$7:$7,0)),
IF($C32="unit",INDEX('EPD List'!$A:$AB,MATCH($B32,'EPD List'!$D:$D,0),MATCH("Mass per unit (kg/unit)",'EPD List'!$7:$7,0)),NA())))))),"")</f>
        <v/>
      </c>
    </row>
    <row r="33" spans="2:8" x14ac:dyDescent="0.25">
      <c r="B33" s="122"/>
      <c r="H33" s="163" t="str">
        <f>IFERROR(IF($C33="kg",1,
IF($C33="tonne",1000,
IF(OR($C33="m³",$C33="m³"),INDEX('EPD List'!$A:$AB,MATCH($B33,'EPD List'!$D:$D,0),MATCH("Density (kg/m3)",'EPD List'!$7:$7,0)),
IF(OR($C33="m²",$C33="m2"),INDEX('EPD List'!$A:$AB,MATCH($B33,'EPD List'!$D:$D,0),MATCH("Area density (kg/m2)",'EPD List'!$7:$7,0)),
IF($C33="m",INDEX('EPD List'!$A:$AB,MATCH($B33,'EPD List'!$D:$D,0),MATCH("mass per m (kg/m)",'EPD List'!$7:$7,0)),
IF($C33="unit",INDEX('EPD List'!$A:$AB,MATCH($B33,'EPD List'!$D:$D,0),MATCH("Mass per unit (kg/unit)",'EPD List'!$7:$7,0)),NA())))))),"")</f>
        <v/>
      </c>
    </row>
    <row r="34" spans="2:8" x14ac:dyDescent="0.25">
      <c r="B34" s="122"/>
      <c r="H34" s="163" t="str">
        <f>IFERROR(IF($C34="kg",1,
IF($C34="tonne",1000,
IF(OR($C34="m³",$C34="m³"),INDEX('EPD List'!$A:$AB,MATCH($B34,'EPD List'!$D:$D,0),MATCH("Density (kg/m3)",'EPD List'!$7:$7,0)),
IF(OR($C34="m²",$C34="m2"),INDEX('EPD List'!$A:$AB,MATCH($B34,'EPD List'!$D:$D,0),MATCH("Area density (kg/m2)",'EPD List'!$7:$7,0)),
IF($C34="m",INDEX('EPD List'!$A:$AB,MATCH($B34,'EPD List'!$D:$D,0),MATCH("mass per m (kg/m)",'EPD List'!$7:$7,0)),
IF($C34="unit",INDEX('EPD List'!$A:$AB,MATCH($B34,'EPD List'!$D:$D,0),MATCH("Mass per unit (kg/unit)",'EPD List'!$7:$7,0)),NA())))))),"")</f>
        <v/>
      </c>
    </row>
    <row r="35" spans="2:8" x14ac:dyDescent="0.25">
      <c r="B35" s="122"/>
      <c r="H35" s="163" t="str">
        <f>IFERROR(IF($C35="kg",1,
IF($C35="tonne",1000,
IF(OR($C35="m³",$C35="m³"),INDEX('EPD List'!$A:$AB,MATCH($B35,'EPD List'!$D:$D,0),MATCH("Density (kg/m3)",'EPD List'!$7:$7,0)),
IF(OR($C35="m²",$C35="m2"),INDEX('EPD List'!$A:$AB,MATCH($B35,'EPD List'!$D:$D,0),MATCH("Area density (kg/m2)",'EPD List'!$7:$7,0)),
IF($C35="m",INDEX('EPD List'!$A:$AB,MATCH($B35,'EPD List'!$D:$D,0),MATCH("mass per m (kg/m)",'EPD List'!$7:$7,0)),
IF($C35="unit",INDEX('EPD List'!$A:$AB,MATCH($B35,'EPD List'!$D:$D,0),MATCH("Mass per unit (kg/unit)",'EPD List'!$7:$7,0)),NA())))))),"")</f>
        <v/>
      </c>
    </row>
    <row r="36" spans="2:8" x14ac:dyDescent="0.25">
      <c r="B36" s="122"/>
      <c r="H36" s="163" t="str">
        <f>IFERROR(IF($C36="kg",1,
IF($C36="tonne",1000,
IF(OR($C36="m³",$C36="m³"),INDEX('EPD List'!$A:$AB,MATCH($B36,'EPD List'!$D:$D,0),MATCH("Density (kg/m3)",'EPD List'!$7:$7,0)),
IF(OR($C36="m²",$C36="m2"),INDEX('EPD List'!$A:$AB,MATCH($B36,'EPD List'!$D:$D,0),MATCH("Area density (kg/m2)",'EPD List'!$7:$7,0)),
IF($C36="m",INDEX('EPD List'!$A:$AB,MATCH($B36,'EPD List'!$D:$D,0),MATCH("mass per m (kg/m)",'EPD List'!$7:$7,0)),
IF($C36="unit",INDEX('EPD List'!$A:$AB,MATCH($B36,'EPD List'!$D:$D,0),MATCH("Mass per unit (kg/unit)",'EPD List'!$7:$7,0)),NA())))))),"")</f>
        <v/>
      </c>
    </row>
    <row r="37" spans="2:8" x14ac:dyDescent="0.25">
      <c r="B37" s="122"/>
      <c r="H37" s="163" t="str">
        <f>IFERROR(IF($C37="kg",1,
IF($C37="tonne",1000,
IF(OR($C37="m³",$C37="m³"),INDEX('EPD List'!$A:$AB,MATCH($B37,'EPD List'!$D:$D,0),MATCH("Density (kg/m3)",'EPD List'!$7:$7,0)),
IF(OR($C37="m²",$C37="m2"),INDEX('EPD List'!$A:$AB,MATCH($B37,'EPD List'!$D:$D,0),MATCH("Area density (kg/m2)",'EPD List'!$7:$7,0)),
IF($C37="m",INDEX('EPD List'!$A:$AB,MATCH($B37,'EPD List'!$D:$D,0),MATCH("mass per m (kg/m)",'EPD List'!$7:$7,0)),
IF($C37="unit",INDEX('EPD List'!$A:$AB,MATCH($B37,'EPD List'!$D:$D,0),MATCH("Mass per unit (kg/unit)",'EPD List'!$7:$7,0)),NA())))))),"")</f>
        <v/>
      </c>
    </row>
    <row r="38" spans="2:8" x14ac:dyDescent="0.25">
      <c r="B38" s="122"/>
      <c r="H38" s="163" t="str">
        <f>IFERROR(IF($C38="kg",1,
IF($C38="tonne",1000,
IF(OR($C38="m³",$C38="m³"),INDEX('EPD List'!$A:$AB,MATCH($B38,'EPD List'!$D:$D,0),MATCH("Density (kg/m3)",'EPD List'!$7:$7,0)),
IF(OR($C38="m²",$C38="m2"),INDEX('EPD List'!$A:$AB,MATCH($B38,'EPD List'!$D:$D,0),MATCH("Area density (kg/m2)",'EPD List'!$7:$7,0)),
IF($C38="m",INDEX('EPD List'!$A:$AB,MATCH($B38,'EPD List'!$D:$D,0),MATCH("mass per m (kg/m)",'EPD List'!$7:$7,0)),
IF($C38="unit",INDEX('EPD List'!$A:$AB,MATCH($B38,'EPD List'!$D:$D,0),MATCH("Mass per unit (kg/unit)",'EPD List'!$7:$7,0)),NA())))))),"")</f>
        <v/>
      </c>
    </row>
    <row r="39" spans="2:8" x14ac:dyDescent="0.25">
      <c r="B39" s="122"/>
      <c r="H39" s="163" t="str">
        <f>IFERROR(IF($C39="kg",1,
IF($C39="tonne",1000,
IF(OR($C39="m³",$C39="m³"),INDEX('EPD List'!$A:$AB,MATCH($B39,'EPD List'!$D:$D,0),MATCH("Density (kg/m3)",'EPD List'!$7:$7,0)),
IF(OR($C39="m²",$C39="m2"),INDEX('EPD List'!$A:$AB,MATCH($B39,'EPD List'!$D:$D,0),MATCH("Area density (kg/m2)",'EPD List'!$7:$7,0)),
IF($C39="m",INDEX('EPD List'!$A:$AB,MATCH($B39,'EPD List'!$D:$D,0),MATCH("mass per m (kg/m)",'EPD List'!$7:$7,0)),
IF($C39="unit",INDEX('EPD List'!$A:$AB,MATCH($B39,'EPD List'!$D:$D,0),MATCH("Mass per unit (kg/unit)",'EPD List'!$7:$7,0)),NA())))))),"")</f>
        <v/>
      </c>
    </row>
    <row r="40" spans="2:8" x14ac:dyDescent="0.25">
      <c r="B40" s="122"/>
      <c r="H40" s="163" t="str">
        <f>IFERROR(IF($C40="kg",1,
IF($C40="tonne",1000,
IF(OR($C40="m³",$C40="m³"),INDEX('EPD List'!$A:$AB,MATCH($B40,'EPD List'!$D:$D,0),MATCH("Density (kg/m3)",'EPD List'!$7:$7,0)),
IF(OR($C40="m²",$C40="m2"),INDEX('EPD List'!$A:$AB,MATCH($B40,'EPD List'!$D:$D,0),MATCH("Area density (kg/m2)",'EPD List'!$7:$7,0)),
IF($C40="m",INDEX('EPD List'!$A:$AB,MATCH($B40,'EPD List'!$D:$D,0),MATCH("mass per m (kg/m)",'EPD List'!$7:$7,0)),
IF($C40="unit",INDEX('EPD List'!$A:$AB,MATCH($B40,'EPD List'!$D:$D,0),MATCH("Mass per unit (kg/unit)",'EPD List'!$7:$7,0)),NA())))))),"")</f>
        <v/>
      </c>
    </row>
    <row r="41" spans="2:8" x14ac:dyDescent="0.25">
      <c r="B41" s="122"/>
      <c r="H41" s="163" t="str">
        <f>IFERROR(IF($C41="kg",1,
IF($C41="tonne",1000,
IF(OR($C41="m³",$C41="m³"),INDEX('EPD List'!$A:$AB,MATCH($B41,'EPD List'!$D:$D,0),MATCH("Density (kg/m3)",'EPD List'!$7:$7,0)),
IF(OR($C41="m²",$C41="m2"),INDEX('EPD List'!$A:$AB,MATCH($B41,'EPD List'!$D:$D,0),MATCH("Area density (kg/m2)",'EPD List'!$7:$7,0)),
IF($C41="m",INDEX('EPD List'!$A:$AB,MATCH($B41,'EPD List'!$D:$D,0),MATCH("mass per m (kg/m)",'EPD List'!$7:$7,0)),
IF($C41="unit",INDEX('EPD List'!$A:$AB,MATCH($B41,'EPD List'!$D:$D,0),MATCH("Mass per unit (kg/unit)",'EPD List'!$7:$7,0)),NA())))))),"")</f>
        <v/>
      </c>
    </row>
    <row r="42" spans="2:8" x14ac:dyDescent="0.25">
      <c r="B42" s="122"/>
      <c r="H42" s="163" t="str">
        <f>IFERROR(IF($C42="kg",1,
IF($C42="tonne",1000,
IF(OR($C42="m³",$C42="m³"),INDEX('EPD List'!$A:$AB,MATCH($B42,'EPD List'!$D:$D,0),MATCH("Density (kg/m3)",'EPD List'!$7:$7,0)),
IF(OR($C42="m²",$C42="m2"),INDEX('EPD List'!$A:$AB,MATCH($B42,'EPD List'!$D:$D,0),MATCH("Area density (kg/m2)",'EPD List'!$7:$7,0)),
IF($C42="m",INDEX('EPD List'!$A:$AB,MATCH($B42,'EPD List'!$D:$D,0),MATCH("mass per m (kg/m)",'EPD List'!$7:$7,0)),
IF($C42="unit",INDEX('EPD List'!$A:$AB,MATCH($B42,'EPD List'!$D:$D,0),MATCH("Mass per unit (kg/unit)",'EPD List'!$7:$7,0)),NA())))))),"")</f>
        <v/>
      </c>
    </row>
    <row r="43" spans="2:8" x14ac:dyDescent="0.25">
      <c r="B43" s="122"/>
      <c r="H43" s="163" t="str">
        <f>IFERROR(IF($C43="kg",1,
IF($C43="tonne",1000,
IF(OR($C43="m³",$C43="m³"),INDEX('EPD List'!$A:$AB,MATCH($B43,'EPD List'!$D:$D,0),MATCH("Density (kg/m3)",'EPD List'!$7:$7,0)),
IF(OR($C43="m²",$C43="m2"),INDEX('EPD List'!$A:$AB,MATCH($B43,'EPD List'!$D:$D,0),MATCH("Area density (kg/m2)",'EPD List'!$7:$7,0)),
IF($C43="m",INDEX('EPD List'!$A:$AB,MATCH($B43,'EPD List'!$D:$D,0),MATCH("mass per m (kg/m)",'EPD List'!$7:$7,0)),
IF($C43="unit",INDEX('EPD List'!$A:$AB,MATCH($B43,'EPD List'!$D:$D,0),MATCH("Mass per unit (kg/unit)",'EPD List'!$7:$7,0)),NA())))))),"")</f>
        <v/>
      </c>
    </row>
    <row r="44" spans="2:8" x14ac:dyDescent="0.25">
      <c r="B44" s="122"/>
      <c r="H44" s="163" t="str">
        <f>IFERROR(IF($C44="kg",1,
IF($C44="tonne",1000,
IF(OR($C44="m³",$C44="m³"),INDEX('EPD List'!$A:$AB,MATCH($B44,'EPD List'!$D:$D,0),MATCH("Density (kg/m3)",'EPD List'!$7:$7,0)),
IF(OR($C44="m²",$C44="m2"),INDEX('EPD List'!$A:$AB,MATCH($B44,'EPD List'!$D:$D,0),MATCH("Area density (kg/m2)",'EPD List'!$7:$7,0)),
IF($C44="m",INDEX('EPD List'!$A:$AB,MATCH($B44,'EPD List'!$D:$D,0),MATCH("mass per m (kg/m)",'EPD List'!$7:$7,0)),
IF($C44="unit",INDEX('EPD List'!$A:$AB,MATCH($B44,'EPD List'!$D:$D,0),MATCH("Mass per unit (kg/unit)",'EPD List'!$7:$7,0)),NA())))))),"")</f>
        <v/>
      </c>
    </row>
    <row r="45" spans="2:8" x14ac:dyDescent="0.25">
      <c r="B45" s="122"/>
    </row>
    <row r="46" spans="2:8" x14ac:dyDescent="0.25">
      <c r="B46" s="122"/>
    </row>
    <row r="47" spans="2:8" x14ac:dyDescent="0.25">
      <c r="B47" s="122"/>
    </row>
    <row r="48" spans="2:8" x14ac:dyDescent="0.25">
      <c r="B48" s="122"/>
    </row>
    <row r="49" spans="2:2" x14ac:dyDescent="0.25">
      <c r="B49" s="122"/>
    </row>
    <row r="50" spans="2:2" x14ac:dyDescent="0.25">
      <c r="B50" s="122"/>
    </row>
    <row r="51" spans="2:2" x14ac:dyDescent="0.25">
      <c r="B51" s="122"/>
    </row>
    <row r="52" spans="2:2" x14ac:dyDescent="0.25">
      <c r="B52" s="122"/>
    </row>
    <row r="53" spans="2:2" x14ac:dyDescent="0.25">
      <c r="B53" s="122"/>
    </row>
    <row r="54" spans="2:2" x14ac:dyDescent="0.25">
      <c r="B54" s="122"/>
    </row>
    <row r="55" spans="2:2" x14ac:dyDescent="0.25">
      <c r="B55" s="122"/>
    </row>
    <row r="56" spans="2:2" x14ac:dyDescent="0.25">
      <c r="B56" s="122"/>
    </row>
    <row r="57" spans="2:2" x14ac:dyDescent="0.25">
      <c r="B57" s="122"/>
    </row>
    <row r="58" spans="2:2" x14ac:dyDescent="0.25">
      <c r="B58" s="122"/>
    </row>
    <row r="59" spans="2:2" x14ac:dyDescent="0.25">
      <c r="B59" s="122"/>
    </row>
    <row r="60" spans="2:2" x14ac:dyDescent="0.25">
      <c r="B60" s="122"/>
    </row>
    <row r="61" spans="2:2" x14ac:dyDescent="0.25">
      <c r="B61" s="122"/>
    </row>
    <row r="62" spans="2:2" x14ac:dyDescent="0.25">
      <c r="B62" s="122"/>
    </row>
    <row r="63" spans="2:2" x14ac:dyDescent="0.25">
      <c r="B63" s="122"/>
    </row>
    <row r="64" spans="2:2" x14ac:dyDescent="0.25">
      <c r="B64" s="122"/>
    </row>
    <row r="65" spans="2:2" x14ac:dyDescent="0.25">
      <c r="B65" s="122"/>
    </row>
    <row r="66" spans="2:2" x14ac:dyDescent="0.25">
      <c r="B66" s="122"/>
    </row>
    <row r="67" spans="2:2" x14ac:dyDescent="0.25">
      <c r="B67" s="122"/>
    </row>
    <row r="68" spans="2:2" x14ac:dyDescent="0.25">
      <c r="B68" s="122"/>
    </row>
    <row r="69" spans="2:2" x14ac:dyDescent="0.25">
      <c r="B69" s="122"/>
    </row>
    <row r="70" spans="2:2" x14ac:dyDescent="0.25">
      <c r="B70" s="122"/>
    </row>
    <row r="71" spans="2:2" x14ac:dyDescent="0.25">
      <c r="B71" s="122"/>
    </row>
    <row r="72" spans="2:2" x14ac:dyDescent="0.25">
      <c r="B72" s="122"/>
    </row>
    <row r="73" spans="2:2" x14ac:dyDescent="0.25">
      <c r="B73" s="122"/>
    </row>
    <row r="74" spans="2:2" x14ac:dyDescent="0.25">
      <c r="B74" s="122"/>
    </row>
    <row r="75" spans="2:2" x14ac:dyDescent="0.25">
      <c r="B75" s="122"/>
    </row>
    <row r="76" spans="2:2" x14ac:dyDescent="0.25">
      <c r="B76" s="122"/>
    </row>
    <row r="77" spans="2:2" x14ac:dyDescent="0.25">
      <c r="B77" s="122"/>
    </row>
    <row r="78" spans="2:2" x14ac:dyDescent="0.25">
      <c r="B78" s="122"/>
    </row>
    <row r="79" spans="2:2" x14ac:dyDescent="0.25">
      <c r="B79" s="122"/>
    </row>
    <row r="80" spans="2:2" x14ac:dyDescent="0.25">
      <c r="B80" s="122"/>
    </row>
    <row r="81" spans="2:10" x14ac:dyDescent="0.25">
      <c r="B81" s="122"/>
    </row>
    <row r="82" spans="2:10" x14ac:dyDescent="0.25">
      <c r="B82" s="122"/>
    </row>
    <row r="83" spans="2:10" x14ac:dyDescent="0.25">
      <c r="B83" s="122"/>
    </row>
    <row r="84" spans="2:10" x14ac:dyDescent="0.25">
      <c r="B84" s="122"/>
    </row>
    <row r="85" spans="2:10" x14ac:dyDescent="0.25">
      <c r="B85" s="122"/>
    </row>
    <row r="86" spans="2:10" x14ac:dyDescent="0.25">
      <c r="B86" s="122"/>
    </row>
    <row r="87" spans="2:10" x14ac:dyDescent="0.25">
      <c r="B87" s="122"/>
    </row>
    <row r="88" spans="2:10" x14ac:dyDescent="0.25">
      <c r="B88" s="122"/>
    </row>
    <row r="89" spans="2:10" x14ac:dyDescent="0.25">
      <c r="B89" s="122"/>
    </row>
    <row r="90" spans="2:10" x14ac:dyDescent="0.25">
      <c r="B90" s="122"/>
      <c r="J90" s="96"/>
    </row>
    <row r="91" spans="2:10" x14ac:dyDescent="0.25">
      <c r="B91" s="122"/>
    </row>
    <row r="92" spans="2:10" x14ac:dyDescent="0.25">
      <c r="B92" s="122"/>
    </row>
    <row r="93" spans="2:10" x14ac:dyDescent="0.25">
      <c r="B93" s="122"/>
    </row>
    <row r="94" spans="2:10" x14ac:dyDescent="0.25">
      <c r="B94" s="122"/>
    </row>
    <row r="95" spans="2:10" x14ac:dyDescent="0.25">
      <c r="B95" s="122"/>
    </row>
    <row r="96" spans="2:10" x14ac:dyDescent="0.25">
      <c r="B96" s="122"/>
    </row>
    <row r="97" spans="2:2" x14ac:dyDescent="0.25">
      <c r="B97" s="122"/>
    </row>
    <row r="98" spans="2:2" x14ac:dyDescent="0.25">
      <c r="B98" s="122"/>
    </row>
    <row r="99" spans="2:2" x14ac:dyDescent="0.25">
      <c r="B99" s="122"/>
    </row>
    <row r="100" spans="2:2" x14ac:dyDescent="0.25">
      <c r="B100" s="122"/>
    </row>
    <row r="101" spans="2:2" x14ac:dyDescent="0.25">
      <c r="B101" s="122"/>
    </row>
    <row r="102" spans="2:2" x14ac:dyDescent="0.25">
      <c r="B102" s="122"/>
    </row>
    <row r="103" spans="2:2" x14ac:dyDescent="0.25">
      <c r="B103" s="122"/>
    </row>
    <row r="104" spans="2:2" x14ac:dyDescent="0.25">
      <c r="B104" s="122"/>
    </row>
    <row r="105" spans="2:2" x14ac:dyDescent="0.25">
      <c r="B105" s="122"/>
    </row>
    <row r="106" spans="2:2" x14ac:dyDescent="0.25">
      <c r="B106" s="122"/>
    </row>
    <row r="107" spans="2:2" x14ac:dyDescent="0.25">
      <c r="B107" s="122"/>
    </row>
    <row r="108" spans="2:2" x14ac:dyDescent="0.25">
      <c r="B108" s="122"/>
    </row>
    <row r="109" spans="2:2" x14ac:dyDescent="0.25">
      <c r="B109" s="122"/>
    </row>
    <row r="110" spans="2:2" x14ac:dyDescent="0.25">
      <c r="B110" s="122"/>
    </row>
    <row r="111" spans="2:2" x14ac:dyDescent="0.25">
      <c r="B111" s="122"/>
    </row>
    <row r="112" spans="2:2" x14ac:dyDescent="0.25">
      <c r="B112" s="122"/>
    </row>
    <row r="113" spans="2:2" x14ac:dyDescent="0.25">
      <c r="B113" s="122"/>
    </row>
    <row r="114" spans="2:2" x14ac:dyDescent="0.25">
      <c r="B114" s="122"/>
    </row>
    <row r="115" spans="2:2" x14ac:dyDescent="0.25">
      <c r="B115" s="122"/>
    </row>
    <row r="116" spans="2:2" x14ac:dyDescent="0.25">
      <c r="B116" s="122"/>
    </row>
    <row r="117" spans="2:2" x14ac:dyDescent="0.25">
      <c r="B117" s="122"/>
    </row>
    <row r="118" spans="2:2" x14ac:dyDescent="0.25">
      <c r="B118" s="122"/>
    </row>
    <row r="119" spans="2:2" x14ac:dyDescent="0.25">
      <c r="B119" s="122"/>
    </row>
    <row r="120" spans="2:2" x14ac:dyDescent="0.25">
      <c r="B120" s="122"/>
    </row>
    <row r="121" spans="2:2" x14ac:dyDescent="0.25">
      <c r="B121" s="122"/>
    </row>
    <row r="122" spans="2:2" x14ac:dyDescent="0.25">
      <c r="B122" s="122"/>
    </row>
    <row r="123" spans="2:2" x14ac:dyDescent="0.25">
      <c r="B123" s="122"/>
    </row>
    <row r="124" spans="2:2" x14ac:dyDescent="0.25">
      <c r="B124" s="122"/>
    </row>
    <row r="125" spans="2:2" x14ac:dyDescent="0.25">
      <c r="B125" s="122"/>
    </row>
    <row r="126" spans="2:2" x14ac:dyDescent="0.25">
      <c r="B126" s="122"/>
    </row>
    <row r="127" spans="2:2" x14ac:dyDescent="0.25">
      <c r="B127" s="122"/>
    </row>
    <row r="128" spans="2:2" x14ac:dyDescent="0.25">
      <c r="B128" s="122"/>
    </row>
    <row r="129" spans="2:2" x14ac:dyDescent="0.25">
      <c r="B129" s="122"/>
    </row>
    <row r="130" spans="2:2" x14ac:dyDescent="0.25">
      <c r="B130" s="122"/>
    </row>
    <row r="131" spans="2:2" x14ac:dyDescent="0.25">
      <c r="B131" s="122"/>
    </row>
    <row r="132" spans="2:2" x14ac:dyDescent="0.25">
      <c r="B132" s="122"/>
    </row>
    <row r="133" spans="2:2" x14ac:dyDescent="0.25">
      <c r="B133" s="122"/>
    </row>
    <row r="134" spans="2:2" x14ac:dyDescent="0.25">
      <c r="B134" s="122"/>
    </row>
    <row r="135" spans="2:2" x14ac:dyDescent="0.25">
      <c r="B135" s="122"/>
    </row>
    <row r="136" spans="2:2" x14ac:dyDescent="0.25">
      <c r="B136" s="122"/>
    </row>
    <row r="137" spans="2:2" x14ac:dyDescent="0.25">
      <c r="B137" s="122"/>
    </row>
    <row r="138" spans="2:2" x14ac:dyDescent="0.25">
      <c r="B138" s="122"/>
    </row>
    <row r="139" spans="2:2" x14ac:dyDescent="0.25">
      <c r="B139" s="122"/>
    </row>
    <row r="140" spans="2:2" x14ac:dyDescent="0.25">
      <c r="B140" s="122"/>
    </row>
    <row r="141" spans="2:2" x14ac:dyDescent="0.25">
      <c r="B141" s="122"/>
    </row>
    <row r="142" spans="2:2" x14ac:dyDescent="0.25">
      <c r="B142" s="122"/>
    </row>
    <row r="143" spans="2:2" x14ac:dyDescent="0.25">
      <c r="B143" s="122"/>
    </row>
    <row r="144" spans="2:2" x14ac:dyDescent="0.25">
      <c r="B144" s="122"/>
    </row>
    <row r="145" spans="2:2" x14ac:dyDescent="0.25">
      <c r="B145" s="122"/>
    </row>
    <row r="146" spans="2:2" x14ac:dyDescent="0.25">
      <c r="B146" s="122"/>
    </row>
    <row r="147" spans="2:2" x14ac:dyDescent="0.25">
      <c r="B147" s="122"/>
    </row>
    <row r="148" spans="2:2" x14ac:dyDescent="0.25">
      <c r="B148" s="122"/>
    </row>
    <row r="149" spans="2:2" x14ac:dyDescent="0.25">
      <c r="B149" s="122"/>
    </row>
    <row r="150" spans="2:2" x14ac:dyDescent="0.25">
      <c r="B150" s="122"/>
    </row>
    <row r="151" spans="2:2" x14ac:dyDescent="0.25">
      <c r="B151" s="122"/>
    </row>
    <row r="152" spans="2:2" x14ac:dyDescent="0.25">
      <c r="B152" s="122"/>
    </row>
    <row r="153" spans="2:2" x14ac:dyDescent="0.25">
      <c r="B153" s="122"/>
    </row>
    <row r="154" spans="2:2" x14ac:dyDescent="0.25">
      <c r="B154" s="122"/>
    </row>
    <row r="155" spans="2:2" x14ac:dyDescent="0.25">
      <c r="B155" s="122"/>
    </row>
    <row r="156" spans="2:2" x14ac:dyDescent="0.25">
      <c r="B156" s="122"/>
    </row>
    <row r="157" spans="2:2" x14ac:dyDescent="0.25">
      <c r="B157" s="122"/>
    </row>
    <row r="158" spans="2:2" x14ac:dyDescent="0.25">
      <c r="B158" s="122"/>
    </row>
    <row r="159" spans="2:2" x14ac:dyDescent="0.25">
      <c r="B159" s="122"/>
    </row>
    <row r="160" spans="2:2" x14ac:dyDescent="0.25">
      <c r="B160" s="122"/>
    </row>
    <row r="161" spans="2:7" x14ac:dyDescent="0.25">
      <c r="B161" s="122"/>
    </row>
    <row r="162" spans="2:7" x14ac:dyDescent="0.25">
      <c r="B162" s="122"/>
    </row>
    <row r="163" spans="2:7" x14ac:dyDescent="0.25">
      <c r="B163" s="122"/>
    </row>
    <row r="164" spans="2:7" x14ac:dyDescent="0.25">
      <c r="B164" s="122"/>
    </row>
    <row r="165" spans="2:7" x14ac:dyDescent="0.25">
      <c r="B165" s="122"/>
    </row>
    <row r="166" spans="2:7" x14ac:dyDescent="0.25">
      <c r="B166" s="125"/>
      <c r="C166" s="126"/>
      <c r="D166" s="127"/>
      <c r="E166" s="127"/>
      <c r="F166" s="127"/>
      <c r="G166" s="127"/>
    </row>
  </sheetData>
  <dataValidations count="1">
    <dataValidation type="list" allowBlank="1" showInputMessage="1" showErrorMessage="1" sqref="B6:B9" xr:uid="{22E36AC8-7D45-441E-B1B2-C89A99C3CC8C}">
      <formula1>"Tier 1,Tier 2,Tier 3,Tier 4"</formula1>
    </dataValidation>
  </dataValidations>
  <pageMargins left="0.7" right="0.7" top="0.75" bottom="0.75" header="0.3" footer="0.3"/>
  <legacy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6C1731-98D0-4846-93DA-BEB48F30302D}">
  <sheetPr codeName="Sheet82">
    <tabColor rgb="FF00CCFF"/>
  </sheetPr>
  <dimension ref="A1:I166"/>
  <sheetViews>
    <sheetView showGridLines="0" zoomScale="80" zoomScaleNormal="80" workbookViewId="0"/>
  </sheetViews>
  <sheetFormatPr defaultRowHeight="13.2" x14ac:dyDescent="0.25"/>
  <cols>
    <col min="1" max="1" width="26.109375" customWidth="1"/>
    <col min="2" max="2" width="128.88671875" style="122" customWidth="1"/>
    <col min="3" max="3" width="21" customWidth="1"/>
    <col min="4" max="6" width="19.88671875" style="96" customWidth="1"/>
    <col min="7" max="7" width="23.5546875" style="121" customWidth="1"/>
    <col min="8" max="8" width="14.44140625" customWidth="1"/>
    <col min="9" max="9" width="13.109375" customWidth="1"/>
  </cols>
  <sheetData>
    <row r="1" spans="1:7" x14ac:dyDescent="0.25">
      <c r="A1" s="4" t="str" cm="1">
        <f t="array" aca="1" ref="A1" ca="1">MID(CELL("filename",A1),FIND("]",CELL("filename",A1))+1,255)</f>
        <v>Lift_Cat1_2</v>
      </c>
      <c r="B1"/>
      <c r="G1" s="96"/>
    </row>
    <row r="2" spans="1:7" x14ac:dyDescent="0.25">
      <c r="A2" s="4"/>
      <c r="B2"/>
      <c r="C2" s="4"/>
      <c r="G2" s="96"/>
    </row>
    <row r="3" spans="1:7" ht="26.4" x14ac:dyDescent="0.25">
      <c r="A3" s="4" t="s">
        <v>4048</v>
      </c>
      <c r="B3" s="75" t="s">
        <v>4231</v>
      </c>
      <c r="G3" s="96"/>
    </row>
    <row r="4" spans="1:7" x14ac:dyDescent="0.25">
      <c r="A4" s="4"/>
      <c r="B4"/>
      <c r="G4" s="96"/>
    </row>
    <row r="5" spans="1:7" ht="92.25" customHeight="1" x14ac:dyDescent="0.25">
      <c r="A5" s="26" t="s">
        <v>4050</v>
      </c>
      <c r="B5" s="14" t="s">
        <v>4232</v>
      </c>
      <c r="D5" s="14"/>
      <c r="E5" s="43"/>
      <c r="G5" s="96"/>
    </row>
    <row r="6" spans="1:7" x14ac:dyDescent="0.25">
      <c r="A6" s="26" t="s">
        <v>4052</v>
      </c>
      <c r="B6" t="s">
        <v>70</v>
      </c>
      <c r="D6"/>
      <c r="G6" s="96"/>
    </row>
    <row r="7" spans="1:7" x14ac:dyDescent="0.25">
      <c r="A7" s="26" t="s">
        <v>4053</v>
      </c>
      <c r="B7" s="27" t="s">
        <v>68</v>
      </c>
      <c r="G7" s="96"/>
    </row>
    <row r="8" spans="1:7" x14ac:dyDescent="0.25">
      <c r="A8" s="26" t="s">
        <v>4054</v>
      </c>
      <c r="B8" s="27" t="s">
        <v>71</v>
      </c>
      <c r="G8" s="96"/>
    </row>
    <row r="9" spans="1:7" x14ac:dyDescent="0.25">
      <c r="A9" s="26" t="s">
        <v>4055</v>
      </c>
      <c r="B9" s="4" t="s">
        <v>71</v>
      </c>
      <c r="G9" s="96"/>
    </row>
    <row r="10" spans="1:7" x14ac:dyDescent="0.25">
      <c r="A10" s="26"/>
      <c r="B10" s="4"/>
      <c r="G10" s="96"/>
    </row>
    <row r="11" spans="1:7" x14ac:dyDescent="0.25">
      <c r="A11" s="26" t="s">
        <v>4056</v>
      </c>
      <c r="B11" s="14"/>
      <c r="G11" s="96"/>
    </row>
    <row r="12" spans="1:7" x14ac:dyDescent="0.25">
      <c r="A12" s="101"/>
      <c r="B12"/>
      <c r="G12" s="96"/>
    </row>
    <row r="13" spans="1:7" x14ac:dyDescent="0.25">
      <c r="A13" s="101"/>
      <c r="B13"/>
      <c r="G13" s="96"/>
    </row>
    <row r="14" spans="1:7" x14ac:dyDescent="0.25">
      <c r="A14" s="26" t="s">
        <v>4057</v>
      </c>
      <c r="B14"/>
      <c r="G14" s="96"/>
    </row>
    <row r="15" spans="1:7" x14ac:dyDescent="0.25">
      <c r="A15" s="26"/>
      <c r="B15"/>
      <c r="D15" s="112" t="s">
        <v>4058</v>
      </c>
      <c r="E15" s="113"/>
      <c r="F15" s="114" t="s">
        <v>4059</v>
      </c>
      <c r="G15" s="113"/>
    </row>
    <row r="16" spans="1:7" ht="39.6" x14ac:dyDescent="0.25">
      <c r="B16" s="28" t="s">
        <v>3685</v>
      </c>
      <c r="C16" s="23" t="s">
        <v>23</v>
      </c>
      <c r="D16" s="24" t="s">
        <v>141</v>
      </c>
      <c r="E16" s="25" t="s">
        <v>148</v>
      </c>
      <c r="F16" s="24" t="s">
        <v>142</v>
      </c>
      <c r="G16" s="24" t="s">
        <v>149</v>
      </c>
    </row>
    <row r="17" spans="2:9" x14ac:dyDescent="0.25">
      <c r="B17" s="29"/>
      <c r="C17" s="30" t="s">
        <v>4060</v>
      </c>
      <c r="D17" s="118" t="str" cm="1">
        <f t="array" ref="D17">IF(AND(_xlfn.ANCHORARRAY(C23)=C23),C23,"Mixed")</f>
        <v>Unit</v>
      </c>
      <c r="E17" s="118" t="s">
        <v>219</v>
      </c>
      <c r="F17" s="118" t="str" cm="1">
        <f t="array" ref="F17">IF(AND(_xlfn.ANCHORARRAY(C23)=C23),C23,"Mixed")</f>
        <v>Unit</v>
      </c>
      <c r="G17" s="119" t="s">
        <v>219</v>
      </c>
    </row>
    <row r="18" spans="2:9" s="14" customFormat="1" x14ac:dyDescent="0.25">
      <c r="B18" s="31"/>
      <c r="C18" s="4" t="s">
        <v>4061</v>
      </c>
      <c r="D18" s="96">
        <f>MAX(_xlfn.ANCHORARRAY(D23))</f>
        <v>28801.149000000001</v>
      </c>
      <c r="E18" s="96">
        <f t="shared" ref="E18:G18" si="0">MAX(_xlfn.ANCHORARRAY(E23))</f>
        <v>3.894678701825558</v>
      </c>
      <c r="F18" s="96">
        <f t="shared" si="0"/>
        <v>0</v>
      </c>
      <c r="G18" s="121">
        <f t="shared" si="0"/>
        <v>0</v>
      </c>
      <c r="H18"/>
      <c r="I18"/>
    </row>
    <row r="19" spans="2:9" x14ac:dyDescent="0.25">
      <c r="C19" s="4" t="s">
        <v>4062</v>
      </c>
      <c r="D19" s="96">
        <f>MIN(_xlfn.ANCHORARRAY(D23))</f>
        <v>4496.6500000000005</v>
      </c>
      <c r="E19" s="96">
        <f t="shared" ref="E19:G19" si="1">MIN(_xlfn.ANCHORARRAY(E23))</f>
        <v>1.9274110587226749</v>
      </c>
      <c r="F19" s="96">
        <f t="shared" si="1"/>
        <v>0</v>
      </c>
      <c r="G19" s="121">
        <f t="shared" si="1"/>
        <v>0</v>
      </c>
    </row>
    <row r="20" spans="2:9" x14ac:dyDescent="0.25">
      <c r="C20" s="4" t="s">
        <v>4063</v>
      </c>
      <c r="D20" s="96">
        <f>AVERAGE(_xlfn.ANCHORARRAY(D23))</f>
        <v>14157.740250000001</v>
      </c>
      <c r="E20" s="96">
        <f t="shared" ref="E20:G20" si="2">AVERAGE(_xlfn.ANCHORARRAY(E23))</f>
        <v>2.9871948121179286</v>
      </c>
      <c r="F20" s="96">
        <f t="shared" si="2"/>
        <v>0</v>
      </c>
      <c r="G20" s="121">
        <f t="shared" si="2"/>
        <v>0</v>
      </c>
    </row>
    <row r="21" spans="2:9" x14ac:dyDescent="0.25">
      <c r="C21" s="4"/>
    </row>
    <row r="22" spans="2:9" x14ac:dyDescent="0.25">
      <c r="B22" s="32" t="s">
        <v>4064</v>
      </c>
      <c r="D22"/>
      <c r="E22"/>
      <c r="F22"/>
      <c r="G22" s="124"/>
    </row>
    <row r="23" spans="2:9" x14ac:dyDescent="0.25">
      <c r="B23" s="122" t="str" cm="1">
        <f t="array" ref="B23:B26">_xlfn.UNIQUE(_xlfn._xlws.FILTER('EPD List'!D:D,ISNUMBER(SEARCH(B16,'EPD List'!C:C)),0))</f>
        <v>Lift, , KONE Monospace 300 DX (Usage Cat. 1/2) (KONE) (Global)</v>
      </c>
      <c r="C23" t="str" cm="1">
        <f t="array" ref="C23:C26">_xlfn.IFNA(INDEX('EPD List'!$A:$AB,MATCH(_xlfn.ANCHORARRAY(B23),'EPD List'!$D:$D,0),MATCH(C$16,'EPD List'!$7:$7,0)),"")</f>
        <v>Unit</v>
      </c>
      <c r="D23" s="96" cm="1">
        <f t="array" ref="D23:D26">_xlfn.IFNA(VALUE((INDEX('EPD List'!$A:$AD,MATCH(_xlfn.ANCHORARRAY($B23),'EPD List'!$D:$D,0),MATCH(D$16,'EPD List'!$7:$7,0)))),"")</f>
        <v>16456.740000000002</v>
      </c>
      <c r="E23" s="96" cm="1">
        <f t="array" ref="E23:E26">IFERROR(VALUE((INDEX('EPD List'!$A:$AD,MATCH(_xlfn.ANCHORARRAY($B23),'EPD List'!$D:$D,0),MATCH(E$16,'EPD List'!$7:$7,0)))),"")</f>
        <v>3.4910352142554091</v>
      </c>
      <c r="F23" s="96" cm="1">
        <f t="array" ref="F23:F26">_xlfn.IFNA(VALUE((INDEX('EPD List'!$A:$AD,MATCH(_xlfn.ANCHORARRAY($B23),'EPD List'!$D:$D,0),MATCH(F$16,'EPD List'!$7:$7,0)))),"")</f>
        <v>0</v>
      </c>
      <c r="G23" s="121" cm="1">
        <f t="array" ref="G23:G26">IFERROR(VALUE((INDEX('EPD List'!$A:$AD,MATCH(_xlfn.ANCHORARRAY($B23),'EPD List'!$D:$D,0),MATCH(G$16,'EPD List'!$7:$7,0)))),"")</f>
        <v>0</v>
      </c>
    </row>
    <row r="24" spans="2:9" x14ac:dyDescent="0.25">
      <c r="B24" s="122" t="str">
        <v>Lift, , TK Elevator (Usage Cat. 1/2) (TK Elevator GmbH) (Europe)</v>
      </c>
      <c r="C24" t="str">
        <v>Unit</v>
      </c>
      <c r="D24" s="96">
        <v>4496.6500000000005</v>
      </c>
      <c r="E24" s="96">
        <v>1.9274110587226749</v>
      </c>
      <c r="F24" s="96">
        <v>0</v>
      </c>
      <c r="G24" s="121">
        <v>0</v>
      </c>
    </row>
    <row r="25" spans="2:9" x14ac:dyDescent="0.25">
      <c r="B25" s="122" t="str">
        <v>Lift, , KONE Monospace 500 DX (Usage Cat. 1/2) (KONE) (Global)</v>
      </c>
      <c r="C25" t="str">
        <v>Unit</v>
      </c>
      <c r="D25" s="96">
        <v>28801.149000000001</v>
      </c>
      <c r="E25" s="96">
        <v>3.894678701825558</v>
      </c>
      <c r="F25" s="96">
        <v>0</v>
      </c>
      <c r="G25" s="121">
        <v>0</v>
      </c>
    </row>
    <row r="26" spans="2:9" x14ac:dyDescent="0.25">
      <c r="B26" s="122" t="str">
        <v>Lift, , OTIS GEN2 LIFE (Usage Cat. 1/2) (OTIS) (Europe)</v>
      </c>
      <c r="C26" t="str">
        <v>Unit</v>
      </c>
      <c r="D26" s="96">
        <v>6876.4219999999996</v>
      </c>
      <c r="E26" s="96">
        <v>2.6356542736680719</v>
      </c>
      <c r="F26" s="96">
        <v>0</v>
      </c>
      <c r="G26" s="121">
        <v>0</v>
      </c>
    </row>
    <row r="90" spans="9:9" x14ac:dyDescent="0.25">
      <c r="I90" s="96"/>
    </row>
    <row r="166" spans="2:7" x14ac:dyDescent="0.25">
      <c r="B166" s="125"/>
      <c r="C166" s="126"/>
      <c r="D166" s="127"/>
      <c r="E166" s="127"/>
      <c r="F166" s="127"/>
      <c r="G166" s="128"/>
    </row>
  </sheetData>
  <dataValidations count="1">
    <dataValidation type="list" allowBlank="1" showInputMessage="1" showErrorMessage="1" sqref="B6:B9" xr:uid="{A1B78B3A-09AD-484A-97DB-35663A2A5D27}">
      <formula1>"Tier 1,Tier 2,Tier 3,Tier 4"</formula1>
    </dataValidation>
  </dataValidations>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A7339D-AF84-4DCD-A295-52EE1B77F97B}">
  <sheetPr codeName="Sheet83">
    <tabColor rgb="FF00CCFF"/>
  </sheetPr>
  <dimension ref="A1:I166"/>
  <sheetViews>
    <sheetView showGridLines="0" zoomScale="80" zoomScaleNormal="80" workbookViewId="0"/>
  </sheetViews>
  <sheetFormatPr defaultRowHeight="13.2" x14ac:dyDescent="0.25"/>
  <cols>
    <col min="1" max="1" width="26.109375" customWidth="1"/>
    <col min="2" max="2" width="128.88671875" style="122" customWidth="1"/>
    <col min="3" max="3" width="21" customWidth="1"/>
    <col min="4" max="6" width="19.88671875" style="96" customWidth="1"/>
    <col min="7" max="7" width="23.5546875" style="121" customWidth="1"/>
    <col min="8" max="8" width="14.44140625" customWidth="1"/>
    <col min="9" max="9" width="13.109375" customWidth="1"/>
  </cols>
  <sheetData>
    <row r="1" spans="1:7" x14ac:dyDescent="0.25">
      <c r="A1" s="4" t="str" cm="1">
        <f t="array" aca="1" ref="A1" ca="1">MID(CELL("filename",A1),FIND("]",CELL("filename",A1))+1,255)</f>
        <v>Lift_Cat3_4</v>
      </c>
      <c r="B1"/>
      <c r="G1" s="96"/>
    </row>
    <row r="2" spans="1:7" x14ac:dyDescent="0.25">
      <c r="A2" s="4"/>
      <c r="B2"/>
      <c r="C2" s="4"/>
      <c r="G2" s="96"/>
    </row>
    <row r="3" spans="1:7" ht="26.4" x14ac:dyDescent="0.25">
      <c r="A3" s="4" t="s">
        <v>4048</v>
      </c>
      <c r="B3" s="75" t="s">
        <v>4233</v>
      </c>
      <c r="G3" s="96"/>
    </row>
    <row r="4" spans="1:7" x14ac:dyDescent="0.25">
      <c r="A4" s="4"/>
      <c r="B4"/>
      <c r="G4" s="96"/>
    </row>
    <row r="5" spans="1:7" ht="92.25" customHeight="1" x14ac:dyDescent="0.25">
      <c r="A5" s="26" t="s">
        <v>4050</v>
      </c>
      <c r="B5" s="14" t="s">
        <v>4232</v>
      </c>
      <c r="D5" s="14"/>
      <c r="E5" s="43"/>
      <c r="G5" s="96"/>
    </row>
    <row r="6" spans="1:7" x14ac:dyDescent="0.25">
      <c r="A6" s="26" t="s">
        <v>4052</v>
      </c>
      <c r="B6" t="s">
        <v>70</v>
      </c>
      <c r="D6"/>
      <c r="G6" s="96"/>
    </row>
    <row r="7" spans="1:7" x14ac:dyDescent="0.25">
      <c r="A7" s="26" t="s">
        <v>4053</v>
      </c>
      <c r="B7" s="27" t="s">
        <v>68</v>
      </c>
      <c r="G7" s="96"/>
    </row>
    <row r="8" spans="1:7" x14ac:dyDescent="0.25">
      <c r="A8" s="26" t="s">
        <v>4054</v>
      </c>
      <c r="B8" s="27" t="s">
        <v>71</v>
      </c>
      <c r="G8" s="96"/>
    </row>
    <row r="9" spans="1:7" x14ac:dyDescent="0.25">
      <c r="A9" s="26" t="s">
        <v>4055</v>
      </c>
      <c r="B9" s="4" t="s">
        <v>71</v>
      </c>
      <c r="G9" s="96"/>
    </row>
    <row r="10" spans="1:7" x14ac:dyDescent="0.25">
      <c r="A10" s="26"/>
      <c r="B10" s="4"/>
      <c r="G10" s="96"/>
    </row>
    <row r="11" spans="1:7" x14ac:dyDescent="0.25">
      <c r="A11" s="26" t="s">
        <v>4056</v>
      </c>
      <c r="B11" s="14"/>
      <c r="G11" s="96"/>
    </row>
    <row r="12" spans="1:7" x14ac:dyDescent="0.25">
      <c r="A12" s="101"/>
      <c r="B12"/>
      <c r="G12" s="96"/>
    </row>
    <row r="13" spans="1:7" x14ac:dyDescent="0.25">
      <c r="A13" s="101"/>
      <c r="B13"/>
      <c r="G13" s="96"/>
    </row>
    <row r="14" spans="1:7" x14ac:dyDescent="0.25">
      <c r="A14" s="26" t="s">
        <v>4057</v>
      </c>
      <c r="B14"/>
      <c r="G14" s="96"/>
    </row>
    <row r="15" spans="1:7" x14ac:dyDescent="0.25">
      <c r="A15" s="26"/>
      <c r="B15"/>
      <c r="D15" s="112" t="s">
        <v>4058</v>
      </c>
      <c r="E15" s="113"/>
      <c r="F15" s="114" t="s">
        <v>4059</v>
      </c>
      <c r="G15" s="113"/>
    </row>
    <row r="16" spans="1:7" ht="39.6" x14ac:dyDescent="0.25">
      <c r="B16" s="28" t="s">
        <v>3689</v>
      </c>
      <c r="C16" s="23" t="s">
        <v>23</v>
      </c>
      <c r="D16" s="24" t="s">
        <v>141</v>
      </c>
      <c r="E16" s="25" t="s">
        <v>148</v>
      </c>
      <c r="F16" s="24" t="s">
        <v>142</v>
      </c>
      <c r="G16" s="24" t="s">
        <v>149</v>
      </c>
    </row>
    <row r="17" spans="2:9" x14ac:dyDescent="0.25">
      <c r="B17" s="29"/>
      <c r="C17" s="30" t="s">
        <v>4060</v>
      </c>
      <c r="D17" s="118" t="str" cm="1">
        <f t="array" ref="D17">IF(AND(_xlfn.ANCHORARRAY(C23)=C23),C23,"Mixed")</f>
        <v>Unit</v>
      </c>
      <c r="E17" s="118" t="s">
        <v>219</v>
      </c>
      <c r="F17" s="118" t="str" cm="1">
        <f t="array" ref="F17">IF(AND(_xlfn.ANCHORARRAY(C23)=C23),C23,"Mixed")</f>
        <v>Unit</v>
      </c>
      <c r="G17" s="119" t="s">
        <v>219</v>
      </c>
    </row>
    <row r="18" spans="2:9" s="14" customFormat="1" x14ac:dyDescent="0.25">
      <c r="B18" s="31"/>
      <c r="C18" s="4" t="s">
        <v>4061</v>
      </c>
      <c r="D18" s="96">
        <f>MAX(_xlfn.ANCHORARRAY(D23))</f>
        <v>117248.001</v>
      </c>
      <c r="E18" s="96">
        <f t="shared" ref="E18:G18" si="0">MAX(_xlfn.ANCHORARRAY(E23))</f>
        <v>5.0227104096228876</v>
      </c>
      <c r="F18" s="96">
        <f t="shared" si="0"/>
        <v>0</v>
      </c>
      <c r="G18" s="121">
        <f t="shared" si="0"/>
        <v>0</v>
      </c>
      <c r="H18"/>
      <c r="I18"/>
    </row>
    <row r="19" spans="2:9" x14ac:dyDescent="0.25">
      <c r="C19" s="4" t="s">
        <v>4062</v>
      </c>
      <c r="D19" s="96">
        <f>MIN(_xlfn.ANCHORARRAY(D23))</f>
        <v>4487.5919999999996</v>
      </c>
      <c r="E19" s="96">
        <f t="shared" ref="E19:G19" si="1">MIN(_xlfn.ANCHORARRAY(E23))</f>
        <v>1.92352850407201</v>
      </c>
      <c r="F19" s="96">
        <f t="shared" si="1"/>
        <v>0</v>
      </c>
      <c r="G19" s="121">
        <f t="shared" si="1"/>
        <v>0</v>
      </c>
    </row>
    <row r="20" spans="2:9" x14ac:dyDescent="0.25">
      <c r="C20" s="4" t="s">
        <v>4063</v>
      </c>
      <c r="D20" s="96">
        <f>AVERAGE(_xlfn.ANCHORARRAY(D23))</f>
        <v>47270.922666000006</v>
      </c>
      <c r="E20" s="96">
        <f t="shared" ref="E20:G20" si="2">AVERAGE(_xlfn.ANCHORARRAY(E23))</f>
        <v>3.0404392272111997</v>
      </c>
      <c r="F20" s="96">
        <f t="shared" si="2"/>
        <v>0</v>
      </c>
      <c r="G20" s="121">
        <f t="shared" si="2"/>
        <v>0</v>
      </c>
    </row>
    <row r="21" spans="2:9" x14ac:dyDescent="0.25">
      <c r="C21" s="4"/>
    </row>
    <row r="22" spans="2:9" x14ac:dyDescent="0.25">
      <c r="B22" s="32" t="s">
        <v>4064</v>
      </c>
      <c r="D22"/>
      <c r="E22"/>
      <c r="F22"/>
      <c r="G22" s="124"/>
    </row>
    <row r="23" spans="2:9" x14ac:dyDescent="0.25">
      <c r="B23" s="122" t="str" cm="1">
        <f t="array" ref="B23:B27">_xlfn.UNIQUE(_xlfn._xlws.FILTER('EPD List'!D:D,ISNUMBER(SEARCH(B16,'EPD List'!C:C)),0))</f>
        <v>Lift, , TK Elevator (Usage Cat. 3/4) (TK Elevator GmbH) (Europe)</v>
      </c>
      <c r="C23" t="str" cm="1">
        <f t="array" ref="C23:C27">_xlfn.IFNA(INDEX('EPD List'!$A:$AB,MATCH(_xlfn.ANCHORARRAY(B23),'EPD List'!$D:$D,0),MATCH(C$16,'EPD List'!$7:$7,0)),"")</f>
        <v>Unit</v>
      </c>
      <c r="D23" s="96" cm="1">
        <f t="array" ref="D23:D27">_xlfn.IFNA(VALUE((INDEX('EPD List'!$A:$AD,MATCH(_xlfn.ANCHORARRAY($B23),'EPD List'!$D:$D,0),MATCH(D$16,'EPD List'!$7:$7,0)))),"")</f>
        <v>4487.5919999999996</v>
      </c>
      <c r="E23" s="96" cm="1">
        <f t="array" ref="E23:E27">IFERROR(VALUE((INDEX('EPD List'!$A:$AD,MATCH(_xlfn.ANCHORARRAY($B23),'EPD List'!$D:$D,0),MATCH(E$16,'EPD List'!$7:$7,0)))),"")</f>
        <v>1.92352850407201</v>
      </c>
      <c r="F23" s="96" cm="1">
        <f t="array" ref="F23:F27">_xlfn.IFNA(VALUE((INDEX('EPD List'!$A:$AD,MATCH(_xlfn.ANCHORARRAY($B23),'EPD List'!$D:$D,0),MATCH(F$16,'EPD List'!$7:$7,0)))),"")</f>
        <v>0</v>
      </c>
      <c r="G23" s="121" cm="1">
        <f t="array" ref="G23:G27">IFERROR(VALUE((INDEX('EPD List'!$A:$AD,MATCH(_xlfn.ANCHORARRAY($B23),'EPD List'!$D:$D,0),MATCH(G$16,'EPD List'!$7:$7,0)))),"")</f>
        <v>0</v>
      </c>
    </row>
    <row r="24" spans="2:9" x14ac:dyDescent="0.25">
      <c r="B24" s="122" t="str">
        <v>Lift, , KONE Minispace DX HighRise elevator with steel rope (Usage Cat. 3/4) (KONE) (Global)</v>
      </c>
      <c r="C24" t="str">
        <v>Unit</v>
      </c>
      <c r="D24" s="96">
        <v>117248.001</v>
      </c>
      <c r="E24" s="96">
        <v>2.8073267329103313</v>
      </c>
      <c r="F24" s="96">
        <v>0</v>
      </c>
      <c r="G24" s="121">
        <v>0</v>
      </c>
    </row>
    <row r="25" spans="2:9" x14ac:dyDescent="0.25">
      <c r="B25" s="122" t="str">
        <v>Lift, , OTIS GEN2 STREAM (Usage Cat. 3/4) (OTIS) (Europe)</v>
      </c>
      <c r="C25" t="str">
        <v>Unit</v>
      </c>
      <c r="D25" s="96">
        <v>19864.135200000001</v>
      </c>
      <c r="E25" s="96">
        <v>2.8256237837837839</v>
      </c>
      <c r="F25" s="96">
        <v>0</v>
      </c>
      <c r="G25" s="121">
        <v>0</v>
      </c>
    </row>
    <row r="26" spans="2:9" x14ac:dyDescent="0.25">
      <c r="B26" s="122" t="str">
        <v>Lift, , OTIS Gen2 Stream® HR (Usage Cat. 3/4) (OTIS) (Europe)</v>
      </c>
      <c r="C26" t="str">
        <v>Unit</v>
      </c>
      <c r="D26" s="96">
        <v>32955.456250000003</v>
      </c>
      <c r="E26" s="96">
        <v>2.623006705666985</v>
      </c>
      <c r="F26" s="96">
        <v>0</v>
      </c>
      <c r="G26" s="121">
        <v>0</v>
      </c>
    </row>
    <row r="27" spans="2:9" x14ac:dyDescent="0.25">
      <c r="B27" s="122" t="str">
        <v>Lift, , Rexia/Zexia lift (Usage Cat. 3/4) (Fujitech) (Global)</v>
      </c>
      <c r="C27" t="str">
        <v>Unit</v>
      </c>
      <c r="D27" s="96">
        <v>61799.428880000007</v>
      </c>
      <c r="E27" s="96">
        <v>5.0227104096228876</v>
      </c>
      <c r="F27" s="96">
        <v>0</v>
      </c>
      <c r="G27" s="121">
        <v>0</v>
      </c>
    </row>
    <row r="90" spans="9:9" x14ac:dyDescent="0.25">
      <c r="I90" s="96"/>
    </row>
    <row r="166" spans="2:7" x14ac:dyDescent="0.25">
      <c r="B166" s="125"/>
      <c r="C166" s="126"/>
      <c r="D166" s="127"/>
      <c r="E166" s="127"/>
      <c r="F166" s="127"/>
      <c r="G166" s="128"/>
    </row>
  </sheetData>
  <dataValidations count="1">
    <dataValidation type="list" allowBlank="1" showInputMessage="1" showErrorMessage="1" sqref="B6:B9" xr:uid="{9520F154-7662-4B2F-9EC3-3B99D7EFDE12}">
      <formula1>"Tier 1,Tier 2,Tier 3,Tier 4"</formula1>
    </dataValidation>
  </dataValidations>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FB6ED0-26BC-4C24-8E21-0D1525D529E5}">
  <sheetPr codeName="Sheet84">
    <tabColor rgb="FF00CCFF"/>
  </sheetPr>
  <dimension ref="A1:I166"/>
  <sheetViews>
    <sheetView showGridLines="0" zoomScale="80" zoomScaleNormal="80" workbookViewId="0"/>
  </sheetViews>
  <sheetFormatPr defaultRowHeight="13.2" x14ac:dyDescent="0.25"/>
  <cols>
    <col min="1" max="1" width="26.109375" customWidth="1"/>
    <col min="2" max="2" width="128.88671875" style="122" customWidth="1"/>
    <col min="3" max="3" width="21" customWidth="1"/>
    <col min="4" max="6" width="19.88671875" style="96" customWidth="1"/>
    <col min="7" max="7" width="23.5546875" style="121" customWidth="1"/>
    <col min="8" max="8" width="14.44140625" customWidth="1"/>
    <col min="9" max="9" width="13.109375" customWidth="1"/>
  </cols>
  <sheetData>
    <row r="1" spans="1:7" x14ac:dyDescent="0.25">
      <c r="A1" s="4" t="str" cm="1">
        <f t="array" aca="1" ref="A1" ca="1">MID(CELL("filename",A1),FIND("]",CELL("filename",A1))+1,255)</f>
        <v>Lift_Cat5_6</v>
      </c>
      <c r="B1"/>
      <c r="G1" s="96"/>
    </row>
    <row r="2" spans="1:7" x14ac:dyDescent="0.25">
      <c r="A2" s="4"/>
      <c r="B2"/>
      <c r="C2" s="4"/>
      <c r="G2" s="96"/>
    </row>
    <row r="3" spans="1:7" ht="26.4" x14ac:dyDescent="0.25">
      <c r="A3" s="4" t="s">
        <v>4048</v>
      </c>
      <c r="B3" s="75" t="s">
        <v>4234</v>
      </c>
      <c r="G3" s="96"/>
    </row>
    <row r="4" spans="1:7" x14ac:dyDescent="0.25">
      <c r="A4" s="4"/>
      <c r="B4"/>
      <c r="G4" s="96"/>
    </row>
    <row r="5" spans="1:7" ht="92.25" customHeight="1" x14ac:dyDescent="0.25">
      <c r="A5" s="26" t="s">
        <v>4050</v>
      </c>
      <c r="B5" s="14" t="s">
        <v>4232</v>
      </c>
      <c r="D5" s="14"/>
      <c r="E5" s="43"/>
      <c r="G5" s="96"/>
    </row>
    <row r="6" spans="1:7" x14ac:dyDescent="0.25">
      <c r="A6" s="26" t="s">
        <v>4052</v>
      </c>
      <c r="B6" t="s">
        <v>70</v>
      </c>
      <c r="D6"/>
      <c r="G6" s="96"/>
    </row>
    <row r="7" spans="1:7" x14ac:dyDescent="0.25">
      <c r="A7" s="26" t="s">
        <v>4053</v>
      </c>
      <c r="B7" s="27" t="s">
        <v>68</v>
      </c>
      <c r="G7" s="96"/>
    </row>
    <row r="8" spans="1:7" x14ac:dyDescent="0.25">
      <c r="A8" s="26" t="s">
        <v>4054</v>
      </c>
      <c r="B8" s="27" t="s">
        <v>71</v>
      </c>
      <c r="G8" s="96"/>
    </row>
    <row r="9" spans="1:7" x14ac:dyDescent="0.25">
      <c r="A9" s="26" t="s">
        <v>4055</v>
      </c>
      <c r="B9" s="4" t="s">
        <v>71</v>
      </c>
      <c r="G9" s="96"/>
    </row>
    <row r="10" spans="1:7" x14ac:dyDescent="0.25">
      <c r="A10" s="26"/>
      <c r="B10" s="4"/>
      <c r="G10" s="96"/>
    </row>
    <row r="11" spans="1:7" x14ac:dyDescent="0.25">
      <c r="A11" s="26" t="s">
        <v>4056</v>
      </c>
      <c r="B11" s="14"/>
      <c r="G11" s="96"/>
    </row>
    <row r="12" spans="1:7" x14ac:dyDescent="0.25">
      <c r="A12" s="101"/>
      <c r="B12"/>
      <c r="G12" s="96"/>
    </row>
    <row r="13" spans="1:7" x14ac:dyDescent="0.25">
      <c r="A13" s="101"/>
      <c r="B13"/>
      <c r="G13" s="96"/>
    </row>
    <row r="14" spans="1:7" x14ac:dyDescent="0.25">
      <c r="A14" s="26" t="s">
        <v>4057</v>
      </c>
      <c r="B14"/>
      <c r="G14" s="96"/>
    </row>
    <row r="15" spans="1:7" x14ac:dyDescent="0.25">
      <c r="A15" s="26"/>
      <c r="B15"/>
      <c r="D15" s="112" t="s">
        <v>4058</v>
      </c>
      <c r="E15" s="113"/>
      <c r="F15" s="114" t="s">
        <v>4059</v>
      </c>
      <c r="G15" s="113"/>
    </row>
    <row r="16" spans="1:7" ht="39.6" x14ac:dyDescent="0.25">
      <c r="B16" s="28" t="s">
        <v>3728</v>
      </c>
      <c r="C16" s="23" t="s">
        <v>23</v>
      </c>
      <c r="D16" s="24" t="s">
        <v>141</v>
      </c>
      <c r="E16" s="25" t="s">
        <v>148</v>
      </c>
      <c r="F16" s="24" t="s">
        <v>142</v>
      </c>
      <c r="G16" s="24" t="s">
        <v>149</v>
      </c>
    </row>
    <row r="17" spans="2:9" x14ac:dyDescent="0.25">
      <c r="B17" s="29"/>
      <c r="C17" s="30" t="s">
        <v>4060</v>
      </c>
      <c r="D17" s="118" t="str" cm="1">
        <f t="array" ref="D17">IF(AND(_xlfn.ANCHORARRAY(C23)=C23),C23,"Mixed")</f>
        <v>Unit</v>
      </c>
      <c r="E17" s="118" t="s">
        <v>219</v>
      </c>
      <c r="F17" s="118" t="str" cm="1">
        <f t="array" ref="F17">IF(AND(_xlfn.ANCHORARRAY(C23)=C23),C23,"Mixed")</f>
        <v>Unit</v>
      </c>
      <c r="G17" s="119" t="s">
        <v>219</v>
      </c>
    </row>
    <row r="18" spans="2:9" s="14" customFormat="1" x14ac:dyDescent="0.25">
      <c r="B18" s="31"/>
      <c r="C18" s="4" t="s">
        <v>4061</v>
      </c>
      <c r="D18" s="96">
        <f>MAX(_xlfn.ANCHORARRAY(D23))</f>
        <v>259409.09279999998</v>
      </c>
      <c r="E18" s="96">
        <f t="shared" ref="E18:G18" si="0">MAX(_xlfn.ANCHORARRAY(E23))</f>
        <v>5.5969856908604472</v>
      </c>
      <c r="F18" s="96">
        <f t="shared" si="0"/>
        <v>0</v>
      </c>
      <c r="G18" s="121">
        <f t="shared" si="0"/>
        <v>0</v>
      </c>
      <c r="H18"/>
      <c r="I18"/>
    </row>
    <row r="19" spans="2:9" x14ac:dyDescent="0.25">
      <c r="C19" s="4" t="s">
        <v>4062</v>
      </c>
      <c r="D19" s="96">
        <f>MIN(_xlfn.ANCHORARRAY(D23))</f>
        <v>140232.7248</v>
      </c>
      <c r="E19" s="96">
        <f t="shared" ref="E19:G19" si="1">MIN(_xlfn.ANCHORARRAY(E23))</f>
        <v>2.2004193441079556</v>
      </c>
      <c r="F19" s="96">
        <f t="shared" si="1"/>
        <v>0</v>
      </c>
      <c r="G19" s="121">
        <f t="shared" si="1"/>
        <v>0</v>
      </c>
    </row>
    <row r="20" spans="2:9" x14ac:dyDescent="0.25">
      <c r="C20" s="4" t="s">
        <v>4063</v>
      </c>
      <c r="D20" s="96">
        <f>AVERAGE(_xlfn.ANCHORARRAY(D23))</f>
        <v>199820.90879999998</v>
      </c>
      <c r="E20" s="96">
        <f t="shared" ref="E20:G20" si="2">AVERAGE(_xlfn.ANCHORARRAY(E23))</f>
        <v>3.8987025174842014</v>
      </c>
      <c r="F20" s="96">
        <f t="shared" si="2"/>
        <v>0</v>
      </c>
      <c r="G20" s="121">
        <f t="shared" si="2"/>
        <v>0</v>
      </c>
    </row>
    <row r="21" spans="2:9" x14ac:dyDescent="0.25">
      <c r="C21" s="4"/>
    </row>
    <row r="22" spans="2:9" x14ac:dyDescent="0.25">
      <c r="B22" s="32" t="s">
        <v>4064</v>
      </c>
      <c r="D22"/>
      <c r="E22"/>
      <c r="F22"/>
      <c r="G22" s="124"/>
    </row>
    <row r="23" spans="2:9" x14ac:dyDescent="0.25">
      <c r="B23" s="122" t="str" cm="1">
        <f t="array" ref="B23:B24">_xlfn.UNIQUE(_xlfn._xlws.FILTER('EPD List'!D:D,ISNUMBER(SEARCH(B16,'EPD List'!C:C)),0))</f>
        <v>Lift, , UCA(Ultra China Altitude) elevator (Usage Cat. 5/6) (Hitachi Elevator (China) Co., Ltd.) (China)</v>
      </c>
      <c r="C23" t="str" cm="1">
        <f t="array" ref="C23:C24">_xlfn.IFNA(INDEX('EPD List'!$A:$AB,MATCH(_xlfn.ANCHORARRAY(B23),'EPD List'!$D:$D,0),MATCH(C$16,'EPD List'!$7:$7,0)),"")</f>
        <v>Unit</v>
      </c>
      <c r="D23" s="96" cm="1">
        <f t="array" ref="D23:D24">_xlfn.IFNA(VALUE((INDEX('EPD List'!$A:$AD,MATCH(_xlfn.ANCHORARRAY($B23),'EPD List'!$D:$D,0),MATCH(D$16,'EPD List'!$7:$7,0)))),"")</f>
        <v>140232.7248</v>
      </c>
      <c r="E23" s="96" cm="1">
        <f t="array" ref="E23:E24">IFERROR(VALUE((INDEX('EPD List'!$A:$AD,MATCH(_xlfn.ANCHORARRAY($B23),'EPD List'!$D:$D,0),MATCH(E$16,'EPD List'!$7:$7,0)))),"")</f>
        <v>2.2004193441079556</v>
      </c>
      <c r="F23" s="96" cm="1">
        <f t="array" ref="F23:F24">_xlfn.IFNA(VALUE((INDEX('EPD List'!$A:$AD,MATCH(_xlfn.ANCHORARRAY($B23),'EPD List'!$D:$D,0),MATCH(F$16,'EPD List'!$7:$7,0)))),"")</f>
        <v>0</v>
      </c>
      <c r="G23" s="121" cm="1">
        <f t="array" ref="G23:G24">IFERROR(VALUE((INDEX('EPD List'!$A:$AD,MATCH(_xlfn.ANCHORARRAY($B23),'EPD List'!$D:$D,0),MATCH(G$16,'EPD List'!$7:$7,0)))),"")</f>
        <v>0</v>
      </c>
    </row>
    <row r="24" spans="2:9" x14ac:dyDescent="0.25">
      <c r="B24" s="122" t="str">
        <v>Lift, , Elsia lift (Usage Cat. 5/6) (Fujitech) (Global)</v>
      </c>
      <c r="C24" t="str">
        <v>Unit</v>
      </c>
      <c r="D24" s="96">
        <v>259409.09279999998</v>
      </c>
      <c r="E24" s="96">
        <v>5.5969856908604472</v>
      </c>
      <c r="F24" s="96">
        <v>0</v>
      </c>
      <c r="G24" s="121">
        <v>0</v>
      </c>
    </row>
    <row r="90" spans="9:9" x14ac:dyDescent="0.25">
      <c r="I90" s="96"/>
    </row>
    <row r="166" spans="2:7" x14ac:dyDescent="0.25">
      <c r="B166" s="125"/>
      <c r="C166" s="126"/>
      <c r="D166" s="127"/>
      <c r="E166" s="127"/>
      <c r="F166" s="127"/>
      <c r="G166" s="128"/>
    </row>
  </sheetData>
  <dataValidations count="1">
    <dataValidation type="list" allowBlank="1" showInputMessage="1" showErrorMessage="1" sqref="B6:B9" xr:uid="{6FA2A8E3-DDAA-4934-9660-A62E16EB3205}">
      <formula1>"Tier 1,Tier 2,Tier 3,Tier 4"</formula1>
    </dataValidation>
  </dataValidations>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4B826D-77F3-432A-9652-26CFA6B9CEBF}">
  <sheetPr codeName="Sheet85">
    <tabColor rgb="FF00CCFF"/>
  </sheetPr>
  <dimension ref="A1:I166"/>
  <sheetViews>
    <sheetView showGridLines="0" zoomScale="80" zoomScaleNormal="80" workbookViewId="0"/>
  </sheetViews>
  <sheetFormatPr defaultRowHeight="13.2" x14ac:dyDescent="0.25"/>
  <cols>
    <col min="1" max="1" width="26.109375" customWidth="1"/>
    <col min="2" max="2" width="128.88671875" style="122" customWidth="1"/>
    <col min="3" max="3" width="21" customWidth="1"/>
    <col min="4" max="6" width="19.88671875" style="96" customWidth="1"/>
    <col min="7" max="7" width="23.5546875" style="121" customWidth="1"/>
    <col min="8" max="8" width="14.44140625" customWidth="1"/>
    <col min="9" max="9" width="13.109375" customWidth="1"/>
  </cols>
  <sheetData>
    <row r="1" spans="1:7" x14ac:dyDescent="0.25">
      <c r="A1" s="4" t="str" cm="1">
        <f t="array" aca="1" ref="A1" ca="1">MID(CELL("filename",A1),FIND("]",CELL("filename",A1))+1,255)</f>
        <v>Escalator</v>
      </c>
      <c r="B1"/>
      <c r="G1" s="96"/>
    </row>
    <row r="2" spans="1:7" x14ac:dyDescent="0.25">
      <c r="A2" s="4"/>
      <c r="B2"/>
      <c r="C2" s="4"/>
      <c r="G2" s="96"/>
    </row>
    <row r="3" spans="1:7" x14ac:dyDescent="0.25">
      <c r="A3" s="4" t="s">
        <v>4048</v>
      </c>
      <c r="B3" t="s">
        <v>4235</v>
      </c>
      <c r="G3" s="96"/>
    </row>
    <row r="4" spans="1:7" x14ac:dyDescent="0.25">
      <c r="A4" s="4"/>
      <c r="B4"/>
      <c r="G4" s="96"/>
    </row>
    <row r="5" spans="1:7" ht="92.25" customHeight="1" x14ac:dyDescent="0.25">
      <c r="A5" s="26" t="s">
        <v>4050</v>
      </c>
      <c r="B5" s="14" t="s">
        <v>4236</v>
      </c>
      <c r="D5" s="14"/>
      <c r="E5" s="43"/>
      <c r="G5" s="96"/>
    </row>
    <row r="6" spans="1:7" x14ac:dyDescent="0.25">
      <c r="A6" s="26" t="s">
        <v>4052</v>
      </c>
      <c r="B6" s="27" t="s">
        <v>71</v>
      </c>
      <c r="D6"/>
      <c r="G6" s="96"/>
    </row>
    <row r="7" spans="1:7" x14ac:dyDescent="0.25">
      <c r="A7" s="26" t="s">
        <v>4053</v>
      </c>
      <c r="B7" s="27" t="s">
        <v>68</v>
      </c>
      <c r="G7" s="96"/>
    </row>
    <row r="8" spans="1:7" x14ac:dyDescent="0.25">
      <c r="A8" s="26" t="s">
        <v>4054</v>
      </c>
      <c r="B8" s="27" t="s">
        <v>71</v>
      </c>
      <c r="G8" s="96"/>
    </row>
    <row r="9" spans="1:7" x14ac:dyDescent="0.25">
      <c r="A9" s="26" t="s">
        <v>4055</v>
      </c>
      <c r="B9" s="4" t="s">
        <v>71</v>
      </c>
      <c r="G9" s="96"/>
    </row>
    <row r="10" spans="1:7" x14ac:dyDescent="0.25">
      <c r="A10" s="26"/>
      <c r="B10" s="4"/>
      <c r="G10" s="96"/>
    </row>
    <row r="11" spans="1:7" x14ac:dyDescent="0.25">
      <c r="A11" s="26" t="s">
        <v>4056</v>
      </c>
      <c r="B11" s="14"/>
      <c r="G11" s="96"/>
    </row>
    <row r="12" spans="1:7" x14ac:dyDescent="0.25">
      <c r="A12" s="101"/>
      <c r="B12"/>
      <c r="G12" s="96"/>
    </row>
    <row r="13" spans="1:7" x14ac:dyDescent="0.25">
      <c r="A13" s="101"/>
      <c r="B13"/>
      <c r="G13" s="96"/>
    </row>
    <row r="14" spans="1:7" x14ac:dyDescent="0.25">
      <c r="A14" s="26" t="s">
        <v>4057</v>
      </c>
      <c r="B14"/>
      <c r="G14" s="96"/>
    </row>
    <row r="15" spans="1:7" x14ac:dyDescent="0.25">
      <c r="A15" s="26"/>
      <c r="B15"/>
      <c r="D15" s="112" t="s">
        <v>4058</v>
      </c>
      <c r="E15" s="113"/>
      <c r="F15" s="114" t="s">
        <v>4059</v>
      </c>
      <c r="G15" s="113"/>
    </row>
    <row r="16" spans="1:7" ht="39.6" x14ac:dyDescent="0.25">
      <c r="B16" s="28" t="s">
        <v>3709</v>
      </c>
      <c r="C16" s="23" t="s">
        <v>23</v>
      </c>
      <c r="D16" s="24" t="s">
        <v>141</v>
      </c>
      <c r="E16" s="25" t="s">
        <v>148</v>
      </c>
      <c r="F16" s="24" t="s">
        <v>142</v>
      </c>
      <c r="G16" s="24" t="s">
        <v>149</v>
      </c>
    </row>
    <row r="17" spans="2:9" x14ac:dyDescent="0.25">
      <c r="B17" s="29"/>
      <c r="C17" s="30" t="s">
        <v>4060</v>
      </c>
      <c r="D17" s="118" t="str" cm="1">
        <f t="array" ref="D17">IF(AND(_xlfn.ANCHORARRAY(C23)=C23),C23,"Mixed")</f>
        <v>Unit</v>
      </c>
      <c r="E17" s="118" t="s">
        <v>219</v>
      </c>
      <c r="F17" s="118" t="str" cm="1">
        <f t="array" ref="F17">IF(AND(_xlfn.ANCHORARRAY(C23)=C23),C23,"Mixed")</f>
        <v>Unit</v>
      </c>
      <c r="G17" s="119" t="s">
        <v>219</v>
      </c>
    </row>
    <row r="18" spans="2:9" s="14" customFormat="1" x14ac:dyDescent="0.25">
      <c r="B18" s="31"/>
      <c r="C18" s="4" t="s">
        <v>4061</v>
      </c>
      <c r="D18" s="96">
        <f>MAX(_xlfn.ANCHORARRAY(D23))</f>
        <v>118165.77</v>
      </c>
      <c r="E18" s="96">
        <f t="shared" ref="E18:G18" si="0">MAX(_xlfn.ANCHORARRAY(E23))</f>
        <v>0</v>
      </c>
      <c r="F18" s="96">
        <f t="shared" si="0"/>
        <v>0</v>
      </c>
      <c r="G18" s="121">
        <f t="shared" si="0"/>
        <v>0</v>
      </c>
      <c r="H18"/>
      <c r="I18"/>
    </row>
    <row r="19" spans="2:9" x14ac:dyDescent="0.25">
      <c r="C19" s="4" t="s">
        <v>4062</v>
      </c>
      <c r="D19" s="96">
        <f>MIN(_xlfn.ANCHORARRAY(D23))</f>
        <v>20319.099999999999</v>
      </c>
      <c r="E19" s="96">
        <f t="shared" ref="E19:G19" si="1">MIN(_xlfn.ANCHORARRAY(E23))</f>
        <v>0</v>
      </c>
      <c r="F19" s="96">
        <f t="shared" si="1"/>
        <v>0</v>
      </c>
      <c r="G19" s="121">
        <f t="shared" si="1"/>
        <v>0</v>
      </c>
    </row>
    <row r="20" spans="2:9" x14ac:dyDescent="0.25">
      <c r="C20" s="4" t="s">
        <v>4063</v>
      </c>
      <c r="D20" s="96">
        <f>AVERAGE(_xlfn.ANCHORARRAY(D23))</f>
        <v>50510.063000000002</v>
      </c>
      <c r="E20" s="96">
        <f t="shared" ref="E20:G20" si="2">AVERAGE(_xlfn.ANCHORARRAY(E23))</f>
        <v>0</v>
      </c>
      <c r="F20" s="96">
        <f t="shared" si="2"/>
        <v>0</v>
      </c>
      <c r="G20" s="121">
        <f t="shared" si="2"/>
        <v>0</v>
      </c>
    </row>
    <row r="21" spans="2:9" x14ac:dyDescent="0.25">
      <c r="C21" s="4"/>
    </row>
    <row r="22" spans="2:9" x14ac:dyDescent="0.25">
      <c r="B22" s="32" t="s">
        <v>4064</v>
      </c>
      <c r="D22"/>
      <c r="E22"/>
      <c r="F22"/>
      <c r="G22" s="124"/>
    </row>
    <row r="23" spans="2:9" x14ac:dyDescent="0.25">
      <c r="B23" s="122" t="str" cm="1">
        <f t="array" ref="B23:B27">_xlfn.UNIQUE(_xlfn._xlws.FILTER('EPD List'!D:D,ISNUMBER(SEARCH(B16,'EPD List'!C:C)),0))</f>
        <v>Escalator, , TravelMaster 140T (KONE) (Global)</v>
      </c>
      <c r="C23" t="str" cm="1">
        <f t="array" ref="C23:C27">_xlfn.IFNA(INDEX('EPD List'!$A:$AB,MATCH(_xlfn.ANCHORARRAY(B23),'EPD List'!$D:$D,0),MATCH(C$16,'EPD List'!$7:$7,0)),"")</f>
        <v>Unit</v>
      </c>
      <c r="D23" s="96" cm="1">
        <f t="array" ref="D23:D27">_xlfn.IFNA(VALUE((INDEX('EPD List'!$A:$AD,MATCH(_xlfn.ANCHORARRAY($B23),'EPD List'!$D:$D,0),MATCH(D$16,'EPD List'!$7:$7,0)))),"")</f>
        <v>118165.77</v>
      </c>
      <c r="E23" s="96" cm="1">
        <f t="array" ref="E23:E27">IFERROR(VALUE((INDEX('EPD List'!$A:$AD,MATCH(_xlfn.ANCHORARRAY($B23),'EPD List'!$D:$D,0),MATCH(E$16,'EPD List'!$7:$7,0)))),"")</f>
        <v>0</v>
      </c>
      <c r="F23" s="96" cm="1">
        <f t="array" ref="F23:F27">_xlfn.IFNA(VALUE((INDEX('EPD List'!$A:$AD,MATCH(_xlfn.ANCHORARRAY($B23),'EPD List'!$D:$D,0),MATCH(F$16,'EPD List'!$7:$7,0)))),"")</f>
        <v>0</v>
      </c>
      <c r="G23" s="121" cm="1">
        <f t="array" ref="G23:G27">IFERROR(VALUE((INDEX('EPD List'!$A:$AD,MATCH(_xlfn.ANCHORARRAY($B23),'EPD List'!$D:$D,0),MATCH(G$16,'EPD List'!$7:$7,0)))),"")</f>
        <v>0</v>
      </c>
    </row>
    <row r="24" spans="2:9" x14ac:dyDescent="0.25">
      <c r="B24" s="122" t="str">
        <v>Escalator, , TravelMaster 110 (KONE) (Global)</v>
      </c>
      <c r="C24" t="str">
        <v>Unit</v>
      </c>
      <c r="D24" s="96">
        <v>35061.642</v>
      </c>
      <c r="E24" s="96">
        <v>0</v>
      </c>
      <c r="F24" s="96">
        <v>0</v>
      </c>
      <c r="G24" s="121">
        <v>0</v>
      </c>
    </row>
    <row r="25" spans="2:9" x14ac:dyDescent="0.25">
      <c r="B25" s="122" t="str">
        <v>Escalator, , OTIS Link Escalator (OTIS) (Global)</v>
      </c>
      <c r="C25" t="str">
        <v>Unit</v>
      </c>
      <c r="D25" s="96">
        <v>20319.099999999999</v>
      </c>
      <c r="E25" s="96">
        <v>0</v>
      </c>
      <c r="F25" s="96">
        <v>0</v>
      </c>
      <c r="G25" s="121">
        <v>0</v>
      </c>
    </row>
    <row r="26" spans="2:9" x14ac:dyDescent="0.25">
      <c r="B26" s="122" t="str">
        <v>Escalator, , TravelMaster 110T (KONE) (Global)</v>
      </c>
      <c r="C26" t="str">
        <v>Unit</v>
      </c>
      <c r="D26" s="96">
        <v>37764.633000000002</v>
      </c>
      <c r="E26" s="96">
        <v>0</v>
      </c>
      <c r="F26" s="96">
        <v>0</v>
      </c>
      <c r="G26" s="121">
        <v>0</v>
      </c>
    </row>
    <row r="27" spans="2:9" x14ac:dyDescent="0.25">
      <c r="B27" s="122" t="str">
        <v>Escalator, , TransitMaster 120 (KONE) (Global)</v>
      </c>
      <c r="C27" t="str">
        <v>Unit</v>
      </c>
      <c r="D27" s="96">
        <v>41239.17</v>
      </c>
      <c r="E27" s="96">
        <v>0</v>
      </c>
      <c r="F27" s="96">
        <v>0</v>
      </c>
      <c r="G27" s="121">
        <v>0</v>
      </c>
    </row>
    <row r="90" spans="9:9" x14ac:dyDescent="0.25">
      <c r="I90" s="96"/>
    </row>
    <row r="166" spans="2:7" x14ac:dyDescent="0.25">
      <c r="B166" s="125"/>
      <c r="C166" s="126"/>
      <c r="D166" s="127"/>
      <c r="E166" s="127"/>
      <c r="F166" s="127"/>
      <c r="G166" s="128"/>
    </row>
  </sheetData>
  <dataValidations count="1">
    <dataValidation type="list" allowBlank="1" showInputMessage="1" showErrorMessage="1" sqref="B6:B9" xr:uid="{11034BEC-E394-4406-A5E2-047247D9BA5B}">
      <formula1>"Tier 1,Tier 2,Tier 3,Tier 4"</formula1>
    </dataValidation>
  </dataValidations>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17497F-D83C-48AC-9B53-BB22CF6B6005}">
  <sheetPr codeName="Sheet87">
    <tabColor rgb="FF00CCFF"/>
  </sheetPr>
  <dimension ref="A1:I166"/>
  <sheetViews>
    <sheetView showGridLines="0" zoomScale="80" zoomScaleNormal="80" workbookViewId="0"/>
  </sheetViews>
  <sheetFormatPr defaultRowHeight="13.2" x14ac:dyDescent="0.25"/>
  <cols>
    <col min="1" max="1" width="26.109375" customWidth="1"/>
    <col min="2" max="2" width="128.88671875" style="122" customWidth="1"/>
    <col min="3" max="3" width="21" customWidth="1"/>
    <col min="4" max="6" width="19.88671875" style="96" customWidth="1"/>
    <col min="7" max="7" width="23.5546875" style="121" customWidth="1"/>
    <col min="8" max="8" width="14.44140625" customWidth="1"/>
    <col min="9" max="9" width="13.109375" customWidth="1"/>
  </cols>
  <sheetData>
    <row r="1" spans="1:7" x14ac:dyDescent="0.25">
      <c r="A1" s="4" t="str" cm="1">
        <f t="array" aca="1" ref="A1" ca="1">MID(CELL("filename",A1),FIND("]",CELL("filename",A1))+1,255)</f>
        <v>Roof_Tiles_Clay</v>
      </c>
      <c r="B1"/>
      <c r="G1" s="96"/>
    </row>
    <row r="2" spans="1:7" x14ac:dyDescent="0.25">
      <c r="A2" s="4"/>
      <c r="B2"/>
      <c r="C2" s="4"/>
      <c r="G2" s="96"/>
    </row>
    <row r="3" spans="1:7" x14ac:dyDescent="0.25">
      <c r="A3" s="4" t="s">
        <v>4048</v>
      </c>
      <c r="B3" t="s">
        <v>4237</v>
      </c>
      <c r="G3" s="96"/>
    </row>
    <row r="4" spans="1:7" x14ac:dyDescent="0.25">
      <c r="A4" s="4"/>
      <c r="B4"/>
      <c r="G4" s="96"/>
    </row>
    <row r="5" spans="1:7" ht="92.25" customHeight="1" x14ac:dyDescent="0.25">
      <c r="A5" s="26" t="s">
        <v>4050</v>
      </c>
      <c r="B5" s="14" t="s">
        <v>4238</v>
      </c>
      <c r="D5" s="14"/>
      <c r="E5" s="43"/>
      <c r="G5" s="96"/>
    </row>
    <row r="6" spans="1:7" x14ac:dyDescent="0.25">
      <c r="A6" s="26" t="s">
        <v>4052</v>
      </c>
      <c r="B6" s="27" t="s">
        <v>71</v>
      </c>
      <c r="D6"/>
      <c r="G6" s="96"/>
    </row>
    <row r="7" spans="1:7" x14ac:dyDescent="0.25">
      <c r="A7" s="26" t="s">
        <v>4053</v>
      </c>
      <c r="B7" s="27" t="s">
        <v>68</v>
      </c>
      <c r="G7" s="96"/>
    </row>
    <row r="8" spans="1:7" x14ac:dyDescent="0.25">
      <c r="A8" s="26" t="s">
        <v>4054</v>
      </c>
      <c r="B8" s="27" t="s">
        <v>71</v>
      </c>
      <c r="G8" s="96"/>
    </row>
    <row r="9" spans="1:7" x14ac:dyDescent="0.25">
      <c r="A9" s="26" t="s">
        <v>4055</v>
      </c>
      <c r="B9" s="4" t="s">
        <v>71</v>
      </c>
      <c r="G9" s="96"/>
    </row>
    <row r="10" spans="1:7" x14ac:dyDescent="0.25">
      <c r="A10" s="26"/>
      <c r="B10" s="4"/>
      <c r="G10" s="96"/>
    </row>
    <row r="11" spans="1:7" x14ac:dyDescent="0.25">
      <c r="A11" s="26" t="s">
        <v>4056</v>
      </c>
      <c r="B11" s="14"/>
      <c r="G11" s="96"/>
    </row>
    <row r="12" spans="1:7" x14ac:dyDescent="0.25">
      <c r="A12" s="101"/>
      <c r="B12"/>
      <c r="G12" s="96"/>
    </row>
    <row r="13" spans="1:7" x14ac:dyDescent="0.25">
      <c r="A13" s="101"/>
      <c r="B13"/>
      <c r="G13" s="96"/>
    </row>
    <row r="14" spans="1:7" x14ac:dyDescent="0.25">
      <c r="A14" s="26" t="s">
        <v>4057</v>
      </c>
      <c r="B14"/>
      <c r="G14" s="96"/>
    </row>
    <row r="15" spans="1:7" x14ac:dyDescent="0.25">
      <c r="A15" s="26"/>
      <c r="B15"/>
      <c r="D15" s="112" t="s">
        <v>4058</v>
      </c>
      <c r="E15" s="113"/>
      <c r="F15" s="114" t="s">
        <v>4059</v>
      </c>
      <c r="G15" s="113"/>
    </row>
    <row r="16" spans="1:7" ht="39.6" x14ac:dyDescent="0.25">
      <c r="B16" s="28" t="s">
        <v>4239</v>
      </c>
      <c r="C16" s="23" t="s">
        <v>23</v>
      </c>
      <c r="D16" s="24" t="s">
        <v>141</v>
      </c>
      <c r="E16" s="25" t="s">
        <v>148</v>
      </c>
      <c r="F16" s="24" t="s">
        <v>142</v>
      </c>
      <c r="G16" s="24" t="s">
        <v>149</v>
      </c>
    </row>
    <row r="17" spans="2:9" x14ac:dyDescent="0.25">
      <c r="B17" s="29"/>
      <c r="C17" s="30" t="s">
        <v>4060</v>
      </c>
      <c r="D17" s="118" t="str" cm="1">
        <f t="array" ref="D17">IF(AND(_xlfn.ANCHORARRAY(C23)=C23),C23,"Mixed")</f>
        <v>tonne</v>
      </c>
      <c r="E17" s="118" t="s">
        <v>219</v>
      </c>
      <c r="F17" s="118" t="str" cm="1">
        <f t="array" ref="F17">IF(AND(_xlfn.ANCHORARRAY(C23)=C23),C23,"Mixed")</f>
        <v>tonne</v>
      </c>
      <c r="G17" s="119" t="s">
        <v>219</v>
      </c>
    </row>
    <row r="18" spans="2:9" s="14" customFormat="1" x14ac:dyDescent="0.25">
      <c r="B18" s="31"/>
      <c r="C18" s="4" t="s">
        <v>4061</v>
      </c>
      <c r="D18" s="96">
        <f>MAX(_xlfn.ANCHORARRAY(D23))</f>
        <v>568.14395201599461</v>
      </c>
      <c r="E18" s="96">
        <f t="shared" ref="E18:G18" si="0">MAX(_xlfn.ANCHORARRAY(E23))</f>
        <v>0.56814395201599466</v>
      </c>
      <c r="F18" s="96">
        <f t="shared" si="0"/>
        <v>0</v>
      </c>
      <c r="G18" s="121">
        <f t="shared" si="0"/>
        <v>0</v>
      </c>
      <c r="H18"/>
      <c r="I18"/>
    </row>
    <row r="19" spans="2:9" x14ac:dyDescent="0.25">
      <c r="C19" s="4" t="s">
        <v>4062</v>
      </c>
      <c r="D19" s="96">
        <f>MIN(_xlfn.ANCHORARRAY(D23))</f>
        <v>47.832090000000001</v>
      </c>
      <c r="E19" s="96">
        <f t="shared" ref="E19:G19" si="1">MIN(_xlfn.ANCHORARRAY(E23))</f>
        <v>4.7832090000000001E-2</v>
      </c>
      <c r="F19" s="96">
        <f t="shared" si="1"/>
        <v>0</v>
      </c>
      <c r="G19" s="121">
        <f t="shared" si="1"/>
        <v>0</v>
      </c>
    </row>
    <row r="20" spans="2:9" x14ac:dyDescent="0.25">
      <c r="C20" s="4" t="s">
        <v>4063</v>
      </c>
      <c r="D20" s="96">
        <f>AVERAGE(_xlfn.ANCHORARRAY(D23))</f>
        <v>282.43733800399866</v>
      </c>
      <c r="E20" s="96">
        <f t="shared" ref="E20:G20" si="2">AVERAGE(_xlfn.ANCHORARRAY(E23))</f>
        <v>0.28243733800399867</v>
      </c>
      <c r="F20" s="96">
        <f t="shared" si="2"/>
        <v>0</v>
      </c>
      <c r="G20" s="121">
        <f t="shared" si="2"/>
        <v>0</v>
      </c>
    </row>
    <row r="21" spans="2:9" x14ac:dyDescent="0.25">
      <c r="C21" s="4"/>
    </row>
    <row r="22" spans="2:9" x14ac:dyDescent="0.25">
      <c r="B22" s="32" t="s">
        <v>4064</v>
      </c>
      <c r="D22"/>
      <c r="E22"/>
      <c r="F22"/>
      <c r="G22" s="124"/>
    </row>
    <row r="23" spans="2:9" x14ac:dyDescent="0.25">
      <c r="B23" s="122" t="str" cm="1">
        <f t="array" ref="B23:B26">_xlfn.UNIQUE(_xlfn._xlws.FILTER('EPD List'!D:D,ISNUMBER(SEARCH(B16,'EPD List'!C:C)),0))</f>
        <v>Roof tiles - clay, , Terracotta tiles (Sahtas) (Turkey)</v>
      </c>
      <c r="C23" t="str" cm="1">
        <f t="array" ref="C23:C26">_xlfn.IFNA(INDEX('EPD List'!$A:$AB,MATCH(_xlfn.ANCHORARRAY(B23),'EPD List'!$D:$D,0),MATCH(C$16,'EPD List'!$7:$7,0)),"")</f>
        <v>tonne</v>
      </c>
      <c r="D23" s="96" cm="1">
        <f t="array" ref="D23:D26">_xlfn.IFNA(VALUE((INDEX('EPD List'!$A:$AD,MATCH(_xlfn.ANCHORARRAY($B23),'EPD List'!$D:$D,0),MATCH(D$16,'EPD List'!$7:$7,0)))),"")</f>
        <v>568.14395201599461</v>
      </c>
      <c r="E23" s="96" cm="1">
        <f t="array" ref="E23:E26">IFERROR(VALUE((INDEX('EPD List'!$A:$AD,MATCH(_xlfn.ANCHORARRAY($B23),'EPD List'!$D:$D,0),MATCH(E$16,'EPD List'!$7:$7,0)))),"")</f>
        <v>0.56814395201599466</v>
      </c>
      <c r="F23" s="96" cm="1">
        <f t="array" ref="F23:F26">_xlfn.IFNA(VALUE((INDEX('EPD List'!$A:$AD,MATCH(_xlfn.ANCHORARRAY($B23),'EPD List'!$D:$D,0),MATCH(F$16,'EPD List'!$7:$7,0)))),"")</f>
        <v>0</v>
      </c>
      <c r="G23" s="121" cm="1">
        <f t="array" ref="G23:G26">IFERROR(VALUE((INDEX('EPD List'!$A:$AD,MATCH(_xlfn.ANCHORARRAY($B23),'EPD List'!$D:$D,0),MATCH(G$16,'EPD List'!$7:$7,0)))),"")</f>
        <v>0</v>
      </c>
    </row>
    <row r="24" spans="2:9" x14ac:dyDescent="0.25">
      <c r="B24" s="122" t="str">
        <v>Roof tiles - clay, , Clay roofing tiles  (HISPALYT) (Global)</v>
      </c>
      <c r="C24" t="str">
        <v>tonne</v>
      </c>
      <c r="D24" s="96">
        <v>199</v>
      </c>
      <c r="E24" s="96">
        <v>0.19900000000000001</v>
      </c>
      <c r="F24" s="96">
        <v>0</v>
      </c>
      <c r="G24" s="121">
        <v>0</v>
      </c>
    </row>
    <row r="25" spans="2:9" x14ac:dyDescent="0.25">
      <c r="B25" s="122" t="str">
        <v>Roof tiles - clay, , Tile (Prayag Clay Products Limited (PCPL) (Global)</v>
      </c>
      <c r="C25" t="str">
        <v>tonne</v>
      </c>
      <c r="D25" s="96">
        <v>47.832090000000001</v>
      </c>
      <c r="E25" s="96">
        <v>4.7832090000000001E-2</v>
      </c>
      <c r="F25" s="96">
        <v>0</v>
      </c>
      <c r="G25" s="121">
        <v>0</v>
      </c>
    </row>
    <row r="26" spans="2:9" x14ac:dyDescent="0.25">
      <c r="B26" s="122" t="str">
        <v>Roof tiles - clay, , Clay roofing tile (BMI Sverige AB) (Sweden)</v>
      </c>
      <c r="C26" t="str">
        <v>tonne</v>
      </c>
      <c r="D26" s="96">
        <v>314.77331000000004</v>
      </c>
      <c r="E26" s="96">
        <v>0.31477331000000008</v>
      </c>
      <c r="F26" s="96">
        <v>0</v>
      </c>
      <c r="G26" s="121">
        <v>0</v>
      </c>
    </row>
    <row r="90" spans="9:9" x14ac:dyDescent="0.25">
      <c r="I90" s="96"/>
    </row>
    <row r="166" spans="2:7" x14ac:dyDescent="0.25">
      <c r="B166" s="125"/>
      <c r="C166" s="126"/>
      <c r="D166" s="127"/>
      <c r="E166" s="127"/>
      <c r="F166" s="127"/>
      <c r="G166" s="128"/>
    </row>
  </sheetData>
  <dataValidations count="1">
    <dataValidation type="list" allowBlank="1" showInputMessage="1" showErrorMessage="1" sqref="B6:B9" xr:uid="{5C2E1E9D-FEE8-4889-9188-E3BF5FF35435}">
      <formula1>"Tier 1,Tier 2,Tier 3,Tier 4"</formula1>
    </dataValidation>
  </dataValidations>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DC3968-2E19-4A69-B4D5-4F520D84AC2B}">
  <sheetPr codeName="Sheet88">
    <tabColor rgb="FF00CCFF"/>
  </sheetPr>
  <dimension ref="A1:I166"/>
  <sheetViews>
    <sheetView showGridLines="0" zoomScale="80" zoomScaleNormal="80" workbookViewId="0"/>
  </sheetViews>
  <sheetFormatPr defaultRowHeight="13.2" x14ac:dyDescent="0.25"/>
  <cols>
    <col min="1" max="1" width="26.109375" customWidth="1"/>
    <col min="2" max="2" width="128.88671875" style="122" customWidth="1"/>
    <col min="3" max="3" width="21" customWidth="1"/>
    <col min="4" max="6" width="19.88671875" style="96" customWidth="1"/>
    <col min="7" max="7" width="23.5546875" style="121" customWidth="1"/>
    <col min="8" max="8" width="14.44140625" customWidth="1"/>
    <col min="9" max="9" width="13.109375" customWidth="1"/>
  </cols>
  <sheetData>
    <row r="1" spans="1:7" x14ac:dyDescent="0.25">
      <c r="A1" s="4" t="str" cm="1">
        <f t="array" aca="1" ref="A1" ca="1">MID(CELL("filename",A1),FIND("]",CELL("filename",A1))+1,255)</f>
        <v>GRC</v>
      </c>
      <c r="B1"/>
      <c r="G1" s="96"/>
    </row>
    <row r="2" spans="1:7" x14ac:dyDescent="0.25">
      <c r="A2" s="4"/>
      <c r="B2"/>
      <c r="C2" s="4"/>
      <c r="G2" s="96"/>
    </row>
    <row r="3" spans="1:7" x14ac:dyDescent="0.25">
      <c r="A3" s="4" t="s">
        <v>4048</v>
      </c>
      <c r="B3" t="s">
        <v>4240</v>
      </c>
      <c r="G3" s="96"/>
    </row>
    <row r="4" spans="1:7" x14ac:dyDescent="0.25">
      <c r="A4" s="4"/>
      <c r="B4"/>
      <c r="G4" s="96"/>
    </row>
    <row r="5" spans="1:7" ht="92.25" customHeight="1" x14ac:dyDescent="0.25">
      <c r="A5" s="26" t="s">
        <v>4050</v>
      </c>
      <c r="B5" s="14" t="s">
        <v>4241</v>
      </c>
      <c r="D5" s="14"/>
      <c r="E5" s="43"/>
      <c r="G5" s="96"/>
    </row>
    <row r="6" spans="1:7" x14ac:dyDescent="0.25">
      <c r="A6" s="26" t="s">
        <v>4052</v>
      </c>
      <c r="B6" s="27" t="s">
        <v>71</v>
      </c>
      <c r="D6"/>
      <c r="G6" s="96"/>
    </row>
    <row r="7" spans="1:7" x14ac:dyDescent="0.25">
      <c r="A7" s="26" t="s">
        <v>4053</v>
      </c>
      <c r="B7" s="27" t="s">
        <v>68</v>
      </c>
      <c r="G7" s="96"/>
    </row>
    <row r="8" spans="1:7" x14ac:dyDescent="0.25">
      <c r="A8" s="26" t="s">
        <v>4054</v>
      </c>
      <c r="B8" s="27" t="s">
        <v>71</v>
      </c>
      <c r="G8" s="96"/>
    </row>
    <row r="9" spans="1:7" x14ac:dyDescent="0.25">
      <c r="A9" s="26" t="s">
        <v>4055</v>
      </c>
      <c r="B9" s="4" t="s">
        <v>71</v>
      </c>
      <c r="G9" s="96"/>
    </row>
    <row r="10" spans="1:7" x14ac:dyDescent="0.25">
      <c r="A10" s="26"/>
      <c r="B10" s="4"/>
      <c r="G10" s="96"/>
    </row>
    <row r="11" spans="1:7" x14ac:dyDescent="0.25">
      <c r="A11" s="26" t="s">
        <v>4056</v>
      </c>
      <c r="B11" s="14"/>
      <c r="G11" s="96"/>
    </row>
    <row r="12" spans="1:7" x14ac:dyDescent="0.25">
      <c r="A12" s="101"/>
      <c r="B12"/>
      <c r="G12" s="96"/>
    </row>
    <row r="13" spans="1:7" x14ac:dyDescent="0.25">
      <c r="A13" s="101"/>
      <c r="B13"/>
      <c r="G13" s="96"/>
    </row>
    <row r="14" spans="1:7" x14ac:dyDescent="0.25">
      <c r="A14" s="26" t="s">
        <v>4057</v>
      </c>
      <c r="B14"/>
      <c r="G14" s="96"/>
    </row>
    <row r="15" spans="1:7" x14ac:dyDescent="0.25">
      <c r="A15" s="26"/>
      <c r="B15"/>
      <c r="D15" s="112" t="s">
        <v>4058</v>
      </c>
      <c r="E15" s="113"/>
      <c r="F15" s="114" t="s">
        <v>4059</v>
      </c>
      <c r="G15" s="113"/>
    </row>
    <row r="16" spans="1:7" ht="39.6" x14ac:dyDescent="0.25">
      <c r="B16" s="28" t="s">
        <v>2610</v>
      </c>
      <c r="C16" s="23" t="s">
        <v>23</v>
      </c>
      <c r="D16" s="24" t="s">
        <v>141</v>
      </c>
      <c r="E16" s="25" t="s">
        <v>148</v>
      </c>
      <c r="F16" s="24" t="s">
        <v>142</v>
      </c>
      <c r="G16" s="24" t="s">
        <v>149</v>
      </c>
    </row>
    <row r="17" spans="2:9" x14ac:dyDescent="0.25">
      <c r="B17" s="29"/>
      <c r="C17" s="30" t="s">
        <v>4060</v>
      </c>
      <c r="D17" s="118" t="str" cm="1">
        <f t="array" ref="D17">IF(AND(_xlfn.ANCHORARRAY(C23)=C23),C23,"Mixed")</f>
        <v>tonne</v>
      </c>
      <c r="E17" s="118" t="s">
        <v>219</v>
      </c>
      <c r="F17" s="118" t="str" cm="1">
        <f t="array" ref="F17">IF(AND(_xlfn.ANCHORARRAY(C23)=C23),C23,"Mixed")</f>
        <v>tonne</v>
      </c>
      <c r="G17" s="119" t="s">
        <v>219</v>
      </c>
    </row>
    <row r="18" spans="2:9" s="14" customFormat="1" x14ac:dyDescent="0.25">
      <c r="B18" s="31"/>
      <c r="C18" s="4" t="s">
        <v>4061</v>
      </c>
      <c r="D18" s="96">
        <f>MAX(_xlfn.ANCHORARRAY(D23))</f>
        <v>723.9</v>
      </c>
      <c r="E18" s="96">
        <f t="shared" ref="E18:G18" si="0">MAX(_xlfn.ANCHORARRAY(E23))</f>
        <v>0.72389999999999999</v>
      </c>
      <c r="F18" s="96">
        <f t="shared" si="0"/>
        <v>0</v>
      </c>
      <c r="G18" s="121">
        <f t="shared" si="0"/>
        <v>0</v>
      </c>
      <c r="H18"/>
      <c r="I18"/>
    </row>
    <row r="19" spans="2:9" x14ac:dyDescent="0.25">
      <c r="C19" s="4" t="s">
        <v>4062</v>
      </c>
      <c r="D19" s="96">
        <f>MIN(_xlfn.ANCHORARRAY(D23))</f>
        <v>407.69230769230768</v>
      </c>
      <c r="E19" s="96">
        <f t="shared" ref="E19:G19" si="1">MIN(_xlfn.ANCHORARRAY(E23))</f>
        <v>0.40769230769230769</v>
      </c>
      <c r="F19" s="96">
        <f t="shared" si="1"/>
        <v>0</v>
      </c>
      <c r="G19" s="121">
        <f t="shared" si="1"/>
        <v>0</v>
      </c>
    </row>
    <row r="20" spans="2:9" x14ac:dyDescent="0.25">
      <c r="C20" s="4" t="s">
        <v>4063</v>
      </c>
      <c r="D20" s="96">
        <f>AVERAGE(_xlfn.ANCHORARRAY(D23))</f>
        <v>544.47016317016312</v>
      </c>
      <c r="E20" s="96">
        <f t="shared" ref="E20:G20" si="2">AVERAGE(_xlfn.ANCHORARRAY(E23))</f>
        <v>0.54447016317016317</v>
      </c>
      <c r="F20" s="96">
        <f t="shared" si="2"/>
        <v>0</v>
      </c>
      <c r="G20" s="121">
        <f t="shared" si="2"/>
        <v>0</v>
      </c>
    </row>
    <row r="21" spans="2:9" x14ac:dyDescent="0.25">
      <c r="C21" s="4"/>
    </row>
    <row r="22" spans="2:9" x14ac:dyDescent="0.25">
      <c r="B22" s="32" t="s">
        <v>4064</v>
      </c>
      <c r="D22"/>
      <c r="E22"/>
      <c r="F22"/>
      <c r="G22" s="124"/>
    </row>
    <row r="23" spans="2:9" x14ac:dyDescent="0.25">
      <c r="B23" s="122" t="str" cm="1">
        <f t="array" ref="B23:B25">_xlfn.UNIQUE(_xlfn._xlws.FILTER('EPD List'!D:D,ISNUMBER(SEARCH(B16,'EPD List'!C:C)),0))</f>
        <v>GRC, , Plain GRC façade panels (Ibstock telling) (Global)</v>
      </c>
      <c r="C23" t="str" cm="1">
        <f t="array" ref="C23:C25">_xlfn.IFNA(INDEX('EPD List'!$A:$AB,MATCH(_xlfn.ANCHORARRAY(B23),'EPD List'!$D:$D,0),MATCH(C$16,'EPD List'!$7:$7,0)),"")</f>
        <v>tonne</v>
      </c>
      <c r="D23" s="96" cm="1">
        <f t="array" ref="D23:D25">_xlfn.IFNA(VALUE((INDEX('EPD List'!$A:$AD,MATCH(_xlfn.ANCHORARRAY($B23),'EPD List'!$D:$D,0),MATCH(D$16,'EPD List'!$7:$7,0)))),"")</f>
        <v>407.69230769230768</v>
      </c>
      <c r="E23" s="96" cm="1">
        <f t="array" ref="E23:E25">IFERROR(VALUE((INDEX('EPD List'!$A:$AD,MATCH(_xlfn.ANCHORARRAY($B23),'EPD List'!$D:$D,0),MATCH(E$16,'EPD List'!$7:$7,0)))),"")</f>
        <v>0.40769230769230769</v>
      </c>
      <c r="F23" s="96" cm="1">
        <f t="array" ref="F23:F25">_xlfn.IFNA(VALUE((INDEX('EPD List'!$A:$AD,MATCH(_xlfn.ANCHORARRAY($B23),'EPD List'!$D:$D,0),MATCH(F$16,'EPD List'!$7:$7,0)))),"")</f>
        <v>0</v>
      </c>
      <c r="G23" s="121" cm="1">
        <f t="array" ref="G23:G25">IFERROR(VALUE((INDEX('EPD List'!$A:$AD,MATCH(_xlfn.ANCHORARRAY($B23),'EPD List'!$D:$D,0),MATCH(G$16,'EPD List'!$7:$7,0)))),"")</f>
        <v>0</v>
      </c>
    </row>
    <row r="24" spans="2:9" x14ac:dyDescent="0.25">
      <c r="B24" s="122" t="str">
        <v>GRC, , Concrete skin and oko skin glass fibre reinforced concrete (Reider Smart Elements GmbH) (Global)</v>
      </c>
      <c r="C24" t="str">
        <v>tonne</v>
      </c>
      <c r="D24" s="96">
        <v>723.9</v>
      </c>
      <c r="E24" s="96">
        <v>0.72389999999999999</v>
      </c>
      <c r="F24" s="96">
        <v>0</v>
      </c>
      <c r="G24" s="121">
        <v>0</v>
      </c>
    </row>
    <row r="25" spans="2:9" x14ac:dyDescent="0.25">
      <c r="B25" s="122" t="str">
        <v>GRC, , Brick faced GRC façade panels (12 mm) (Ibstock telling) (Global)</v>
      </c>
      <c r="C25" t="str">
        <v>tonne</v>
      </c>
      <c r="D25" s="96">
        <v>501.81818181818181</v>
      </c>
      <c r="E25" s="96">
        <v>0.50181818181818183</v>
      </c>
      <c r="F25" s="96">
        <v>0</v>
      </c>
      <c r="G25" s="121">
        <v>0</v>
      </c>
    </row>
    <row r="90" spans="9:9" x14ac:dyDescent="0.25">
      <c r="I90" s="96"/>
    </row>
    <row r="166" spans="2:7" x14ac:dyDescent="0.25">
      <c r="B166" s="125"/>
      <c r="C166" s="126"/>
      <c r="D166" s="127"/>
      <c r="E166" s="127"/>
      <c r="F166" s="127"/>
      <c r="G166" s="128"/>
    </row>
  </sheetData>
  <dataValidations count="1">
    <dataValidation type="list" allowBlank="1" showInputMessage="1" showErrorMessage="1" sqref="B6:B9" xr:uid="{B48B8FD4-9C2A-42D8-BD7B-2F3C2AB4A6E4}">
      <formula1>"Tier 1,Tier 2,Tier 3,Tier 4"</formula1>
    </dataValidation>
  </dataValidations>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6B9D42-BDEB-4342-B9A8-E23FE61BDC7C}">
  <sheetPr codeName="Sheet91">
    <tabColor rgb="FF00CCFF"/>
  </sheetPr>
  <dimension ref="A1:I166"/>
  <sheetViews>
    <sheetView showGridLines="0" zoomScale="80" zoomScaleNormal="80" workbookViewId="0"/>
  </sheetViews>
  <sheetFormatPr defaultRowHeight="13.2" x14ac:dyDescent="0.25"/>
  <cols>
    <col min="1" max="1" width="26.109375" customWidth="1"/>
    <col min="2" max="2" width="128.88671875" style="122" customWidth="1"/>
    <col min="3" max="3" width="21" customWidth="1"/>
    <col min="4" max="6" width="19.88671875" style="96" customWidth="1"/>
    <col min="7" max="7" width="23.5546875" style="121" customWidth="1"/>
    <col min="8" max="8" width="14.44140625" customWidth="1"/>
    <col min="9" max="9" width="13.109375" customWidth="1"/>
  </cols>
  <sheetData>
    <row r="1" spans="1:7" x14ac:dyDescent="0.25">
      <c r="A1" s="4" t="str" cm="1">
        <f t="array" aca="1" ref="A1" ca="1">MID(CELL("filename",A1),FIND("]",CELL("filename",A1))+1,255)</f>
        <v>Pavers_ceramic</v>
      </c>
      <c r="B1"/>
      <c r="G1" s="96"/>
    </row>
    <row r="2" spans="1:7" x14ac:dyDescent="0.25">
      <c r="A2" s="4"/>
      <c r="B2"/>
      <c r="C2" s="4"/>
      <c r="G2" s="96"/>
    </row>
    <row r="3" spans="1:7" x14ac:dyDescent="0.25">
      <c r="A3" s="4" t="s">
        <v>4048</v>
      </c>
      <c r="B3" t="s">
        <v>4242</v>
      </c>
      <c r="G3" s="96"/>
    </row>
    <row r="4" spans="1:7" x14ac:dyDescent="0.25">
      <c r="A4" s="4"/>
      <c r="B4"/>
      <c r="G4" s="96"/>
    </row>
    <row r="5" spans="1:7" ht="92.25" customHeight="1" x14ac:dyDescent="0.25">
      <c r="A5" s="26" t="s">
        <v>4050</v>
      </c>
      <c r="B5" s="14" t="s">
        <v>4243</v>
      </c>
      <c r="D5" s="14"/>
      <c r="E5" s="43"/>
      <c r="G5" s="96"/>
    </row>
    <row r="6" spans="1:7" x14ac:dyDescent="0.25">
      <c r="A6" s="26" t="s">
        <v>4052</v>
      </c>
      <c r="B6" s="27" t="s">
        <v>70</v>
      </c>
      <c r="D6"/>
      <c r="G6" s="96"/>
    </row>
    <row r="7" spans="1:7" x14ac:dyDescent="0.25">
      <c r="A7" s="26" t="s">
        <v>4053</v>
      </c>
      <c r="B7" s="27" t="s">
        <v>68</v>
      </c>
      <c r="G7" s="96"/>
    </row>
    <row r="8" spans="1:7" x14ac:dyDescent="0.25">
      <c r="A8" s="26" t="s">
        <v>4054</v>
      </c>
      <c r="B8" s="27" t="s">
        <v>71</v>
      </c>
      <c r="G8" s="96"/>
    </row>
    <row r="9" spans="1:7" x14ac:dyDescent="0.25">
      <c r="A9" s="26" t="s">
        <v>4055</v>
      </c>
      <c r="B9" s="4" t="s">
        <v>71</v>
      </c>
      <c r="G9" s="96"/>
    </row>
    <row r="10" spans="1:7" x14ac:dyDescent="0.25">
      <c r="A10" s="26"/>
      <c r="B10" s="4"/>
      <c r="G10" s="96"/>
    </row>
    <row r="11" spans="1:7" x14ac:dyDescent="0.25">
      <c r="A11" s="26" t="s">
        <v>4056</v>
      </c>
      <c r="B11" s="14"/>
      <c r="G11" s="96"/>
    </row>
    <row r="12" spans="1:7" x14ac:dyDescent="0.25">
      <c r="A12" s="101"/>
      <c r="B12"/>
      <c r="G12" s="96"/>
    </row>
    <row r="13" spans="1:7" x14ac:dyDescent="0.25">
      <c r="A13" s="101"/>
      <c r="B13"/>
      <c r="G13" s="96"/>
    </row>
    <row r="14" spans="1:7" x14ac:dyDescent="0.25">
      <c r="A14" s="26" t="s">
        <v>4057</v>
      </c>
      <c r="B14"/>
      <c r="G14" s="96"/>
    </row>
    <row r="15" spans="1:7" x14ac:dyDescent="0.25">
      <c r="A15" s="26"/>
      <c r="B15"/>
      <c r="D15" s="112" t="s">
        <v>4058</v>
      </c>
      <c r="E15" s="113"/>
      <c r="F15" s="114" t="s">
        <v>4059</v>
      </c>
      <c r="G15" s="113"/>
    </row>
    <row r="16" spans="1:7" ht="39.6" x14ac:dyDescent="0.25">
      <c r="B16" s="28" t="s">
        <v>4244</v>
      </c>
      <c r="C16" s="23" t="s">
        <v>23</v>
      </c>
      <c r="D16" s="24" t="s">
        <v>141</v>
      </c>
      <c r="E16" s="25" t="s">
        <v>148</v>
      </c>
      <c r="F16" s="24" t="s">
        <v>142</v>
      </c>
      <c r="G16" s="24" t="s">
        <v>149</v>
      </c>
    </row>
    <row r="17" spans="2:9" x14ac:dyDescent="0.25">
      <c r="B17" s="29"/>
      <c r="C17" s="30" t="s">
        <v>4060</v>
      </c>
      <c r="D17" s="118" t="str" cm="1">
        <f t="array" ref="D17">IF(AND(_xlfn.ANCHORARRAY(C23)=C23),C23,"Mixed")</f>
        <v>kg</v>
      </c>
      <c r="E17" s="118" t="s">
        <v>219</v>
      </c>
      <c r="F17" s="118" t="str" cm="1">
        <f t="array" ref="F17">IF(AND(_xlfn.ANCHORARRAY(C23)=C23),C23,"Mixed")</f>
        <v>kg</v>
      </c>
      <c r="G17" s="119" t="s">
        <v>219</v>
      </c>
    </row>
    <row r="18" spans="2:9" s="14" customFormat="1" x14ac:dyDescent="0.25">
      <c r="B18" s="31"/>
      <c r="C18" s="4" t="s">
        <v>4061</v>
      </c>
      <c r="D18" s="96">
        <f>MAX(_xlfn.ANCHORARRAY(D23))</f>
        <v>0.81991020408163273</v>
      </c>
      <c r="E18" s="96">
        <f t="shared" ref="E18:G18" si="0">MAX(_xlfn.ANCHORARRAY(E23))</f>
        <v>0.81991020408163273</v>
      </c>
      <c r="F18" s="96">
        <f t="shared" si="0"/>
        <v>0</v>
      </c>
      <c r="G18" s="121">
        <f t="shared" si="0"/>
        <v>0</v>
      </c>
      <c r="H18"/>
      <c r="I18"/>
    </row>
    <row r="19" spans="2:9" x14ac:dyDescent="0.25">
      <c r="C19" s="4" t="s">
        <v>4062</v>
      </c>
      <c r="D19" s="96">
        <f>MIN(_xlfn.ANCHORARRAY(D23))</f>
        <v>0.30824699999999999</v>
      </c>
      <c r="E19" s="96">
        <f t="shared" ref="E19:G19" si="1">MIN(_xlfn.ANCHORARRAY(E23))</f>
        <v>0.30824699999999999</v>
      </c>
      <c r="F19" s="96">
        <f t="shared" si="1"/>
        <v>0</v>
      </c>
      <c r="G19" s="121">
        <f t="shared" si="1"/>
        <v>0</v>
      </c>
    </row>
    <row r="20" spans="2:9" x14ac:dyDescent="0.25">
      <c r="C20" s="4" t="s">
        <v>4063</v>
      </c>
      <c r="D20" s="96">
        <f>AVERAGE(_xlfn.ANCHORARRAY(D23))</f>
        <v>0.58107269306953557</v>
      </c>
      <c r="E20" s="96">
        <f t="shared" ref="E20:G20" si="2">AVERAGE(_xlfn.ANCHORARRAY(E23))</f>
        <v>0.58107269306953557</v>
      </c>
      <c r="F20" s="96">
        <f t="shared" si="2"/>
        <v>0</v>
      </c>
      <c r="G20" s="121">
        <f t="shared" si="2"/>
        <v>0</v>
      </c>
    </row>
    <row r="21" spans="2:9" x14ac:dyDescent="0.25">
      <c r="C21" s="4"/>
    </row>
    <row r="22" spans="2:9" x14ac:dyDescent="0.25">
      <c r="B22" s="32" t="s">
        <v>4064</v>
      </c>
      <c r="D22"/>
      <c r="E22"/>
      <c r="F22"/>
      <c r="G22" s="124"/>
    </row>
    <row r="23" spans="2:9" x14ac:dyDescent="0.25">
      <c r="B23" s="122" t="str" cm="1">
        <f t="array" ref="B23:B26">_xlfn.UNIQUE(_xlfn._xlws.FILTER('EPD List'!D:D,ISNUMBER(SEARCH(B16,'EPD List'!C:C)),0))</f>
        <v>Ceramic tiles, , Ceramic Facade Tile Products (Xiamen Togen Building Products Co.,Ltd) (Global)</v>
      </c>
      <c r="C23" t="str" cm="1">
        <f t="array" ref="C23:C26">_xlfn.IFNA(INDEX('EPD List'!$A:$AB,MATCH(_xlfn.ANCHORARRAY(B23),'EPD List'!$D:$D,0),MATCH(C$16,'EPD List'!$7:$7,0)),"")</f>
        <v>kg</v>
      </c>
      <c r="D23" s="96" cm="1">
        <f t="array" ref="D23:D26">_xlfn.IFNA(VALUE((INDEX('EPD List'!$A:$AD,MATCH(_xlfn.ANCHORARRAY($B23),'EPD List'!$D:$D,0),MATCH(D$16,'EPD List'!$7:$7,0)))),"")</f>
        <v>0.30824699999999999</v>
      </c>
      <c r="E23" s="96" cm="1">
        <f t="array" ref="E23:E26">IFERROR(VALUE((INDEX('EPD List'!$A:$AD,MATCH(_xlfn.ANCHORARRAY($B23),'EPD List'!$D:$D,0),MATCH(E$16,'EPD List'!$7:$7,0)))),"")</f>
        <v>0.30824699999999999</v>
      </c>
      <c r="F23" s="96" cm="1">
        <f t="array" ref="F23:F26">_xlfn.IFNA(VALUE((INDEX('EPD List'!$A:$AD,MATCH(_xlfn.ANCHORARRAY($B23),'EPD List'!$D:$D,0),MATCH(F$16,'EPD List'!$7:$7,0)))),"")</f>
        <v>0</v>
      </c>
      <c r="G23" s="121" cm="1">
        <f t="array" ref="G23:G26">IFERROR(VALUE((INDEX('EPD List'!$A:$AD,MATCH(_xlfn.ANCHORARRAY($B23),'EPD List'!$D:$D,0),MATCH(G$16,'EPD List'!$7:$7,0)))),"")</f>
        <v>0</v>
      </c>
    </row>
    <row r="24" spans="2:9" x14ac:dyDescent="0.25">
      <c r="B24" s="122" t="str">
        <v>Ceramic tiles, , Ceramic wall tiles (Kaleseramik Canakkale) (Global)</v>
      </c>
      <c r="C24" t="str">
        <v>kg</v>
      </c>
      <c r="D24" s="96">
        <v>0.73674714285714293</v>
      </c>
      <c r="E24" s="96">
        <v>0.73674714285714293</v>
      </c>
      <c r="F24" s="96">
        <v>0</v>
      </c>
      <c r="G24" s="121">
        <v>0</v>
      </c>
    </row>
    <row r="25" spans="2:9" x14ac:dyDescent="0.25">
      <c r="B25" s="122" t="str">
        <v>Ceramic tiles, , Ceramic tiles for exterior and interior floor and wall coverings (Exa) (Global)</v>
      </c>
      <c r="C25" t="str">
        <v>kg</v>
      </c>
      <c r="D25" s="96">
        <v>0.81991020408163273</v>
      </c>
      <c r="E25" s="96">
        <v>0.81991020408163273</v>
      </c>
      <c r="F25" s="96">
        <v>0</v>
      </c>
      <c r="G25" s="121">
        <v>0</v>
      </c>
    </row>
    <row r="26" spans="2:9" x14ac:dyDescent="0.25">
      <c r="B26" s="122" t="str">
        <v>Ceramic tiles, , Porcelain Stone ware tiles (Saloni) (Global)</v>
      </c>
      <c r="C26" t="str">
        <v>kg</v>
      </c>
      <c r="D26" s="96">
        <v>0.45938642533936647</v>
      </c>
      <c r="E26" s="96">
        <v>0.45938642533936647</v>
      </c>
      <c r="F26" s="96">
        <v>0</v>
      </c>
      <c r="G26" s="121">
        <v>0</v>
      </c>
    </row>
    <row r="90" spans="9:9" x14ac:dyDescent="0.25">
      <c r="I90" s="96"/>
    </row>
    <row r="166" spans="2:7" x14ac:dyDescent="0.25">
      <c r="B166" s="125"/>
      <c r="C166" s="126"/>
      <c r="D166" s="127"/>
      <c r="E166" s="127"/>
      <c r="F166" s="127"/>
      <c r="G166" s="128"/>
    </row>
  </sheetData>
  <dataValidations count="1">
    <dataValidation type="list" allowBlank="1" showInputMessage="1" showErrorMessage="1" sqref="B6:B9" xr:uid="{70B9FDBC-06D5-4453-8446-84236AD31156}">
      <formula1>"Tier 1,Tier 2,Tier 3,Tier 4"</formula1>
    </dataValidation>
  </dataValidations>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3CCCCB-E21E-4F1C-9109-297D69F47410}">
  <sheetPr codeName="Sheet92">
    <tabColor rgb="FF00CCFF"/>
  </sheetPr>
  <dimension ref="A1:I166"/>
  <sheetViews>
    <sheetView showGridLines="0" zoomScale="80" zoomScaleNormal="80" workbookViewId="0"/>
  </sheetViews>
  <sheetFormatPr defaultRowHeight="13.2" x14ac:dyDescent="0.25"/>
  <cols>
    <col min="1" max="1" width="26.109375" customWidth="1"/>
    <col min="2" max="2" width="128.88671875" style="122" customWidth="1"/>
    <col min="3" max="3" width="21" customWidth="1"/>
    <col min="4" max="6" width="19.88671875" style="96" customWidth="1"/>
    <col min="7" max="7" width="23.5546875" style="121" customWidth="1"/>
    <col min="8" max="8" width="14.44140625" customWidth="1"/>
    <col min="9" max="9" width="13.109375" customWidth="1"/>
  </cols>
  <sheetData>
    <row r="1" spans="1:7" x14ac:dyDescent="0.25">
      <c r="A1" s="4" t="str" cm="1">
        <f t="array" aca="1" ref="A1" ca="1">MID(CELL("filename",A1),FIND("]",CELL("filename",A1))+1,255)</f>
        <v>Pavers_stone</v>
      </c>
      <c r="B1"/>
      <c r="G1" s="96"/>
    </row>
    <row r="2" spans="1:7" x14ac:dyDescent="0.25">
      <c r="A2" s="4"/>
      <c r="B2"/>
      <c r="C2" s="4"/>
      <c r="G2" s="96"/>
    </row>
    <row r="3" spans="1:7" x14ac:dyDescent="0.25">
      <c r="A3" s="4" t="s">
        <v>4048</v>
      </c>
      <c r="B3" t="s">
        <v>4245</v>
      </c>
      <c r="G3" s="96"/>
    </row>
    <row r="4" spans="1:7" x14ac:dyDescent="0.25">
      <c r="A4" s="4"/>
      <c r="B4"/>
      <c r="G4" s="96"/>
    </row>
    <row r="5" spans="1:7" ht="92.25" customHeight="1" x14ac:dyDescent="0.25">
      <c r="A5" s="26" t="s">
        <v>4050</v>
      </c>
      <c r="B5" s="14" t="s">
        <v>4246</v>
      </c>
      <c r="D5" s="14"/>
      <c r="E5" s="43"/>
      <c r="G5" s="96"/>
    </row>
    <row r="6" spans="1:7" x14ac:dyDescent="0.25">
      <c r="A6" s="26" t="s">
        <v>4052</v>
      </c>
      <c r="B6" s="27" t="s">
        <v>70</v>
      </c>
      <c r="D6"/>
      <c r="G6" s="96"/>
    </row>
    <row r="7" spans="1:7" x14ac:dyDescent="0.25">
      <c r="A7" s="26" t="s">
        <v>4053</v>
      </c>
      <c r="B7" s="27" t="s">
        <v>68</v>
      </c>
      <c r="G7" s="96"/>
    </row>
    <row r="8" spans="1:7" x14ac:dyDescent="0.25">
      <c r="A8" s="26" t="s">
        <v>4054</v>
      </c>
      <c r="B8" s="27" t="s">
        <v>71</v>
      </c>
      <c r="G8" s="96"/>
    </row>
    <row r="9" spans="1:7" x14ac:dyDescent="0.25">
      <c r="A9" s="26" t="s">
        <v>4055</v>
      </c>
      <c r="B9" s="4" t="s">
        <v>71</v>
      </c>
      <c r="G9" s="96"/>
    </row>
    <row r="10" spans="1:7" x14ac:dyDescent="0.25">
      <c r="A10" s="26"/>
      <c r="B10" s="4"/>
      <c r="G10" s="96"/>
    </row>
    <row r="11" spans="1:7" x14ac:dyDescent="0.25">
      <c r="A11" s="26" t="s">
        <v>4056</v>
      </c>
      <c r="B11" s="14"/>
      <c r="G11" s="96"/>
    </row>
    <row r="12" spans="1:7" x14ac:dyDescent="0.25">
      <c r="A12" s="101"/>
      <c r="B12"/>
      <c r="G12" s="96"/>
    </row>
    <row r="13" spans="1:7" x14ac:dyDescent="0.25">
      <c r="A13" s="101"/>
      <c r="B13"/>
      <c r="G13" s="96"/>
    </row>
    <row r="14" spans="1:7" x14ac:dyDescent="0.25">
      <c r="A14" s="26" t="s">
        <v>4057</v>
      </c>
      <c r="B14"/>
      <c r="G14" s="96"/>
    </row>
    <row r="15" spans="1:7" x14ac:dyDescent="0.25">
      <c r="A15" s="26"/>
      <c r="B15"/>
      <c r="D15" s="112" t="s">
        <v>4058</v>
      </c>
      <c r="E15" s="113"/>
      <c r="F15" s="114" t="s">
        <v>4059</v>
      </c>
      <c r="G15" s="113"/>
    </row>
    <row r="16" spans="1:7" ht="39.6" x14ac:dyDescent="0.25">
      <c r="B16" s="28" t="s">
        <v>4247</v>
      </c>
      <c r="C16" s="23" t="s">
        <v>23</v>
      </c>
      <c r="D16" s="24" t="s">
        <v>141</v>
      </c>
      <c r="E16" s="25" t="s">
        <v>148</v>
      </c>
      <c r="F16" s="24" t="s">
        <v>142</v>
      </c>
      <c r="G16" s="24" t="s">
        <v>149</v>
      </c>
    </row>
    <row r="17" spans="2:9" x14ac:dyDescent="0.25">
      <c r="B17" s="29"/>
      <c r="C17" s="30" t="s">
        <v>4060</v>
      </c>
      <c r="D17" s="118" t="str" cm="1">
        <f t="array" ref="D17">IF(AND(_xlfn.ANCHORARRAY(C23)=C23),C23,"Mixed")</f>
        <v>tonne</v>
      </c>
      <c r="E17" s="118" t="s">
        <v>219</v>
      </c>
      <c r="F17" s="118" t="str" cm="1">
        <f t="array" ref="F17">IF(AND(_xlfn.ANCHORARRAY(C23)=C23),C23,"Mixed")</f>
        <v>tonne</v>
      </c>
      <c r="G17" s="119" t="s">
        <v>219</v>
      </c>
    </row>
    <row r="18" spans="2:9" s="14" customFormat="1" x14ac:dyDescent="0.25">
      <c r="B18" s="31"/>
      <c r="C18" s="4" t="s">
        <v>4061</v>
      </c>
      <c r="D18" s="96">
        <f>MAX(_xlfn.ANCHORARRAY(D23))</f>
        <v>451.85185185185185</v>
      </c>
      <c r="E18" s="96">
        <f t="shared" ref="E18:G18" si="0">MAX(_xlfn.ANCHORARRAY(E23))</f>
        <v>0.45185185185185184</v>
      </c>
      <c r="F18" s="96">
        <f t="shared" si="0"/>
        <v>0</v>
      </c>
      <c r="G18" s="121">
        <f t="shared" si="0"/>
        <v>0</v>
      </c>
      <c r="H18"/>
      <c r="I18"/>
    </row>
    <row r="19" spans="2:9" x14ac:dyDescent="0.25">
      <c r="C19" s="4" t="s">
        <v>4062</v>
      </c>
      <c r="D19" s="96">
        <f>MIN(_xlfn.ANCHORARRAY(D23))</f>
        <v>75.727000000000004</v>
      </c>
      <c r="E19" s="96">
        <f t="shared" ref="E19:G19" si="1">MIN(_xlfn.ANCHORARRAY(E23))</f>
        <v>7.5726999999999989E-2</v>
      </c>
      <c r="F19" s="96">
        <f t="shared" si="1"/>
        <v>0</v>
      </c>
      <c r="G19" s="121">
        <f t="shared" si="1"/>
        <v>0</v>
      </c>
    </row>
    <row r="20" spans="2:9" x14ac:dyDescent="0.25">
      <c r="C20" s="4" t="s">
        <v>4063</v>
      </c>
      <c r="D20" s="96">
        <f>AVERAGE(_xlfn.ANCHORARRAY(D23))</f>
        <v>256.17095925925923</v>
      </c>
      <c r="E20" s="96">
        <f t="shared" ref="E20:G20" si="2">AVERAGE(_xlfn.ANCHORARRAY(E23))</f>
        <v>0.25617095925925926</v>
      </c>
      <c r="F20" s="96">
        <f t="shared" si="2"/>
        <v>0</v>
      </c>
      <c r="G20" s="121">
        <f t="shared" si="2"/>
        <v>0</v>
      </c>
    </row>
    <row r="21" spans="2:9" x14ac:dyDescent="0.25">
      <c r="C21" s="4"/>
    </row>
    <row r="22" spans="2:9" x14ac:dyDescent="0.25">
      <c r="B22" s="32" t="s">
        <v>4064</v>
      </c>
      <c r="D22"/>
      <c r="E22"/>
      <c r="F22"/>
      <c r="G22" s="124"/>
    </row>
    <row r="23" spans="2:9" x14ac:dyDescent="0.25">
      <c r="B23" s="122" t="str" cm="1">
        <f t="array" ref="B23:B32">_xlfn.UNIQUE(_xlfn._xlws.FILTER('EPD List'!D:D,ISNUMBER(SEARCH(B16,'EPD List'!C:C)),0))</f>
        <v>Stone, , Natural stone products of granite and limestone (flamed or bush hammered granite slab) (Naturestens) (Global)</v>
      </c>
      <c r="C23" t="str" cm="1">
        <f t="array" ref="C23:C32">_xlfn.IFNA(INDEX('EPD List'!$A:$AB,MATCH(_xlfn.ANCHORARRAY(B23),'EPD List'!$D:$D,0),MATCH(C$16,'EPD List'!$7:$7,0)),"")</f>
        <v>tonne</v>
      </c>
      <c r="D23" s="96" cm="1">
        <f t="array" ref="D23:D32">_xlfn.IFNA(VALUE((INDEX('EPD List'!$A:$AD,MATCH(_xlfn.ANCHORARRAY($B23),'EPD List'!$D:$D,0),MATCH(D$16,'EPD List'!$7:$7,0)))),"")</f>
        <v>92.021000000000001</v>
      </c>
      <c r="E23" s="96" cm="1">
        <f t="array" ref="E23:E32">IFERROR(VALUE((INDEX('EPD List'!$A:$AD,MATCH(_xlfn.ANCHORARRAY($B23),'EPD List'!$D:$D,0),MATCH(E$16,'EPD List'!$7:$7,0)))),"")</f>
        <v>9.2021000000000006E-2</v>
      </c>
      <c r="F23" s="96" cm="1">
        <f t="array" ref="F23:F32">_xlfn.IFNA(VALUE((INDEX('EPD List'!$A:$AD,MATCH(_xlfn.ANCHORARRAY($B23),'EPD List'!$D:$D,0),MATCH(F$16,'EPD List'!$7:$7,0)))),"")</f>
        <v>0</v>
      </c>
      <c r="G23" s="121" cm="1">
        <f t="array" ref="G23:G32">IFERROR(VALUE((INDEX('EPD List'!$A:$AD,MATCH(_xlfn.ANCHORARRAY($B23),'EPD List'!$D:$D,0),MATCH(G$16,'EPD List'!$7:$7,0)))),"")</f>
        <v>0</v>
      </c>
    </row>
    <row r="24" spans="2:9" x14ac:dyDescent="0.25">
      <c r="B24" s="122" t="str">
        <v>Stone, , Natural stone products of granite and limestone (split surface granite walls) (Naturestens) (Global)</v>
      </c>
      <c r="C24" t="str">
        <v>tonne</v>
      </c>
      <c r="D24" s="96">
        <v>77.209000000000003</v>
      </c>
      <c r="E24" s="96">
        <v>7.7209E-2</v>
      </c>
      <c r="F24" s="96">
        <v>0</v>
      </c>
      <c r="G24" s="121">
        <v>0</v>
      </c>
    </row>
    <row r="25" spans="2:9" x14ac:dyDescent="0.25">
      <c r="B25" s="122" t="str">
        <v>Stone, , Natural stone 10 mm (Silkarstone) (Global)</v>
      </c>
      <c r="C25" t="str">
        <v>tonne</v>
      </c>
      <c r="D25" s="96">
        <v>451.85185185185185</v>
      </c>
      <c r="E25" s="96">
        <v>0.45185185185185184</v>
      </c>
      <c r="F25" s="96">
        <v>0</v>
      </c>
      <c r="G25" s="121">
        <v>0</v>
      </c>
    </row>
    <row r="26" spans="2:9" x14ac:dyDescent="0.25">
      <c r="B26" s="122" t="str">
        <v>Stone, , Natural stone 20 mm  (Silkarstone) (Global)</v>
      </c>
      <c r="C26" t="str">
        <v>tonne</v>
      </c>
      <c r="D26" s="96">
        <v>416.66666666666669</v>
      </c>
      <c r="E26" s="96">
        <v>0.41666666666666669</v>
      </c>
      <c r="F26" s="96">
        <v>0</v>
      </c>
      <c r="G26" s="121">
        <v>0</v>
      </c>
    </row>
    <row r="27" spans="2:9" x14ac:dyDescent="0.25">
      <c r="B27" s="122" t="str">
        <v>Stone, , Natural stone 30 mm (Silkarstone) (Global)</v>
      </c>
      <c r="C27" t="str">
        <v>tonne</v>
      </c>
      <c r="D27" s="96">
        <v>403.70370370370375</v>
      </c>
      <c r="E27" s="96">
        <v>0.40370370370370373</v>
      </c>
      <c r="F27" s="96">
        <v>0</v>
      </c>
      <c r="G27" s="121">
        <v>0</v>
      </c>
    </row>
    <row r="28" spans="2:9" x14ac:dyDescent="0.25">
      <c r="B28" s="122" t="str">
        <v>Stone, , Natural stone 40 mm (Silkarstone) (Global)</v>
      </c>
      <c r="C28" t="str">
        <v>tonne</v>
      </c>
      <c r="D28" s="96">
        <v>399.07407407407408</v>
      </c>
      <c r="E28" s="96">
        <v>0.39907407407407408</v>
      </c>
      <c r="F28" s="96">
        <v>0</v>
      </c>
      <c r="G28" s="121">
        <v>0</v>
      </c>
    </row>
    <row r="29" spans="2:9" x14ac:dyDescent="0.25">
      <c r="B29" s="122" t="str">
        <v>Stone, , Natural stone 50 mm (Silkarstone) (Global)</v>
      </c>
      <c r="C29" t="str">
        <v>tonne</v>
      </c>
      <c r="D29" s="96">
        <v>396.2962962962963</v>
      </c>
      <c r="E29" s="96">
        <v>0.39629629629629631</v>
      </c>
      <c r="F29" s="96">
        <v>0</v>
      </c>
      <c r="G29" s="121">
        <v>0</v>
      </c>
    </row>
    <row r="30" spans="2:9" x14ac:dyDescent="0.25">
      <c r="B30" s="122" t="str">
        <v>Stone, , Natural stone products of granite and limestone (pacing stone granite) (Naturestens) (Global)</v>
      </c>
      <c r="C30" t="str">
        <v>tonne</v>
      </c>
      <c r="D30" s="96">
        <v>75.727000000000004</v>
      </c>
      <c r="E30" s="96">
        <v>7.5726999999999989E-2</v>
      </c>
      <c r="F30" s="96">
        <v>0</v>
      </c>
      <c r="G30" s="121">
        <v>0</v>
      </c>
    </row>
    <row r="31" spans="2:9" x14ac:dyDescent="0.25">
      <c r="B31" s="122" t="str">
        <v>Stone, , Natural stone products of granite and limestone (flamed or planed limestone slab) (Naturestens) (Global)</v>
      </c>
      <c r="C31" t="str">
        <v>tonne</v>
      </c>
      <c r="D31" s="96">
        <v>119.68</v>
      </c>
      <c r="E31" s="96">
        <v>0.11967999999999999</v>
      </c>
      <c r="F31" s="96">
        <v>0</v>
      </c>
      <c r="G31" s="121">
        <v>0</v>
      </c>
    </row>
    <row r="32" spans="2:9" x14ac:dyDescent="0.25">
      <c r="B32" s="122" t="str">
        <v>Stone, , Natural stone products of granite and limestone (limestone floor tile) (Naturestens) (Global)</v>
      </c>
      <c r="C32" t="str">
        <v>tonne</v>
      </c>
      <c r="D32" s="96">
        <v>129.47999999999999</v>
      </c>
      <c r="E32" s="96">
        <v>0.12948000000000001</v>
      </c>
      <c r="F32" s="96">
        <v>0</v>
      </c>
      <c r="G32" s="121">
        <v>0</v>
      </c>
    </row>
    <row r="90" spans="9:9" x14ac:dyDescent="0.25">
      <c r="I90" s="96"/>
    </row>
    <row r="166" spans="2:7" x14ac:dyDescent="0.25">
      <c r="B166" s="125"/>
      <c r="C166" s="126"/>
      <c r="D166" s="127"/>
      <c r="E166" s="127"/>
      <c r="F166" s="127"/>
      <c r="G166" s="128"/>
    </row>
  </sheetData>
  <dataValidations count="1">
    <dataValidation type="list" allowBlank="1" showInputMessage="1" showErrorMessage="1" sqref="B6:B9" xr:uid="{332B6584-6164-48B1-A2CD-E2DB75E50A26}">
      <formula1>"Tier 1,Tier 2,Tier 3,Tier 4"</formula1>
    </dataValidation>
  </dataValidations>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70632A-F4F6-4AA4-979D-570795C9B771}">
  <sheetPr codeName="Sheet93">
    <tabColor rgb="FF00CCFF"/>
  </sheetPr>
  <dimension ref="A1:I166"/>
  <sheetViews>
    <sheetView showGridLines="0" zoomScale="80" zoomScaleNormal="80" workbookViewId="0"/>
  </sheetViews>
  <sheetFormatPr defaultRowHeight="13.2" x14ac:dyDescent="0.25"/>
  <cols>
    <col min="1" max="1" width="31.109375" customWidth="1"/>
    <col min="2" max="2" width="128.88671875" style="122" customWidth="1"/>
    <col min="3" max="3" width="21" customWidth="1"/>
    <col min="4" max="6" width="19.88671875" style="96" customWidth="1"/>
    <col min="7" max="7" width="23.5546875" style="121" customWidth="1"/>
    <col min="8" max="8" width="14.44140625" customWidth="1"/>
    <col min="9" max="9" width="13.109375" customWidth="1"/>
  </cols>
  <sheetData>
    <row r="1" spans="1:7" x14ac:dyDescent="0.25">
      <c r="A1" s="4" t="str" cm="1">
        <f t="array" aca="1" ref="A1" ca="1">MID(CELL("filename",A1),FIND("]",CELL("filename",A1))+1,255)</f>
        <v>Glass</v>
      </c>
      <c r="B1"/>
      <c r="G1" s="96"/>
    </row>
    <row r="2" spans="1:7" x14ac:dyDescent="0.25">
      <c r="A2" s="4"/>
      <c r="B2"/>
      <c r="C2" s="4"/>
      <c r="G2" s="96"/>
    </row>
    <row r="3" spans="1:7" x14ac:dyDescent="0.25">
      <c r="A3" s="4" t="s">
        <v>4048</v>
      </c>
      <c r="B3" t="s">
        <v>4248</v>
      </c>
      <c r="G3" s="96"/>
    </row>
    <row r="4" spans="1:7" x14ac:dyDescent="0.25">
      <c r="A4" s="4"/>
      <c r="B4"/>
      <c r="G4" s="96"/>
    </row>
    <row r="5" spans="1:7" ht="92.25" customHeight="1" x14ac:dyDescent="0.25">
      <c r="A5" s="26" t="s">
        <v>4050</v>
      </c>
      <c r="B5" s="14" t="s">
        <v>4249</v>
      </c>
      <c r="D5" s="14"/>
      <c r="E5" s="43"/>
      <c r="G5" s="96"/>
    </row>
    <row r="6" spans="1:7" x14ac:dyDescent="0.25">
      <c r="A6" s="26" t="s">
        <v>4052</v>
      </c>
      <c r="B6" s="27" t="s">
        <v>71</v>
      </c>
      <c r="D6"/>
      <c r="G6" s="96"/>
    </row>
    <row r="7" spans="1:7" x14ac:dyDescent="0.25">
      <c r="A7" s="26" t="s">
        <v>4053</v>
      </c>
      <c r="B7" s="27" t="s">
        <v>68</v>
      </c>
      <c r="G7" s="96"/>
    </row>
    <row r="8" spans="1:7" x14ac:dyDescent="0.25">
      <c r="A8" s="26" t="s">
        <v>4054</v>
      </c>
      <c r="B8" s="27" t="s">
        <v>71</v>
      </c>
      <c r="G8" s="96"/>
    </row>
    <row r="9" spans="1:7" x14ac:dyDescent="0.25">
      <c r="A9" s="26" t="s">
        <v>4055</v>
      </c>
      <c r="B9" s="4" t="s">
        <v>71</v>
      </c>
      <c r="G9" s="96"/>
    </row>
    <row r="10" spans="1:7" x14ac:dyDescent="0.25">
      <c r="A10" s="26"/>
      <c r="B10" s="4"/>
      <c r="G10" s="96"/>
    </row>
    <row r="11" spans="1:7" x14ac:dyDescent="0.25">
      <c r="A11" s="26" t="s">
        <v>4056</v>
      </c>
      <c r="B11" s="14"/>
      <c r="G11" s="96"/>
    </row>
    <row r="12" spans="1:7" x14ac:dyDescent="0.25">
      <c r="A12" s="101"/>
      <c r="B12"/>
      <c r="G12" s="96"/>
    </row>
    <row r="13" spans="1:7" x14ac:dyDescent="0.25">
      <c r="A13" s="101"/>
      <c r="B13"/>
      <c r="G13" s="96"/>
    </row>
    <row r="14" spans="1:7" x14ac:dyDescent="0.25">
      <c r="A14" s="26" t="s">
        <v>4057</v>
      </c>
      <c r="B14"/>
      <c r="G14" s="96"/>
    </row>
    <row r="15" spans="1:7" x14ac:dyDescent="0.25">
      <c r="A15" s="26"/>
      <c r="B15"/>
      <c r="D15" s="112" t="s">
        <v>4058</v>
      </c>
      <c r="E15" s="113"/>
      <c r="F15" s="114" t="s">
        <v>4059</v>
      </c>
      <c r="G15" s="113"/>
    </row>
    <row r="16" spans="1:7" ht="39.6" x14ac:dyDescent="0.25">
      <c r="B16" s="28" t="s">
        <v>4250</v>
      </c>
      <c r="C16" s="23" t="s">
        <v>23</v>
      </c>
      <c r="D16" s="24" t="s">
        <v>141</v>
      </c>
      <c r="E16" s="25" t="s">
        <v>148</v>
      </c>
      <c r="F16" s="24" t="s">
        <v>142</v>
      </c>
      <c r="G16" s="24" t="s">
        <v>149</v>
      </c>
    </row>
    <row r="17" spans="2:9" x14ac:dyDescent="0.25">
      <c r="B17" s="29"/>
      <c r="C17" s="30" t="s">
        <v>4060</v>
      </c>
      <c r="D17" s="118" t="str" cm="1">
        <f t="array" ref="D17">IF(AND(_xlfn.ANCHORARRAY(C23)=C23),C23,"Mixed")</f>
        <v>kg</v>
      </c>
      <c r="E17" s="118" t="s">
        <v>219</v>
      </c>
      <c r="F17" s="118" t="str" cm="1">
        <f t="array" ref="F17">IF(AND(_xlfn.ANCHORARRAY(C23)=C23),C23,"Mixed")</f>
        <v>kg</v>
      </c>
      <c r="G17" s="119" t="s">
        <v>219</v>
      </c>
    </row>
    <row r="18" spans="2:9" s="14" customFormat="1" x14ac:dyDescent="0.25">
      <c r="B18" s="31"/>
      <c r="C18" s="4" t="s">
        <v>4061</v>
      </c>
      <c r="D18" s="96">
        <f>MAX(_xlfn.ANCHORARRAY(D23))</f>
        <v>1.9807692307692308</v>
      </c>
      <c r="E18" s="96">
        <f t="shared" ref="E18:G18" si="0">MAX(_xlfn.ANCHORARRAY(E23))</f>
        <v>1.9807692307692308</v>
      </c>
      <c r="F18" s="96">
        <f t="shared" si="0"/>
        <v>0</v>
      </c>
      <c r="G18" s="121">
        <f t="shared" si="0"/>
        <v>0</v>
      </c>
      <c r="H18"/>
      <c r="I18"/>
    </row>
    <row r="19" spans="2:9" x14ac:dyDescent="0.25">
      <c r="C19" s="4" t="s">
        <v>4062</v>
      </c>
      <c r="D19" s="96">
        <f>MIN(_xlfn.ANCHORARRAY(D23))</f>
        <v>1.1000000000000001</v>
      </c>
      <c r="E19" s="96">
        <f t="shared" ref="E19:G19" si="1">MIN(_xlfn.ANCHORARRAY(E23))</f>
        <v>1.1000000000000001</v>
      </c>
      <c r="F19" s="96">
        <f t="shared" si="1"/>
        <v>0</v>
      </c>
      <c r="G19" s="121">
        <f t="shared" si="1"/>
        <v>0</v>
      </c>
    </row>
    <row r="20" spans="2:9" x14ac:dyDescent="0.25">
      <c r="C20" s="4" t="s">
        <v>4063</v>
      </c>
      <c r="D20" s="96">
        <f>AVERAGE(_xlfn.ANCHORARRAY(D23))</f>
        <v>1.6658576059412267</v>
      </c>
      <c r="E20" s="96">
        <f t="shared" ref="E20:G20" si="2">AVERAGE(_xlfn.ANCHORARRAY(E23))</f>
        <v>1.6658576059412267</v>
      </c>
      <c r="F20" s="96">
        <f t="shared" si="2"/>
        <v>0</v>
      </c>
      <c r="G20" s="121">
        <f t="shared" si="2"/>
        <v>0</v>
      </c>
    </row>
    <row r="21" spans="2:9" x14ac:dyDescent="0.25">
      <c r="C21" s="4"/>
    </row>
    <row r="22" spans="2:9" x14ac:dyDescent="0.25">
      <c r="B22" s="32" t="s">
        <v>4064</v>
      </c>
      <c r="D22"/>
      <c r="E22"/>
      <c r="F22"/>
      <c r="G22" s="124"/>
    </row>
    <row r="23" spans="2:9" x14ac:dyDescent="0.25">
      <c r="B23" s="122" t="str" cm="1">
        <f t="array" ref="B23:B82">_xlfn.UNIQUE(_xlfn._xlws.FILTER('EPD List'!D:D,ISNUMBER(SEARCH(B16,'EPD List'!C:C)),0))</f>
        <v>Float Glass, Glazing glass, Unprocessed flat glass (Guardian Glass) (Global)</v>
      </c>
      <c r="C23" t="str" cm="1">
        <f t="array" ref="C23:C82">_xlfn.IFNA(INDEX('EPD List'!$A:$AB,MATCH(_xlfn.ANCHORARRAY(B23),'EPD List'!$D:$D,0),MATCH(C$16,'EPD List'!$7:$7,0)),"")</f>
        <v>kg</v>
      </c>
      <c r="D23" s="96" cm="1">
        <f t="array" ref="D23:D82">_xlfn.IFNA(VALUE((INDEX('EPD List'!$A:$AD,MATCH(_xlfn.ANCHORARRAY($B23),'EPD List'!$D:$D,0),MATCH(D$16,'EPD List'!$7:$7,0)))),"")</f>
        <v>1.1000000000000001</v>
      </c>
      <c r="E23" s="96" cm="1">
        <f t="array" ref="E23:E82">IFERROR(VALUE((INDEX('EPD List'!$A:$AD,MATCH(_xlfn.ANCHORARRAY($B23),'EPD List'!$D:$D,0),MATCH(E$16,'EPD List'!$7:$7,0)))),"")</f>
        <v>1.1000000000000001</v>
      </c>
      <c r="F23" s="96" cm="1">
        <f t="array" ref="F23:F82">_xlfn.IFNA(VALUE((INDEX('EPD List'!$A:$AD,MATCH(_xlfn.ANCHORARRAY($B23),'EPD List'!$D:$D,0),MATCH(F$16,'EPD List'!$7:$7,0)))),"")</f>
        <v>0</v>
      </c>
      <c r="G23" s="121" cm="1">
        <f t="array" ref="G23:G82">IFERROR(VALUE((INDEX('EPD List'!$A:$AD,MATCH(_xlfn.ANCHORARRAY($B23),'EPD List'!$D:$D,0),MATCH(G$16,'EPD List'!$7:$7,0)))),"")</f>
        <v>0</v>
      </c>
    </row>
    <row r="24" spans="2:9" x14ac:dyDescent="0.25">
      <c r="B24" s="122" t="str">
        <v>Float Glass, Glazing glass, Processed glass products (Guardian Glass) (Global)</v>
      </c>
      <c r="C24" t="str">
        <v>kg</v>
      </c>
      <c r="D24" s="96">
        <v>1.6600000000000001</v>
      </c>
      <c r="E24" s="96">
        <v>1.6600000000000001</v>
      </c>
      <c r="F24" s="96">
        <v>0</v>
      </c>
      <c r="G24" s="121">
        <v>0</v>
      </c>
    </row>
    <row r="25" spans="2:9" x14ac:dyDescent="0.25">
      <c r="B25" s="122" t="str">
        <v>Double glazing, Glazing glass, Pilkington Suncool Optilam™ range  (4/16/6.8) (Pilkington Group Limited) (Europe)</v>
      </c>
      <c r="C25" t="str">
        <v>kg</v>
      </c>
      <c r="D25" s="96">
        <v>1.9653846153846155</v>
      </c>
      <c r="E25" s="96">
        <v>1.9653846153846155</v>
      </c>
      <c r="F25" s="96">
        <v>0</v>
      </c>
      <c r="G25" s="121">
        <v>0</v>
      </c>
    </row>
    <row r="26" spans="2:9" x14ac:dyDescent="0.25">
      <c r="B26" s="122" t="str">
        <v>Double glazing, Glazing glass, Pilkington Optilam™ Therm range  (4/16/6.8) (Pilkington Group Limited) (Europe)</v>
      </c>
      <c r="C26" t="str">
        <v>kg</v>
      </c>
      <c r="D26" s="96">
        <v>1.9653846153846155</v>
      </c>
      <c r="E26" s="96">
        <v>1.9653846153846155</v>
      </c>
      <c r="F26" s="96">
        <v>0</v>
      </c>
      <c r="G26" s="121">
        <v>0</v>
      </c>
    </row>
    <row r="27" spans="2:9" x14ac:dyDescent="0.25">
      <c r="B27" s="122" t="str">
        <v>Double glazing, Glazing glass, Pilkington Optilam K Glass™ S range  (4/16/6.8) (Pilkington Group Limited) (Europe)</v>
      </c>
      <c r="C27" t="str">
        <v>kg</v>
      </c>
      <c r="D27" s="96">
        <v>1.9653846153846155</v>
      </c>
      <c r="E27" s="96">
        <v>1.9653846153846155</v>
      </c>
      <c r="F27" s="96">
        <v>0</v>
      </c>
      <c r="G27" s="121">
        <v>0</v>
      </c>
    </row>
    <row r="28" spans="2:9" x14ac:dyDescent="0.25">
      <c r="B28" s="122" t="str">
        <v>Double glazing, Glazing glass, Pilkington Mirropane Optilam™ Chrome range  (4/16/6.8) (Pilkington Group Limited) (Europe)</v>
      </c>
      <c r="C28" t="str">
        <v>kg</v>
      </c>
      <c r="D28" s="96">
        <v>1.9653846153846155</v>
      </c>
      <c r="E28" s="96">
        <v>1.9653846153846155</v>
      </c>
      <c r="F28" s="96">
        <v>0</v>
      </c>
      <c r="G28" s="121">
        <v>0</v>
      </c>
    </row>
    <row r="29" spans="2:9" x14ac:dyDescent="0.25">
      <c r="B29" s="122" t="str">
        <v>Double glazing, Glazing glass, Pilkington Spandrel Glass Laminated range  (4/16/6.8) (Pilkington Group Limited) (Europe)</v>
      </c>
      <c r="C29" t="str">
        <v>kg</v>
      </c>
      <c r="D29" s="96">
        <v>1.9653846153846155</v>
      </c>
      <c r="E29" s="96">
        <v>1.9653846153846155</v>
      </c>
      <c r="F29" s="96">
        <v>0</v>
      </c>
      <c r="G29" s="121">
        <v>0</v>
      </c>
    </row>
    <row r="30" spans="2:9" x14ac:dyDescent="0.25">
      <c r="B30" s="122" t="str">
        <v>Double glazing, Glazing glass, Pilkington Optifloat™ Clear and Tinted  (4/16/6.8) (Pilkington Group Limited) (Europe)</v>
      </c>
      <c r="C30" t="str">
        <v>kg</v>
      </c>
      <c r="D30" s="96">
        <v>1.9653846153846155</v>
      </c>
      <c r="E30" s="96">
        <v>1.9653846153846155</v>
      </c>
      <c r="F30" s="96">
        <v>0</v>
      </c>
      <c r="G30" s="121">
        <v>0</v>
      </c>
    </row>
    <row r="31" spans="2:9" x14ac:dyDescent="0.25">
      <c r="B31" s="122" t="str">
        <v>Triple glazing, Glazing glass, Pilkington Suncool™ range (6/12/6/12/8.8) (Pilkington Group Limited) (Europe)</v>
      </c>
      <c r="C31" t="str">
        <v>kg</v>
      </c>
      <c r="D31" s="96">
        <v>1.9807692307692308</v>
      </c>
      <c r="E31" s="96">
        <v>1.9807692307692308</v>
      </c>
      <c r="F31" s="96">
        <v>0</v>
      </c>
      <c r="G31" s="121">
        <v>0</v>
      </c>
    </row>
    <row r="32" spans="2:9" x14ac:dyDescent="0.25">
      <c r="B32" s="122" t="str">
        <v>Triple glazing, Glazing glass, Pilkington Optitherm™ range (6/12/6/12/8.8) (Pilkington Group Limited) (Europe)</v>
      </c>
      <c r="C32" t="str">
        <v>kg</v>
      </c>
      <c r="D32" s="96">
        <v>1.9807692307692308</v>
      </c>
      <c r="E32" s="96">
        <v>1.9807692307692308</v>
      </c>
      <c r="F32" s="96">
        <v>0</v>
      </c>
      <c r="G32" s="121">
        <v>0</v>
      </c>
    </row>
    <row r="33" spans="2:7" x14ac:dyDescent="0.25">
      <c r="B33" s="122" t="str">
        <v>Triple glazing, Glazing glass, Pilkington K Glass™ S range (6/12/6/12/8.8) (Pilkington Group Limited) (Europe)</v>
      </c>
      <c r="C33" t="str">
        <v>kg</v>
      </c>
      <c r="D33" s="96">
        <v>1.9807692307692308</v>
      </c>
      <c r="E33" s="96">
        <v>1.9807692307692308</v>
      </c>
      <c r="F33" s="96">
        <v>0</v>
      </c>
      <c r="G33" s="121">
        <v>0</v>
      </c>
    </row>
    <row r="34" spans="2:7" x14ac:dyDescent="0.25">
      <c r="B34" s="122" t="str">
        <v>Triple glazing, Glazing glass, Pilkington Mirropane™ Chrome range (6/12/6/12/8.8) (Pilkington Group Limited) (Europe)</v>
      </c>
      <c r="C34" t="str">
        <v>kg</v>
      </c>
      <c r="D34" s="96">
        <v>1.9807692307692308</v>
      </c>
      <c r="E34" s="96">
        <v>1.9807692307692308</v>
      </c>
      <c r="F34" s="96">
        <v>0</v>
      </c>
      <c r="G34" s="121">
        <v>0</v>
      </c>
    </row>
    <row r="35" spans="2:7" x14ac:dyDescent="0.25">
      <c r="B35" s="122" t="str">
        <v>Triple glazing, Glazing glass, Pilkington Spandrel Glass Coated range (6/12/6/12/8.8) (Pilkington Group Limited) (Europe)</v>
      </c>
      <c r="C35" t="str">
        <v>kg</v>
      </c>
      <c r="D35" s="96">
        <v>1.9807692307692308</v>
      </c>
      <c r="E35" s="96">
        <v>1.9807692307692308</v>
      </c>
      <c r="F35" s="96">
        <v>0</v>
      </c>
      <c r="G35" s="121">
        <v>0</v>
      </c>
    </row>
    <row r="36" spans="2:7" x14ac:dyDescent="0.25">
      <c r="B36" s="122" t="str">
        <v>Triple glazing, Glazing glass, Pilkington Suncool Optilam™ range (6/12/6/12/8.8) (Pilkington Group Limited) (Europe)</v>
      </c>
      <c r="C36" t="str">
        <v>kg</v>
      </c>
      <c r="D36" s="96">
        <v>1.9807692307692308</v>
      </c>
      <c r="E36" s="96">
        <v>1.9807692307692308</v>
      </c>
      <c r="F36" s="96">
        <v>0</v>
      </c>
      <c r="G36" s="121">
        <v>0</v>
      </c>
    </row>
    <row r="37" spans="2:7" x14ac:dyDescent="0.25">
      <c r="B37" s="122" t="str">
        <v>Triple glazing, Glazing glass, Pilkington Optilam™ Therm range  (6/12/6/12/8.8) (Pilkington Group Limited) (Europe)</v>
      </c>
      <c r="C37" t="str">
        <v>kg</v>
      </c>
      <c r="D37" s="96">
        <v>1.9807692307692308</v>
      </c>
      <c r="E37" s="96">
        <v>1.9807692307692308</v>
      </c>
      <c r="F37" s="96">
        <v>0</v>
      </c>
      <c r="G37" s="121">
        <v>0</v>
      </c>
    </row>
    <row r="38" spans="2:7" x14ac:dyDescent="0.25">
      <c r="B38" s="122" t="str">
        <v>Triple glazing, Glazing glass, Pilkington Optilam K Glass™ S range  (6/12/6/12/8.8) (Pilkington Group Limited) (Europe)</v>
      </c>
      <c r="C38" t="str">
        <v>kg</v>
      </c>
      <c r="D38" s="96">
        <v>1.9807692307692308</v>
      </c>
      <c r="E38" s="96">
        <v>1.9807692307692308</v>
      </c>
      <c r="F38" s="96">
        <v>0</v>
      </c>
      <c r="G38" s="121">
        <v>0</v>
      </c>
    </row>
    <row r="39" spans="2:7" x14ac:dyDescent="0.25">
      <c r="B39" s="122" t="str">
        <v>Triple glazing, Glazing glass, Pilkington Mirropane Optilam™ Chrome (6/12/6/12/8.8) (Pilkington Group Limited) (Europe)</v>
      </c>
      <c r="C39" t="str">
        <v>kg</v>
      </c>
      <c r="D39" s="96">
        <v>1.9807692307692308</v>
      </c>
      <c r="E39" s="96">
        <v>1.9807692307692308</v>
      </c>
      <c r="F39" s="96">
        <v>0</v>
      </c>
      <c r="G39" s="121">
        <v>0</v>
      </c>
    </row>
    <row r="40" spans="2:7" x14ac:dyDescent="0.25">
      <c r="B40" s="122" t="str">
        <v>Triple glazing, Glazing glass, Pilkington Optifloat™ T (6/12/6/12/8.8) (Pilkington Group Limited) (Europe)</v>
      </c>
      <c r="C40" t="str">
        <v>kg</v>
      </c>
      <c r="D40" s="96">
        <v>1.9807692307692308</v>
      </c>
      <c r="E40" s="96">
        <v>1.9807692307692308</v>
      </c>
      <c r="F40" s="96">
        <v>0</v>
      </c>
      <c r="G40" s="121">
        <v>0</v>
      </c>
    </row>
    <row r="41" spans="2:7" x14ac:dyDescent="0.25">
      <c r="B41" s="122" t="str">
        <v>Triple glazing, Glazing glass, Pilkington Optiwhite™ T (6/12/6/12/8.8) (Pilkington Group Limited) (Europe)</v>
      </c>
      <c r="C41" t="str">
        <v>kg</v>
      </c>
      <c r="D41" s="96">
        <v>1.9807692307692308</v>
      </c>
      <c r="E41" s="96">
        <v>1.9807692307692308</v>
      </c>
      <c r="F41" s="96">
        <v>0</v>
      </c>
      <c r="G41" s="121">
        <v>0</v>
      </c>
    </row>
    <row r="42" spans="2:7" x14ac:dyDescent="0.25">
      <c r="B42" s="122" t="str">
        <v>Float Glass, Glazing glass, Average float glass 3mm thick (Asahi - India Glass Ltd) (Global)</v>
      </c>
      <c r="C42" t="str">
        <v>kg</v>
      </c>
      <c r="D42" s="96">
        <v>1.2893333333333332</v>
      </c>
      <c r="E42" s="96">
        <v>1.2893333333333332</v>
      </c>
      <c r="F42" s="96">
        <v>0</v>
      </c>
      <c r="G42" s="121">
        <v>0</v>
      </c>
    </row>
    <row r="43" spans="2:7" x14ac:dyDescent="0.25">
      <c r="B43" s="122" t="str">
        <v>Float Glass, Glazing glass, Average float glass 4mm thick (Asahi - India Glass Ltd) (Global)</v>
      </c>
      <c r="C43" t="str">
        <v>kg</v>
      </c>
      <c r="D43" s="96">
        <v>1.29</v>
      </c>
      <c r="E43" s="96">
        <v>1.29</v>
      </c>
      <c r="F43" s="96">
        <v>0</v>
      </c>
      <c r="G43" s="121">
        <v>0</v>
      </c>
    </row>
    <row r="44" spans="2:7" x14ac:dyDescent="0.25">
      <c r="B44" s="122" t="str">
        <v>Float Glass, Glazing glass, Average float glass 3.5mm thick (Asahi - India Glass Ltd) (Global)</v>
      </c>
      <c r="C44" t="str">
        <v>kg</v>
      </c>
      <c r="D44" s="96">
        <v>1.2914285714285716</v>
      </c>
      <c r="E44" s="96">
        <v>1.2914285714285716</v>
      </c>
      <c r="F44" s="96">
        <v>0</v>
      </c>
      <c r="G44" s="121">
        <v>0</v>
      </c>
    </row>
    <row r="45" spans="2:7" x14ac:dyDescent="0.25">
      <c r="B45" s="122" t="str">
        <v>Float Glass, Glazing glass, Average float glass 5mm thick (Asahi - India Glass Ltd) (Global)</v>
      </c>
      <c r="C45" t="str">
        <v>kg</v>
      </c>
      <c r="D45" s="96">
        <v>1.288</v>
      </c>
      <c r="E45" s="96">
        <v>1.288</v>
      </c>
      <c r="F45" s="96">
        <v>0</v>
      </c>
      <c r="G45" s="121">
        <v>0</v>
      </c>
    </row>
    <row r="46" spans="2:7" x14ac:dyDescent="0.25">
      <c r="B46" s="122" t="str">
        <v>Float Glass, Glazing glass, Average float glass 6mm thick (Asahi - India Glass Ltd) (Global)</v>
      </c>
      <c r="C46" t="str">
        <v>kg</v>
      </c>
      <c r="D46" s="96">
        <v>1.2866666666666666</v>
      </c>
      <c r="E46" s="96">
        <v>1.2866666666666666</v>
      </c>
      <c r="F46" s="96">
        <v>0</v>
      </c>
      <c r="G46" s="121">
        <v>0</v>
      </c>
    </row>
    <row r="47" spans="2:7" x14ac:dyDescent="0.25">
      <c r="B47" s="122" t="str">
        <v>Float Glass, Glazing glass, Average float glass 8mm thick (Asahi - India Glass Ltd) (Global)</v>
      </c>
      <c r="C47" t="str">
        <v>kg</v>
      </c>
      <c r="D47" s="96">
        <v>1.29</v>
      </c>
      <c r="E47" s="96">
        <v>1.29</v>
      </c>
      <c r="F47" s="96">
        <v>0</v>
      </c>
      <c r="G47" s="121">
        <v>0</v>
      </c>
    </row>
    <row r="48" spans="2:7" x14ac:dyDescent="0.25">
      <c r="B48" s="122" t="str">
        <v>Float Glass, Glazing glass, Average float glass 10mm thick (Asahi - India Glass Ltd) (Global)</v>
      </c>
      <c r="C48" t="str">
        <v>kg</v>
      </c>
      <c r="D48" s="96">
        <v>1.288</v>
      </c>
      <c r="E48" s="96">
        <v>1.288</v>
      </c>
      <c r="F48" s="96">
        <v>0</v>
      </c>
      <c r="G48" s="121">
        <v>0</v>
      </c>
    </row>
    <row r="49" spans="2:7" x14ac:dyDescent="0.25">
      <c r="B49" s="122" t="str">
        <v>Float Glass, Glazing glass, Average float glass 12mm thick (Asahi - India Glass Ltd) (Global)</v>
      </c>
      <c r="C49" t="str">
        <v>kg</v>
      </c>
      <c r="D49" s="96">
        <v>1.29</v>
      </c>
      <c r="E49" s="96">
        <v>1.29</v>
      </c>
      <c r="F49" s="96">
        <v>0</v>
      </c>
      <c r="G49" s="121">
        <v>0</v>
      </c>
    </row>
    <row r="50" spans="2:7" x14ac:dyDescent="0.25">
      <c r="B50" s="122" t="str">
        <v>Float Glass, Glazing glass, Laminated float glass 1mm (Pilkington Group Limited) (Global)</v>
      </c>
      <c r="C50" t="str">
        <v>kg</v>
      </c>
      <c r="D50" s="96">
        <v>1.468</v>
      </c>
      <c r="E50" s="96">
        <v>1.468</v>
      </c>
      <c r="F50" s="96">
        <v>0</v>
      </c>
      <c r="G50" s="121">
        <v>0</v>
      </c>
    </row>
    <row r="51" spans="2:7" x14ac:dyDescent="0.25">
      <c r="B51" s="122" t="str">
        <v>Float Glass, Glazing glass, Guardian glass wet coated glass (Guardian Glass) (North America)</v>
      </c>
      <c r="C51" t="str">
        <v>kg</v>
      </c>
      <c r="D51" s="96">
        <v>1.3699999999999999</v>
      </c>
      <c r="E51" s="96">
        <v>1.3699999999999999</v>
      </c>
      <c r="F51" s="96">
        <v>0</v>
      </c>
      <c r="G51" s="121">
        <v>0</v>
      </c>
    </row>
    <row r="52" spans="2:7" x14ac:dyDescent="0.25">
      <c r="B52" s="122" t="str">
        <v>Float Glass, Glazing glass, Guardian glass heat treated glass (Guardian Glass) (North America)</v>
      </c>
      <c r="C52" t="str">
        <v>kg</v>
      </c>
      <c r="D52" s="96">
        <v>1.3</v>
      </c>
      <c r="E52" s="96">
        <v>1.3</v>
      </c>
      <c r="F52" s="96">
        <v>0</v>
      </c>
      <c r="G52" s="121">
        <v>0</v>
      </c>
    </row>
    <row r="53" spans="2:7" x14ac:dyDescent="0.25">
      <c r="B53" s="122" t="str">
        <v>Float Glass, Glazing glass, Guardian glass processed glass AME &amp; I region (coated glass) (Guardian Glass) (Global)</v>
      </c>
      <c r="C53" t="str">
        <v>kg</v>
      </c>
      <c r="D53" s="96">
        <v>1.425</v>
      </c>
      <c r="E53" s="96">
        <v>1.425</v>
      </c>
      <c r="F53" s="96">
        <v>0</v>
      </c>
      <c r="G53" s="121">
        <v>0</v>
      </c>
    </row>
    <row r="54" spans="2:7" x14ac:dyDescent="0.25">
      <c r="B54" s="122" t="str">
        <v>Double glazing, Glazing glass, Climalit 4-16-4 (Saint-Gobain) (Global)</v>
      </c>
      <c r="C54" t="str">
        <v>kg</v>
      </c>
      <c r="D54" s="96">
        <v>1.5693999999999999</v>
      </c>
      <c r="E54" s="96">
        <v>1.5693999999999999</v>
      </c>
      <c r="F54" s="96">
        <v>0</v>
      </c>
      <c r="G54" s="121">
        <v>0</v>
      </c>
    </row>
    <row r="55" spans="2:7" x14ac:dyDescent="0.25">
      <c r="B55" s="122" t="str">
        <v>Double glazing, Glazing glass, Climalit 4-16-44.1 (Saint-Gobain) (Global)</v>
      </c>
      <c r="C55" t="str">
        <v>kg</v>
      </c>
      <c r="D55" s="96">
        <v>1.3460395480225986</v>
      </c>
      <c r="E55" s="96">
        <v>1.3460395480225986</v>
      </c>
      <c r="F55" s="96">
        <v>0</v>
      </c>
      <c r="G55" s="121">
        <v>0</v>
      </c>
    </row>
    <row r="56" spans="2:7" x14ac:dyDescent="0.25">
      <c r="B56" s="122" t="str">
        <v>Double glazing, Glazing glass, Climalit 4-16-33.1 (Saint-Gobain) (Global)</v>
      </c>
      <c r="C56" t="str">
        <v>kg</v>
      </c>
      <c r="D56" s="96">
        <v>1.6314645669291339</v>
      </c>
      <c r="E56" s="96">
        <v>1.6314645669291339</v>
      </c>
      <c r="F56" s="96">
        <v>0</v>
      </c>
      <c r="G56" s="121">
        <v>0</v>
      </c>
    </row>
    <row r="57" spans="2:7" x14ac:dyDescent="0.25">
      <c r="B57" s="122" t="str">
        <v>Double glazing, Glazing glass, Pilkington Suncool™ range  (4/16/6.8) (Pilkington Group Limited) (Europe)</v>
      </c>
      <c r="C57" t="str">
        <v>kg</v>
      </c>
      <c r="D57" s="96">
        <v>1.5354838709677421</v>
      </c>
      <c r="E57" s="96">
        <v>1.5354838709677421</v>
      </c>
      <c r="F57" s="96">
        <v>0</v>
      </c>
      <c r="G57" s="121">
        <v>0</v>
      </c>
    </row>
    <row r="58" spans="2:7" x14ac:dyDescent="0.25">
      <c r="B58" s="122" t="str">
        <v>Double glazing, Glazing glass, Pilkington Optitherm™ range  (4/16/6.8) (Pilkington Group Limited) (Europe)</v>
      </c>
      <c r="C58" t="str">
        <v>kg</v>
      </c>
      <c r="D58" s="96">
        <v>1.5354838709677421</v>
      </c>
      <c r="E58" s="96">
        <v>1.5354838709677421</v>
      </c>
      <c r="F58" s="96">
        <v>0</v>
      </c>
      <c r="G58" s="121">
        <v>0</v>
      </c>
    </row>
    <row r="59" spans="2:7" x14ac:dyDescent="0.25">
      <c r="B59" s="122" t="str">
        <v>Double glazing, Glazing glass, Pilkington K Glass™ S range  (4/16/6.8) (Pilkington Group Limited) (Europe)</v>
      </c>
      <c r="C59" t="str">
        <v>kg</v>
      </c>
      <c r="D59" s="96">
        <v>1.5354838709677421</v>
      </c>
      <c r="E59" s="96">
        <v>1.5354838709677421</v>
      </c>
      <c r="F59" s="96">
        <v>0</v>
      </c>
      <c r="G59" s="121">
        <v>0</v>
      </c>
    </row>
    <row r="60" spans="2:7" x14ac:dyDescent="0.25">
      <c r="B60" s="122" t="str">
        <v>Double glazing, Glazing glass, Pilkington Mirropane™ Chrome range  (4/16/6.8) (Pilkington Group Limited) (Europe)</v>
      </c>
      <c r="C60" t="str">
        <v>kg</v>
      </c>
      <c r="D60" s="96">
        <v>1.5354838709677421</v>
      </c>
      <c r="E60" s="96">
        <v>1.5354838709677421</v>
      </c>
      <c r="F60" s="96">
        <v>0</v>
      </c>
      <c r="G60" s="121">
        <v>0</v>
      </c>
    </row>
    <row r="61" spans="2:7" x14ac:dyDescent="0.25">
      <c r="B61" s="122" t="str">
        <v>Double glazing, Glazing glass, Pilkington Spandrel Glass Coated range  (4/16/6.8) (Pilkington Group Limited) (Europe)</v>
      </c>
      <c r="C61" t="str">
        <v>kg</v>
      </c>
      <c r="D61" s="96">
        <v>1.5354838709677421</v>
      </c>
      <c r="E61" s="96">
        <v>1.5354838709677421</v>
      </c>
      <c r="F61" s="96">
        <v>0</v>
      </c>
      <c r="G61" s="121">
        <v>0</v>
      </c>
    </row>
    <row r="62" spans="2:7" x14ac:dyDescent="0.25">
      <c r="B62" s="122" t="str">
        <v>Double glazing, Glazing glass, Pilkington Optifloat™ Clear and Tinted   (4/16/6.8) (Pilkington Group Limited) (Europe)</v>
      </c>
      <c r="C62" t="str">
        <v>kg</v>
      </c>
      <c r="D62" s="96">
        <v>1.5354838709677421</v>
      </c>
      <c r="E62" s="96">
        <v>1.5354838709677421</v>
      </c>
      <c r="F62" s="96">
        <v>0</v>
      </c>
      <c r="G62" s="121">
        <v>0</v>
      </c>
    </row>
    <row r="63" spans="2:7" x14ac:dyDescent="0.25">
      <c r="B63" s="122" t="str">
        <v>Float Glass, Glazing glass, Magnetron coated glass on SGG PLANILUX 6 mm (Saint-Gobain India Private Limited) (India)</v>
      </c>
      <c r="C63" t="str">
        <v>kg</v>
      </c>
      <c r="D63" s="96">
        <v>1.4033333333333333</v>
      </c>
      <c r="E63" s="96">
        <v>1.4033333333333333</v>
      </c>
      <c r="F63" s="96">
        <v>0</v>
      </c>
      <c r="G63" s="121">
        <v>0</v>
      </c>
    </row>
    <row r="64" spans="2:7" x14ac:dyDescent="0.25">
      <c r="B64" s="122" t="str">
        <v>Triple glazing, Glazing glass, Pilkington Suncool™ range  (4/12/4/12/4) (Pilkington Group Limited) (Europe)</v>
      </c>
      <c r="C64" t="str">
        <v>kg</v>
      </c>
      <c r="D64" s="96">
        <v>1.5433677419354837</v>
      </c>
      <c r="E64" s="96">
        <v>1.5433677419354837</v>
      </c>
      <c r="F64" s="96">
        <v>0</v>
      </c>
      <c r="G64" s="121">
        <v>0</v>
      </c>
    </row>
    <row r="65" spans="2:7" x14ac:dyDescent="0.25">
      <c r="B65" s="122" t="str">
        <v>Triple glazing, Glazing glass, Pilkington Optitherm™ range  (4/12/4/12/4) (Pilkington Group Limited) (Europe)</v>
      </c>
      <c r="C65" t="str">
        <v>kg</v>
      </c>
      <c r="D65" s="96">
        <v>1.5433677419354837</v>
      </c>
      <c r="E65" s="96">
        <v>1.5433677419354837</v>
      </c>
      <c r="F65" s="96">
        <v>0</v>
      </c>
      <c r="G65" s="121">
        <v>0</v>
      </c>
    </row>
    <row r="66" spans="2:7" x14ac:dyDescent="0.25">
      <c r="B66" s="122" t="str">
        <v>Triple glazing, Glazing glass, Pilkington K Glass™ S range  (4/12/4/12/4) (Pilkington Group Limited) (Europe)</v>
      </c>
      <c r="C66" t="str">
        <v>kg</v>
      </c>
      <c r="D66" s="96">
        <v>1.5433677419354837</v>
      </c>
      <c r="E66" s="96">
        <v>1.5433677419354837</v>
      </c>
      <c r="F66" s="96">
        <v>0</v>
      </c>
      <c r="G66" s="121">
        <v>0</v>
      </c>
    </row>
    <row r="67" spans="2:7" x14ac:dyDescent="0.25">
      <c r="B67" s="122" t="str">
        <v>Triple glazing, Glazing glass, Pilkington Mirropane™ Chrome range  (4/12/4/12/4) (Pilkington Group Limited) (Europe)</v>
      </c>
      <c r="C67" t="str">
        <v>kg</v>
      </c>
      <c r="D67" s="96">
        <v>1.5433677419354837</v>
      </c>
      <c r="E67" s="96">
        <v>1.5433677419354837</v>
      </c>
      <c r="F67" s="96">
        <v>0</v>
      </c>
      <c r="G67" s="121">
        <v>0</v>
      </c>
    </row>
    <row r="68" spans="2:7" x14ac:dyDescent="0.25">
      <c r="B68" s="122" t="str">
        <v>Triple glazing, Glazing glass, Pilkington Spandrel Glass Coated range  (4/12/4/12/4) (Pilkington Group Limited) (Europe)</v>
      </c>
      <c r="C68" t="str">
        <v>kg</v>
      </c>
      <c r="D68" s="96">
        <v>1.5433677419354837</v>
      </c>
      <c r="E68" s="96">
        <v>1.5433677419354837</v>
      </c>
      <c r="F68" s="96">
        <v>0</v>
      </c>
      <c r="G68" s="121">
        <v>0</v>
      </c>
    </row>
    <row r="69" spans="2:7" x14ac:dyDescent="0.25">
      <c r="B69" s="122" t="str">
        <v>Triple glazing, Glazing glass, Pilkington Optifloat™ Clear and Tinted  (4/12/4/12/4) (Pilkington Group Limited) (Europe)</v>
      </c>
      <c r="C69" t="str">
        <v>kg</v>
      </c>
      <c r="D69" s="96">
        <v>1.5433677419354837</v>
      </c>
      <c r="E69" s="96">
        <v>1.5433677419354837</v>
      </c>
      <c r="F69" s="96">
        <v>0</v>
      </c>
      <c r="G69" s="121">
        <v>0</v>
      </c>
    </row>
    <row r="70" spans="2:7" x14ac:dyDescent="0.25">
      <c r="B70" s="122" t="str">
        <v>Float Glass, Glazing glass, Magnetron coated glass On SGG PARSOL 4 mm (Saint-Gobain India Private Limited) (India)</v>
      </c>
      <c r="C70" t="str">
        <v>kg</v>
      </c>
      <c r="D70" s="96">
        <v>1.5741199999999997</v>
      </c>
      <c r="E70" s="96">
        <v>1.5741199999999997</v>
      </c>
      <c r="F70" s="96">
        <v>0</v>
      </c>
      <c r="G70" s="121">
        <v>0</v>
      </c>
    </row>
    <row r="71" spans="2:7" x14ac:dyDescent="0.25">
      <c r="B71" s="122" t="str">
        <v>Double glazing, Glazing glass, Pilkington Activ™ range (4/16/4) (Pilkington Group Limited) (Europe)</v>
      </c>
      <c r="C71" t="str">
        <v>kg</v>
      </c>
      <c r="D71" s="96">
        <v>1.8761904761904762</v>
      </c>
      <c r="E71" s="96">
        <v>1.8761904761904762</v>
      </c>
      <c r="F71" s="96">
        <v>0</v>
      </c>
      <c r="G71" s="121">
        <v>0</v>
      </c>
    </row>
    <row r="72" spans="2:7" x14ac:dyDescent="0.25">
      <c r="B72" s="122" t="str">
        <v>Double glazing, Glazing glass, Pilkington K Glass™ range  (4/16/4) (Pilkington Group Limited) (Europe)</v>
      </c>
      <c r="C72" t="str">
        <v>kg</v>
      </c>
      <c r="D72" s="96">
        <v>1.8761904761904762</v>
      </c>
      <c r="E72" s="96">
        <v>1.8761904761904762</v>
      </c>
      <c r="F72" s="96">
        <v>0</v>
      </c>
      <c r="G72" s="121">
        <v>0</v>
      </c>
    </row>
    <row r="73" spans="2:7" x14ac:dyDescent="0.25">
      <c r="B73" s="122" t="str">
        <v>Double glazing, Glazing glass, NSG TEC™ range  (4/16/4) (Pilkington Group Limited) (Europe)</v>
      </c>
      <c r="C73" t="str">
        <v>kg</v>
      </c>
      <c r="D73" s="96">
        <v>1.8761904761904762</v>
      </c>
      <c r="E73" s="96">
        <v>1.8761904761904762</v>
      </c>
      <c r="F73" s="96">
        <v>0</v>
      </c>
      <c r="G73" s="121">
        <v>0</v>
      </c>
    </row>
    <row r="74" spans="2:7" x14ac:dyDescent="0.25">
      <c r="B74" s="122" t="str">
        <v>Double glazing, Glazing glass, Pilkington OptiView™ range  (4/16/4) (Pilkington Group Limited) (Europe)</v>
      </c>
      <c r="C74" t="str">
        <v>kg</v>
      </c>
      <c r="D74" s="96">
        <v>1.8761904761904762</v>
      </c>
      <c r="E74" s="96">
        <v>1.8761904761904762</v>
      </c>
      <c r="F74" s="96">
        <v>0</v>
      </c>
      <c r="G74" s="121">
        <v>0</v>
      </c>
    </row>
    <row r="75" spans="2:7" x14ac:dyDescent="0.25">
      <c r="B75" s="122" t="str">
        <v>Double glazing, Glazing glass, Pilkington OptiShower™ range  (4/16/4) (Pilkington Group Limited) (Europe)</v>
      </c>
      <c r="C75" t="str">
        <v>kg</v>
      </c>
      <c r="D75" s="96">
        <v>1.8761904761904762</v>
      </c>
      <c r="E75" s="96">
        <v>1.8761904761904762</v>
      </c>
      <c r="F75" s="96">
        <v>0</v>
      </c>
      <c r="G75" s="121">
        <v>0</v>
      </c>
    </row>
    <row r="76" spans="2:7" x14ac:dyDescent="0.25">
      <c r="B76" s="122" t="str">
        <v>Double glazing, Glazing glass, Pilkington K Glass™ OW range  (4/16/4) (Pilkington Group Limited) (Europe)</v>
      </c>
      <c r="C76" t="str">
        <v>kg</v>
      </c>
      <c r="D76" s="96">
        <v>1.8761904761904762</v>
      </c>
      <c r="E76" s="96">
        <v>1.8761904761904762</v>
      </c>
      <c r="F76" s="96">
        <v>0</v>
      </c>
      <c r="G76" s="121">
        <v>0</v>
      </c>
    </row>
    <row r="77" spans="2:7" x14ac:dyDescent="0.25">
      <c r="B77" s="122" t="str">
        <v>Double glazing, Glazing glass, Pilkington OptiView™ OW range  (4/16/4) (Pilkington Group Limited) (Europe)</v>
      </c>
      <c r="C77" t="str">
        <v>kg</v>
      </c>
      <c r="D77" s="96">
        <v>1.8761904761904762</v>
      </c>
      <c r="E77" s="96">
        <v>1.8761904761904762</v>
      </c>
      <c r="F77" s="96">
        <v>0</v>
      </c>
      <c r="G77" s="121">
        <v>0</v>
      </c>
    </row>
    <row r="78" spans="2:7" x14ac:dyDescent="0.25">
      <c r="B78" s="122" t="str">
        <v>Double glazing, Glazing glass, Pilkington OptiShower™ OW range  (4/16/4) (Pilkington Group Limited) (Europe)</v>
      </c>
      <c r="C78" t="str">
        <v>kg</v>
      </c>
      <c r="D78" s="96">
        <v>1.8761904761904762</v>
      </c>
      <c r="E78" s="96">
        <v>1.8761904761904762</v>
      </c>
      <c r="F78" s="96">
        <v>0</v>
      </c>
      <c r="G78" s="121">
        <v>0</v>
      </c>
    </row>
    <row r="79" spans="2:7" x14ac:dyDescent="0.25">
      <c r="B79" s="122" t="str">
        <v>Double glazing, Glazing glass, Pilkington Anti-condensation Glass  (4/16/4) (Pilkington Group Limited) (Europe)</v>
      </c>
      <c r="C79" t="str">
        <v>kg</v>
      </c>
      <c r="D79" s="96">
        <v>1.8761904761904762</v>
      </c>
      <c r="E79" s="96">
        <v>1.8761904761904762</v>
      </c>
      <c r="F79" s="96">
        <v>0</v>
      </c>
      <c r="G79" s="121">
        <v>0</v>
      </c>
    </row>
    <row r="80" spans="2:7" x14ac:dyDescent="0.25">
      <c r="B80" s="122" t="str">
        <v>Double glazing, Glazing glass, Pilkington Optifloat™ Clear and Tinted   (4/16/4) (Pilkington Group Limited) (Europe)</v>
      </c>
      <c r="C80" t="str">
        <v>kg</v>
      </c>
      <c r="D80" s="96">
        <v>1.8761904761904762</v>
      </c>
      <c r="E80" s="96">
        <v>1.8761904761904762</v>
      </c>
      <c r="F80" s="96">
        <v>0</v>
      </c>
      <c r="G80" s="121">
        <v>0</v>
      </c>
    </row>
    <row r="81" spans="2:9" x14ac:dyDescent="0.25">
      <c r="B81" s="122" t="str">
        <v>Float Glass, Glazing glass, Magnetron coated glass on SGG PARSOL 6 mm (Saint-Gobain India Private Limited) (India)</v>
      </c>
      <c r="C81" t="str">
        <v>kg</v>
      </c>
      <c r="D81" s="96">
        <v>1.5047866666666667</v>
      </c>
      <c r="E81" s="96">
        <v>1.5047866666666667</v>
      </c>
      <c r="F81" s="96">
        <v>0</v>
      </c>
      <c r="G81" s="121">
        <v>0</v>
      </c>
    </row>
    <row r="82" spans="2:9" x14ac:dyDescent="0.25">
      <c r="B82" s="122" t="str">
        <v>Float Glass, Glazing glass, Magnetron coated glass on SGG PARSOL 8 mm (Saint-Gobain India Private Limited) (India)</v>
      </c>
      <c r="C82" t="str">
        <v>kg</v>
      </c>
      <c r="D82" s="96">
        <v>1.4701000000000002</v>
      </c>
      <c r="E82" s="96">
        <v>1.4701000000000002</v>
      </c>
      <c r="F82" s="96">
        <v>0</v>
      </c>
      <c r="G82" s="121">
        <v>0</v>
      </c>
    </row>
    <row r="90" spans="2:9" x14ac:dyDescent="0.25">
      <c r="I90" s="96"/>
    </row>
    <row r="166" spans="2:7" x14ac:dyDescent="0.25">
      <c r="B166" s="125"/>
      <c r="C166" s="126"/>
      <c r="D166" s="127"/>
      <c r="E166" s="127"/>
      <c r="F166" s="127"/>
      <c r="G166" s="128"/>
    </row>
  </sheetData>
  <dataValidations disablePrompts="1" count="1">
    <dataValidation type="list" allowBlank="1" showInputMessage="1" showErrorMessage="1" sqref="B6:B9" xr:uid="{24BA5DD4-6A83-4123-AA76-4CE55A0F88A0}">
      <formula1>"Tier 1,Tier 2,Tier 3,Tier 4"</formula1>
    </dataValidation>
  </dataValidation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3C55BD-9A17-458D-8E1E-92DA9F1CC376}">
  <sheetPr codeName="Sheet50"/>
  <dimension ref="A1:W129"/>
  <sheetViews>
    <sheetView workbookViewId="0">
      <pane xSplit="2" ySplit="1" topLeftCell="C2" activePane="bottomRight" state="frozen"/>
      <selection pane="topRight"/>
      <selection pane="bottomLeft"/>
      <selection pane="bottomRight"/>
    </sheetView>
  </sheetViews>
  <sheetFormatPr defaultRowHeight="24.9" customHeight="1" x14ac:dyDescent="0.25"/>
  <cols>
    <col min="1" max="1" width="14.109375" bestFit="1" customWidth="1"/>
    <col min="2" max="2" width="68.44140625" customWidth="1"/>
    <col min="3" max="3" width="68.5546875" customWidth="1"/>
    <col min="4" max="22" width="15.109375" customWidth="1"/>
  </cols>
  <sheetData>
    <row r="1" spans="1:23" s="12" customFormat="1" ht="24.9" customHeight="1" x14ac:dyDescent="0.25">
      <c r="A1" s="12" t="str">
        <f>'Emission Factors database'!B5</f>
        <v>EF material type</v>
      </c>
      <c r="B1" s="12" t="str">
        <f>'Emission Factors database'!C5</f>
        <v>EF material category</v>
      </c>
      <c r="C1" s="12" t="str">
        <f>'Emission Factors database'!D5</f>
        <v>Description</v>
      </c>
      <c r="D1" s="12" t="str">
        <f>'Emission Factors database'!F5</f>
        <v>Data source unit</v>
      </c>
      <c r="E1" s="12" t="str">
        <f>'Emission Factors database'!G5</f>
        <v>Data qualitative Rating</v>
      </c>
      <c r="F1" s="12" t="str">
        <f>'Emission Factors database'!H5</f>
        <v>Uncertainty adjustment (%)</v>
      </c>
      <c r="G1" s="12" t="str">
        <f>'Emission Factors database'!I5</f>
        <v>Upfront carbon emission - Default (uncertainty adjusted) (kgCO2e/declared unit)</v>
      </c>
      <c r="H1" s="12" t="str">
        <f>'Emission Factors database'!J5</f>
        <v>Upfront carbon emission - Max (kgCO2e/declared unit)</v>
      </c>
      <c r="I1" s="12" t="str">
        <f>'Emission Factors database'!K5</f>
        <v>Upfront carbon emission - Min (kgCO2e/declared unit)</v>
      </c>
      <c r="J1" s="12" t="str">
        <f>'Emission Factors database'!L5</f>
        <v>Upfront carbon emission - Average (kg CO2e/declared unit)</v>
      </c>
      <c r="K1" s="12" t="str">
        <f>'Emission Factors database'!M5</f>
        <v>Upfront carbon emission - Default (uncertainty adjusted) (kgCO2e/kg)</v>
      </c>
      <c r="L1" s="12" t="str">
        <f>'Emission Factors database'!N5</f>
        <v>Upfront carbon emission - Max (kgCO2e/kg)</v>
      </c>
      <c r="M1" s="12" t="str">
        <f>'Emission Factors database'!O5</f>
        <v>Upfront carbon emission - Min (kgCO2e/kg)</v>
      </c>
      <c r="N1" s="12" t="str">
        <f>'Emission Factors database'!P5</f>
        <v>Upfront carbon emission - Average (kg CO2e/kg)</v>
      </c>
      <c r="O1" s="12" t="str">
        <f>'Emission Factors database'!Q5</f>
        <v>Upfront carbon storage - Default (uncertainty adjusted) (kgCO2e/declared unit)</v>
      </c>
      <c r="P1" s="12" t="str">
        <f>'Emission Factors database'!R5</f>
        <v>Upfront carbon storage - Max (kgCO2e/declared unit)</v>
      </c>
      <c r="Q1" s="12" t="str">
        <f>'Emission Factors database'!S5</f>
        <v>Upfront carbon storage- Average (kg CO2e/declared unit)</v>
      </c>
      <c r="R1" s="12" t="str">
        <f>'Emission Factors database'!T5</f>
        <v>Upfront carbon storage - Default (uncertainty adjusted) (kgCO2e/kg)</v>
      </c>
      <c r="S1" s="12" t="str">
        <f>'Emission Factors database'!U5</f>
        <v>Upfront carbon storage - Max (kgCO2e/kg)</v>
      </c>
      <c r="T1" s="12" t="str">
        <f>'Emission Factors database'!V5</f>
        <v>Upfront carbon storage - Average (kg CO2e/kg)</v>
      </c>
      <c r="U1" s="12" t="str">
        <f>'Emission Factors database'!W5</f>
        <v>Conversion</v>
      </c>
      <c r="V1" s="12" t="str">
        <f>'Emission Factors database'!X5</f>
        <v>Conversion unit</v>
      </c>
      <c r="W1" s="12" t="str">
        <f>'Emission Factors database'!Z5</f>
        <v>Weighted averaged used?</v>
      </c>
    </row>
    <row r="2" spans="1:23" ht="24.9" customHeight="1" x14ac:dyDescent="0.25">
      <c r="A2" s="75" t="str">
        <f>'Emission Factors database'!B6</f>
        <v>Concrete in-situ</v>
      </c>
      <c r="B2" s="75" t="str">
        <f>'Emission Factors database'!C6</f>
        <v>≤10 MPa</v>
      </c>
      <c r="C2" s="75" t="str">
        <f ca="1">'Emission Factors database'!D6</f>
        <v xml:space="preserve">Any concrete mix with a strength rating of 10 MPa or lower. </v>
      </c>
      <c r="D2" s="75" t="str">
        <f ca="1">'Emission Factors database'!F6</f>
        <v>m³</v>
      </c>
      <c r="E2" s="75" t="str">
        <f ca="1">'Emission Factors database'!G6</f>
        <v>Tier 3</v>
      </c>
      <c r="F2" s="75">
        <f ca="1">'Emission Factors database'!H6</f>
        <v>1.1000000000000001</v>
      </c>
      <c r="G2" s="75" t="str">
        <f ca="1">'Emission Factors database'!I6</f>
        <v>273</v>
      </c>
      <c r="H2" s="75" t="str">
        <f ca="1">'Emission Factors database'!J6</f>
        <v>248</v>
      </c>
      <c r="I2" s="75" t="str">
        <f ca="1">'Emission Factors database'!K6</f>
        <v>142</v>
      </c>
      <c r="J2" s="75" t="str">
        <f ca="1">'Emission Factors database'!L6</f>
        <v>181</v>
      </c>
      <c r="K2" s="75" t="str">
        <f ca="1">'Emission Factors database'!M6</f>
        <v>0.114</v>
      </c>
      <c r="L2" s="75" t="str">
        <f ca="1">'Emission Factors database'!N6</f>
        <v>0.103</v>
      </c>
      <c r="M2" s="75" t="str">
        <f ca="1">'Emission Factors database'!O6</f>
        <v>0.0590</v>
      </c>
      <c r="N2" s="75" t="str">
        <f ca="1">'Emission Factors database'!P6</f>
        <v>0.0755</v>
      </c>
      <c r="O2" s="75" t="str">
        <f ca="1">'Emission Factors database'!Q6</f>
        <v>0</v>
      </c>
      <c r="P2" s="75" t="str">
        <f ca="1">'Emission Factors database'!R6</f>
        <v>0</v>
      </c>
      <c r="Q2" s="75" t="str">
        <f ca="1">'Emission Factors database'!S6</f>
        <v>0</v>
      </c>
      <c r="R2" s="75" t="str">
        <f ca="1">'Emission Factors database'!T6</f>
        <v>0</v>
      </c>
      <c r="S2" s="75" t="str">
        <f ca="1">'Emission Factors database'!U6</f>
        <v>0</v>
      </c>
      <c r="T2" s="75" t="str">
        <f ca="1">'Emission Factors database'!V6</f>
        <v>0</v>
      </c>
      <c r="U2" s="75" t="str">
        <f ca="1">'Emission Factors database'!W6</f>
        <v>2,400</v>
      </c>
      <c r="V2" s="75" t="str">
        <f ca="1">'Emission Factors database'!X6</f>
        <v>kg/m³</v>
      </c>
      <c r="W2" s="75" t="str">
        <f ca="1">'Emission Factors database'!Z6</f>
        <v>No</v>
      </c>
    </row>
    <row r="3" spans="1:23" ht="24.9" customHeight="1" x14ac:dyDescent="0.25">
      <c r="A3" s="75" t="str">
        <f>'Emission Factors database'!B7</f>
        <v>Concrete in-situ</v>
      </c>
      <c r="B3" s="75" t="str">
        <f>'Emission Factors database'!C7</f>
        <v>&gt;10 MPa to ≤20 MPa</v>
      </c>
      <c r="C3" s="75" t="str">
        <f ca="1">'Emission Factors database'!D7</f>
        <v>Any concrete mix with a strength rating of 20 MPa or lower and greater than 10MPa</v>
      </c>
      <c r="D3" s="75" t="str">
        <f ca="1">'Emission Factors database'!F7</f>
        <v>m³</v>
      </c>
      <c r="E3" s="75" t="str">
        <f ca="1">'Emission Factors database'!G7</f>
        <v>Tier 1</v>
      </c>
      <c r="F3" s="75">
        <f ca="1">'Emission Factors database'!H7</f>
        <v>1.02</v>
      </c>
      <c r="G3" s="75" t="str">
        <f ca="1">'Emission Factors database'!I7</f>
        <v>371</v>
      </c>
      <c r="H3" s="75" t="str">
        <f ca="1">'Emission Factors database'!J7</f>
        <v>364</v>
      </c>
      <c r="I3" s="75" t="str">
        <f ca="1">'Emission Factors database'!K7</f>
        <v>136</v>
      </c>
      <c r="J3" s="75" t="str">
        <f ca="1">'Emission Factors database'!L7</f>
        <v>198</v>
      </c>
      <c r="K3" s="75" t="str">
        <f ca="1">'Emission Factors database'!M7</f>
        <v>0.155</v>
      </c>
      <c r="L3" s="75" t="str">
        <f ca="1">'Emission Factors database'!N7</f>
        <v>0.152</v>
      </c>
      <c r="M3" s="75" t="str">
        <f ca="1">'Emission Factors database'!O7</f>
        <v>0.0567</v>
      </c>
      <c r="N3" s="75" t="str">
        <f ca="1">'Emission Factors database'!P7</f>
        <v>0.0827</v>
      </c>
      <c r="O3" s="75" t="str">
        <f ca="1">'Emission Factors database'!Q7</f>
        <v>0</v>
      </c>
      <c r="P3" s="75" t="str">
        <f ca="1">'Emission Factors database'!R7</f>
        <v>0</v>
      </c>
      <c r="Q3" s="75" t="str">
        <f ca="1">'Emission Factors database'!S7</f>
        <v>0</v>
      </c>
      <c r="R3" s="75" t="str">
        <f ca="1">'Emission Factors database'!T7</f>
        <v>0</v>
      </c>
      <c r="S3" s="75" t="str">
        <f ca="1">'Emission Factors database'!U7</f>
        <v>0</v>
      </c>
      <c r="T3" s="75" t="str">
        <f ca="1">'Emission Factors database'!V7</f>
        <v>0</v>
      </c>
      <c r="U3" s="75" t="str">
        <f ca="1">'Emission Factors database'!W7</f>
        <v>2,400</v>
      </c>
      <c r="V3" s="75" t="str">
        <f ca="1">'Emission Factors database'!X7</f>
        <v>kg/m³</v>
      </c>
      <c r="W3" s="75" t="str">
        <f ca="1">'Emission Factors database'!Z7</f>
        <v>No</v>
      </c>
    </row>
    <row r="4" spans="1:23" ht="24.9" customHeight="1" x14ac:dyDescent="0.25">
      <c r="A4" s="75" t="str">
        <f>'Emission Factors database'!B8</f>
        <v>Concrete in-situ</v>
      </c>
      <c r="B4" s="75" t="str">
        <f>'Emission Factors database'!C8</f>
        <v>&gt;20 MPa to ≤25 MPa</v>
      </c>
      <c r="C4" s="75" t="str">
        <f ca="1">'Emission Factors database'!D8</f>
        <v>Any concrete mix with a strength rating of 25 MPa or lower and greater than 20 MPa</v>
      </c>
      <c r="D4" s="75" t="str">
        <f ca="1">'Emission Factors database'!F8</f>
        <v>m³</v>
      </c>
      <c r="E4" s="75" t="str">
        <f ca="1">'Emission Factors database'!G8</f>
        <v>Tier 1</v>
      </c>
      <c r="F4" s="75">
        <f ca="1">'Emission Factors database'!H8</f>
        <v>1.02</v>
      </c>
      <c r="G4" s="75" t="str">
        <f ca="1">'Emission Factors database'!I8</f>
        <v>396</v>
      </c>
      <c r="H4" s="75" t="str">
        <f ca="1">'Emission Factors database'!J8</f>
        <v>388</v>
      </c>
      <c r="I4" s="75" t="str">
        <f ca="1">'Emission Factors database'!K8</f>
        <v>149</v>
      </c>
      <c r="J4" s="75" t="str">
        <f ca="1">'Emission Factors database'!L8</f>
        <v>220</v>
      </c>
      <c r="K4" s="75" t="str">
        <f ca="1">'Emission Factors database'!M8</f>
        <v>0.165</v>
      </c>
      <c r="L4" s="75" t="str">
        <f ca="1">'Emission Factors database'!N8</f>
        <v>0.162</v>
      </c>
      <c r="M4" s="75" t="str">
        <f ca="1">'Emission Factors database'!O8</f>
        <v>0.0621</v>
      </c>
      <c r="N4" s="75" t="str">
        <f ca="1">'Emission Factors database'!P8</f>
        <v>0.0916</v>
      </c>
      <c r="O4" s="75" t="str">
        <f ca="1">'Emission Factors database'!Q8</f>
        <v>0</v>
      </c>
      <c r="P4" s="75" t="str">
        <f ca="1">'Emission Factors database'!R8</f>
        <v>0</v>
      </c>
      <c r="Q4" s="75" t="str">
        <f ca="1">'Emission Factors database'!S8</f>
        <v>0</v>
      </c>
      <c r="R4" s="75" t="str">
        <f ca="1">'Emission Factors database'!T8</f>
        <v>0</v>
      </c>
      <c r="S4" s="75" t="str">
        <f ca="1">'Emission Factors database'!U8</f>
        <v>0</v>
      </c>
      <c r="T4" s="75" t="str">
        <f ca="1">'Emission Factors database'!V8</f>
        <v>0</v>
      </c>
      <c r="U4" s="75" t="str">
        <f ca="1">'Emission Factors database'!W8</f>
        <v>2,400</v>
      </c>
      <c r="V4" s="75" t="str">
        <f ca="1">'Emission Factors database'!X8</f>
        <v>kg/m³</v>
      </c>
      <c r="W4" s="75" t="str">
        <f ca="1">'Emission Factors database'!Z8</f>
        <v>No</v>
      </c>
    </row>
    <row r="5" spans="1:23" ht="24.9" customHeight="1" x14ac:dyDescent="0.25">
      <c r="A5" s="75" t="str">
        <f>'Emission Factors database'!B9</f>
        <v>Concrete in-situ</v>
      </c>
      <c r="B5" s="75" t="str">
        <f>'Emission Factors database'!C9</f>
        <v>&gt;25 MPa to ≤32 MPa</v>
      </c>
      <c r="C5" s="75" t="str">
        <f ca="1">'Emission Factors database'!D9</f>
        <v>Any concrete mix with a strength rating of 32 MPa or lower and greater than 25 MPa</v>
      </c>
      <c r="D5" s="75" t="str">
        <f ca="1">'Emission Factors database'!F9</f>
        <v>m³</v>
      </c>
      <c r="E5" s="75" t="str">
        <f ca="1">'Emission Factors database'!G9</f>
        <v>Tier 1</v>
      </c>
      <c r="F5" s="75">
        <f ca="1">'Emission Factors database'!H9</f>
        <v>1.02</v>
      </c>
      <c r="G5" s="75" t="str">
        <f ca="1">'Emission Factors database'!I9</f>
        <v>468</v>
      </c>
      <c r="H5" s="75" t="str">
        <f ca="1">'Emission Factors database'!J9</f>
        <v>459</v>
      </c>
      <c r="I5" s="75" t="str">
        <f ca="1">'Emission Factors database'!K9</f>
        <v>167</v>
      </c>
      <c r="J5" s="75" t="str">
        <f ca="1">'Emission Factors database'!L9</f>
        <v>249</v>
      </c>
      <c r="K5" s="75" t="str">
        <f ca="1">'Emission Factors database'!M9</f>
        <v>0.195</v>
      </c>
      <c r="L5" s="75" t="str">
        <f ca="1">'Emission Factors database'!N9</f>
        <v>0.191</v>
      </c>
      <c r="M5" s="75" t="str">
        <f ca="1">'Emission Factors database'!O9</f>
        <v>0.0696</v>
      </c>
      <c r="N5" s="75" t="str">
        <f ca="1">'Emission Factors database'!P9</f>
        <v>0.104</v>
      </c>
      <c r="O5" s="75" t="str">
        <f ca="1">'Emission Factors database'!Q9</f>
        <v>0</v>
      </c>
      <c r="P5" s="75" t="str">
        <f ca="1">'Emission Factors database'!R9</f>
        <v>0</v>
      </c>
      <c r="Q5" s="75" t="str">
        <f ca="1">'Emission Factors database'!S9</f>
        <v>0</v>
      </c>
      <c r="R5" s="75" t="str">
        <f ca="1">'Emission Factors database'!T9</f>
        <v>0</v>
      </c>
      <c r="S5" s="75" t="str">
        <f ca="1">'Emission Factors database'!U9</f>
        <v>0</v>
      </c>
      <c r="T5" s="75" t="str">
        <f ca="1">'Emission Factors database'!V9</f>
        <v>0</v>
      </c>
      <c r="U5" s="75" t="str">
        <f ca="1">'Emission Factors database'!W9</f>
        <v>2,400</v>
      </c>
      <c r="V5" s="75" t="str">
        <f ca="1">'Emission Factors database'!X9</f>
        <v>kg/m³</v>
      </c>
      <c r="W5" s="75" t="str">
        <f ca="1">'Emission Factors database'!Z9</f>
        <v>No</v>
      </c>
    </row>
    <row r="6" spans="1:23" ht="24.9" customHeight="1" x14ac:dyDescent="0.25">
      <c r="A6" s="75" t="str">
        <f>'Emission Factors database'!B10</f>
        <v>Concrete in-situ</v>
      </c>
      <c r="B6" s="75" t="str">
        <f>'Emission Factors database'!C10</f>
        <v>&gt;32 MPa to ≤40 MPa</v>
      </c>
      <c r="C6" s="75" t="str">
        <f ca="1">'Emission Factors database'!D10</f>
        <v>Any concrete mix with a strength rating of 40 MPa or lower and greater than 32 MPa</v>
      </c>
      <c r="D6" s="75" t="str">
        <f ca="1">'Emission Factors database'!F10</f>
        <v>m³</v>
      </c>
      <c r="E6" s="75" t="str">
        <f ca="1">'Emission Factors database'!G10</f>
        <v>Tier 1</v>
      </c>
      <c r="F6" s="75">
        <f ca="1">'Emission Factors database'!H10</f>
        <v>1.02</v>
      </c>
      <c r="G6" s="75" t="str">
        <f ca="1">'Emission Factors database'!I10</f>
        <v>556</v>
      </c>
      <c r="H6" s="75" t="str">
        <f ca="1">'Emission Factors database'!J10</f>
        <v>545</v>
      </c>
      <c r="I6" s="75" t="str">
        <f ca="1">'Emission Factors database'!K10</f>
        <v>185</v>
      </c>
      <c r="J6" s="75" t="str">
        <f ca="1">'Emission Factors database'!L10</f>
        <v>300</v>
      </c>
      <c r="K6" s="75" t="str">
        <f ca="1">'Emission Factors database'!M10</f>
        <v>0.232</v>
      </c>
      <c r="L6" s="75" t="str">
        <f ca="1">'Emission Factors database'!N10</f>
        <v>0.227</v>
      </c>
      <c r="M6" s="75" t="str">
        <f ca="1">'Emission Factors database'!O10</f>
        <v>0.0771</v>
      </c>
      <c r="N6" s="75" t="str">
        <f ca="1">'Emission Factors database'!P10</f>
        <v>0.125</v>
      </c>
      <c r="O6" s="75" t="str">
        <f ca="1">'Emission Factors database'!Q10</f>
        <v>0</v>
      </c>
      <c r="P6" s="75" t="str">
        <f ca="1">'Emission Factors database'!R10</f>
        <v>0</v>
      </c>
      <c r="Q6" s="75" t="str">
        <f ca="1">'Emission Factors database'!S10</f>
        <v>0</v>
      </c>
      <c r="R6" s="75" t="str">
        <f ca="1">'Emission Factors database'!T10</f>
        <v>0</v>
      </c>
      <c r="S6" s="75" t="str">
        <f ca="1">'Emission Factors database'!U10</f>
        <v>0</v>
      </c>
      <c r="T6" s="75" t="str">
        <f ca="1">'Emission Factors database'!V10</f>
        <v>0</v>
      </c>
      <c r="U6" s="75" t="str">
        <f ca="1">'Emission Factors database'!W10</f>
        <v>2,400</v>
      </c>
      <c r="V6" s="75" t="str">
        <f ca="1">'Emission Factors database'!X10</f>
        <v>kg/m³</v>
      </c>
      <c r="W6" s="75" t="str">
        <f ca="1">'Emission Factors database'!Z10</f>
        <v>No</v>
      </c>
    </row>
    <row r="7" spans="1:23" ht="24.9" customHeight="1" x14ac:dyDescent="0.25">
      <c r="A7" s="75" t="str">
        <f>'Emission Factors database'!B11</f>
        <v>Concrete in-situ</v>
      </c>
      <c r="B7" s="75" t="str">
        <f>'Emission Factors database'!C11</f>
        <v>&gt;40 MPa to ≤50 MPa</v>
      </c>
      <c r="C7" s="75" t="str">
        <f ca="1">'Emission Factors database'!D11</f>
        <v>Any concrete mix with a strength rating of 50 MPa or lower and greater than 40 MPa</v>
      </c>
      <c r="D7" s="75" t="str">
        <f ca="1">'Emission Factors database'!F11</f>
        <v>m³</v>
      </c>
      <c r="E7" s="75" t="str">
        <f ca="1">'Emission Factors database'!G11</f>
        <v>Tier 1</v>
      </c>
      <c r="F7" s="75">
        <f ca="1">'Emission Factors database'!H11</f>
        <v>1.02</v>
      </c>
      <c r="G7" s="75" t="str">
        <f ca="1">'Emission Factors database'!I11</f>
        <v>621</v>
      </c>
      <c r="H7" s="75" t="str">
        <f ca="1">'Emission Factors database'!J11</f>
        <v>609</v>
      </c>
      <c r="I7" s="75" t="str">
        <f ca="1">'Emission Factors database'!K11</f>
        <v>101</v>
      </c>
      <c r="J7" s="75" t="str">
        <f ca="1">'Emission Factors database'!L11</f>
        <v>357</v>
      </c>
      <c r="K7" s="75" t="str">
        <f ca="1">'Emission Factors database'!M11</f>
        <v>0.259</v>
      </c>
      <c r="L7" s="75" t="str">
        <f ca="1">'Emission Factors database'!N11</f>
        <v>0.254</v>
      </c>
      <c r="M7" s="75" t="str">
        <f ca="1">'Emission Factors database'!O11</f>
        <v>0.0421</v>
      </c>
      <c r="N7" s="75" t="str">
        <f ca="1">'Emission Factors database'!P11</f>
        <v>0.149</v>
      </c>
      <c r="O7" s="75" t="str">
        <f ca="1">'Emission Factors database'!Q11</f>
        <v>0</v>
      </c>
      <c r="P7" s="75" t="str">
        <f ca="1">'Emission Factors database'!R11</f>
        <v>0</v>
      </c>
      <c r="Q7" s="75" t="str">
        <f ca="1">'Emission Factors database'!S11</f>
        <v>0</v>
      </c>
      <c r="R7" s="75" t="str">
        <f ca="1">'Emission Factors database'!T11</f>
        <v>0</v>
      </c>
      <c r="S7" s="75" t="str">
        <f ca="1">'Emission Factors database'!U11</f>
        <v>0</v>
      </c>
      <c r="T7" s="75" t="str">
        <f ca="1">'Emission Factors database'!V11</f>
        <v>0</v>
      </c>
      <c r="U7" s="75" t="str">
        <f ca="1">'Emission Factors database'!W11</f>
        <v>2,400</v>
      </c>
      <c r="V7" s="75" t="str">
        <f ca="1">'Emission Factors database'!X11</f>
        <v>kg/m³</v>
      </c>
      <c r="W7" s="75" t="str">
        <f ca="1">'Emission Factors database'!Z11</f>
        <v>No</v>
      </c>
    </row>
    <row r="8" spans="1:23" ht="24.9" customHeight="1" x14ac:dyDescent="0.25">
      <c r="A8" s="75" t="str">
        <f>'Emission Factors database'!B12</f>
        <v>Concrete in-situ</v>
      </c>
      <c r="B8" s="75" t="str">
        <f>'Emission Factors database'!C12</f>
        <v>&gt;50 MPa to ≤65 MPa</v>
      </c>
      <c r="C8" s="75" t="str">
        <f ca="1">'Emission Factors database'!D12</f>
        <v>Any concrete mix with a strength rating of 65 MPa or lower and greater than 50 MPa</v>
      </c>
      <c r="D8" s="75" t="str">
        <f ca="1">'Emission Factors database'!F12</f>
        <v>m³</v>
      </c>
      <c r="E8" s="75" t="str">
        <f ca="1">'Emission Factors database'!G12</f>
        <v>Tier 2</v>
      </c>
      <c r="F8" s="75">
        <f ca="1">'Emission Factors database'!H12</f>
        <v>1.05</v>
      </c>
      <c r="G8" s="75" t="str">
        <f ca="1">'Emission Factors database'!I12</f>
        <v>640</v>
      </c>
      <c r="H8" s="75" t="str">
        <f ca="1">'Emission Factors database'!J12</f>
        <v>609</v>
      </c>
      <c r="I8" s="75" t="str">
        <f ca="1">'Emission Factors database'!K12</f>
        <v>274</v>
      </c>
      <c r="J8" s="75" t="str">
        <f ca="1">'Emission Factors database'!L12</f>
        <v>382</v>
      </c>
      <c r="K8" s="75" t="str">
        <f ca="1">'Emission Factors database'!M12</f>
        <v>0.267</v>
      </c>
      <c r="L8" s="75" t="str">
        <f ca="1">'Emission Factors database'!N12</f>
        <v>0.254</v>
      </c>
      <c r="M8" s="75" t="str">
        <f ca="1">'Emission Factors database'!O12</f>
        <v>0.114</v>
      </c>
      <c r="N8" s="75" t="str">
        <f ca="1">'Emission Factors database'!P12</f>
        <v>0.159</v>
      </c>
      <c r="O8" s="75" t="str">
        <f ca="1">'Emission Factors database'!Q12</f>
        <v>0</v>
      </c>
      <c r="P8" s="75" t="str">
        <f ca="1">'Emission Factors database'!R12</f>
        <v>0</v>
      </c>
      <c r="Q8" s="75" t="str">
        <f ca="1">'Emission Factors database'!S12</f>
        <v>0</v>
      </c>
      <c r="R8" s="75" t="str">
        <f ca="1">'Emission Factors database'!T12</f>
        <v>0</v>
      </c>
      <c r="S8" s="75" t="str">
        <f ca="1">'Emission Factors database'!U12</f>
        <v>0</v>
      </c>
      <c r="T8" s="75" t="str">
        <f ca="1">'Emission Factors database'!V12</f>
        <v>0</v>
      </c>
      <c r="U8" s="75" t="str">
        <f ca="1">'Emission Factors database'!W12</f>
        <v>2,400</v>
      </c>
      <c r="V8" s="75" t="str">
        <f ca="1">'Emission Factors database'!X12</f>
        <v>kg/m³</v>
      </c>
      <c r="W8" s="75" t="str">
        <f ca="1">'Emission Factors database'!Z12</f>
        <v>No</v>
      </c>
    </row>
    <row r="9" spans="1:23" ht="24.9" customHeight="1" x14ac:dyDescent="0.25">
      <c r="A9" s="75" t="str">
        <f>'Emission Factors database'!B13</f>
        <v>Concrete in-situ</v>
      </c>
      <c r="B9" s="75" t="str">
        <f>'Emission Factors database'!C13</f>
        <v>&gt;65 MPa to ≤80 MPa</v>
      </c>
      <c r="C9" s="75" t="str">
        <f ca="1">'Emission Factors database'!D13</f>
        <v>Any concrete mix with a strength rating of 80 MPa or lower and greater than 65 MPa</v>
      </c>
      <c r="D9" s="75" t="str">
        <f ca="1">'Emission Factors database'!F13</f>
        <v>m³</v>
      </c>
      <c r="E9" s="75" t="str">
        <f ca="1">'Emission Factors database'!G13</f>
        <v>Tier 3</v>
      </c>
      <c r="F9" s="75">
        <f ca="1">'Emission Factors database'!H13</f>
        <v>1.1000000000000001</v>
      </c>
      <c r="G9" s="75" t="str">
        <f ca="1">'Emission Factors database'!I13</f>
        <v>670</v>
      </c>
      <c r="H9" s="75" t="str">
        <f ca="1">'Emission Factors database'!J13</f>
        <v>609</v>
      </c>
      <c r="I9" s="75" t="str">
        <f ca="1">'Emission Factors database'!K13</f>
        <v>301</v>
      </c>
      <c r="J9" s="75" t="str">
        <f ca="1">'Emission Factors database'!L13</f>
        <v>426</v>
      </c>
      <c r="K9" s="75" t="str">
        <f ca="1">'Emission Factors database'!M13</f>
        <v>0.279</v>
      </c>
      <c r="L9" s="75" t="str">
        <f ca="1">'Emission Factors database'!N13</f>
        <v>0.254</v>
      </c>
      <c r="M9" s="75" t="str">
        <f ca="1">'Emission Factors database'!O13</f>
        <v>0.125</v>
      </c>
      <c r="N9" s="75" t="str">
        <f ca="1">'Emission Factors database'!P13</f>
        <v>0.177</v>
      </c>
      <c r="O9" s="75" t="str">
        <f ca="1">'Emission Factors database'!Q13</f>
        <v>0</v>
      </c>
      <c r="P9" s="75" t="str">
        <f ca="1">'Emission Factors database'!R13</f>
        <v>0</v>
      </c>
      <c r="Q9" s="75" t="str">
        <f ca="1">'Emission Factors database'!S13</f>
        <v>0</v>
      </c>
      <c r="R9" s="75" t="str">
        <f ca="1">'Emission Factors database'!T13</f>
        <v>0</v>
      </c>
      <c r="S9" s="75" t="str">
        <f ca="1">'Emission Factors database'!U13</f>
        <v>0</v>
      </c>
      <c r="T9" s="75" t="str">
        <f ca="1">'Emission Factors database'!V13</f>
        <v>0</v>
      </c>
      <c r="U9" s="75" t="str">
        <f ca="1">'Emission Factors database'!W13</f>
        <v>2,400</v>
      </c>
      <c r="V9" s="75" t="str">
        <f ca="1">'Emission Factors database'!X13</f>
        <v>kg/m³</v>
      </c>
      <c r="W9" s="75" t="str">
        <f ca="1">'Emission Factors database'!Z13</f>
        <v>No</v>
      </c>
    </row>
    <row r="10" spans="1:23" ht="24.9" customHeight="1" x14ac:dyDescent="0.25">
      <c r="A10" s="75" t="str">
        <f>'Emission Factors database'!B14</f>
        <v>Concrete in-situ</v>
      </c>
      <c r="B10" s="75" t="str">
        <f>'Emission Factors database'!C14</f>
        <v>&gt;80 MPa +</v>
      </c>
      <c r="C10" s="75" t="str">
        <f ca="1">'Emission Factors database'!D14</f>
        <v>Any concrete mix with a strength rating above 80 Mpa</v>
      </c>
      <c r="D10" s="75" t="str">
        <f ca="1">'Emission Factors database'!F14</f>
        <v>m³</v>
      </c>
      <c r="E10" s="75" t="str">
        <f ca="1">'Emission Factors database'!G14</f>
        <v>Tier 4</v>
      </c>
      <c r="F10" s="75">
        <f ca="1">'Emission Factors database'!H14</f>
        <v>1.2</v>
      </c>
      <c r="G10" s="75" t="str">
        <f ca="1">'Emission Factors database'!I14</f>
        <v>731</v>
      </c>
      <c r="H10" s="75" t="str">
        <f ca="1">'Emission Factors database'!J14</f>
        <v>609</v>
      </c>
      <c r="I10" s="75" t="str">
        <f ca="1">'Emission Factors database'!K14</f>
        <v>444</v>
      </c>
      <c r="J10" s="75" t="str">
        <f ca="1">'Emission Factors database'!L14</f>
        <v>444</v>
      </c>
      <c r="K10" s="75" t="str">
        <f ca="1">'Emission Factors database'!M14</f>
        <v>0.305</v>
      </c>
      <c r="L10" s="75" t="str">
        <f ca="1">'Emission Factors database'!N14</f>
        <v>0.254</v>
      </c>
      <c r="M10" s="75" t="str">
        <f ca="1">'Emission Factors database'!O14</f>
        <v>0.185</v>
      </c>
      <c r="N10" s="75" t="str">
        <f ca="1">'Emission Factors database'!P14</f>
        <v>0.185</v>
      </c>
      <c r="O10" s="75" t="str">
        <f ca="1">'Emission Factors database'!Q14</f>
        <v>0</v>
      </c>
      <c r="P10" s="75" t="str">
        <f ca="1">'Emission Factors database'!R14</f>
        <v>0</v>
      </c>
      <c r="Q10" s="75" t="str">
        <f ca="1">'Emission Factors database'!S14</f>
        <v>0</v>
      </c>
      <c r="R10" s="75" t="str">
        <f ca="1">'Emission Factors database'!T14</f>
        <v>0</v>
      </c>
      <c r="S10" s="75" t="str">
        <f ca="1">'Emission Factors database'!U14</f>
        <v>0</v>
      </c>
      <c r="T10" s="75" t="str">
        <f ca="1">'Emission Factors database'!V14</f>
        <v>0</v>
      </c>
      <c r="U10" s="75" t="str">
        <f ca="1">'Emission Factors database'!W14</f>
        <v>2,400</v>
      </c>
      <c r="V10" s="75" t="str">
        <f ca="1">'Emission Factors database'!X14</f>
        <v>kg/m³</v>
      </c>
      <c r="W10" s="75" t="str">
        <f ca="1">'Emission Factors database'!Z14</f>
        <v>No</v>
      </c>
    </row>
    <row r="11" spans="1:23" ht="24.9" customHeight="1" x14ac:dyDescent="0.25">
      <c r="A11" s="75" t="str">
        <f>'Emission Factors database'!B15</f>
        <v>Concrete pre-cast panel</v>
      </c>
      <c r="B11" s="75" t="str">
        <f>'Emission Factors database'!C15</f>
        <v>Wall panel - precast concrete</v>
      </c>
      <c r="C11" s="75" t="str">
        <f ca="1">'Emission Factors database'!D15</f>
        <v>Any precaste concrete panel i.e. wall, deck, or balcony panel.</v>
      </c>
      <c r="D11" s="75" t="str">
        <f ca="1">'Emission Factors database'!F15</f>
        <v>tonne</v>
      </c>
      <c r="E11" s="75" t="str">
        <f ca="1">'Emission Factors database'!G15</f>
        <v>Tier 4</v>
      </c>
      <c r="F11" s="75">
        <f ca="1">'Emission Factors database'!H15</f>
        <v>1.2</v>
      </c>
      <c r="G11" s="75" t="str">
        <f ca="1">'Emission Factors database'!I15</f>
        <v>261</v>
      </c>
      <c r="H11" s="75" t="str">
        <f ca="1">'Emission Factors database'!J15</f>
        <v>218</v>
      </c>
      <c r="I11" s="75" t="str">
        <f ca="1">'Emission Factors database'!K15</f>
        <v>183</v>
      </c>
      <c r="J11" s="75" t="str">
        <f ca="1">'Emission Factors database'!L15</f>
        <v>208</v>
      </c>
      <c r="K11" s="75" t="str">
        <f ca="1">'Emission Factors database'!M15</f>
        <v>0.261</v>
      </c>
      <c r="L11" s="75" t="str">
        <f ca="1">'Emission Factors database'!N15</f>
        <v>0.218</v>
      </c>
      <c r="M11" s="75" t="str">
        <f ca="1">'Emission Factors database'!O15</f>
        <v>0.183</v>
      </c>
      <c r="N11" s="75" t="str">
        <f ca="1">'Emission Factors database'!P15</f>
        <v>0.208</v>
      </c>
      <c r="O11" s="75" t="str">
        <f ca="1">'Emission Factors database'!Q15</f>
        <v>0</v>
      </c>
      <c r="P11" s="75" t="str">
        <f ca="1">'Emission Factors database'!R15</f>
        <v>0</v>
      </c>
      <c r="Q11" s="75" t="str">
        <f ca="1">'Emission Factors database'!S15</f>
        <v>0</v>
      </c>
      <c r="R11" s="75" t="str">
        <f ca="1">'Emission Factors database'!T15</f>
        <v>0</v>
      </c>
      <c r="S11" s="75" t="str">
        <f ca="1">'Emission Factors database'!U15</f>
        <v>0</v>
      </c>
      <c r="T11" s="75" t="str">
        <f ca="1">'Emission Factors database'!V15</f>
        <v>0</v>
      </c>
      <c r="U11" s="75" t="str">
        <f ca="1">'Emission Factors database'!W15</f>
        <v>1,000</v>
      </c>
      <c r="V11" s="75" t="str">
        <f ca="1">'Emission Factors database'!X15</f>
        <v>kg/tonne</v>
      </c>
      <c r="W11" s="75" t="str">
        <f ca="1">'Emission Factors database'!Z15</f>
        <v>No</v>
      </c>
    </row>
    <row r="12" spans="1:23" ht="24.9" customHeight="1" x14ac:dyDescent="0.25">
      <c r="A12" s="75" t="str">
        <f>'Emission Factors database'!B16</f>
        <v>Concrete pre-cast panel</v>
      </c>
      <c r="B12" s="75" t="str">
        <f>'Emission Factors database'!C16</f>
        <v>Deck panel - precast concrete</v>
      </c>
      <c r="C12" s="75" t="str">
        <f ca="1">'Emission Factors database'!D16</f>
        <v>Any precaste concrete panel i.e. wall, deck, or balcony panel.</v>
      </c>
      <c r="D12" s="75" t="str">
        <f ca="1">'Emission Factors database'!F16</f>
        <v>tonne</v>
      </c>
      <c r="E12" s="75" t="str">
        <f ca="1">'Emission Factors database'!G16</f>
        <v>Tier 4</v>
      </c>
      <c r="F12" s="75">
        <f ca="1">'Emission Factors database'!H16</f>
        <v>1.2</v>
      </c>
      <c r="G12" s="75" t="str">
        <f ca="1">'Emission Factors database'!I16</f>
        <v>261</v>
      </c>
      <c r="H12" s="75" t="str">
        <f ca="1">'Emission Factors database'!J16</f>
        <v>218</v>
      </c>
      <c r="I12" s="75" t="str">
        <f ca="1">'Emission Factors database'!K16</f>
        <v>183</v>
      </c>
      <c r="J12" s="75" t="str">
        <f ca="1">'Emission Factors database'!L16</f>
        <v>208</v>
      </c>
      <c r="K12" s="75" t="str">
        <f ca="1">'Emission Factors database'!M16</f>
        <v>0.261</v>
      </c>
      <c r="L12" s="75" t="str">
        <f ca="1">'Emission Factors database'!N16</f>
        <v>0.218</v>
      </c>
      <c r="M12" s="75" t="str">
        <f ca="1">'Emission Factors database'!O16</f>
        <v>0.183</v>
      </c>
      <c r="N12" s="75" t="str">
        <f ca="1">'Emission Factors database'!P16</f>
        <v>0.208</v>
      </c>
      <c r="O12" s="75" t="str">
        <f ca="1">'Emission Factors database'!Q16</f>
        <v>0</v>
      </c>
      <c r="P12" s="75" t="str">
        <f ca="1">'Emission Factors database'!R16</f>
        <v>0</v>
      </c>
      <c r="Q12" s="75" t="str">
        <f ca="1">'Emission Factors database'!S16</f>
        <v>0</v>
      </c>
      <c r="R12" s="75" t="str">
        <f ca="1">'Emission Factors database'!T16</f>
        <v>0</v>
      </c>
      <c r="S12" s="75" t="str">
        <f ca="1">'Emission Factors database'!U16</f>
        <v>0</v>
      </c>
      <c r="T12" s="75" t="str">
        <f ca="1">'Emission Factors database'!V16</f>
        <v>0</v>
      </c>
      <c r="U12" s="75" t="str">
        <f ca="1">'Emission Factors database'!W16</f>
        <v>1,000</v>
      </c>
      <c r="V12" s="75" t="str">
        <f ca="1">'Emission Factors database'!X16</f>
        <v>kg/tonne</v>
      </c>
      <c r="W12" s="75" t="str">
        <f ca="1">'Emission Factors database'!Z16</f>
        <v>No</v>
      </c>
    </row>
    <row r="13" spans="1:23" ht="24.9" customHeight="1" x14ac:dyDescent="0.25">
      <c r="A13" s="75" t="str">
        <f>'Emission Factors database'!B17</f>
        <v>Concrete pre-cast panel</v>
      </c>
      <c r="B13" s="75" t="str">
        <f>'Emission Factors database'!C17</f>
        <v>Hollow core - precast concrete</v>
      </c>
      <c r="C13" s="75" t="str">
        <f ca="1">'Emission Factors database'!D17</f>
        <v>Precast hollowcore concrete slabs</v>
      </c>
      <c r="D13" s="75" t="str">
        <f ca="1">'Emission Factors database'!F17</f>
        <v>m³</v>
      </c>
      <c r="E13" s="75" t="str">
        <f ca="1">'Emission Factors database'!G17</f>
        <v>Tier 4</v>
      </c>
      <c r="F13" s="75">
        <f ca="1">'Emission Factors database'!H17</f>
        <v>1.2</v>
      </c>
      <c r="G13" s="75" t="str">
        <f ca="1">'Emission Factors database'!I17</f>
        <v>428</v>
      </c>
      <c r="H13" s="75" t="str">
        <f ca="1">'Emission Factors database'!J17</f>
        <v>357</v>
      </c>
      <c r="I13" s="75" t="str">
        <f ca="1">'Emission Factors database'!K17</f>
        <v>317</v>
      </c>
      <c r="J13" s="75" t="str">
        <f ca="1">'Emission Factors database'!L17</f>
        <v>339</v>
      </c>
      <c r="K13" s="75" t="str">
        <f ca="1">'Emission Factors database'!M17</f>
        <v>0.290</v>
      </c>
      <c r="L13" s="75" t="str">
        <f ca="1">'Emission Factors database'!N17</f>
        <v>0.242</v>
      </c>
      <c r="M13" s="75" t="str">
        <f ca="1">'Emission Factors database'!O17</f>
        <v>0.215</v>
      </c>
      <c r="N13" s="75" t="str">
        <f ca="1">'Emission Factors database'!P17</f>
        <v>0.229</v>
      </c>
      <c r="O13" s="75" t="str">
        <f ca="1">'Emission Factors database'!Q17</f>
        <v>0</v>
      </c>
      <c r="P13" s="75" t="str">
        <f ca="1">'Emission Factors database'!R17</f>
        <v>0</v>
      </c>
      <c r="Q13" s="75" t="str">
        <f ca="1">'Emission Factors database'!S17</f>
        <v>0</v>
      </c>
      <c r="R13" s="75" t="str">
        <f ca="1">'Emission Factors database'!T17</f>
        <v>0</v>
      </c>
      <c r="S13" s="75" t="str">
        <f ca="1">'Emission Factors database'!U17</f>
        <v>0</v>
      </c>
      <c r="T13" s="75" t="str">
        <f ca="1">'Emission Factors database'!V17</f>
        <v>0</v>
      </c>
      <c r="U13" s="75" t="str">
        <f ca="1">'Emission Factors database'!W17</f>
        <v>1,480</v>
      </c>
      <c r="V13" s="75" t="str">
        <f ca="1">'Emission Factors database'!X17</f>
        <v>kg/m³</v>
      </c>
      <c r="W13" s="75" t="str">
        <f ca="1">'Emission Factors database'!Z17</f>
        <v>No</v>
      </c>
    </row>
    <row r="14" spans="1:23" ht="24.9" customHeight="1" x14ac:dyDescent="0.25">
      <c r="A14" s="75" t="str">
        <f>'Emission Factors database'!B18</f>
        <v>Concrete block</v>
      </c>
      <c r="B14" s="75" t="str">
        <f>'Emission Factors database'!C18</f>
        <v>Concrete block</v>
      </c>
      <c r="C14" s="75" t="str">
        <f ca="1">'Emission Factors database'!D18</f>
        <v>Concrete brick or block i.e. cinder block or concrete finishing brick used in masonry. Not including any core fill material or reinforcing.</v>
      </c>
      <c r="D14" s="75" t="str">
        <f ca="1">'Emission Factors database'!F18</f>
        <v>tonne</v>
      </c>
      <c r="E14" s="75" t="str">
        <f ca="1">'Emission Factors database'!G18</f>
        <v>Tier 3</v>
      </c>
      <c r="F14" s="75">
        <f ca="1">'Emission Factors database'!H18</f>
        <v>1.1000000000000001</v>
      </c>
      <c r="G14" s="75" t="str">
        <f ca="1">'Emission Factors database'!I18</f>
        <v>264</v>
      </c>
      <c r="H14" s="75" t="str">
        <f ca="1">'Emission Factors database'!J18</f>
        <v>240</v>
      </c>
      <c r="I14" s="75" t="str">
        <f ca="1">'Emission Factors database'!K18</f>
        <v>112</v>
      </c>
      <c r="J14" s="75" t="str">
        <f ca="1">'Emission Factors database'!L18</f>
        <v>159</v>
      </c>
      <c r="K14" s="75" t="str">
        <f ca="1">'Emission Factors database'!M18</f>
        <v>0.264</v>
      </c>
      <c r="L14" s="75" t="str">
        <f ca="1">'Emission Factors database'!N18</f>
        <v>0.240</v>
      </c>
      <c r="M14" s="75" t="str">
        <f ca="1">'Emission Factors database'!O18</f>
        <v>0.112</v>
      </c>
      <c r="N14" s="75" t="str">
        <f ca="1">'Emission Factors database'!P18</f>
        <v>0.159</v>
      </c>
      <c r="O14" s="75" t="str">
        <f ca="1">'Emission Factors database'!Q18</f>
        <v>0</v>
      </c>
      <c r="P14" s="75" t="str">
        <f ca="1">'Emission Factors database'!R18</f>
        <v>0</v>
      </c>
      <c r="Q14" s="75" t="str">
        <f ca="1">'Emission Factors database'!S18</f>
        <v>0</v>
      </c>
      <c r="R14" s="75" t="str">
        <f ca="1">'Emission Factors database'!T18</f>
        <v>0</v>
      </c>
      <c r="S14" s="75" t="str">
        <f ca="1">'Emission Factors database'!U18</f>
        <v>0</v>
      </c>
      <c r="T14" s="75" t="str">
        <f ca="1">'Emission Factors database'!V18</f>
        <v>0</v>
      </c>
      <c r="U14" s="75" t="str">
        <f ca="1">'Emission Factors database'!W18</f>
        <v>1,000</v>
      </c>
      <c r="V14" s="75" t="str">
        <f ca="1">'Emission Factors database'!X18</f>
        <v>kg/tonne</v>
      </c>
      <c r="W14" s="75" t="str">
        <f ca="1">'Emission Factors database'!Z18</f>
        <v>No</v>
      </c>
    </row>
    <row r="15" spans="1:23" ht="24.9" customHeight="1" x14ac:dyDescent="0.25">
      <c r="A15" s="75" t="str">
        <f>'Emission Factors database'!B19</f>
        <v>Concrete brick</v>
      </c>
      <c r="B15" s="75" t="str">
        <f>'Emission Factors database'!C19</f>
        <v>Concrete brick</v>
      </c>
      <c r="C15" s="75" t="str">
        <f ca="1">'Emission Factors database'!D19</f>
        <v>Concrete brick or block i.e. cinder block or concrete finishing brick used in masonry. Not including any core fill material or reinforcing.</v>
      </c>
      <c r="D15" s="75" t="str">
        <f ca="1">'Emission Factors database'!F19</f>
        <v>tonne</v>
      </c>
      <c r="E15" s="75" t="str">
        <f ca="1">'Emission Factors database'!G19</f>
        <v>Tier 3</v>
      </c>
      <c r="F15" s="75">
        <f ca="1">'Emission Factors database'!H19</f>
        <v>1.1000000000000001</v>
      </c>
      <c r="G15" s="75" t="str">
        <f ca="1">'Emission Factors database'!I19</f>
        <v>264</v>
      </c>
      <c r="H15" s="75" t="str">
        <f ca="1">'Emission Factors database'!J19</f>
        <v>240</v>
      </c>
      <c r="I15" s="75" t="str">
        <f ca="1">'Emission Factors database'!K19</f>
        <v>112</v>
      </c>
      <c r="J15" s="75" t="str">
        <f ca="1">'Emission Factors database'!L19</f>
        <v>159</v>
      </c>
      <c r="K15" s="75" t="str">
        <f ca="1">'Emission Factors database'!M19</f>
        <v>0.264</v>
      </c>
      <c r="L15" s="75" t="str">
        <f ca="1">'Emission Factors database'!N19</f>
        <v>0.240</v>
      </c>
      <c r="M15" s="75" t="str">
        <f ca="1">'Emission Factors database'!O19</f>
        <v>0.112</v>
      </c>
      <c r="N15" s="75" t="str">
        <f ca="1">'Emission Factors database'!P19</f>
        <v>0.159</v>
      </c>
      <c r="O15" s="75" t="str">
        <f ca="1">'Emission Factors database'!Q19</f>
        <v>0</v>
      </c>
      <c r="P15" s="75" t="str">
        <f ca="1">'Emission Factors database'!R19</f>
        <v>0</v>
      </c>
      <c r="Q15" s="75" t="str">
        <f ca="1">'Emission Factors database'!S19</f>
        <v>0</v>
      </c>
      <c r="R15" s="75" t="str">
        <f ca="1">'Emission Factors database'!T19</f>
        <v>0</v>
      </c>
      <c r="S15" s="75" t="str">
        <f ca="1">'Emission Factors database'!U19</f>
        <v>0</v>
      </c>
      <c r="T15" s="75" t="str">
        <f ca="1">'Emission Factors database'!V19</f>
        <v>0</v>
      </c>
      <c r="U15" s="75" t="str">
        <f ca="1">'Emission Factors database'!W19</f>
        <v>1,000</v>
      </c>
      <c r="V15" s="75" t="str">
        <f ca="1">'Emission Factors database'!X19</f>
        <v>kg/tonne</v>
      </c>
      <c r="W15" s="75" t="str">
        <f ca="1">'Emission Factors database'!Z19</f>
        <v>No</v>
      </c>
    </row>
    <row r="16" spans="1:23" ht="24.9" customHeight="1" x14ac:dyDescent="0.25">
      <c r="A16" s="75" t="str">
        <f>'Emission Factors database'!B20</f>
        <v>Concrete block/brick</v>
      </c>
      <c r="B16" s="75" t="str">
        <f>'Emission Factors database'!C20</f>
        <v>Solid AAC</v>
      </c>
      <c r="C16" s="75" t="str">
        <f ca="1">'Emission Factors database'!D20</f>
        <v>Autoclaved Aerated Concrete (AAC) blocks/bricks</v>
      </c>
      <c r="D16" s="75" t="str">
        <f ca="1">'Emission Factors database'!F20</f>
        <v>m³</v>
      </c>
      <c r="E16" s="75" t="str">
        <f ca="1">'Emission Factors database'!G20</f>
        <v>Tier 4</v>
      </c>
      <c r="F16" s="75">
        <f ca="1">'Emission Factors database'!H20</f>
        <v>1.2</v>
      </c>
      <c r="G16" s="75" t="str">
        <f ca="1">'Emission Factors database'!I20</f>
        <v>278</v>
      </c>
      <c r="H16" s="75" t="str">
        <f ca="1">'Emission Factors database'!J20</f>
        <v>232</v>
      </c>
      <c r="I16" s="75" t="str">
        <f ca="1">'Emission Factors database'!K20</f>
        <v>150</v>
      </c>
      <c r="J16" s="75" t="str">
        <f ca="1">'Emission Factors database'!L20</f>
        <v>190</v>
      </c>
      <c r="K16" s="75" t="str">
        <f ca="1">'Emission Factors database'!M20</f>
        <v>0.724</v>
      </c>
      <c r="L16" s="75" t="str">
        <f ca="1">'Emission Factors database'!N20</f>
        <v>0.603</v>
      </c>
      <c r="M16" s="75" t="str">
        <f ca="1">'Emission Factors database'!O20</f>
        <v>0.334</v>
      </c>
      <c r="N16" s="75" t="str">
        <f ca="1">'Emission Factors database'!P20</f>
        <v>0.437</v>
      </c>
      <c r="O16" s="75" t="str">
        <f ca="1">'Emission Factors database'!Q20</f>
        <v>0</v>
      </c>
      <c r="P16" s="75" t="str">
        <f ca="1">'Emission Factors database'!R20</f>
        <v>0</v>
      </c>
      <c r="Q16" s="75" t="str">
        <f ca="1">'Emission Factors database'!S20</f>
        <v>0</v>
      </c>
      <c r="R16" s="75" t="str">
        <f ca="1">'Emission Factors database'!T20</f>
        <v>0</v>
      </c>
      <c r="S16" s="75" t="str">
        <f ca="1">'Emission Factors database'!U20</f>
        <v>0</v>
      </c>
      <c r="T16" s="75" t="str">
        <f ca="1">'Emission Factors database'!V20</f>
        <v>0</v>
      </c>
      <c r="U16" s="75" t="str">
        <f ca="1">'Emission Factors database'!W20</f>
        <v>435</v>
      </c>
      <c r="V16" s="75" t="str">
        <f ca="1">'Emission Factors database'!X20</f>
        <v>kg/m³</v>
      </c>
      <c r="W16" s="75" t="str">
        <f ca="1">'Emission Factors database'!Z20</f>
        <v>No</v>
      </c>
    </row>
    <row r="17" spans="1:23" ht="24.9" customHeight="1" x14ac:dyDescent="0.25">
      <c r="A17" s="75" t="str">
        <f>'Emission Factors database'!B21</f>
        <v>Reinforcing steel</v>
      </c>
      <c r="B17" s="75" t="str">
        <f>'Emission Factors database'!C21</f>
        <v>Bar &amp; mesh reinforcing steel</v>
      </c>
      <c r="C17" s="75" t="str">
        <f ca="1">'Emission Factors database'!D21</f>
        <v>Steel used to reinforce concrete structures (bar, mesh, cages, fibre, strand etc.)</v>
      </c>
      <c r="D17" s="75" t="str">
        <f ca="1">'Emission Factors database'!F21</f>
        <v>tonne</v>
      </c>
      <c r="E17" s="75" t="str">
        <f ca="1">'Emission Factors database'!G21</f>
        <v>Tier 2</v>
      </c>
      <c r="F17" s="75">
        <f ca="1">'Emission Factors database'!H21</f>
        <v>1.05</v>
      </c>
      <c r="G17" s="75" t="str">
        <f ca="1">'Emission Factors database'!I21</f>
        <v>3,650</v>
      </c>
      <c r="H17" s="75" t="str">
        <f ca="1">'Emission Factors database'!J21</f>
        <v>3,480</v>
      </c>
      <c r="I17" s="75" t="str">
        <f ca="1">'Emission Factors database'!K21</f>
        <v>309</v>
      </c>
      <c r="J17" s="75" t="str">
        <f ca="1">'Emission Factors database'!L21</f>
        <v>1,750</v>
      </c>
      <c r="K17" s="75" t="str">
        <f ca="1">'Emission Factors database'!M21</f>
        <v>3.65</v>
      </c>
      <c r="L17" s="75" t="str">
        <f ca="1">'Emission Factors database'!N21</f>
        <v>3.48</v>
      </c>
      <c r="M17" s="75" t="str">
        <f ca="1">'Emission Factors database'!O21</f>
        <v>0.309</v>
      </c>
      <c r="N17" s="75" t="str">
        <f ca="1">'Emission Factors database'!P21</f>
        <v>1.75</v>
      </c>
      <c r="O17" s="75" t="str">
        <f ca="1">'Emission Factors database'!Q21</f>
        <v>0</v>
      </c>
      <c r="P17" s="75" t="str">
        <f ca="1">'Emission Factors database'!R21</f>
        <v>0</v>
      </c>
      <c r="Q17" s="75" t="str">
        <f ca="1">'Emission Factors database'!S21</f>
        <v>0</v>
      </c>
      <c r="R17" s="75" t="str">
        <f ca="1">'Emission Factors database'!T21</f>
        <v>0</v>
      </c>
      <c r="S17" s="75" t="str">
        <f ca="1">'Emission Factors database'!U21</f>
        <v>0</v>
      </c>
      <c r="T17" s="75" t="str">
        <f ca="1">'Emission Factors database'!V21</f>
        <v>0</v>
      </c>
      <c r="U17" s="75" t="str">
        <f ca="1">'Emission Factors database'!W21</f>
        <v>1,000</v>
      </c>
      <c r="V17" s="75" t="str">
        <f ca="1">'Emission Factors database'!X21</f>
        <v>kg/tonne</v>
      </c>
      <c r="W17" s="75" t="str">
        <f ca="1">'Emission Factors database'!Z21</f>
        <v>Yes</v>
      </c>
    </row>
    <row r="18" spans="1:23" ht="24.9" customHeight="1" x14ac:dyDescent="0.25">
      <c r="A18" s="75" t="str">
        <f>'Emission Factors database'!B22</f>
        <v>Reinforcing steel</v>
      </c>
      <c r="B18" s="75" t="str">
        <f>'Emission Factors database'!C22</f>
        <v>Fibre &amp; strand reinforcing steel</v>
      </c>
      <c r="C18" s="75" t="str">
        <f ca="1">'Emission Factors database'!D22</f>
        <v>Steel used to reinforce concrete structures (bar, mesh, cages, fibre, strand etc.)</v>
      </c>
      <c r="D18" s="75" t="str">
        <f ca="1">'Emission Factors database'!F22</f>
        <v>tonne</v>
      </c>
      <c r="E18" s="75" t="str">
        <f ca="1">'Emission Factors database'!G22</f>
        <v>Tier 2</v>
      </c>
      <c r="F18" s="75">
        <f ca="1">'Emission Factors database'!H22</f>
        <v>1.05</v>
      </c>
      <c r="G18" s="75" t="str">
        <f ca="1">'Emission Factors database'!I22</f>
        <v>3,650</v>
      </c>
      <c r="H18" s="75" t="str">
        <f ca="1">'Emission Factors database'!J22</f>
        <v>3,480</v>
      </c>
      <c r="I18" s="75" t="str">
        <f ca="1">'Emission Factors database'!K22</f>
        <v>309</v>
      </c>
      <c r="J18" s="75" t="str">
        <f ca="1">'Emission Factors database'!L22</f>
        <v>1,750</v>
      </c>
      <c r="K18" s="75" t="str">
        <f ca="1">'Emission Factors database'!M22</f>
        <v>3.65</v>
      </c>
      <c r="L18" s="75" t="str">
        <f ca="1">'Emission Factors database'!N22</f>
        <v>3.48</v>
      </c>
      <c r="M18" s="75" t="str">
        <f ca="1">'Emission Factors database'!O22</f>
        <v>0.309</v>
      </c>
      <c r="N18" s="75" t="str">
        <f ca="1">'Emission Factors database'!P22</f>
        <v>1.75</v>
      </c>
      <c r="O18" s="75" t="str">
        <f ca="1">'Emission Factors database'!Q22</f>
        <v>0</v>
      </c>
      <c r="P18" s="75" t="str">
        <f ca="1">'Emission Factors database'!R22</f>
        <v>0</v>
      </c>
      <c r="Q18" s="75" t="str">
        <f ca="1">'Emission Factors database'!S22</f>
        <v>0</v>
      </c>
      <c r="R18" s="75" t="str">
        <f ca="1">'Emission Factors database'!T22</f>
        <v>0</v>
      </c>
      <c r="S18" s="75" t="str">
        <f ca="1">'Emission Factors database'!U22</f>
        <v>0</v>
      </c>
      <c r="T18" s="75" t="str">
        <f ca="1">'Emission Factors database'!V22</f>
        <v>0</v>
      </c>
      <c r="U18" s="75" t="str">
        <f ca="1">'Emission Factors database'!W22</f>
        <v>1,000</v>
      </c>
      <c r="V18" s="75" t="str">
        <f ca="1">'Emission Factors database'!X22</f>
        <v>kg/tonne</v>
      </c>
      <c r="W18" s="75" t="str">
        <f ca="1">'Emission Factors database'!Z22</f>
        <v>Yes</v>
      </c>
    </row>
    <row r="19" spans="1:23" ht="24.9" customHeight="1" x14ac:dyDescent="0.25">
      <c r="A19" s="75" t="str">
        <f>'Emission Factors database'!B23</f>
        <v>Structural steel</v>
      </c>
      <c r="B19" s="75" t="str">
        <f>'Emission Factors database'!C23</f>
        <v>Structural sections steel (welded beam, columns, angles, plates etc) (hot rolled)</v>
      </c>
      <c r="C19" s="75" t="str">
        <f ca="1">'Emission Factors database'!D23</f>
        <v>Steel used for structural purposes (unpainted, not galavanized) that has undergone hot-rolled steel production route. Including beams, columns, angles, flange channels, hollow sections.</v>
      </c>
      <c r="D19" s="75" t="str">
        <f ca="1">'Emission Factors database'!F23</f>
        <v>tonne</v>
      </c>
      <c r="E19" s="75" t="str">
        <f ca="1">'Emission Factors database'!G23</f>
        <v>Tier 2</v>
      </c>
      <c r="F19" s="75">
        <f ca="1">'Emission Factors database'!H23</f>
        <v>1.05</v>
      </c>
      <c r="G19" s="75" t="str">
        <f ca="1">'Emission Factors database'!I23</f>
        <v>3,910</v>
      </c>
      <c r="H19" s="75" t="str">
        <f ca="1">'Emission Factors database'!J23</f>
        <v>3,720</v>
      </c>
      <c r="I19" s="75" t="str">
        <f ca="1">'Emission Factors database'!K23</f>
        <v>2,410</v>
      </c>
      <c r="J19" s="75" t="str">
        <f ca="1">'Emission Factors database'!L23</f>
        <v>3,040</v>
      </c>
      <c r="K19" s="75" t="str">
        <f ca="1">'Emission Factors database'!M23</f>
        <v>3.91</v>
      </c>
      <c r="L19" s="75" t="str">
        <f ca="1">'Emission Factors database'!N23</f>
        <v>3.72</v>
      </c>
      <c r="M19" s="75" t="str">
        <f ca="1">'Emission Factors database'!O23</f>
        <v>2.41</v>
      </c>
      <c r="N19" s="75" t="str">
        <f ca="1">'Emission Factors database'!P23</f>
        <v>3.04</v>
      </c>
      <c r="O19" s="75" t="str">
        <f ca="1">'Emission Factors database'!Q23</f>
        <v>0</v>
      </c>
      <c r="P19" s="75" t="str">
        <f ca="1">'Emission Factors database'!R23</f>
        <v>0</v>
      </c>
      <c r="Q19" s="75" t="str">
        <f ca="1">'Emission Factors database'!S23</f>
        <v>0</v>
      </c>
      <c r="R19" s="75" t="str">
        <f ca="1">'Emission Factors database'!T23</f>
        <v>0</v>
      </c>
      <c r="S19" s="75" t="str">
        <f ca="1">'Emission Factors database'!U23</f>
        <v>0</v>
      </c>
      <c r="T19" s="75" t="str">
        <f ca="1">'Emission Factors database'!V23</f>
        <v>0</v>
      </c>
      <c r="U19" s="75" t="str">
        <f ca="1">'Emission Factors database'!W23</f>
        <v>1,000</v>
      </c>
      <c r="V19" s="75" t="str">
        <f ca="1">'Emission Factors database'!X23</f>
        <v>kg/tonne</v>
      </c>
      <c r="W19" s="75" t="str">
        <f ca="1">'Emission Factors database'!Z23</f>
        <v>Yes</v>
      </c>
    </row>
    <row r="20" spans="1:23" ht="24.9" customHeight="1" x14ac:dyDescent="0.25">
      <c r="A20" s="75" t="str">
        <f>'Emission Factors database'!B24</f>
        <v>Structural steel</v>
      </c>
      <c r="B20" s="75" t="str">
        <f>'Emission Factors database'!C24</f>
        <v>Structural formwork and decking steel (cold rolled - light weight)</v>
      </c>
      <c r="C20" s="75" t="str">
        <f ca="1">'Emission Factors database'!D24</f>
        <v>Steel (upainted, not galvanized) used for structural purposes that has undergone cold-rolled steel production route. Including purlins, girts, stick frames, wall framing, merchant bar.</v>
      </c>
      <c r="D20" s="75" t="str">
        <f ca="1">'Emission Factors database'!F24</f>
        <v>tonne</v>
      </c>
      <c r="E20" s="75" t="str">
        <f ca="1">'Emission Factors database'!G24</f>
        <v>Tier 2</v>
      </c>
      <c r="F20" s="75">
        <f ca="1">'Emission Factors database'!H24</f>
        <v>1.05</v>
      </c>
      <c r="G20" s="75" t="str">
        <f ca="1">'Emission Factors database'!I24</f>
        <v>4,050</v>
      </c>
      <c r="H20" s="75" t="str">
        <f ca="1">'Emission Factors database'!J24</f>
        <v>3,860</v>
      </c>
      <c r="I20" s="75" t="str">
        <f ca="1">'Emission Factors database'!K24</f>
        <v>1,240</v>
      </c>
      <c r="J20" s="75" t="str">
        <f ca="1">'Emission Factors database'!L24</f>
        <v>2,430</v>
      </c>
      <c r="K20" s="75" t="str">
        <f ca="1">'Emission Factors database'!M24</f>
        <v>4.05</v>
      </c>
      <c r="L20" s="75" t="str">
        <f ca="1">'Emission Factors database'!N24</f>
        <v>3.86</v>
      </c>
      <c r="M20" s="75" t="str">
        <f ca="1">'Emission Factors database'!O24</f>
        <v>1.24</v>
      </c>
      <c r="N20" s="75" t="str">
        <f ca="1">'Emission Factors database'!P24</f>
        <v>2.43</v>
      </c>
      <c r="O20" s="75" t="str">
        <f ca="1">'Emission Factors database'!Q24</f>
        <v>0</v>
      </c>
      <c r="P20" s="75" t="str">
        <f ca="1">'Emission Factors database'!R24</f>
        <v>0</v>
      </c>
      <c r="Q20" s="75" t="str">
        <f ca="1">'Emission Factors database'!S24</f>
        <v>0</v>
      </c>
      <c r="R20" s="75" t="str">
        <f ca="1">'Emission Factors database'!T24</f>
        <v>0</v>
      </c>
      <c r="S20" s="75" t="str">
        <f ca="1">'Emission Factors database'!U24</f>
        <v>0</v>
      </c>
      <c r="T20" s="75" t="str">
        <f ca="1">'Emission Factors database'!V24</f>
        <v>0</v>
      </c>
      <c r="U20" s="75" t="str">
        <f ca="1">'Emission Factors database'!W24</f>
        <v>1,000</v>
      </c>
      <c r="V20" s="75" t="str">
        <f ca="1">'Emission Factors database'!X24</f>
        <v>kg/tonne</v>
      </c>
      <c r="W20" s="75" t="str">
        <f ca="1">'Emission Factors database'!Z24</f>
        <v>Yes</v>
      </c>
    </row>
    <row r="21" spans="1:23" ht="24.9" customHeight="1" x14ac:dyDescent="0.25">
      <c r="A21" s="75" t="str">
        <f>'Emission Factors database'!B25</f>
        <v>Structural steel</v>
      </c>
      <c r="B21" s="75" t="str">
        <f>'Emission Factors database'!C25</f>
        <v>Structural framing steel (cold rolled - lightweight)</v>
      </c>
      <c r="C21" s="75" t="str">
        <f ca="1">'Emission Factors database'!D25</f>
        <v>Steel (upainted, not galvanized) used for structural purposes that has undergone cold-rolled steel production route. Including purlins, girts, stick frames, wall framing, merchant bar.</v>
      </c>
      <c r="D21" s="75" t="str">
        <f ca="1">'Emission Factors database'!F25</f>
        <v>tonne</v>
      </c>
      <c r="E21" s="75" t="str">
        <f ca="1">'Emission Factors database'!G25</f>
        <v>Tier 2</v>
      </c>
      <c r="F21" s="75">
        <f ca="1">'Emission Factors database'!H25</f>
        <v>1.05</v>
      </c>
      <c r="G21" s="75" t="str">
        <f ca="1">'Emission Factors database'!I25</f>
        <v>4,050</v>
      </c>
      <c r="H21" s="75" t="str">
        <f ca="1">'Emission Factors database'!J25</f>
        <v>3,860</v>
      </c>
      <c r="I21" s="75" t="str">
        <f ca="1">'Emission Factors database'!K25</f>
        <v>1,240</v>
      </c>
      <c r="J21" s="75" t="str">
        <f ca="1">'Emission Factors database'!L25</f>
        <v>2,430</v>
      </c>
      <c r="K21" s="75" t="str">
        <f ca="1">'Emission Factors database'!M25</f>
        <v>4.05</v>
      </c>
      <c r="L21" s="75" t="str">
        <f ca="1">'Emission Factors database'!N25</f>
        <v>3.86</v>
      </c>
      <c r="M21" s="75" t="str">
        <f ca="1">'Emission Factors database'!O25</f>
        <v>1.24</v>
      </c>
      <c r="N21" s="75" t="str">
        <f ca="1">'Emission Factors database'!P25</f>
        <v>2.43</v>
      </c>
      <c r="O21" s="75" t="str">
        <f ca="1">'Emission Factors database'!Q25</f>
        <v>0</v>
      </c>
      <c r="P21" s="75" t="str">
        <f ca="1">'Emission Factors database'!R25</f>
        <v>0</v>
      </c>
      <c r="Q21" s="75" t="str">
        <f ca="1">'Emission Factors database'!S25</f>
        <v>0</v>
      </c>
      <c r="R21" s="75" t="str">
        <f ca="1">'Emission Factors database'!T25</f>
        <v>0</v>
      </c>
      <c r="S21" s="75" t="str">
        <f ca="1">'Emission Factors database'!U25</f>
        <v>0</v>
      </c>
      <c r="T21" s="75" t="str">
        <f ca="1">'Emission Factors database'!V25</f>
        <v>0</v>
      </c>
      <c r="U21" s="75" t="str">
        <f ca="1">'Emission Factors database'!W25</f>
        <v>1,000</v>
      </c>
      <c r="V21" s="75" t="str">
        <f ca="1">'Emission Factors database'!X25</f>
        <v>kg/tonne</v>
      </c>
      <c r="W21" s="75" t="str">
        <f ca="1">'Emission Factors database'!Z25</f>
        <v>Yes</v>
      </c>
    </row>
    <row r="22" spans="1:23" ht="24.9" customHeight="1" x14ac:dyDescent="0.25">
      <c r="A22" s="75" t="str">
        <f>'Emission Factors database'!B26</f>
        <v>Structural steel</v>
      </c>
      <c r="B22" s="75" t="str">
        <f>'Emission Factors database'!C26</f>
        <v>Steel piles</v>
      </c>
      <c r="C22" s="75" t="str">
        <f ca="1">'Emission Factors database'!D26</f>
        <v>Steel used for structural purposes (unpainted, not galavanized) that has undergone hot-rolled steel production route. Including beams, columns, angles, flange channels, hollow sections.</v>
      </c>
      <c r="D22" s="75" t="str">
        <f ca="1">'Emission Factors database'!F26</f>
        <v>tonne</v>
      </c>
      <c r="E22" s="75" t="str">
        <f ca="1">'Emission Factors database'!G26</f>
        <v>Tier 2</v>
      </c>
      <c r="F22" s="75">
        <f ca="1">'Emission Factors database'!H26</f>
        <v>1.05</v>
      </c>
      <c r="G22" s="75" t="str">
        <f ca="1">'Emission Factors database'!I26</f>
        <v>3,910</v>
      </c>
      <c r="H22" s="75" t="str">
        <f ca="1">'Emission Factors database'!J26</f>
        <v>3,720</v>
      </c>
      <c r="I22" s="75" t="str">
        <f ca="1">'Emission Factors database'!K26</f>
        <v>2,410</v>
      </c>
      <c r="J22" s="75" t="str">
        <f ca="1">'Emission Factors database'!L26</f>
        <v>3,040</v>
      </c>
      <c r="K22" s="75" t="str">
        <f ca="1">'Emission Factors database'!M26</f>
        <v>3.91</v>
      </c>
      <c r="L22" s="75" t="str">
        <f ca="1">'Emission Factors database'!N26</f>
        <v>3.72</v>
      </c>
      <c r="M22" s="75" t="str">
        <f ca="1">'Emission Factors database'!O26</f>
        <v>2.41</v>
      </c>
      <c r="N22" s="75" t="str">
        <f ca="1">'Emission Factors database'!P26</f>
        <v>3.04</v>
      </c>
      <c r="O22" s="75" t="str">
        <f ca="1">'Emission Factors database'!Q26</f>
        <v>0</v>
      </c>
      <c r="P22" s="75" t="str">
        <f ca="1">'Emission Factors database'!R26</f>
        <v>0</v>
      </c>
      <c r="Q22" s="75" t="str">
        <f ca="1">'Emission Factors database'!S26</f>
        <v>0</v>
      </c>
      <c r="R22" s="75" t="str">
        <f ca="1">'Emission Factors database'!T26</f>
        <v>0</v>
      </c>
      <c r="S22" s="75" t="str">
        <f ca="1">'Emission Factors database'!U26</f>
        <v>0</v>
      </c>
      <c r="T22" s="75" t="str">
        <f ca="1">'Emission Factors database'!V26</f>
        <v>0</v>
      </c>
      <c r="U22" s="75" t="str">
        <f ca="1">'Emission Factors database'!W26</f>
        <v>1,000</v>
      </c>
      <c r="V22" s="75" t="str">
        <f ca="1">'Emission Factors database'!X26</f>
        <v>kg/tonne</v>
      </c>
      <c r="W22" s="75" t="str">
        <f ca="1">'Emission Factors database'!Z26</f>
        <v>Yes</v>
      </c>
    </row>
    <row r="23" spans="1:23" ht="24.9" customHeight="1" x14ac:dyDescent="0.25">
      <c r="A23" s="75" t="str">
        <f>'Emission Factors database'!B27</f>
        <v>Structural steel</v>
      </c>
      <c r="B23" s="75" t="str">
        <f>'Emission Factors database'!C27</f>
        <v>Plate steel (hot rolled)</v>
      </c>
      <c r="C23" s="75" t="str">
        <f ca="1">'Emission Factors database'!D27</f>
        <v>Steel used for structural purposes (unpainted, not galavanized) that has undergone hot-rolled steel production route. Including beams, columns, angles, flange channels, hollow sections.</v>
      </c>
      <c r="D23" s="75" t="str">
        <f ca="1">'Emission Factors database'!F27</f>
        <v>tonne</v>
      </c>
      <c r="E23" s="75" t="str">
        <f ca="1">'Emission Factors database'!G27</f>
        <v>Tier 2</v>
      </c>
      <c r="F23" s="75">
        <f ca="1">'Emission Factors database'!H27</f>
        <v>1.05</v>
      </c>
      <c r="G23" s="75" t="str">
        <f ca="1">'Emission Factors database'!I27</f>
        <v>3,910</v>
      </c>
      <c r="H23" s="75" t="str">
        <f ca="1">'Emission Factors database'!J27</f>
        <v>3,720</v>
      </c>
      <c r="I23" s="75" t="str">
        <f ca="1">'Emission Factors database'!K27</f>
        <v>2,410</v>
      </c>
      <c r="J23" s="75" t="str">
        <f ca="1">'Emission Factors database'!L27</f>
        <v>3,040</v>
      </c>
      <c r="K23" s="75" t="str">
        <f ca="1">'Emission Factors database'!M27</f>
        <v>3.91</v>
      </c>
      <c r="L23" s="75" t="str">
        <f ca="1">'Emission Factors database'!N27</f>
        <v>3.72</v>
      </c>
      <c r="M23" s="75" t="str">
        <f ca="1">'Emission Factors database'!O27</f>
        <v>2.41</v>
      </c>
      <c r="N23" s="75" t="str">
        <f ca="1">'Emission Factors database'!P27</f>
        <v>3.04</v>
      </c>
      <c r="O23" s="75" t="str">
        <f ca="1">'Emission Factors database'!Q27</f>
        <v>0</v>
      </c>
      <c r="P23" s="75" t="str">
        <f ca="1">'Emission Factors database'!R27</f>
        <v>0</v>
      </c>
      <c r="Q23" s="75" t="str">
        <f ca="1">'Emission Factors database'!S27</f>
        <v>0</v>
      </c>
      <c r="R23" s="75" t="str">
        <f ca="1">'Emission Factors database'!T27</f>
        <v>0</v>
      </c>
      <c r="S23" s="75" t="str">
        <f ca="1">'Emission Factors database'!U27</f>
        <v>0</v>
      </c>
      <c r="T23" s="75" t="str">
        <f ca="1">'Emission Factors database'!V27</f>
        <v>0</v>
      </c>
      <c r="U23" s="75" t="str">
        <f ca="1">'Emission Factors database'!W27</f>
        <v>1,000</v>
      </c>
      <c r="V23" s="75" t="str">
        <f ca="1">'Emission Factors database'!X27</f>
        <v>kg/tonne</v>
      </c>
      <c r="W23" s="75" t="str">
        <f ca="1">'Emission Factors database'!Z27</f>
        <v>Yes</v>
      </c>
    </row>
    <row r="24" spans="1:23" ht="24.9" customHeight="1" x14ac:dyDescent="0.25">
      <c r="A24" s="75" t="str">
        <f>'Emission Factors database'!B28</f>
        <v>Structural steel</v>
      </c>
      <c r="B24" s="75" t="str">
        <f>'Emission Factors database'!C28</f>
        <v>Galvanised Structural sections steel (welded beam, columns, angles, plates etc) (hot rolled)</v>
      </c>
      <c r="C24" s="75" t="str">
        <f ca="1">'Emission Factors database'!D28</f>
        <v>Steel (Galvanized) used for structural purposes that has undergone hot-rolled steel production route. Including beams, columns, angles, flange channels, hollow sections.</v>
      </c>
      <c r="D24" s="75" t="str">
        <f ca="1">'Emission Factors database'!F28</f>
        <v>tonne</v>
      </c>
      <c r="E24" s="75" t="str">
        <f ca="1">'Emission Factors database'!G28</f>
        <v>Tier 2</v>
      </c>
      <c r="F24" s="75">
        <f ca="1">'Emission Factors database'!H28</f>
        <v>1.05</v>
      </c>
      <c r="G24" s="75" t="str">
        <f ca="1">'Emission Factors database'!I28</f>
        <v>4,090</v>
      </c>
      <c r="H24" s="75" t="str">
        <f ca="1">'Emission Factors database'!J28</f>
        <v>3,890</v>
      </c>
      <c r="I24" s="75" t="str">
        <f ca="1">'Emission Factors database'!K28</f>
        <v>2,410</v>
      </c>
      <c r="J24" s="75" t="str">
        <f ca="1">'Emission Factors database'!L28</f>
        <v>3,180</v>
      </c>
      <c r="K24" s="75" t="str">
        <f ca="1">'Emission Factors database'!M28</f>
        <v>4.09</v>
      </c>
      <c r="L24" s="75" t="str">
        <f ca="1">'Emission Factors database'!N28</f>
        <v>3.89</v>
      </c>
      <c r="M24" s="75" t="str">
        <f ca="1">'Emission Factors database'!O28</f>
        <v>2.41</v>
      </c>
      <c r="N24" s="75" t="str">
        <f ca="1">'Emission Factors database'!P28</f>
        <v>3.18</v>
      </c>
      <c r="O24" s="75" t="str">
        <f ca="1">'Emission Factors database'!Q28</f>
        <v>0</v>
      </c>
      <c r="P24" s="75" t="str">
        <f ca="1">'Emission Factors database'!R28</f>
        <v>0</v>
      </c>
      <c r="Q24" s="75" t="str">
        <f ca="1">'Emission Factors database'!S28</f>
        <v>0</v>
      </c>
      <c r="R24" s="75" t="str">
        <f ca="1">'Emission Factors database'!T28</f>
        <v>0</v>
      </c>
      <c r="S24" s="75" t="str">
        <f ca="1">'Emission Factors database'!U28</f>
        <v>0</v>
      </c>
      <c r="T24" s="75" t="str">
        <f ca="1">'Emission Factors database'!V28</f>
        <v>0</v>
      </c>
      <c r="U24" s="75" t="str">
        <f ca="1">'Emission Factors database'!W28</f>
        <v>1,000</v>
      </c>
      <c r="V24" s="75" t="str">
        <f ca="1">'Emission Factors database'!X28</f>
        <v>kg/tonne</v>
      </c>
      <c r="W24" s="75" t="str">
        <f ca="1">'Emission Factors database'!Z28</f>
        <v>Yes</v>
      </c>
    </row>
    <row r="25" spans="1:23" ht="24.9" customHeight="1" x14ac:dyDescent="0.25">
      <c r="A25" s="75" t="str">
        <f>'Emission Factors database'!B29</f>
        <v>Structural steel</v>
      </c>
      <c r="B25" s="75" t="str">
        <f>'Emission Factors database'!C29</f>
        <v>Galvanised Structural formwork and decking steel (cold rolled - light weight)</v>
      </c>
      <c r="C25" s="75" t="str">
        <f ca="1">'Emission Factors database'!D29</f>
        <v>Steel (Galvanized) used for structural purposes that has undergone cold-rolled steel production route. Including purlins, girts, stick frames, wall framing, merchant bar.</v>
      </c>
      <c r="D25" s="75" t="str">
        <f ca="1">'Emission Factors database'!F29</f>
        <v>tonne</v>
      </c>
      <c r="E25" s="75" t="str">
        <f ca="1">'Emission Factors database'!G29</f>
        <v>Tier 2</v>
      </c>
      <c r="F25" s="75">
        <f ca="1">'Emission Factors database'!H29</f>
        <v>1.05</v>
      </c>
      <c r="G25" s="75" t="str">
        <f ca="1">'Emission Factors database'!I29</f>
        <v>4,240</v>
      </c>
      <c r="H25" s="75" t="str">
        <f ca="1">'Emission Factors database'!J29</f>
        <v>4,040</v>
      </c>
      <c r="I25" s="75" t="str">
        <f ca="1">'Emission Factors database'!K29</f>
        <v>1,240</v>
      </c>
      <c r="J25" s="75" t="str">
        <f ca="1">'Emission Factors database'!L29</f>
        <v>2,550</v>
      </c>
      <c r="K25" s="75" t="str">
        <f ca="1">'Emission Factors database'!M29</f>
        <v>4.24</v>
      </c>
      <c r="L25" s="75" t="str">
        <f ca="1">'Emission Factors database'!N29</f>
        <v>4.04</v>
      </c>
      <c r="M25" s="75" t="str">
        <f ca="1">'Emission Factors database'!O29</f>
        <v>1.24</v>
      </c>
      <c r="N25" s="75" t="str">
        <f ca="1">'Emission Factors database'!P29</f>
        <v>2.55</v>
      </c>
      <c r="O25" s="75" t="str">
        <f ca="1">'Emission Factors database'!Q29</f>
        <v>0</v>
      </c>
      <c r="P25" s="75" t="str">
        <f ca="1">'Emission Factors database'!R29</f>
        <v>0</v>
      </c>
      <c r="Q25" s="75" t="str">
        <f ca="1">'Emission Factors database'!S29</f>
        <v>0</v>
      </c>
      <c r="R25" s="75" t="str">
        <f ca="1">'Emission Factors database'!T29</f>
        <v>0</v>
      </c>
      <c r="S25" s="75" t="str">
        <f ca="1">'Emission Factors database'!U29</f>
        <v>0</v>
      </c>
      <c r="T25" s="75" t="str">
        <f ca="1">'Emission Factors database'!V29</f>
        <v>0</v>
      </c>
      <c r="U25" s="75" t="str">
        <f ca="1">'Emission Factors database'!W29</f>
        <v>1,000</v>
      </c>
      <c r="V25" s="75" t="str">
        <f ca="1">'Emission Factors database'!X29</f>
        <v>kg/tonne</v>
      </c>
      <c r="W25" s="75" t="str">
        <f ca="1">'Emission Factors database'!Z29</f>
        <v>Yes</v>
      </c>
    </row>
    <row r="26" spans="1:23" ht="24.9" customHeight="1" x14ac:dyDescent="0.25">
      <c r="A26" s="75" t="str">
        <f>'Emission Factors database'!B30</f>
        <v>Structural steel</v>
      </c>
      <c r="B26" s="75" t="str">
        <f>'Emission Factors database'!C30</f>
        <v>Galvanised Structural framing steel (cold rolled - lightweight)</v>
      </c>
      <c r="C26" s="75" t="str">
        <f ca="1">'Emission Factors database'!D30</f>
        <v>Steel (Galvanized) used for structural purposes that has undergone cold-rolled steel production route. Including purlins, girts, stick frames, wall framing, merchant bar.</v>
      </c>
      <c r="D26" s="75" t="str">
        <f ca="1">'Emission Factors database'!F30</f>
        <v>tonne</v>
      </c>
      <c r="E26" s="75" t="str">
        <f ca="1">'Emission Factors database'!G30</f>
        <v>Tier 2</v>
      </c>
      <c r="F26" s="75">
        <f ca="1">'Emission Factors database'!H30</f>
        <v>1.05</v>
      </c>
      <c r="G26" s="75" t="str">
        <f ca="1">'Emission Factors database'!I30</f>
        <v>4,240</v>
      </c>
      <c r="H26" s="75" t="str">
        <f ca="1">'Emission Factors database'!J30</f>
        <v>4,040</v>
      </c>
      <c r="I26" s="75" t="str">
        <f ca="1">'Emission Factors database'!K30</f>
        <v>1,240</v>
      </c>
      <c r="J26" s="75" t="str">
        <f ca="1">'Emission Factors database'!L30</f>
        <v>2,550</v>
      </c>
      <c r="K26" s="75" t="str">
        <f ca="1">'Emission Factors database'!M30</f>
        <v>4.24</v>
      </c>
      <c r="L26" s="75" t="str">
        <f ca="1">'Emission Factors database'!N30</f>
        <v>4.04</v>
      </c>
      <c r="M26" s="75" t="str">
        <f ca="1">'Emission Factors database'!O30</f>
        <v>1.24</v>
      </c>
      <c r="N26" s="75" t="str">
        <f ca="1">'Emission Factors database'!P30</f>
        <v>2.55</v>
      </c>
      <c r="O26" s="75" t="str">
        <f ca="1">'Emission Factors database'!Q30</f>
        <v>0</v>
      </c>
      <c r="P26" s="75" t="str">
        <f ca="1">'Emission Factors database'!R30</f>
        <v>0</v>
      </c>
      <c r="Q26" s="75" t="str">
        <f ca="1">'Emission Factors database'!S30</f>
        <v>0</v>
      </c>
      <c r="R26" s="75" t="str">
        <f ca="1">'Emission Factors database'!T30</f>
        <v>0</v>
      </c>
      <c r="S26" s="75" t="str">
        <f ca="1">'Emission Factors database'!U30</f>
        <v>0</v>
      </c>
      <c r="T26" s="75" t="str">
        <f ca="1">'Emission Factors database'!V30</f>
        <v>0</v>
      </c>
      <c r="U26" s="75" t="str">
        <f ca="1">'Emission Factors database'!W30</f>
        <v>1,000</v>
      </c>
      <c r="V26" s="75" t="str">
        <f ca="1">'Emission Factors database'!X30</f>
        <v>kg/tonne</v>
      </c>
      <c r="W26" s="75" t="str">
        <f ca="1">'Emission Factors database'!Z30</f>
        <v>Yes</v>
      </c>
    </row>
    <row r="27" spans="1:23" ht="24.9" customHeight="1" x14ac:dyDescent="0.25">
      <c r="A27" s="75" t="str">
        <f>'Emission Factors database'!B31</f>
        <v>Structural steel</v>
      </c>
      <c r="B27" s="75" t="str">
        <f>'Emission Factors database'!C31</f>
        <v>Galvanised Steel piles</v>
      </c>
      <c r="C27" s="75" t="str">
        <f ca="1">'Emission Factors database'!D31</f>
        <v>Steel (Galvanized) used for structural purposes that has undergone hot-rolled steel production route. Including beams, columns, angles, flange channels, hollow sections.</v>
      </c>
      <c r="D27" s="75" t="str">
        <f ca="1">'Emission Factors database'!F31</f>
        <v>tonne</v>
      </c>
      <c r="E27" s="75" t="str">
        <f ca="1">'Emission Factors database'!G31</f>
        <v>Tier 2</v>
      </c>
      <c r="F27" s="75">
        <f ca="1">'Emission Factors database'!H31</f>
        <v>1.05</v>
      </c>
      <c r="G27" s="75" t="str">
        <f ca="1">'Emission Factors database'!I31</f>
        <v>4,090</v>
      </c>
      <c r="H27" s="75" t="str">
        <f ca="1">'Emission Factors database'!J31</f>
        <v>3,890</v>
      </c>
      <c r="I27" s="75" t="str">
        <f ca="1">'Emission Factors database'!K31</f>
        <v>2,410</v>
      </c>
      <c r="J27" s="75" t="str">
        <f ca="1">'Emission Factors database'!L31</f>
        <v>3,180</v>
      </c>
      <c r="K27" s="75" t="str">
        <f ca="1">'Emission Factors database'!M31</f>
        <v>4.09</v>
      </c>
      <c r="L27" s="75" t="str">
        <f ca="1">'Emission Factors database'!N31</f>
        <v>3.89</v>
      </c>
      <c r="M27" s="75" t="str">
        <f ca="1">'Emission Factors database'!O31</f>
        <v>2.41</v>
      </c>
      <c r="N27" s="75" t="str">
        <f ca="1">'Emission Factors database'!P31</f>
        <v>3.18</v>
      </c>
      <c r="O27" s="75" t="str">
        <f ca="1">'Emission Factors database'!Q31</f>
        <v>0</v>
      </c>
      <c r="P27" s="75" t="str">
        <f ca="1">'Emission Factors database'!R31</f>
        <v>0</v>
      </c>
      <c r="Q27" s="75" t="str">
        <f ca="1">'Emission Factors database'!S31</f>
        <v>0</v>
      </c>
      <c r="R27" s="75" t="str">
        <f ca="1">'Emission Factors database'!T31</f>
        <v>0</v>
      </c>
      <c r="S27" s="75" t="str">
        <f ca="1">'Emission Factors database'!U31</f>
        <v>0</v>
      </c>
      <c r="T27" s="75" t="str">
        <f ca="1">'Emission Factors database'!V31</f>
        <v>0</v>
      </c>
      <c r="U27" s="75" t="str">
        <f ca="1">'Emission Factors database'!W31</f>
        <v>1,000</v>
      </c>
      <c r="V27" s="75" t="str">
        <f ca="1">'Emission Factors database'!X31</f>
        <v>kg/tonne</v>
      </c>
      <c r="W27" s="75" t="str">
        <f ca="1">'Emission Factors database'!Z31</f>
        <v>Yes</v>
      </c>
    </row>
    <row r="28" spans="1:23" ht="24.9" customHeight="1" x14ac:dyDescent="0.25">
      <c r="A28" s="75" t="str">
        <f>'Emission Factors database'!B32</f>
        <v>Structural steel</v>
      </c>
      <c r="B28" s="75" t="str">
        <f>'Emission Factors database'!C32</f>
        <v>Galvanised Plate steel (hot rolled)</v>
      </c>
      <c r="C28" s="75" t="str">
        <f ca="1">'Emission Factors database'!D32</f>
        <v>Steel (Galvanized) used for structural purposes that has undergone hot-rolled steel production route. Including beams, columns, angles, flange channels, hollow sections.</v>
      </c>
      <c r="D28" s="75" t="str">
        <f ca="1">'Emission Factors database'!F32</f>
        <v>tonne</v>
      </c>
      <c r="E28" s="75" t="str">
        <f ca="1">'Emission Factors database'!G32</f>
        <v>Tier 2</v>
      </c>
      <c r="F28" s="75">
        <f ca="1">'Emission Factors database'!H32</f>
        <v>1.05</v>
      </c>
      <c r="G28" s="75" t="str">
        <f ca="1">'Emission Factors database'!I32</f>
        <v>4,090</v>
      </c>
      <c r="H28" s="75" t="str">
        <f ca="1">'Emission Factors database'!J32</f>
        <v>3,890</v>
      </c>
      <c r="I28" s="75" t="str">
        <f ca="1">'Emission Factors database'!K32</f>
        <v>2,410</v>
      </c>
      <c r="J28" s="75" t="str">
        <f ca="1">'Emission Factors database'!L32</f>
        <v>3,180</v>
      </c>
      <c r="K28" s="75" t="str">
        <f ca="1">'Emission Factors database'!M32</f>
        <v>4.09</v>
      </c>
      <c r="L28" s="75" t="str">
        <f ca="1">'Emission Factors database'!N32</f>
        <v>3.89</v>
      </c>
      <c r="M28" s="75" t="str">
        <f ca="1">'Emission Factors database'!O32</f>
        <v>2.41</v>
      </c>
      <c r="N28" s="75" t="str">
        <f ca="1">'Emission Factors database'!P32</f>
        <v>3.18</v>
      </c>
      <c r="O28" s="75" t="str">
        <f ca="1">'Emission Factors database'!Q32</f>
        <v>0</v>
      </c>
      <c r="P28" s="75" t="str">
        <f ca="1">'Emission Factors database'!R32</f>
        <v>0</v>
      </c>
      <c r="Q28" s="75" t="str">
        <f ca="1">'Emission Factors database'!S32</f>
        <v>0</v>
      </c>
      <c r="R28" s="75" t="str">
        <f ca="1">'Emission Factors database'!T32</f>
        <v>0</v>
      </c>
      <c r="S28" s="75" t="str">
        <f ca="1">'Emission Factors database'!U32</f>
        <v>0</v>
      </c>
      <c r="T28" s="75" t="str">
        <f ca="1">'Emission Factors database'!V32</f>
        <v>0</v>
      </c>
      <c r="U28" s="75" t="str">
        <f ca="1">'Emission Factors database'!W32</f>
        <v>1,000</v>
      </c>
      <c r="V28" s="75" t="str">
        <f ca="1">'Emission Factors database'!X32</f>
        <v>kg/tonne</v>
      </c>
      <c r="W28" s="75" t="str">
        <f ca="1">'Emission Factors database'!Z32</f>
        <v>Yes</v>
      </c>
    </row>
    <row r="29" spans="1:23" ht="24.9" customHeight="1" x14ac:dyDescent="0.25">
      <c r="A29" s="75" t="str">
        <f>'Emission Factors database'!B33</f>
        <v>Structural steel</v>
      </c>
      <c r="B29" s="75" t="str">
        <f>'Emission Factors database'!C33</f>
        <v>Painted Structural sections steel (welded beam, columns, angles, plates etc) (hot rolled)</v>
      </c>
      <c r="C29" s="75" t="str">
        <f ca="1">'Emission Factors database'!D33</f>
        <v>Steel (Painted) used for structural purposes that has undergone hot-rolled steel production route. Including beams, columns, angles, flange channels, hollow sections.</v>
      </c>
      <c r="D29" s="75" t="str">
        <f ca="1">'Emission Factors database'!F33</f>
        <v>tonne</v>
      </c>
      <c r="E29" s="75" t="str">
        <f ca="1">'Emission Factors database'!G33</f>
        <v>Tier 2</v>
      </c>
      <c r="F29" s="75">
        <f ca="1">'Emission Factors database'!H33</f>
        <v>1.05</v>
      </c>
      <c r="G29" s="75" t="str">
        <f ca="1">'Emission Factors database'!I33</f>
        <v>4,000</v>
      </c>
      <c r="H29" s="75" t="str">
        <f ca="1">'Emission Factors database'!J33</f>
        <v>3,810</v>
      </c>
      <c r="I29" s="75" t="str">
        <f ca="1">'Emission Factors database'!K33</f>
        <v>2,410</v>
      </c>
      <c r="J29" s="75" t="str">
        <f ca="1">'Emission Factors database'!L33</f>
        <v>3,110</v>
      </c>
      <c r="K29" s="75" t="str">
        <f ca="1">'Emission Factors database'!M33</f>
        <v>4.00</v>
      </c>
      <c r="L29" s="75" t="str">
        <f ca="1">'Emission Factors database'!N33</f>
        <v>3.81</v>
      </c>
      <c r="M29" s="75" t="str">
        <f ca="1">'Emission Factors database'!O33</f>
        <v>2.41</v>
      </c>
      <c r="N29" s="75" t="str">
        <f ca="1">'Emission Factors database'!P33</f>
        <v>3.11</v>
      </c>
      <c r="O29" s="75" t="str">
        <f ca="1">'Emission Factors database'!Q33</f>
        <v>0</v>
      </c>
      <c r="P29" s="75" t="str">
        <f ca="1">'Emission Factors database'!R33</f>
        <v>0</v>
      </c>
      <c r="Q29" s="75" t="str">
        <f ca="1">'Emission Factors database'!S33</f>
        <v>0</v>
      </c>
      <c r="R29" s="75" t="str">
        <f ca="1">'Emission Factors database'!T33</f>
        <v>0</v>
      </c>
      <c r="S29" s="75" t="str">
        <f ca="1">'Emission Factors database'!U33</f>
        <v>0</v>
      </c>
      <c r="T29" s="75" t="str">
        <f ca="1">'Emission Factors database'!V33</f>
        <v>0</v>
      </c>
      <c r="U29" s="75" t="str">
        <f ca="1">'Emission Factors database'!W33</f>
        <v>1,000</v>
      </c>
      <c r="V29" s="75" t="str">
        <f ca="1">'Emission Factors database'!X33</f>
        <v>kg/tonne</v>
      </c>
      <c r="W29" s="75" t="str">
        <f ca="1">'Emission Factors database'!Z33</f>
        <v>Yes</v>
      </c>
    </row>
    <row r="30" spans="1:23" ht="24.9" customHeight="1" x14ac:dyDescent="0.25">
      <c r="A30" s="75" t="str">
        <f>'Emission Factors database'!B34</f>
        <v>Structural steel</v>
      </c>
      <c r="B30" s="75" t="str">
        <f>'Emission Factors database'!C34</f>
        <v>Painted Structural formwork and decking steel (cold rolled - light weight)</v>
      </c>
      <c r="C30" s="75" t="str">
        <f ca="1">'Emission Factors database'!D34</f>
        <v>Steel (Painted) used for structural purposes that has undergone cold-rolled steel production route. Including purlins, girts, stick frames, wall framing, merchant bar.</v>
      </c>
      <c r="D30" s="75" t="str">
        <f ca="1">'Emission Factors database'!F34</f>
        <v>tonne</v>
      </c>
      <c r="E30" s="75" t="str">
        <f ca="1">'Emission Factors database'!G34</f>
        <v>Tier 2</v>
      </c>
      <c r="F30" s="75">
        <f ca="1">'Emission Factors database'!H34</f>
        <v>1.05</v>
      </c>
      <c r="G30" s="75" t="str">
        <f ca="1">'Emission Factors database'!I34</f>
        <v>4,510</v>
      </c>
      <c r="H30" s="75" t="str">
        <f ca="1">'Emission Factors database'!J34</f>
        <v>4,290</v>
      </c>
      <c r="I30" s="75" t="str">
        <f ca="1">'Emission Factors database'!K34</f>
        <v>1,240</v>
      </c>
      <c r="J30" s="75" t="str">
        <f ca="1">'Emission Factors database'!L34</f>
        <v>2,710</v>
      </c>
      <c r="K30" s="75" t="str">
        <f ca="1">'Emission Factors database'!M34</f>
        <v>4.51</v>
      </c>
      <c r="L30" s="75" t="str">
        <f ca="1">'Emission Factors database'!N34</f>
        <v>4.29</v>
      </c>
      <c r="M30" s="75" t="str">
        <f ca="1">'Emission Factors database'!O34</f>
        <v>1.24</v>
      </c>
      <c r="N30" s="75" t="str">
        <f ca="1">'Emission Factors database'!P34</f>
        <v>2.71</v>
      </c>
      <c r="O30" s="75" t="str">
        <f ca="1">'Emission Factors database'!Q34</f>
        <v>0</v>
      </c>
      <c r="P30" s="75" t="str">
        <f ca="1">'Emission Factors database'!R34</f>
        <v>0</v>
      </c>
      <c r="Q30" s="75" t="str">
        <f ca="1">'Emission Factors database'!S34</f>
        <v>0</v>
      </c>
      <c r="R30" s="75" t="str">
        <f ca="1">'Emission Factors database'!T34</f>
        <v>0</v>
      </c>
      <c r="S30" s="75" t="str">
        <f ca="1">'Emission Factors database'!U34</f>
        <v>0</v>
      </c>
      <c r="T30" s="75" t="str">
        <f ca="1">'Emission Factors database'!V34</f>
        <v>0</v>
      </c>
      <c r="U30" s="75" t="str">
        <f ca="1">'Emission Factors database'!W34</f>
        <v>1,000</v>
      </c>
      <c r="V30" s="75" t="str">
        <f ca="1">'Emission Factors database'!X34</f>
        <v>kg/tonne</v>
      </c>
      <c r="W30" s="75" t="str">
        <f ca="1">'Emission Factors database'!Z34</f>
        <v>Yes</v>
      </c>
    </row>
    <row r="31" spans="1:23" ht="24.9" customHeight="1" x14ac:dyDescent="0.25">
      <c r="A31" s="75" t="str">
        <f>'Emission Factors database'!B35</f>
        <v>Structural steel</v>
      </c>
      <c r="B31" s="75" t="str">
        <f>'Emission Factors database'!C35</f>
        <v>Painted Structural framing steel (cold rolled - lightweight)</v>
      </c>
      <c r="C31" s="75" t="str">
        <f ca="1">'Emission Factors database'!D35</f>
        <v>Steel (Painted) used for structural purposes that has undergone cold-rolled steel production route. Including purlins, girts, stick frames, wall framing, merchant bar.</v>
      </c>
      <c r="D31" s="75" t="str">
        <f ca="1">'Emission Factors database'!F35</f>
        <v>tonne</v>
      </c>
      <c r="E31" s="75" t="str">
        <f ca="1">'Emission Factors database'!G35</f>
        <v>Tier 2</v>
      </c>
      <c r="F31" s="75">
        <f ca="1">'Emission Factors database'!H35</f>
        <v>1.05</v>
      </c>
      <c r="G31" s="75" t="str">
        <f ca="1">'Emission Factors database'!I35</f>
        <v>4,510</v>
      </c>
      <c r="H31" s="75" t="str">
        <f ca="1">'Emission Factors database'!J35</f>
        <v>4,290</v>
      </c>
      <c r="I31" s="75" t="str">
        <f ca="1">'Emission Factors database'!K35</f>
        <v>1,240</v>
      </c>
      <c r="J31" s="75" t="str">
        <f ca="1">'Emission Factors database'!L35</f>
        <v>2,710</v>
      </c>
      <c r="K31" s="75" t="str">
        <f ca="1">'Emission Factors database'!M35</f>
        <v>4.51</v>
      </c>
      <c r="L31" s="75" t="str">
        <f ca="1">'Emission Factors database'!N35</f>
        <v>4.29</v>
      </c>
      <c r="M31" s="75" t="str">
        <f ca="1">'Emission Factors database'!O35</f>
        <v>1.24</v>
      </c>
      <c r="N31" s="75" t="str">
        <f ca="1">'Emission Factors database'!P35</f>
        <v>2.71</v>
      </c>
      <c r="O31" s="75" t="str">
        <f ca="1">'Emission Factors database'!Q35</f>
        <v>0</v>
      </c>
      <c r="P31" s="75" t="str">
        <f ca="1">'Emission Factors database'!R35</f>
        <v>0</v>
      </c>
      <c r="Q31" s="75" t="str">
        <f ca="1">'Emission Factors database'!S35</f>
        <v>0</v>
      </c>
      <c r="R31" s="75" t="str">
        <f ca="1">'Emission Factors database'!T35</f>
        <v>0</v>
      </c>
      <c r="S31" s="75" t="str">
        <f ca="1">'Emission Factors database'!U35</f>
        <v>0</v>
      </c>
      <c r="T31" s="75" t="str">
        <f ca="1">'Emission Factors database'!V35</f>
        <v>0</v>
      </c>
      <c r="U31" s="75" t="str">
        <f ca="1">'Emission Factors database'!W35</f>
        <v>1,000</v>
      </c>
      <c r="V31" s="75" t="str">
        <f ca="1">'Emission Factors database'!X35</f>
        <v>kg/tonne</v>
      </c>
      <c r="W31" s="75" t="str">
        <f ca="1">'Emission Factors database'!Z35</f>
        <v>Yes</v>
      </c>
    </row>
    <row r="32" spans="1:23" ht="24.9" customHeight="1" x14ac:dyDescent="0.25">
      <c r="A32" s="75" t="str">
        <f>'Emission Factors database'!B36</f>
        <v>Structural steel</v>
      </c>
      <c r="B32" s="75" t="str">
        <f>'Emission Factors database'!C36</f>
        <v>Painted Steel piles</v>
      </c>
      <c r="C32" s="75" t="str">
        <f ca="1">'Emission Factors database'!D36</f>
        <v>Steel (Painted) used for structural purposes that has undergone hot-rolled steel production route. Including beams, columns, angles, flange channels, hollow sections.</v>
      </c>
      <c r="D32" s="75" t="str">
        <f ca="1">'Emission Factors database'!F36</f>
        <v>tonne</v>
      </c>
      <c r="E32" s="75" t="str">
        <f ca="1">'Emission Factors database'!G36</f>
        <v>Tier 2</v>
      </c>
      <c r="F32" s="75">
        <f ca="1">'Emission Factors database'!H36</f>
        <v>1.05</v>
      </c>
      <c r="G32" s="75" t="str">
        <f ca="1">'Emission Factors database'!I36</f>
        <v>4,000</v>
      </c>
      <c r="H32" s="75" t="str">
        <f ca="1">'Emission Factors database'!J36</f>
        <v>3,810</v>
      </c>
      <c r="I32" s="75" t="str">
        <f ca="1">'Emission Factors database'!K36</f>
        <v>2,410</v>
      </c>
      <c r="J32" s="75" t="str">
        <f ca="1">'Emission Factors database'!L36</f>
        <v>3,110</v>
      </c>
      <c r="K32" s="75" t="str">
        <f ca="1">'Emission Factors database'!M36</f>
        <v>4.00</v>
      </c>
      <c r="L32" s="75" t="str">
        <f ca="1">'Emission Factors database'!N36</f>
        <v>3.81</v>
      </c>
      <c r="M32" s="75" t="str">
        <f ca="1">'Emission Factors database'!O36</f>
        <v>2.41</v>
      </c>
      <c r="N32" s="75" t="str">
        <f ca="1">'Emission Factors database'!P36</f>
        <v>3.11</v>
      </c>
      <c r="O32" s="75" t="str">
        <f ca="1">'Emission Factors database'!Q36</f>
        <v>0</v>
      </c>
      <c r="P32" s="75" t="str">
        <f ca="1">'Emission Factors database'!R36</f>
        <v>0</v>
      </c>
      <c r="Q32" s="75" t="str">
        <f ca="1">'Emission Factors database'!S36</f>
        <v>0</v>
      </c>
      <c r="R32" s="75" t="str">
        <f ca="1">'Emission Factors database'!T36</f>
        <v>0</v>
      </c>
      <c r="S32" s="75" t="str">
        <f ca="1">'Emission Factors database'!U36</f>
        <v>0</v>
      </c>
      <c r="T32" s="75" t="str">
        <f ca="1">'Emission Factors database'!V36</f>
        <v>0</v>
      </c>
      <c r="U32" s="75" t="str">
        <f ca="1">'Emission Factors database'!W36</f>
        <v>1,000</v>
      </c>
      <c r="V32" s="75" t="str">
        <f ca="1">'Emission Factors database'!X36</f>
        <v>kg/tonne</v>
      </c>
      <c r="W32" s="75" t="str">
        <f ca="1">'Emission Factors database'!Z36</f>
        <v>Yes</v>
      </c>
    </row>
    <row r="33" spans="1:23" ht="24.9" customHeight="1" x14ac:dyDescent="0.25">
      <c r="A33" s="75" t="str">
        <f>'Emission Factors database'!B37</f>
        <v>Structural steel</v>
      </c>
      <c r="B33" s="75" t="str">
        <f>'Emission Factors database'!C37</f>
        <v>Painted Plate steel (hot rolled)</v>
      </c>
      <c r="C33" s="75" t="str">
        <f ca="1">'Emission Factors database'!D37</f>
        <v>Steel (Painted) used for structural purposes that has undergone hot-rolled steel production route. Including beams, columns, angles, flange channels, hollow sections.</v>
      </c>
      <c r="D33" s="75" t="str">
        <f ca="1">'Emission Factors database'!F37</f>
        <v>tonne</v>
      </c>
      <c r="E33" s="75" t="str">
        <f ca="1">'Emission Factors database'!G37</f>
        <v>Tier 2</v>
      </c>
      <c r="F33" s="75">
        <f ca="1">'Emission Factors database'!H37</f>
        <v>1.05</v>
      </c>
      <c r="G33" s="75" t="str">
        <f ca="1">'Emission Factors database'!I37</f>
        <v>4,000</v>
      </c>
      <c r="H33" s="75" t="str">
        <f ca="1">'Emission Factors database'!J37</f>
        <v>3,810</v>
      </c>
      <c r="I33" s="75" t="str">
        <f ca="1">'Emission Factors database'!K37</f>
        <v>2,410</v>
      </c>
      <c r="J33" s="75" t="str">
        <f ca="1">'Emission Factors database'!L37</f>
        <v>3,110</v>
      </c>
      <c r="K33" s="75" t="str">
        <f ca="1">'Emission Factors database'!M37</f>
        <v>4.00</v>
      </c>
      <c r="L33" s="75" t="str">
        <f ca="1">'Emission Factors database'!N37</f>
        <v>3.81</v>
      </c>
      <c r="M33" s="75" t="str">
        <f ca="1">'Emission Factors database'!O37</f>
        <v>2.41</v>
      </c>
      <c r="N33" s="75" t="str">
        <f ca="1">'Emission Factors database'!P37</f>
        <v>3.11</v>
      </c>
      <c r="O33" s="75" t="str">
        <f ca="1">'Emission Factors database'!Q37</f>
        <v>0</v>
      </c>
      <c r="P33" s="75" t="str">
        <f ca="1">'Emission Factors database'!R37</f>
        <v>0</v>
      </c>
      <c r="Q33" s="75" t="str">
        <f ca="1">'Emission Factors database'!S37</f>
        <v>0</v>
      </c>
      <c r="R33" s="75" t="str">
        <f ca="1">'Emission Factors database'!T37</f>
        <v>0</v>
      </c>
      <c r="S33" s="75" t="str">
        <f ca="1">'Emission Factors database'!U37</f>
        <v>0</v>
      </c>
      <c r="T33" s="75" t="str">
        <f ca="1">'Emission Factors database'!V37</f>
        <v>0</v>
      </c>
      <c r="U33" s="75" t="str">
        <f ca="1">'Emission Factors database'!W37</f>
        <v>1,000</v>
      </c>
      <c r="V33" s="75" t="str">
        <f ca="1">'Emission Factors database'!X37</f>
        <v>kg/tonne</v>
      </c>
      <c r="W33" s="75" t="str">
        <f ca="1">'Emission Factors database'!Z37</f>
        <v>Yes</v>
      </c>
    </row>
    <row r="34" spans="1:23" ht="24.9" customHeight="1" x14ac:dyDescent="0.25">
      <c r="A34" s="75" t="str">
        <f>'Emission Factors database'!B38</f>
        <v>Stainless steel</v>
      </c>
      <c r="B34" s="75" t="str">
        <f>'Emission Factors database'!C38</f>
        <v>Stainless steel (general)</v>
      </c>
      <c r="C34" s="75" t="str">
        <f ca="1">'Emission Factors database'!D38</f>
        <v xml:space="preserve">All stainless steel </v>
      </c>
      <c r="D34" s="75" t="str">
        <f ca="1">'Emission Factors database'!F38</f>
        <v>tonne</v>
      </c>
      <c r="E34" s="75" t="str">
        <f ca="1">'Emission Factors database'!G38</f>
        <v>Tier 4</v>
      </c>
      <c r="F34" s="75">
        <f ca="1">'Emission Factors database'!H38</f>
        <v>1.2</v>
      </c>
      <c r="G34" s="75" t="str">
        <f ca="1">'Emission Factors database'!I38</f>
        <v>5,990</v>
      </c>
      <c r="H34" s="75" t="str">
        <f ca="1">'Emission Factors database'!J38</f>
        <v>4,990</v>
      </c>
      <c r="I34" s="75" t="str">
        <f ca="1">'Emission Factors database'!K38</f>
        <v>2,740</v>
      </c>
      <c r="J34" s="75" t="str">
        <f ca="1">'Emission Factors database'!L38</f>
        <v>3,520</v>
      </c>
      <c r="K34" s="75" t="str">
        <f ca="1">'Emission Factors database'!M38</f>
        <v>5.99</v>
      </c>
      <c r="L34" s="75" t="str">
        <f ca="1">'Emission Factors database'!N38</f>
        <v>4.99</v>
      </c>
      <c r="M34" s="75" t="str">
        <f ca="1">'Emission Factors database'!O38</f>
        <v>2.74</v>
      </c>
      <c r="N34" s="75" t="str">
        <f ca="1">'Emission Factors database'!P38</f>
        <v>3.52</v>
      </c>
      <c r="O34" s="75" t="str">
        <f ca="1">'Emission Factors database'!Q38</f>
        <v>0</v>
      </c>
      <c r="P34" s="75" t="str">
        <f ca="1">'Emission Factors database'!R38</f>
        <v>0</v>
      </c>
      <c r="Q34" s="75" t="str">
        <f ca="1">'Emission Factors database'!S38</f>
        <v>0</v>
      </c>
      <c r="R34" s="75" t="str">
        <f ca="1">'Emission Factors database'!T38</f>
        <v>0</v>
      </c>
      <c r="S34" s="75" t="str">
        <f ca="1">'Emission Factors database'!U38</f>
        <v>0</v>
      </c>
      <c r="T34" s="75" t="str">
        <f ca="1">'Emission Factors database'!V38</f>
        <v>0</v>
      </c>
      <c r="U34" s="75" t="str">
        <f ca="1">'Emission Factors database'!W38</f>
        <v>1,000</v>
      </c>
      <c r="V34" s="75" t="str">
        <f ca="1">'Emission Factors database'!X38</f>
        <v>kg/tonne</v>
      </c>
      <c r="W34" s="75" t="str">
        <f ca="1">'Emission Factors database'!Z38</f>
        <v>No</v>
      </c>
    </row>
    <row r="35" spans="1:23" ht="24.9" customHeight="1" x14ac:dyDescent="0.25">
      <c r="A35" s="75" t="str">
        <f>'Emission Factors database'!B39</f>
        <v>Timber</v>
      </c>
      <c r="B35" s="75" t="str">
        <f>'Emission Factors database'!C39</f>
        <v>Sawn softwood</v>
      </c>
      <c r="C35" s="75" t="str">
        <f ca="1">'Emission Factors database'!D39</f>
        <v>Softwood timber most common species raidata pine,and includes treated, untreated, surfaced, and sawn products</v>
      </c>
      <c r="D35" s="75" t="str">
        <f ca="1">'Emission Factors database'!F39</f>
        <v>m³</v>
      </c>
      <c r="E35" s="75" t="str">
        <f ca="1">'Emission Factors database'!G39</f>
        <v>Tier 2</v>
      </c>
      <c r="F35" s="75">
        <f ca="1">'Emission Factors database'!H39</f>
        <v>1.05</v>
      </c>
      <c r="G35" s="75" t="str">
        <f ca="1">'Emission Factors database'!I39</f>
        <v>349</v>
      </c>
      <c r="H35" s="75" t="str">
        <f ca="1">'Emission Factors database'!J39</f>
        <v>332</v>
      </c>
      <c r="I35" s="75" t="str">
        <f ca="1">'Emission Factors database'!K39</f>
        <v>113</v>
      </c>
      <c r="J35" s="75" t="str">
        <f ca="1">'Emission Factors database'!L39</f>
        <v>188</v>
      </c>
      <c r="K35" s="75" t="str">
        <f ca="1">'Emission Factors database'!M39</f>
        <v>0.633</v>
      </c>
      <c r="L35" s="75" t="str">
        <f ca="1">'Emission Factors database'!N39</f>
        <v>0.603</v>
      </c>
      <c r="M35" s="75" t="str">
        <f ca="1">'Emission Factors database'!O39</f>
        <v>0.205</v>
      </c>
      <c r="N35" s="75" t="str">
        <f ca="1">'Emission Factors database'!P39</f>
        <v>0.366</v>
      </c>
      <c r="O35" s="75" t="str">
        <f ca="1">'Emission Factors database'!Q39</f>
        <v>933</v>
      </c>
      <c r="P35" s="75" t="str">
        <f ca="1">'Emission Factors database'!R39</f>
        <v>889</v>
      </c>
      <c r="Q35" s="75" t="str">
        <f ca="1">'Emission Factors database'!S39</f>
        <v>857</v>
      </c>
      <c r="R35" s="75" t="str">
        <f ca="1">'Emission Factors database'!T39</f>
        <v>1.61</v>
      </c>
      <c r="S35" s="75" t="str">
        <f ca="1">'Emission Factors database'!U39</f>
        <v>1.61</v>
      </c>
      <c r="T35" s="75" t="str">
        <f ca="1">'Emission Factors database'!V39</f>
        <v>1.64</v>
      </c>
      <c r="U35" s="75" t="str">
        <f ca="1">'Emission Factors database'!W39</f>
        <v>514</v>
      </c>
      <c r="V35" s="75" t="str">
        <f ca="1">'Emission Factors database'!X39</f>
        <v>kg/m³</v>
      </c>
      <c r="W35" s="75" t="str">
        <f ca="1">'Emission Factors database'!Z39</f>
        <v>Yes</v>
      </c>
    </row>
    <row r="36" spans="1:23" ht="24.9" customHeight="1" x14ac:dyDescent="0.25">
      <c r="A36" s="75" t="str">
        <f>'Emission Factors database'!B40</f>
        <v>Timber</v>
      </c>
      <c r="B36" s="75" t="str">
        <f>'Emission Factors database'!C40</f>
        <v>Sawn hardwood</v>
      </c>
      <c r="C36" s="75" t="str">
        <f ca="1">'Emission Factors database'!D40</f>
        <v>Hardwood timber includes treated, untreated, dressed, and sawn products</v>
      </c>
      <c r="D36" s="75" t="str">
        <f ca="1">'Emission Factors database'!F40</f>
        <v>m³</v>
      </c>
      <c r="E36" s="75" t="str">
        <f ca="1">'Emission Factors database'!G40</f>
        <v>Tier 2</v>
      </c>
      <c r="F36" s="75">
        <f ca="1">'Emission Factors database'!H40</f>
        <v>1.05</v>
      </c>
      <c r="G36" s="75" t="str">
        <f ca="1">'Emission Factors database'!I40</f>
        <v>591</v>
      </c>
      <c r="H36" s="75" t="str">
        <f ca="1">'Emission Factors database'!J40</f>
        <v>563</v>
      </c>
      <c r="I36" s="75" t="str">
        <f ca="1">'Emission Factors database'!K40</f>
        <v>104</v>
      </c>
      <c r="J36" s="75" t="str">
        <f ca="1">'Emission Factors database'!L40</f>
        <v>347</v>
      </c>
      <c r="K36" s="75" t="str">
        <f ca="1">'Emission Factors database'!M40</f>
        <v>0.804</v>
      </c>
      <c r="L36" s="75" t="str">
        <f ca="1">'Emission Factors database'!N40</f>
        <v>0.765</v>
      </c>
      <c r="M36" s="75" t="str">
        <f ca="1">'Emission Factors database'!O40</f>
        <v>0.126</v>
      </c>
      <c r="N36" s="75" t="str">
        <f ca="1">'Emission Factors database'!P40</f>
        <v>0.466</v>
      </c>
      <c r="O36" s="75" t="str">
        <f ca="1">'Emission Factors database'!Q40</f>
        <v>1,270</v>
      </c>
      <c r="P36" s="75" t="str">
        <f ca="1">'Emission Factors database'!R40</f>
        <v>1,210</v>
      </c>
      <c r="Q36" s="75" t="str">
        <f ca="1">'Emission Factors database'!S40</f>
        <v>1,170</v>
      </c>
      <c r="R36" s="75" t="str">
        <f ca="1">'Emission Factors database'!T40</f>
        <v>1.65</v>
      </c>
      <c r="S36" s="75" t="str">
        <f ca="1">'Emission Factors database'!U40</f>
        <v>1.65</v>
      </c>
      <c r="T36" s="75" t="str">
        <f ca="1">'Emission Factors database'!V40</f>
        <v>1.54</v>
      </c>
      <c r="U36" s="75" t="str">
        <f ca="1">'Emission Factors database'!W40</f>
        <v>744</v>
      </c>
      <c r="V36" s="75" t="str">
        <f ca="1">'Emission Factors database'!X40</f>
        <v>kg/m³</v>
      </c>
      <c r="W36" s="75" t="str">
        <f ca="1">'Emission Factors database'!Z40</f>
        <v>No</v>
      </c>
    </row>
    <row r="37" spans="1:23" ht="24.9" customHeight="1" x14ac:dyDescent="0.25">
      <c r="A37" s="75" t="str">
        <f>'Emission Factors database'!B41</f>
        <v>Timber</v>
      </c>
      <c r="B37" s="75" t="str">
        <f>'Emission Factors database'!C41</f>
        <v>Timber poles - piles</v>
      </c>
      <c r="C37" s="75" t="str">
        <f ca="1">'Emission Factors database'!D41</f>
        <v>Hardwood timber includes treated, untreated, dressed, and sawn products</v>
      </c>
      <c r="D37" s="75" t="str">
        <f ca="1">'Emission Factors database'!F41</f>
        <v>m³</v>
      </c>
      <c r="E37" s="75" t="str">
        <f ca="1">'Emission Factors database'!G41</f>
        <v>Tier 2</v>
      </c>
      <c r="F37" s="75">
        <f ca="1">'Emission Factors database'!H41</f>
        <v>1.05</v>
      </c>
      <c r="G37" s="75" t="str">
        <f ca="1">'Emission Factors database'!I41</f>
        <v>591</v>
      </c>
      <c r="H37" s="75" t="str">
        <f ca="1">'Emission Factors database'!J41</f>
        <v>563</v>
      </c>
      <c r="I37" s="75" t="str">
        <f ca="1">'Emission Factors database'!K41</f>
        <v>104</v>
      </c>
      <c r="J37" s="75" t="str">
        <f ca="1">'Emission Factors database'!L41</f>
        <v>347</v>
      </c>
      <c r="K37" s="75" t="str">
        <f ca="1">'Emission Factors database'!M41</f>
        <v>0.804</v>
      </c>
      <c r="L37" s="75" t="str">
        <f ca="1">'Emission Factors database'!N41</f>
        <v>0.765</v>
      </c>
      <c r="M37" s="75" t="str">
        <f ca="1">'Emission Factors database'!O41</f>
        <v>0.126</v>
      </c>
      <c r="N37" s="75" t="str">
        <f ca="1">'Emission Factors database'!P41</f>
        <v>0.466</v>
      </c>
      <c r="O37" s="75" t="str">
        <f ca="1">'Emission Factors database'!Q41</f>
        <v>1,270</v>
      </c>
      <c r="P37" s="75" t="str">
        <f ca="1">'Emission Factors database'!R41</f>
        <v>1,210</v>
      </c>
      <c r="Q37" s="75" t="str">
        <f ca="1">'Emission Factors database'!S41</f>
        <v>1,170</v>
      </c>
      <c r="R37" s="75" t="str">
        <f ca="1">'Emission Factors database'!T41</f>
        <v>1.65</v>
      </c>
      <c r="S37" s="75" t="str">
        <f ca="1">'Emission Factors database'!U41</f>
        <v>1.65</v>
      </c>
      <c r="T37" s="75" t="str">
        <f ca="1">'Emission Factors database'!V41</f>
        <v>1.54</v>
      </c>
      <c r="U37" s="75" t="str">
        <f ca="1">'Emission Factors database'!W41</f>
        <v>744</v>
      </c>
      <c r="V37" s="75" t="str">
        <f ca="1">'Emission Factors database'!X41</f>
        <v>kg/m³</v>
      </c>
      <c r="W37" s="75" t="str">
        <f ca="1">'Emission Factors database'!Z41</f>
        <v>No</v>
      </c>
    </row>
    <row r="38" spans="1:23" ht="24.9" customHeight="1" x14ac:dyDescent="0.25">
      <c r="A38" s="75" t="str">
        <f>'Emission Factors database'!B42</f>
        <v>Timber (engineered)</v>
      </c>
      <c r="B38" s="75" t="str">
        <f>'Emission Factors database'!C42</f>
        <v>Plywood (all)</v>
      </c>
      <c r="C38" s="75" t="str">
        <f ca="1">'Emission Factors database'!D42</f>
        <v xml:space="preserve">Plywood timber for bracing, structural (walling, flooring), formwork purposes. </v>
      </c>
      <c r="D38" s="75" t="str">
        <f ca="1">'Emission Factors database'!F42</f>
        <v>m³</v>
      </c>
      <c r="E38" s="75" t="str">
        <f ca="1">'Emission Factors database'!G42</f>
        <v>Tier 2</v>
      </c>
      <c r="F38" s="75">
        <f ca="1">'Emission Factors database'!H42</f>
        <v>1.05</v>
      </c>
      <c r="G38" s="75" t="str">
        <f ca="1">'Emission Factors database'!I42</f>
        <v>968</v>
      </c>
      <c r="H38" s="75" t="str">
        <f ca="1">'Emission Factors database'!J42</f>
        <v>922</v>
      </c>
      <c r="I38" s="75" t="str">
        <f ca="1">'Emission Factors database'!K42</f>
        <v>235</v>
      </c>
      <c r="J38" s="75" t="str">
        <f ca="1">'Emission Factors database'!L42</f>
        <v>498</v>
      </c>
      <c r="K38" s="75" t="str">
        <f ca="1">'Emission Factors database'!M42</f>
        <v>1.77</v>
      </c>
      <c r="L38" s="75" t="str">
        <f ca="1">'Emission Factors database'!N42</f>
        <v>1.69</v>
      </c>
      <c r="M38" s="75" t="str">
        <f ca="1">'Emission Factors database'!O42</f>
        <v>0.396</v>
      </c>
      <c r="N38" s="75" t="str">
        <f ca="1">'Emission Factors database'!P42</f>
        <v>0.978</v>
      </c>
      <c r="O38" s="75" t="str">
        <f ca="1">'Emission Factors database'!Q42</f>
        <v>967</v>
      </c>
      <c r="P38" s="75" t="str">
        <f ca="1">'Emission Factors database'!R42</f>
        <v>921</v>
      </c>
      <c r="Q38" s="75" t="str">
        <f ca="1">'Emission Factors database'!S42</f>
        <v>841</v>
      </c>
      <c r="R38" s="75" t="str">
        <f ca="1">'Emission Factors database'!T42</f>
        <v>1.69</v>
      </c>
      <c r="S38" s="75" t="str">
        <f ca="1">'Emission Factors database'!U42</f>
        <v>1.69</v>
      </c>
      <c r="T38" s="75" t="str">
        <f ca="1">'Emission Factors database'!V42</f>
        <v>1.64</v>
      </c>
      <c r="U38" s="75" t="str">
        <f ca="1">'Emission Factors database'!W42</f>
        <v>509</v>
      </c>
      <c r="V38" s="75" t="str">
        <f ca="1">'Emission Factors database'!X42</f>
        <v>kg/m³</v>
      </c>
      <c r="W38" s="75" t="str">
        <f ca="1">'Emission Factors database'!Z42</f>
        <v>Yes</v>
      </c>
    </row>
    <row r="39" spans="1:23" ht="24.9" customHeight="1" x14ac:dyDescent="0.25">
      <c r="A39" s="75" t="str">
        <f>'Emission Factors database'!B43</f>
        <v>Timber (engineered)</v>
      </c>
      <c r="B39" s="75" t="str">
        <f>'Emission Factors database'!C43</f>
        <v>Particleboard</v>
      </c>
      <c r="C39" s="75" t="str">
        <f ca="1">'Emission Factors database'!D43</f>
        <v xml:space="preserve">Particleboard including walling and flooring applications </v>
      </c>
      <c r="D39" s="75" t="str">
        <f ca="1">'Emission Factors database'!F43</f>
        <v>m³</v>
      </c>
      <c r="E39" s="75" t="str">
        <f ca="1">'Emission Factors database'!G43</f>
        <v>Tier 2</v>
      </c>
      <c r="F39" s="75">
        <f ca="1">'Emission Factors database'!H43</f>
        <v>1.05</v>
      </c>
      <c r="G39" s="75" t="str">
        <f ca="1">'Emission Factors database'!I43</f>
        <v>880</v>
      </c>
      <c r="H39" s="75" t="str">
        <f ca="1">'Emission Factors database'!J43</f>
        <v>838</v>
      </c>
      <c r="I39" s="75" t="str">
        <f ca="1">'Emission Factors database'!K43</f>
        <v>322</v>
      </c>
      <c r="J39" s="75" t="str">
        <f ca="1">'Emission Factors database'!L43</f>
        <v>650</v>
      </c>
      <c r="K39" s="75" t="str">
        <f ca="1">'Emission Factors database'!M43</f>
        <v>1.23</v>
      </c>
      <c r="L39" s="75" t="str">
        <f ca="1">'Emission Factors database'!N43</f>
        <v>1.17</v>
      </c>
      <c r="M39" s="75" t="str">
        <f ca="1">'Emission Factors database'!O43</f>
        <v>0.488</v>
      </c>
      <c r="N39" s="75" t="str">
        <f ca="1">'Emission Factors database'!P43</f>
        <v>0.915</v>
      </c>
      <c r="O39" s="75" t="str">
        <f ca="1">'Emission Factors database'!Q43</f>
        <v>1,240</v>
      </c>
      <c r="P39" s="75" t="str">
        <f ca="1">'Emission Factors database'!R43</f>
        <v>1,180</v>
      </c>
      <c r="Q39" s="75" t="str">
        <f ca="1">'Emission Factors database'!S43</f>
        <v>1,140</v>
      </c>
      <c r="R39" s="75" t="str">
        <f ca="1">'Emission Factors database'!T43</f>
        <v>1.65</v>
      </c>
      <c r="S39" s="75" t="str">
        <f ca="1">'Emission Factors database'!U43</f>
        <v>1.65</v>
      </c>
      <c r="T39" s="75" t="str">
        <f ca="1">'Emission Factors database'!V43</f>
        <v>1.62</v>
      </c>
      <c r="U39" s="75" t="str">
        <f ca="1">'Emission Factors database'!W43</f>
        <v>711</v>
      </c>
      <c r="V39" s="75" t="str">
        <f ca="1">'Emission Factors database'!X43</f>
        <v>kg/m³</v>
      </c>
      <c r="W39" s="75" t="str">
        <f ca="1">'Emission Factors database'!Z43</f>
        <v>Yes</v>
      </c>
    </row>
    <row r="40" spans="1:23" ht="24.9" customHeight="1" x14ac:dyDescent="0.25">
      <c r="A40" s="75" t="str">
        <f>'Emission Factors database'!B44</f>
        <v>Timber (engineered)</v>
      </c>
      <c r="B40" s="75" t="str">
        <f>'Emission Factors database'!C44</f>
        <v>GLT&amp;CLT (softwood)</v>
      </c>
      <c r="C40" s="75" t="str">
        <f ca="1">'Emission Factors database'!D44</f>
        <v>Softwood glue laminated timber (GLT) or cross laminated timber (CLT) including treated and untreated</v>
      </c>
      <c r="D40" s="75" t="str">
        <f ca="1">'Emission Factors database'!F44</f>
        <v>m³</v>
      </c>
      <c r="E40" s="75" t="str">
        <f ca="1">'Emission Factors database'!G44</f>
        <v>Tier 2</v>
      </c>
      <c r="F40" s="75">
        <f ca="1">'Emission Factors database'!H44</f>
        <v>1.05</v>
      </c>
      <c r="G40" s="75" t="str">
        <f ca="1">'Emission Factors database'!I44</f>
        <v>565</v>
      </c>
      <c r="H40" s="75" t="str">
        <f ca="1">'Emission Factors database'!J44</f>
        <v>539</v>
      </c>
      <c r="I40" s="75" t="str">
        <f ca="1">'Emission Factors database'!K44</f>
        <v>53.8</v>
      </c>
      <c r="J40" s="75" t="str">
        <f ca="1">'Emission Factors database'!L44</f>
        <v>242</v>
      </c>
      <c r="K40" s="75" t="str">
        <f ca="1">'Emission Factors database'!M44</f>
        <v>1.26</v>
      </c>
      <c r="L40" s="75" t="str">
        <f ca="1">'Emission Factors database'!N44</f>
        <v>1.20</v>
      </c>
      <c r="M40" s="75" t="str">
        <f ca="1">'Emission Factors database'!O44</f>
        <v>0.114</v>
      </c>
      <c r="N40" s="75" t="str">
        <f ca="1">'Emission Factors database'!P44</f>
        <v>0.467</v>
      </c>
      <c r="O40" s="75" t="str">
        <f ca="1">'Emission Factors database'!Q44</f>
        <v>745</v>
      </c>
      <c r="P40" s="75" t="str">
        <f ca="1">'Emission Factors database'!R44</f>
        <v>710</v>
      </c>
      <c r="Q40" s="75" t="str">
        <f ca="1">'Emission Factors database'!S44</f>
        <v>823</v>
      </c>
      <c r="R40" s="75" t="str">
        <f ca="1">'Emission Factors database'!T44</f>
        <v>1.58</v>
      </c>
      <c r="S40" s="75" t="str">
        <f ca="1">'Emission Factors database'!U44</f>
        <v>1.58</v>
      </c>
      <c r="T40" s="75" t="str">
        <f ca="1">'Emission Factors database'!V44</f>
        <v>1.61</v>
      </c>
      <c r="U40" s="75" t="str">
        <f ca="1">'Emission Factors database'!W44</f>
        <v>518</v>
      </c>
      <c r="V40" s="75" t="str">
        <f ca="1">'Emission Factors database'!X44</f>
        <v>kg/m³</v>
      </c>
      <c r="W40" s="75" t="str">
        <f ca="1">'Emission Factors database'!Z44</f>
        <v>Yes</v>
      </c>
    </row>
    <row r="41" spans="1:23" ht="24.9" customHeight="1" x14ac:dyDescent="0.25">
      <c r="A41" s="75" t="str">
        <f>'Emission Factors database'!B45</f>
        <v>Timber (engineered)</v>
      </c>
      <c r="B41" s="75" t="str">
        <f>'Emission Factors database'!C45</f>
        <v>GLT&amp;CLT (hardwood)</v>
      </c>
      <c r="C41" s="75" t="str">
        <f ca="1">'Emission Factors database'!D45</f>
        <v>Hardwood glue laminated timber (GLT) or cross laminated timber (CLT) including treated and untreated</v>
      </c>
      <c r="D41" s="75" t="str">
        <f ca="1">'Emission Factors database'!F45</f>
        <v>m³</v>
      </c>
      <c r="E41" s="75" t="str">
        <f ca="1">'Emission Factors database'!G45</f>
        <v>Tier 3</v>
      </c>
      <c r="F41" s="75">
        <f ca="1">'Emission Factors database'!H45</f>
        <v>1.1000000000000001</v>
      </c>
      <c r="G41" s="75" t="str">
        <f ca="1">'Emission Factors database'!I45</f>
        <v>841</v>
      </c>
      <c r="H41" s="75" t="str">
        <f ca="1">'Emission Factors database'!J45</f>
        <v>765</v>
      </c>
      <c r="I41" s="75" t="str">
        <f ca="1">'Emission Factors database'!K45</f>
        <v>627</v>
      </c>
      <c r="J41" s="75" t="str">
        <f ca="1">'Emission Factors database'!L45</f>
        <v>690</v>
      </c>
      <c r="K41" s="75" t="str">
        <f ca="1">'Emission Factors database'!M45</f>
        <v>1.25</v>
      </c>
      <c r="L41" s="75" t="str">
        <f ca="1">'Emission Factors database'!N45</f>
        <v>1.13</v>
      </c>
      <c r="M41" s="75" t="str">
        <f ca="1">'Emission Factors database'!O45</f>
        <v>0.930</v>
      </c>
      <c r="N41" s="75" t="str">
        <f ca="1">'Emission Factors database'!P45</f>
        <v>1.02</v>
      </c>
      <c r="O41" s="75" t="str">
        <f ca="1">'Emission Factors database'!Q45</f>
        <v>1,200</v>
      </c>
      <c r="P41" s="75" t="str">
        <f ca="1">'Emission Factors database'!R45</f>
        <v>1,090</v>
      </c>
      <c r="Q41" s="75" t="str">
        <f ca="1">'Emission Factors database'!S45</f>
        <v>1,090</v>
      </c>
      <c r="R41" s="75" t="str">
        <f ca="1">'Emission Factors database'!T45</f>
        <v>1.61</v>
      </c>
      <c r="S41" s="75" t="str">
        <f ca="1">'Emission Factors database'!U45</f>
        <v>1.61</v>
      </c>
      <c r="T41" s="75" t="str">
        <f ca="1">'Emission Factors database'!V45</f>
        <v>1.61</v>
      </c>
      <c r="U41" s="75" t="str">
        <f ca="1">'Emission Factors database'!W45</f>
        <v>674</v>
      </c>
      <c r="V41" s="75" t="str">
        <f ca="1">'Emission Factors database'!X45</f>
        <v>kg/m³</v>
      </c>
      <c r="W41" s="75" t="str">
        <f ca="1">'Emission Factors database'!Z45</f>
        <v>Yes</v>
      </c>
    </row>
    <row r="42" spans="1:23" ht="24.9" customHeight="1" x14ac:dyDescent="0.25">
      <c r="A42" s="75" t="str">
        <f>'Emission Factors database'!B46</f>
        <v>Timber (engineered)</v>
      </c>
      <c r="B42" s="75" t="str">
        <f>'Emission Factors database'!C46</f>
        <v>LVL</v>
      </c>
      <c r="C42" s="75" t="str">
        <f ca="1">'Emission Factors database'!D46</f>
        <v xml:space="preserve">Laminated veneer timber (LVL) including treated and untreated </v>
      </c>
      <c r="D42" s="75" t="str">
        <f ca="1">'Emission Factors database'!F46</f>
        <v>m³</v>
      </c>
      <c r="E42" s="75" t="str">
        <f ca="1">'Emission Factors database'!G46</f>
        <v>Tier 3</v>
      </c>
      <c r="F42" s="75">
        <f ca="1">'Emission Factors database'!H46</f>
        <v>1.1000000000000001</v>
      </c>
      <c r="G42" s="75" t="str">
        <f ca="1">'Emission Factors database'!I46</f>
        <v>442</v>
      </c>
      <c r="H42" s="75" t="str">
        <f ca="1">'Emission Factors database'!J46</f>
        <v>402</v>
      </c>
      <c r="I42" s="75" t="str">
        <f ca="1">'Emission Factors database'!K46</f>
        <v>94.4</v>
      </c>
      <c r="J42" s="75" t="str">
        <f ca="1">'Emission Factors database'!L46</f>
        <v>269</v>
      </c>
      <c r="K42" s="75" t="str">
        <f ca="1">'Emission Factors database'!M46</f>
        <v>1.00</v>
      </c>
      <c r="L42" s="75" t="str">
        <f ca="1">'Emission Factors database'!N46</f>
        <v>0.913</v>
      </c>
      <c r="M42" s="75" t="str">
        <f ca="1">'Emission Factors database'!O46</f>
        <v>0.155</v>
      </c>
      <c r="N42" s="75" t="str">
        <f ca="1">'Emission Factors database'!P46</f>
        <v>0.531</v>
      </c>
      <c r="O42" s="75" t="str">
        <f ca="1">'Emission Factors database'!Q46</f>
        <v>863</v>
      </c>
      <c r="P42" s="75" t="str">
        <f ca="1">'Emission Factors database'!R46</f>
        <v>785</v>
      </c>
      <c r="Q42" s="75" t="str">
        <f ca="1">'Emission Factors database'!S46</f>
        <v>835</v>
      </c>
      <c r="R42" s="75" t="str">
        <f ca="1">'Emission Factors database'!T46</f>
        <v>1.54</v>
      </c>
      <c r="S42" s="75" t="str">
        <f ca="1">'Emission Factors database'!U46</f>
        <v>1.54</v>
      </c>
      <c r="T42" s="75" t="str">
        <f ca="1">'Emission Factors database'!V46</f>
        <v>1.60</v>
      </c>
      <c r="U42" s="75" t="str">
        <f ca="1">'Emission Factors database'!W46</f>
        <v>508</v>
      </c>
      <c r="V42" s="75" t="str">
        <f ca="1">'Emission Factors database'!X46</f>
        <v>kg/m³</v>
      </c>
      <c r="W42" s="75" t="str">
        <f ca="1">'Emission Factors database'!Z46</f>
        <v>No</v>
      </c>
    </row>
    <row r="43" spans="1:23" ht="24.9" customHeight="1" x14ac:dyDescent="0.25">
      <c r="A43" s="75" t="str">
        <f>'Emission Factors database'!B47</f>
        <v>Timber (engineered)</v>
      </c>
      <c r="B43" s="75" t="str">
        <f>'Emission Factors database'!C47</f>
        <v>OSB</v>
      </c>
      <c r="C43" s="75" t="str">
        <f ca="1">'Emission Factors database'!D47</f>
        <v xml:space="preserve">Oriented strand board (OSB) </v>
      </c>
      <c r="D43" s="75" t="str">
        <f ca="1">'Emission Factors database'!F47</f>
        <v>m³</v>
      </c>
      <c r="E43" s="75" t="str">
        <f ca="1">'Emission Factors database'!G47</f>
        <v>Tier 4</v>
      </c>
      <c r="F43" s="75">
        <f ca="1">'Emission Factors database'!H47</f>
        <v>1.2</v>
      </c>
      <c r="G43" s="75" t="str">
        <f ca="1">'Emission Factors database'!I47</f>
        <v>461</v>
      </c>
      <c r="H43" s="75" t="str">
        <f ca="1">'Emission Factors database'!J47</f>
        <v>384</v>
      </c>
      <c r="I43" s="75" t="str">
        <f ca="1">'Emission Factors database'!K47</f>
        <v>101</v>
      </c>
      <c r="J43" s="75" t="str">
        <f ca="1">'Emission Factors database'!L47</f>
        <v>202</v>
      </c>
      <c r="K43" s="75" t="str">
        <f ca="1">'Emission Factors database'!M47</f>
        <v>0.767</v>
      </c>
      <c r="L43" s="75" t="str">
        <f ca="1">'Emission Factors database'!N47</f>
        <v>0.640</v>
      </c>
      <c r="M43" s="75" t="str">
        <f ca="1">'Emission Factors database'!O47</f>
        <v>0.165</v>
      </c>
      <c r="N43" s="75" t="str">
        <f ca="1">'Emission Factors database'!P47</f>
        <v>0.331</v>
      </c>
      <c r="O43" s="75" t="str">
        <f ca="1">'Emission Factors database'!Q47</f>
        <v>1,250</v>
      </c>
      <c r="P43" s="75" t="str">
        <f ca="1">'Emission Factors database'!R47</f>
        <v>1,040</v>
      </c>
      <c r="Q43" s="75" t="str">
        <f ca="1">'Emission Factors database'!S47</f>
        <v>1,010</v>
      </c>
      <c r="R43" s="75" t="str">
        <f ca="1">'Emission Factors database'!T47</f>
        <v>1.73</v>
      </c>
      <c r="S43" s="75" t="str">
        <f ca="1">'Emission Factors database'!U47</f>
        <v>1.73</v>
      </c>
      <c r="T43" s="75" t="str">
        <f ca="1">'Emission Factors database'!V47</f>
        <v>1.66</v>
      </c>
      <c r="U43" s="75" t="str">
        <f ca="1">'Emission Factors database'!W47</f>
        <v>610</v>
      </c>
      <c r="V43" s="75" t="str">
        <f ca="1">'Emission Factors database'!X47</f>
        <v>kg/m³</v>
      </c>
      <c r="W43" s="75" t="str">
        <f ca="1">'Emission Factors database'!Z47</f>
        <v>No</v>
      </c>
    </row>
    <row r="44" spans="1:23" ht="24.9" customHeight="1" x14ac:dyDescent="0.25">
      <c r="A44" s="75" t="str">
        <f>'Emission Factors database'!B48</f>
        <v>Brick</v>
      </c>
      <c r="B44" s="75" t="str">
        <f>'Emission Factors database'!C48</f>
        <v>Clay bricks</v>
      </c>
      <c r="C44" s="75" t="str">
        <f ca="1">'Emission Factors database'!D48</f>
        <v>Masonry bricks made from clay, including fired, perforated, engineering, and facing bricks</v>
      </c>
      <c r="D44" s="75" t="str">
        <f ca="1">'Emission Factors database'!F48</f>
        <v>tonne</v>
      </c>
      <c r="E44" s="75" t="str">
        <f ca="1">'Emission Factors database'!G48</f>
        <v>Tier 3</v>
      </c>
      <c r="F44" s="75">
        <f ca="1">'Emission Factors database'!H48</f>
        <v>1.1000000000000001</v>
      </c>
      <c r="G44" s="75" t="str">
        <f ca="1">'Emission Factors database'!I48</f>
        <v>449</v>
      </c>
      <c r="H44" s="75" t="str">
        <f ca="1">'Emission Factors database'!J48</f>
        <v>408</v>
      </c>
      <c r="I44" s="75" t="str">
        <f ca="1">'Emission Factors database'!K48</f>
        <v>47.8</v>
      </c>
      <c r="J44" s="75" t="str">
        <f ca="1">'Emission Factors database'!L48</f>
        <v>186</v>
      </c>
      <c r="K44" s="75" t="str">
        <f ca="1">'Emission Factors database'!M48</f>
        <v>0.449</v>
      </c>
      <c r="L44" s="75" t="str">
        <f ca="1">'Emission Factors database'!N48</f>
        <v>0.408</v>
      </c>
      <c r="M44" s="75" t="str">
        <f ca="1">'Emission Factors database'!O48</f>
        <v>0.0478</v>
      </c>
      <c r="N44" s="75" t="str">
        <f ca="1">'Emission Factors database'!P48</f>
        <v>0.186</v>
      </c>
      <c r="O44" s="75" t="str">
        <f ca="1">'Emission Factors database'!Q48</f>
        <v>0</v>
      </c>
      <c r="P44" s="75" t="str">
        <f ca="1">'Emission Factors database'!R48</f>
        <v>0</v>
      </c>
      <c r="Q44" s="75" t="str">
        <f ca="1">'Emission Factors database'!S48</f>
        <v>0</v>
      </c>
      <c r="R44" s="75" t="str">
        <f ca="1">'Emission Factors database'!T48</f>
        <v>0</v>
      </c>
      <c r="S44" s="75" t="str">
        <f ca="1">'Emission Factors database'!U48</f>
        <v>0</v>
      </c>
      <c r="T44" s="75" t="str">
        <f ca="1">'Emission Factors database'!V48</f>
        <v>0</v>
      </c>
      <c r="U44" s="75" t="str">
        <f ca="1">'Emission Factors database'!W48</f>
        <v>1,000</v>
      </c>
      <c r="V44" s="75" t="str">
        <f ca="1">'Emission Factors database'!X48</f>
        <v>kg/tonne</v>
      </c>
      <c r="W44" s="75" t="str">
        <f ca="1">'Emission Factors database'!Z48</f>
        <v>No</v>
      </c>
    </row>
    <row r="45" spans="1:23" ht="24.9" customHeight="1" x14ac:dyDescent="0.25">
      <c r="A45" s="75" t="str">
        <f>'Emission Factors database'!B49</f>
        <v>Brick</v>
      </c>
      <c r="B45" s="75" t="str">
        <f>'Emission Factors database'!C49</f>
        <v>Concrete brick</v>
      </c>
      <c r="C45" s="75" t="str">
        <f ca="1">'Emission Factors database'!D49</f>
        <v>Concrete brick or block i.e. cinder block or concrete finishing brick used in masonry. Not including any core fill material or reinforcing.</v>
      </c>
      <c r="D45" s="75" t="str">
        <f ca="1">'Emission Factors database'!F49</f>
        <v>tonne</v>
      </c>
      <c r="E45" s="75" t="str">
        <f ca="1">'Emission Factors database'!G49</f>
        <v>Tier 3</v>
      </c>
      <c r="F45" s="75">
        <f ca="1">'Emission Factors database'!H49</f>
        <v>1.1000000000000001</v>
      </c>
      <c r="G45" s="75" t="str">
        <f ca="1">'Emission Factors database'!I49</f>
        <v>264</v>
      </c>
      <c r="H45" s="75" t="str">
        <f ca="1">'Emission Factors database'!J49</f>
        <v>240</v>
      </c>
      <c r="I45" s="75" t="str">
        <f ca="1">'Emission Factors database'!K49</f>
        <v>112</v>
      </c>
      <c r="J45" s="75" t="str">
        <f ca="1">'Emission Factors database'!L49</f>
        <v>159</v>
      </c>
      <c r="K45" s="75" t="str">
        <f ca="1">'Emission Factors database'!M49</f>
        <v>0.264</v>
      </c>
      <c r="L45" s="75" t="str">
        <f ca="1">'Emission Factors database'!N49</f>
        <v>0.240</v>
      </c>
      <c r="M45" s="75" t="str">
        <f ca="1">'Emission Factors database'!O49</f>
        <v>0.112</v>
      </c>
      <c r="N45" s="75" t="str">
        <f ca="1">'Emission Factors database'!P49</f>
        <v>0.159</v>
      </c>
      <c r="O45" s="75" t="str">
        <f ca="1">'Emission Factors database'!Q49</f>
        <v>0</v>
      </c>
      <c r="P45" s="75" t="str">
        <f ca="1">'Emission Factors database'!R49</f>
        <v>0</v>
      </c>
      <c r="Q45" s="75" t="str">
        <f ca="1">'Emission Factors database'!S49</f>
        <v>0</v>
      </c>
      <c r="R45" s="75" t="str">
        <f ca="1">'Emission Factors database'!T49</f>
        <v>0</v>
      </c>
      <c r="S45" s="75" t="str">
        <f ca="1">'Emission Factors database'!U49</f>
        <v>0</v>
      </c>
      <c r="T45" s="75" t="str">
        <f ca="1">'Emission Factors database'!V49</f>
        <v>0</v>
      </c>
      <c r="U45" s="75" t="str">
        <f ca="1">'Emission Factors database'!W49</f>
        <v>1,000</v>
      </c>
      <c r="V45" s="75" t="str">
        <f ca="1">'Emission Factors database'!X49</f>
        <v>kg/tonne</v>
      </c>
      <c r="W45" s="75" t="str">
        <f ca="1">'Emission Factors database'!Z49</f>
        <v>No</v>
      </c>
    </row>
    <row r="46" spans="1:23" ht="24.9" customHeight="1" x14ac:dyDescent="0.25">
      <c r="A46" s="75" t="str">
        <f>'Emission Factors database'!B50</f>
        <v>Brick</v>
      </c>
      <c r="B46" s="75" t="str">
        <f>'Emission Factors database'!C50</f>
        <v>Stone brick</v>
      </c>
      <c r="C46" s="75" t="str">
        <f ca="1">'Emission Factors database'!D50</f>
        <v>Stone tiles (wall and floor) and pavers including porcelain tiles, represented by granite and limestone quarry operations and surface preparation with stabilisation as needed.</v>
      </c>
      <c r="D46" s="75" t="str">
        <f ca="1">'Emission Factors database'!F50</f>
        <v>tonne</v>
      </c>
      <c r="E46" s="75" t="str">
        <f ca="1">'Emission Factors database'!G50</f>
        <v>Tier 4</v>
      </c>
      <c r="F46" s="75">
        <f ca="1">'Emission Factors database'!H50</f>
        <v>1.2</v>
      </c>
      <c r="G46" s="75" t="str">
        <f ca="1">'Emission Factors database'!I50</f>
        <v>542</v>
      </c>
      <c r="H46" s="75" t="str">
        <f ca="1">'Emission Factors database'!J50</f>
        <v>452</v>
      </c>
      <c r="I46" s="75" t="str">
        <f ca="1">'Emission Factors database'!K50</f>
        <v>75.7</v>
      </c>
      <c r="J46" s="75" t="str">
        <f ca="1">'Emission Factors database'!L50</f>
        <v>256</v>
      </c>
      <c r="K46" s="75" t="str">
        <f ca="1">'Emission Factors database'!M50</f>
        <v>0.542</v>
      </c>
      <c r="L46" s="75" t="str">
        <f ca="1">'Emission Factors database'!N50</f>
        <v>0.452</v>
      </c>
      <c r="M46" s="75" t="str">
        <f ca="1">'Emission Factors database'!O50</f>
        <v>0.0757</v>
      </c>
      <c r="N46" s="75" t="str">
        <f ca="1">'Emission Factors database'!P50</f>
        <v>0.256</v>
      </c>
      <c r="O46" s="75" t="str">
        <f ca="1">'Emission Factors database'!Q50</f>
        <v>0</v>
      </c>
      <c r="P46" s="75" t="str">
        <f ca="1">'Emission Factors database'!R50</f>
        <v>0</v>
      </c>
      <c r="Q46" s="75" t="str">
        <f ca="1">'Emission Factors database'!S50</f>
        <v>0</v>
      </c>
      <c r="R46" s="75" t="str">
        <f ca="1">'Emission Factors database'!T50</f>
        <v>0</v>
      </c>
      <c r="S46" s="75" t="str">
        <f ca="1">'Emission Factors database'!U50</f>
        <v>0</v>
      </c>
      <c r="T46" s="75" t="str">
        <f ca="1">'Emission Factors database'!V50</f>
        <v>0</v>
      </c>
      <c r="U46" s="75" t="str">
        <f ca="1">'Emission Factors database'!W50</f>
        <v>1,000</v>
      </c>
      <c r="V46" s="75" t="str">
        <f ca="1">'Emission Factors database'!X50</f>
        <v>kg/tonne</v>
      </c>
      <c r="W46" s="75" t="str">
        <f ca="1">'Emission Factors database'!Z50</f>
        <v>No</v>
      </c>
    </row>
    <row r="47" spans="1:23" ht="24.9" customHeight="1" x14ac:dyDescent="0.25">
      <c r="A47" s="75" t="str">
        <f>'Emission Factors database'!B51</f>
        <v>Wall ceiling Insulated Panel</v>
      </c>
      <c r="B47" s="75" t="str">
        <f>'Emission Factors database'!C51</f>
        <v>Panel - SIP ≤100mm</v>
      </c>
      <c r="C47" s="75" t="str">
        <f ca="1">'Emission Factors database'!D51</f>
        <v>Structural Insulated Panels (SIP) of thickness less than 100 mm, including wall and roof panels</v>
      </c>
      <c r="D47" s="75" t="str">
        <f ca="1">'Emission Factors database'!F51</f>
        <v>m²</v>
      </c>
      <c r="E47" s="75" t="str">
        <f ca="1">'Emission Factors database'!G51</f>
        <v>Tier 2</v>
      </c>
      <c r="F47" s="75">
        <f ca="1">'Emission Factors database'!H51</f>
        <v>1.05</v>
      </c>
      <c r="G47" s="75" t="str">
        <f ca="1">'Emission Factors database'!I51</f>
        <v>67.2</v>
      </c>
      <c r="H47" s="75" t="str">
        <f ca="1">'Emission Factors database'!J51</f>
        <v>64.0</v>
      </c>
      <c r="I47" s="75" t="str">
        <f ca="1">'Emission Factors database'!K51</f>
        <v>7.15</v>
      </c>
      <c r="J47" s="75" t="str">
        <f ca="1">'Emission Factors database'!L51</f>
        <v>42.3</v>
      </c>
      <c r="K47" s="75" t="str">
        <f ca="1">'Emission Factors database'!M51</f>
        <v>5.16</v>
      </c>
      <c r="L47" s="75" t="str">
        <f ca="1">'Emission Factors database'!N51</f>
        <v>4.92</v>
      </c>
      <c r="M47" s="75" t="str">
        <f ca="1">'Emission Factors database'!O51</f>
        <v>1.10</v>
      </c>
      <c r="N47" s="75" t="str">
        <f ca="1">'Emission Factors database'!P51</f>
        <v>3.64</v>
      </c>
      <c r="O47" s="75" t="str">
        <f ca="1">'Emission Factors database'!Q51</f>
        <v>0</v>
      </c>
      <c r="P47" s="75" t="str">
        <f ca="1">'Emission Factors database'!R51</f>
        <v>0</v>
      </c>
      <c r="Q47" s="75" t="str">
        <f ca="1">'Emission Factors database'!S51</f>
        <v>0</v>
      </c>
      <c r="R47" s="75" t="str">
        <f ca="1">'Emission Factors database'!T51</f>
        <v>0</v>
      </c>
      <c r="S47" s="75" t="str">
        <f ca="1">'Emission Factors database'!U51</f>
        <v>0</v>
      </c>
      <c r="T47" s="75" t="str">
        <f ca="1">'Emission Factors database'!V51</f>
        <v>0</v>
      </c>
      <c r="U47" s="75" t="str">
        <f ca="1">'Emission Factors database'!W51</f>
        <v>11.6</v>
      </c>
      <c r="V47" s="75" t="str">
        <f ca="1">'Emission Factors database'!X51</f>
        <v>kg/m²</v>
      </c>
      <c r="W47" s="75" t="str">
        <f ca="1">'Emission Factors database'!Z51</f>
        <v>No</v>
      </c>
    </row>
    <row r="48" spans="1:23" ht="24.9" customHeight="1" x14ac:dyDescent="0.25">
      <c r="A48" s="75" t="str">
        <f>'Emission Factors database'!B52</f>
        <v>Wall ceiling Insulated Panel</v>
      </c>
      <c r="B48" s="75" t="str">
        <f>'Emission Factors database'!C52</f>
        <v>Panel - SIP &gt;100mm</v>
      </c>
      <c r="C48" s="75" t="str">
        <f ca="1">'Emission Factors database'!D52</f>
        <v>Structural Insulated Panels (SIP) of thickness greater than 100 mm and no thicker than 250 mm including wall and roof panels</v>
      </c>
      <c r="D48" s="75" t="str">
        <f ca="1">'Emission Factors database'!F52</f>
        <v>m²</v>
      </c>
      <c r="E48" s="75" t="str">
        <f ca="1">'Emission Factors database'!G52</f>
        <v>Tier 2</v>
      </c>
      <c r="F48" s="75">
        <f ca="1">'Emission Factors database'!H52</f>
        <v>1.05</v>
      </c>
      <c r="G48" s="75" t="str">
        <f ca="1">'Emission Factors database'!I52</f>
        <v>89.0</v>
      </c>
      <c r="H48" s="75" t="str">
        <f ca="1">'Emission Factors database'!J52</f>
        <v>84.8</v>
      </c>
      <c r="I48" s="75" t="str">
        <f ca="1">'Emission Factors database'!K52</f>
        <v>36.5</v>
      </c>
      <c r="J48" s="75" t="str">
        <f ca="1">'Emission Factors database'!L52</f>
        <v>55.6</v>
      </c>
      <c r="K48" s="75" t="str">
        <f ca="1">'Emission Factors database'!M52</f>
        <v>5.11</v>
      </c>
      <c r="L48" s="75" t="str">
        <f ca="1">'Emission Factors database'!N52</f>
        <v>4.87</v>
      </c>
      <c r="M48" s="75" t="str">
        <f ca="1">'Emission Factors database'!O52</f>
        <v>1.55</v>
      </c>
      <c r="N48" s="75" t="str">
        <f ca="1">'Emission Factors database'!P52</f>
        <v>3.76</v>
      </c>
      <c r="O48" s="75" t="str">
        <f ca="1">'Emission Factors database'!Q52</f>
        <v>0</v>
      </c>
      <c r="P48" s="75" t="str">
        <f ca="1">'Emission Factors database'!R52</f>
        <v>0</v>
      </c>
      <c r="Q48" s="75" t="str">
        <f ca="1">'Emission Factors database'!S52</f>
        <v>0</v>
      </c>
      <c r="R48" s="75" t="str">
        <f ca="1">'Emission Factors database'!T52</f>
        <v>0</v>
      </c>
      <c r="S48" s="75" t="str">
        <f ca="1">'Emission Factors database'!U52</f>
        <v>0</v>
      </c>
      <c r="T48" s="75" t="str">
        <f ca="1">'Emission Factors database'!V52</f>
        <v>0</v>
      </c>
      <c r="U48" s="75" t="str">
        <f ca="1">'Emission Factors database'!W52</f>
        <v>14.8</v>
      </c>
      <c r="V48" s="75" t="str">
        <f ca="1">'Emission Factors database'!X52</f>
        <v>kg/m²</v>
      </c>
      <c r="W48" s="75" t="str">
        <f ca="1">'Emission Factors database'!Z52</f>
        <v>No</v>
      </c>
    </row>
    <row r="49" spans="1:23" ht="24.9" customHeight="1" x14ac:dyDescent="0.25">
      <c r="A49" s="75" t="str">
        <f>'Emission Factors database'!B53</f>
        <v>Aggregate</v>
      </c>
      <c r="B49" s="75" t="str">
        <f>'Emission Factors database'!C53</f>
        <v>Fill</v>
      </c>
      <c r="C49" s="75" t="str">
        <f ca="1">'Emission Factors database'!D53</f>
        <v>Various aggregates used as fill including quarry products, road base and ballast of differing size distributions.</v>
      </c>
      <c r="D49" s="75" t="str">
        <f ca="1">'Emission Factors database'!F53</f>
        <v>tonne</v>
      </c>
      <c r="E49" s="75" t="str">
        <f ca="1">'Emission Factors database'!G53</f>
        <v>Tier 3</v>
      </c>
      <c r="F49" s="75">
        <f ca="1">'Emission Factors database'!H53</f>
        <v>1.1000000000000001</v>
      </c>
      <c r="G49" s="75" t="str">
        <f ca="1">'Emission Factors database'!I53</f>
        <v>10.2</v>
      </c>
      <c r="H49" s="75" t="str">
        <f ca="1">'Emission Factors database'!J53</f>
        <v>9.24</v>
      </c>
      <c r="I49" s="75" t="str">
        <f ca="1">'Emission Factors database'!K53</f>
        <v>3.26</v>
      </c>
      <c r="J49" s="75" t="str">
        <f ca="1">'Emission Factors database'!L53</f>
        <v>6.66</v>
      </c>
      <c r="K49" s="75" t="str">
        <f ca="1">'Emission Factors database'!M53</f>
        <v>0.0102</v>
      </c>
      <c r="L49" s="75" t="str">
        <f ca="1">'Emission Factors database'!N53</f>
        <v>0.00924</v>
      </c>
      <c r="M49" s="75" t="str">
        <f ca="1">'Emission Factors database'!O53</f>
        <v>0.00326</v>
      </c>
      <c r="N49" s="75" t="str">
        <f ca="1">'Emission Factors database'!P53</f>
        <v>0.00666</v>
      </c>
      <c r="O49" s="75" t="str">
        <f ca="1">'Emission Factors database'!Q53</f>
        <v>0</v>
      </c>
      <c r="P49" s="75" t="str">
        <f ca="1">'Emission Factors database'!R53</f>
        <v>0</v>
      </c>
      <c r="Q49" s="75" t="str">
        <f ca="1">'Emission Factors database'!S53</f>
        <v>0</v>
      </c>
      <c r="R49" s="75" t="str">
        <f ca="1">'Emission Factors database'!T53</f>
        <v>0</v>
      </c>
      <c r="S49" s="75" t="str">
        <f ca="1">'Emission Factors database'!U53</f>
        <v>0</v>
      </c>
      <c r="T49" s="75" t="str">
        <f ca="1">'Emission Factors database'!V53</f>
        <v>0</v>
      </c>
      <c r="U49" s="75" t="str">
        <f ca="1">'Emission Factors database'!W53</f>
        <v>1,000</v>
      </c>
      <c r="V49" s="75" t="str">
        <f ca="1">'Emission Factors database'!X53</f>
        <v>kg/tonne</v>
      </c>
      <c r="W49" s="75" t="str">
        <f ca="1">'Emission Factors database'!Z53</f>
        <v>No</v>
      </c>
    </row>
    <row r="50" spans="1:23" ht="24.9" customHeight="1" x14ac:dyDescent="0.25">
      <c r="A50" s="75" t="str">
        <f>'Emission Factors database'!B54</f>
        <v>Aggregate</v>
      </c>
      <c r="B50" s="75" t="str">
        <f>'Emission Factors database'!C54</f>
        <v>Engineered fill</v>
      </c>
      <c r="C50" s="75" t="str">
        <f ca="1">'Emission Factors database'!D54</f>
        <v>Various aggregates used as fill including quarry products, road base and ballast of differing size distributions.</v>
      </c>
      <c r="D50" s="75" t="str">
        <f ca="1">'Emission Factors database'!F54</f>
        <v>tonne</v>
      </c>
      <c r="E50" s="75" t="str">
        <f ca="1">'Emission Factors database'!G54</f>
        <v>Tier 3</v>
      </c>
      <c r="F50" s="75">
        <f ca="1">'Emission Factors database'!H54</f>
        <v>1.1000000000000001</v>
      </c>
      <c r="G50" s="75" t="str">
        <f ca="1">'Emission Factors database'!I54</f>
        <v>10.2</v>
      </c>
      <c r="H50" s="75" t="str">
        <f ca="1">'Emission Factors database'!J54</f>
        <v>9.24</v>
      </c>
      <c r="I50" s="75" t="str">
        <f ca="1">'Emission Factors database'!K54</f>
        <v>3.26</v>
      </c>
      <c r="J50" s="75" t="str">
        <f ca="1">'Emission Factors database'!L54</f>
        <v>6.66</v>
      </c>
      <c r="K50" s="75" t="str">
        <f ca="1">'Emission Factors database'!M54</f>
        <v>0.0102</v>
      </c>
      <c r="L50" s="75" t="str">
        <f ca="1">'Emission Factors database'!N54</f>
        <v>0.00924</v>
      </c>
      <c r="M50" s="75" t="str">
        <f ca="1">'Emission Factors database'!O54</f>
        <v>0.00326</v>
      </c>
      <c r="N50" s="75" t="str">
        <f ca="1">'Emission Factors database'!P54</f>
        <v>0.00666</v>
      </c>
      <c r="O50" s="75" t="str">
        <f ca="1">'Emission Factors database'!Q54</f>
        <v>0</v>
      </c>
      <c r="P50" s="75" t="str">
        <f ca="1">'Emission Factors database'!R54</f>
        <v>0</v>
      </c>
      <c r="Q50" s="75" t="str">
        <f ca="1">'Emission Factors database'!S54</f>
        <v>0</v>
      </c>
      <c r="R50" s="75" t="str">
        <f ca="1">'Emission Factors database'!T54</f>
        <v>0</v>
      </c>
      <c r="S50" s="75" t="str">
        <f ca="1">'Emission Factors database'!U54</f>
        <v>0</v>
      </c>
      <c r="T50" s="75" t="str">
        <f ca="1">'Emission Factors database'!V54</f>
        <v>0</v>
      </c>
      <c r="U50" s="75" t="str">
        <f ca="1">'Emission Factors database'!W54</f>
        <v>1,000</v>
      </c>
      <c r="V50" s="75" t="str">
        <f ca="1">'Emission Factors database'!X54</f>
        <v>kg/tonne</v>
      </c>
      <c r="W50" s="75" t="str">
        <f ca="1">'Emission Factors database'!Z54</f>
        <v>No</v>
      </c>
    </row>
    <row r="51" spans="1:23" ht="24.9" customHeight="1" x14ac:dyDescent="0.25">
      <c r="A51" s="75" t="str">
        <f>'Emission Factors database'!B55</f>
        <v xml:space="preserve">Aggregate </v>
      </c>
      <c r="B51" s="75" t="str">
        <f>'Emission Factors database'!C55</f>
        <v>Recycled fill material</v>
      </c>
      <c r="C51" s="75" t="str">
        <f ca="1">'Emission Factors database'!D55</f>
        <v>Aggregates generated from a recycled or recovered resource.</v>
      </c>
      <c r="D51" s="75" t="str">
        <f ca="1">'Emission Factors database'!F55</f>
        <v>tonne</v>
      </c>
      <c r="E51" s="75" t="str">
        <f ca="1">'Emission Factors database'!G55</f>
        <v>Tier 4</v>
      </c>
      <c r="F51" s="75">
        <f ca="1">'Emission Factors database'!H55</f>
        <v>1.2</v>
      </c>
      <c r="G51" s="75" t="str">
        <f ca="1">'Emission Factors database'!I55</f>
        <v>19.2</v>
      </c>
      <c r="H51" s="75" t="str">
        <f ca="1">'Emission Factors database'!J55</f>
        <v>16.0</v>
      </c>
      <c r="I51" s="75" t="str">
        <f ca="1">'Emission Factors database'!K55</f>
        <v>16.0</v>
      </c>
      <c r="J51" s="75" t="str">
        <f ca="1">'Emission Factors database'!L55</f>
        <v>16.0</v>
      </c>
      <c r="K51" s="75" t="str">
        <f ca="1">'Emission Factors database'!M55</f>
        <v>0.0192</v>
      </c>
      <c r="L51" s="75" t="str">
        <f ca="1">'Emission Factors database'!N55</f>
        <v>0.0160</v>
      </c>
      <c r="M51" s="75" t="str">
        <f ca="1">'Emission Factors database'!O55</f>
        <v>0.0160</v>
      </c>
      <c r="N51" s="75" t="str">
        <f ca="1">'Emission Factors database'!P55</f>
        <v>0.0160</v>
      </c>
      <c r="O51" s="75" t="str">
        <f ca="1">'Emission Factors database'!Q55</f>
        <v>0</v>
      </c>
      <c r="P51" s="75" t="str">
        <f ca="1">'Emission Factors database'!R55</f>
        <v>0</v>
      </c>
      <c r="Q51" s="75" t="str">
        <f ca="1">'Emission Factors database'!S55</f>
        <v>0</v>
      </c>
      <c r="R51" s="75" t="str">
        <f ca="1">'Emission Factors database'!T55</f>
        <v>0</v>
      </c>
      <c r="S51" s="75" t="str">
        <f ca="1">'Emission Factors database'!U55</f>
        <v>0</v>
      </c>
      <c r="T51" s="75" t="str">
        <f ca="1">'Emission Factors database'!V55</f>
        <v>0</v>
      </c>
      <c r="U51" s="75" t="str">
        <f ca="1">'Emission Factors database'!W55</f>
        <v>1,000</v>
      </c>
      <c r="V51" s="75" t="str">
        <f ca="1">'Emission Factors database'!X55</f>
        <v>kg/tonne</v>
      </c>
      <c r="W51" s="75" t="str">
        <f ca="1">'Emission Factors database'!Z55</f>
        <v>No</v>
      </c>
    </row>
    <row r="52" spans="1:23" ht="24.9" customHeight="1" x14ac:dyDescent="0.25">
      <c r="A52" s="75" t="str">
        <f>'Emission Factors database'!B56</f>
        <v xml:space="preserve">Aggregate </v>
      </c>
      <c r="B52" s="75" t="str">
        <f>'Emission Factors database'!C56</f>
        <v>Stabilised sand</v>
      </c>
      <c r="C52" s="75" t="str">
        <f ca="1">'Emission Factors database'!D56</f>
        <v>Sand used as fill or for stabilsation purposes, including various rates of stabliser inclusion from 7% to 25%</v>
      </c>
      <c r="D52" s="75" t="str">
        <f ca="1">'Emission Factors database'!F56</f>
        <v>m³</v>
      </c>
      <c r="E52" s="75" t="str">
        <f ca="1">'Emission Factors database'!G56</f>
        <v>Tier 2</v>
      </c>
      <c r="F52" s="75">
        <f ca="1">'Emission Factors database'!H56</f>
        <v>1.05</v>
      </c>
      <c r="G52" s="75" t="str">
        <f ca="1">'Emission Factors database'!I56</f>
        <v>361</v>
      </c>
      <c r="H52" s="75" t="str">
        <f ca="1">'Emission Factors database'!J56</f>
        <v>344</v>
      </c>
      <c r="I52" s="75" t="str">
        <f ca="1">'Emission Factors database'!K56</f>
        <v>67.8</v>
      </c>
      <c r="J52" s="75" t="str">
        <f ca="1">'Emission Factors database'!L56</f>
        <v>185</v>
      </c>
      <c r="K52" s="75" t="str">
        <f ca="1">'Emission Factors database'!M56</f>
        <v>0.206</v>
      </c>
      <c r="L52" s="75" t="str">
        <f ca="1">'Emission Factors database'!N56</f>
        <v>0.197</v>
      </c>
      <c r="M52" s="75" t="str">
        <f ca="1">'Emission Factors database'!O56</f>
        <v>0.0387</v>
      </c>
      <c r="N52" s="75" t="str">
        <f ca="1">'Emission Factors database'!P56</f>
        <v>0.105</v>
      </c>
      <c r="O52" s="75" t="str">
        <f ca="1">'Emission Factors database'!Q56</f>
        <v>0</v>
      </c>
      <c r="P52" s="75" t="str">
        <f ca="1">'Emission Factors database'!R56</f>
        <v>0</v>
      </c>
      <c r="Q52" s="75" t="str">
        <f ca="1">'Emission Factors database'!S56</f>
        <v>0</v>
      </c>
      <c r="R52" s="75" t="str">
        <f ca="1">'Emission Factors database'!T56</f>
        <v>0</v>
      </c>
      <c r="S52" s="75" t="str">
        <f ca="1">'Emission Factors database'!U56</f>
        <v>0</v>
      </c>
      <c r="T52" s="75" t="str">
        <f ca="1">'Emission Factors database'!V56</f>
        <v>0</v>
      </c>
      <c r="U52" s="75" t="str">
        <f ca="1">'Emission Factors database'!W56</f>
        <v>1,760</v>
      </c>
      <c r="V52" s="75" t="str">
        <f ca="1">'Emission Factors database'!X56</f>
        <v>kg/m³</v>
      </c>
      <c r="W52" s="75" t="str">
        <f ca="1">'Emission Factors database'!Z56</f>
        <v>No</v>
      </c>
    </row>
    <row r="53" spans="1:23" ht="24.9" customHeight="1" x14ac:dyDescent="0.25">
      <c r="A53" s="75" t="str">
        <f>'Emission Factors database'!B57</f>
        <v>Steel - cladding/roofing</v>
      </c>
      <c r="B53" s="75" t="str">
        <f>'Emission Factors database'!C57</f>
        <v>Steel cladding - metallic coat</v>
      </c>
      <c r="C53" s="75" t="str">
        <f ca="1">'Emission Factors database'!D57</f>
        <v xml:space="preserve">Steel cladding with a metallic coating including all base metal thicknesses (BMT) from 0.3 mm to 2.9mm </v>
      </c>
      <c r="D53" s="75" t="str">
        <f ca="1">'Emission Factors database'!F57</f>
        <v>m²</v>
      </c>
      <c r="E53" s="75" t="str">
        <f ca="1">'Emission Factors database'!G57</f>
        <v>Tier 1</v>
      </c>
      <c r="F53" s="75">
        <f ca="1">'Emission Factors database'!H57</f>
        <v>1.02</v>
      </c>
      <c r="G53" s="75" t="str">
        <f ca="1">'Emission Factors database'!I57</f>
        <v>64.0</v>
      </c>
      <c r="H53" s="75" t="str">
        <f ca="1">'Emission Factors database'!J57</f>
        <v>62.7</v>
      </c>
      <c r="I53" s="75" t="str">
        <f ca="1">'Emission Factors database'!K57</f>
        <v>8.40</v>
      </c>
      <c r="J53" s="75" t="str">
        <f ca="1">'Emission Factors database'!L57</f>
        <v>19.5</v>
      </c>
      <c r="K53" s="75" t="str">
        <f ca="1">'Emission Factors database'!M57</f>
        <v>5.12</v>
      </c>
      <c r="L53" s="75" t="str">
        <f ca="1">'Emission Factors database'!N57</f>
        <v>5.01</v>
      </c>
      <c r="M53" s="75" t="str">
        <f ca="1">'Emission Factors database'!O57</f>
        <v>2.72</v>
      </c>
      <c r="N53" s="75" t="str">
        <f ca="1">'Emission Factors database'!P57</f>
        <v>3.08</v>
      </c>
      <c r="O53" s="75" t="str">
        <f ca="1">'Emission Factors database'!Q57</f>
        <v>0</v>
      </c>
      <c r="P53" s="75" t="str">
        <f ca="1">'Emission Factors database'!R57</f>
        <v>0</v>
      </c>
      <c r="Q53" s="75" t="str">
        <f ca="1">'Emission Factors database'!S57</f>
        <v>0</v>
      </c>
      <c r="R53" s="75" t="str">
        <f ca="1">'Emission Factors database'!T57</f>
        <v>0</v>
      </c>
      <c r="S53" s="75" t="str">
        <f ca="1">'Emission Factors database'!U57</f>
        <v>0</v>
      </c>
      <c r="T53" s="75" t="str">
        <f ca="1">'Emission Factors database'!V57</f>
        <v>0</v>
      </c>
      <c r="U53" s="75" t="str">
        <f ca="1">'Emission Factors database'!W57</f>
        <v>6.32</v>
      </c>
      <c r="V53" s="75" t="str">
        <f ca="1">'Emission Factors database'!X57</f>
        <v>kg/m²</v>
      </c>
      <c r="W53" s="75" t="str">
        <f ca="1">'Emission Factors database'!Z57</f>
        <v>No</v>
      </c>
    </row>
    <row r="54" spans="1:23" ht="24.9" customHeight="1" x14ac:dyDescent="0.25">
      <c r="A54" s="75" t="str">
        <f>'Emission Factors database'!B58</f>
        <v>Steel - cladding/roofing</v>
      </c>
      <c r="B54" s="75" t="str">
        <f>'Emission Factors database'!C58</f>
        <v>Steel cladding - painted</v>
      </c>
      <c r="C54" s="75" t="str">
        <f ca="1">'Emission Factors database'!D58</f>
        <v xml:space="preserve">Steel cladding that has been painted, including all base metal thicknesses (BMT) from 0.42 mm to 1.0 mm </v>
      </c>
      <c r="D54" s="75" t="str">
        <f ca="1">'Emission Factors database'!F58</f>
        <v>m²</v>
      </c>
      <c r="E54" s="75" t="str">
        <f ca="1">'Emission Factors database'!G58</f>
        <v>Tier 1</v>
      </c>
      <c r="F54" s="75">
        <f ca="1">'Emission Factors database'!H58</f>
        <v>1.02</v>
      </c>
      <c r="G54" s="75" t="str">
        <f ca="1">'Emission Factors database'!I58</f>
        <v>25.4</v>
      </c>
      <c r="H54" s="75" t="str">
        <f ca="1">'Emission Factors database'!J58</f>
        <v>24.9</v>
      </c>
      <c r="I54" s="75" t="str">
        <f ca="1">'Emission Factors database'!K58</f>
        <v>9.49</v>
      </c>
      <c r="J54" s="75" t="str">
        <f ca="1">'Emission Factors database'!L58</f>
        <v>14.9</v>
      </c>
      <c r="K54" s="75" t="str">
        <f ca="1">'Emission Factors database'!M58</f>
        <v>5.49</v>
      </c>
      <c r="L54" s="75" t="str">
        <f ca="1">'Emission Factors database'!N58</f>
        <v>5.38</v>
      </c>
      <c r="M54" s="75" t="str">
        <f ca="1">'Emission Factors database'!O58</f>
        <v>2.98</v>
      </c>
      <c r="N54" s="75" t="str">
        <f ca="1">'Emission Factors database'!P58</f>
        <v>3.51</v>
      </c>
      <c r="O54" s="75" t="str">
        <f ca="1">'Emission Factors database'!Q58</f>
        <v>0</v>
      </c>
      <c r="P54" s="75" t="str">
        <f ca="1">'Emission Factors database'!R58</f>
        <v>0</v>
      </c>
      <c r="Q54" s="75" t="str">
        <f ca="1">'Emission Factors database'!S58</f>
        <v>0</v>
      </c>
      <c r="R54" s="75" t="str">
        <f ca="1">'Emission Factors database'!T58</f>
        <v>0</v>
      </c>
      <c r="S54" s="75" t="str">
        <f ca="1">'Emission Factors database'!U58</f>
        <v>0</v>
      </c>
      <c r="T54" s="75" t="str">
        <f ca="1">'Emission Factors database'!V58</f>
        <v>0</v>
      </c>
      <c r="U54" s="75" t="str">
        <f ca="1">'Emission Factors database'!W58</f>
        <v>4.23</v>
      </c>
      <c r="V54" s="75" t="str">
        <f ca="1">'Emission Factors database'!X58</f>
        <v>kg/m²</v>
      </c>
      <c r="W54" s="75" t="str">
        <f ca="1">'Emission Factors database'!Z58</f>
        <v>No</v>
      </c>
    </row>
    <row r="55" spans="1:23" ht="24.9" customHeight="1" x14ac:dyDescent="0.25">
      <c r="A55" s="75" t="str">
        <f>'Emission Factors database'!B59</f>
        <v>Aluminium - cladding/roofing</v>
      </c>
      <c r="B55" s="75" t="str">
        <f>'Emission Factors database'!C59</f>
        <v>Aluminium cladding</v>
      </c>
      <c r="C55" s="75" t="str">
        <f ca="1">'Emission Factors database'!D59</f>
        <v xml:space="preserve">Aluminium cladding including all base metal thicknesses (BMT) from 0.70 mm to 0.9 mm </v>
      </c>
      <c r="D55" s="75" t="str">
        <f ca="1">'Emission Factors database'!F59</f>
        <v>kg</v>
      </c>
      <c r="E55" s="75" t="str">
        <f ca="1">'Emission Factors database'!G59</f>
        <v>Tier 4</v>
      </c>
      <c r="F55" s="75">
        <f ca="1">'Emission Factors database'!H59</f>
        <v>1.2</v>
      </c>
      <c r="G55" s="75" t="str">
        <f ca="1">'Emission Factors database'!I59</f>
        <v>21.1</v>
      </c>
      <c r="H55" s="75" t="str">
        <f ca="1">'Emission Factors database'!J59</f>
        <v>17.5</v>
      </c>
      <c r="I55" s="75" t="str">
        <f ca="1">'Emission Factors database'!K59</f>
        <v>17.5</v>
      </c>
      <c r="J55" s="75" t="str">
        <f ca="1">'Emission Factors database'!L59</f>
        <v>17.5</v>
      </c>
      <c r="K55" s="75" t="str">
        <f ca="1">'Emission Factors database'!M59</f>
        <v>21.1</v>
      </c>
      <c r="L55" s="75" t="str">
        <f ca="1">'Emission Factors database'!N59</f>
        <v>17.5</v>
      </c>
      <c r="M55" s="75" t="str">
        <f ca="1">'Emission Factors database'!O59</f>
        <v>17.5</v>
      </c>
      <c r="N55" s="75" t="str">
        <f ca="1">'Emission Factors database'!P59</f>
        <v>17.5</v>
      </c>
      <c r="O55" s="75" t="str">
        <f ca="1">'Emission Factors database'!Q59</f>
        <v>0</v>
      </c>
      <c r="P55" s="75" t="str">
        <f ca="1">'Emission Factors database'!R59</f>
        <v>0</v>
      </c>
      <c r="Q55" s="75" t="str">
        <f ca="1">'Emission Factors database'!S59</f>
        <v>0</v>
      </c>
      <c r="R55" s="75" t="str">
        <f ca="1">'Emission Factors database'!T59</f>
        <v>0</v>
      </c>
      <c r="S55" s="75" t="str">
        <f ca="1">'Emission Factors database'!U59</f>
        <v>0</v>
      </c>
      <c r="T55" s="75" t="str">
        <f ca="1">'Emission Factors database'!V59</f>
        <v>0</v>
      </c>
      <c r="U55" s="75" t="str">
        <f ca="1">'Emission Factors database'!W59</f>
        <v>1.00</v>
      </c>
      <c r="V55" s="75" t="str">
        <f ca="1">'Emission Factors database'!X59</f>
        <v>kg/kg</v>
      </c>
      <c r="W55" s="75" t="str">
        <f ca="1">'Emission Factors database'!Z59</f>
        <v>No</v>
      </c>
    </row>
    <row r="56" spans="1:23" ht="24.9" customHeight="1" x14ac:dyDescent="0.25">
      <c r="A56" s="75" t="str">
        <f>'Emission Factors database'!B60</f>
        <v>Tiles - cladding/roofing</v>
      </c>
      <c r="B56" s="75" t="str">
        <f>'Emission Factors database'!C60</f>
        <v>Roof tiles (traditional clay)</v>
      </c>
      <c r="C56" s="75" t="str">
        <f ca="1">'Emission Factors database'!D60</f>
        <v>Clay roof tiles including terracotta</v>
      </c>
      <c r="D56" s="75" t="str">
        <f ca="1">'Emission Factors database'!F60</f>
        <v>tonne</v>
      </c>
      <c r="E56" s="75" t="str">
        <f ca="1">'Emission Factors database'!G60</f>
        <v>Tier 4</v>
      </c>
      <c r="F56" s="75">
        <f ca="1">'Emission Factors database'!H60</f>
        <v>1.2</v>
      </c>
      <c r="G56" s="75" t="str">
        <f ca="1">'Emission Factors database'!I60</f>
        <v>682</v>
      </c>
      <c r="H56" s="75" t="str">
        <f ca="1">'Emission Factors database'!J60</f>
        <v>568</v>
      </c>
      <c r="I56" s="75" t="str">
        <f ca="1">'Emission Factors database'!K60</f>
        <v>47.8</v>
      </c>
      <c r="J56" s="75" t="str">
        <f ca="1">'Emission Factors database'!L60</f>
        <v>282</v>
      </c>
      <c r="K56" s="75" t="str">
        <f ca="1">'Emission Factors database'!M60</f>
        <v>0.682</v>
      </c>
      <c r="L56" s="75" t="str">
        <f ca="1">'Emission Factors database'!N60</f>
        <v>0.568</v>
      </c>
      <c r="M56" s="75" t="str">
        <f ca="1">'Emission Factors database'!O60</f>
        <v>0.0478</v>
      </c>
      <c r="N56" s="75" t="str">
        <f ca="1">'Emission Factors database'!P60</f>
        <v>0.282</v>
      </c>
      <c r="O56" s="75" t="str">
        <f ca="1">'Emission Factors database'!Q60</f>
        <v>0</v>
      </c>
      <c r="P56" s="75" t="str">
        <f ca="1">'Emission Factors database'!R60</f>
        <v>0</v>
      </c>
      <c r="Q56" s="75" t="str">
        <f ca="1">'Emission Factors database'!S60</f>
        <v>0</v>
      </c>
      <c r="R56" s="75" t="str">
        <f ca="1">'Emission Factors database'!T60</f>
        <v>0</v>
      </c>
      <c r="S56" s="75" t="str">
        <f ca="1">'Emission Factors database'!U60</f>
        <v>0</v>
      </c>
      <c r="T56" s="75" t="str">
        <f ca="1">'Emission Factors database'!V60</f>
        <v>0</v>
      </c>
      <c r="U56" s="75" t="str">
        <f ca="1">'Emission Factors database'!W60</f>
        <v>1,000</v>
      </c>
      <c r="V56" s="75" t="str">
        <f ca="1">'Emission Factors database'!X60</f>
        <v>kg/tonne</v>
      </c>
      <c r="W56" s="75" t="str">
        <f ca="1">'Emission Factors database'!Z60</f>
        <v>No</v>
      </c>
    </row>
    <row r="57" spans="1:23" ht="24.9" customHeight="1" x14ac:dyDescent="0.25">
      <c r="A57" s="75" t="str">
        <f>'Emission Factors database'!B61</f>
        <v>Tiles - cladding/roofing</v>
      </c>
      <c r="B57" s="75" t="str">
        <f>'Emission Factors database'!C61</f>
        <v>Terracotta roofing</v>
      </c>
      <c r="C57" s="75" t="str">
        <f ca="1">'Emission Factors database'!D61</f>
        <v>Clay roof tiles including terracotta</v>
      </c>
      <c r="D57" s="75" t="str">
        <f ca="1">'Emission Factors database'!F61</f>
        <v>tonne</v>
      </c>
      <c r="E57" s="75" t="str">
        <f ca="1">'Emission Factors database'!G61</f>
        <v>Tier 4</v>
      </c>
      <c r="F57" s="75">
        <f ca="1">'Emission Factors database'!H61</f>
        <v>1.2</v>
      </c>
      <c r="G57" s="75" t="str">
        <f ca="1">'Emission Factors database'!I61</f>
        <v>682</v>
      </c>
      <c r="H57" s="75" t="str">
        <f ca="1">'Emission Factors database'!J61</f>
        <v>568</v>
      </c>
      <c r="I57" s="75" t="str">
        <f ca="1">'Emission Factors database'!K61</f>
        <v>47.8</v>
      </c>
      <c r="J57" s="75" t="str">
        <f ca="1">'Emission Factors database'!L61</f>
        <v>282</v>
      </c>
      <c r="K57" s="75" t="str">
        <f ca="1">'Emission Factors database'!M61</f>
        <v>0.682</v>
      </c>
      <c r="L57" s="75" t="str">
        <f ca="1">'Emission Factors database'!N61</f>
        <v>0.568</v>
      </c>
      <c r="M57" s="75" t="str">
        <f ca="1">'Emission Factors database'!O61</f>
        <v>0.0478</v>
      </c>
      <c r="N57" s="75" t="str">
        <f ca="1">'Emission Factors database'!P61</f>
        <v>0.282</v>
      </c>
      <c r="O57" s="75" t="str">
        <f ca="1">'Emission Factors database'!Q61</f>
        <v>0</v>
      </c>
      <c r="P57" s="75" t="str">
        <f ca="1">'Emission Factors database'!R61</f>
        <v>0</v>
      </c>
      <c r="Q57" s="75" t="str">
        <f ca="1">'Emission Factors database'!S61</f>
        <v>0</v>
      </c>
      <c r="R57" s="75" t="str">
        <f ca="1">'Emission Factors database'!T61</f>
        <v>0</v>
      </c>
      <c r="S57" s="75" t="str">
        <f ca="1">'Emission Factors database'!U61</f>
        <v>0</v>
      </c>
      <c r="T57" s="75" t="str">
        <f ca="1">'Emission Factors database'!V61</f>
        <v>0</v>
      </c>
      <c r="U57" s="75" t="str">
        <f ca="1">'Emission Factors database'!W61</f>
        <v>1,000</v>
      </c>
      <c r="V57" s="75" t="str">
        <f ca="1">'Emission Factors database'!X61</f>
        <v>kg/tonne</v>
      </c>
      <c r="W57" s="75" t="str">
        <f ca="1">'Emission Factors database'!Z61</f>
        <v>No</v>
      </c>
    </row>
    <row r="58" spans="1:23" ht="24.9" customHeight="1" x14ac:dyDescent="0.25">
      <c r="A58" s="75" t="str">
        <f>'Emission Factors database'!B62</f>
        <v>Tiles - cladding/roofing</v>
      </c>
      <c r="B58" s="75" t="str">
        <f>'Emission Factors database'!C62</f>
        <v>Concrete roof tiles</v>
      </c>
      <c r="C58" s="75" t="str">
        <f ca="1">'Emission Factors database'!D62</f>
        <v>Concrete brick or block i.e. cinder block or concrete finishing brick used in masonry. Not including any core fill material or reinforcing.</v>
      </c>
      <c r="D58" s="75" t="str">
        <f ca="1">'Emission Factors database'!F62</f>
        <v>tonne</v>
      </c>
      <c r="E58" s="75" t="str">
        <f ca="1">'Emission Factors database'!G62</f>
        <v>Tier 3</v>
      </c>
      <c r="F58" s="75">
        <f ca="1">'Emission Factors database'!H62</f>
        <v>1.1000000000000001</v>
      </c>
      <c r="G58" s="75" t="str">
        <f ca="1">'Emission Factors database'!I62</f>
        <v>264</v>
      </c>
      <c r="H58" s="75" t="str">
        <f ca="1">'Emission Factors database'!J62</f>
        <v>240</v>
      </c>
      <c r="I58" s="75" t="str">
        <f ca="1">'Emission Factors database'!K62</f>
        <v>112</v>
      </c>
      <c r="J58" s="75" t="str">
        <f ca="1">'Emission Factors database'!L62</f>
        <v>159</v>
      </c>
      <c r="K58" s="75" t="str">
        <f ca="1">'Emission Factors database'!M62</f>
        <v>0.264</v>
      </c>
      <c r="L58" s="75" t="str">
        <f ca="1">'Emission Factors database'!N62</f>
        <v>0.240</v>
      </c>
      <c r="M58" s="75" t="str">
        <f ca="1">'Emission Factors database'!O62</f>
        <v>0.112</v>
      </c>
      <c r="N58" s="75" t="str">
        <f ca="1">'Emission Factors database'!P62</f>
        <v>0.159</v>
      </c>
      <c r="O58" s="75" t="str">
        <f ca="1">'Emission Factors database'!Q62</f>
        <v>0</v>
      </c>
      <c r="P58" s="75" t="str">
        <f ca="1">'Emission Factors database'!R62</f>
        <v>0</v>
      </c>
      <c r="Q58" s="75" t="str">
        <f ca="1">'Emission Factors database'!S62</f>
        <v>0</v>
      </c>
      <c r="R58" s="75" t="str">
        <f ca="1">'Emission Factors database'!T62</f>
        <v>0</v>
      </c>
      <c r="S58" s="75" t="str">
        <f ca="1">'Emission Factors database'!U62</f>
        <v>0</v>
      </c>
      <c r="T58" s="75" t="str">
        <f ca="1">'Emission Factors database'!V62</f>
        <v>0</v>
      </c>
      <c r="U58" s="75" t="str">
        <f ca="1">'Emission Factors database'!W62</f>
        <v>1,000</v>
      </c>
      <c r="V58" s="75" t="str">
        <f ca="1">'Emission Factors database'!X62</f>
        <v>kg/tonne</v>
      </c>
      <c r="W58" s="75" t="str">
        <f ca="1">'Emission Factors database'!Z62</f>
        <v>No</v>
      </c>
    </row>
    <row r="59" spans="1:23" ht="24.9" customHeight="1" x14ac:dyDescent="0.25">
      <c r="A59" s="75" t="str">
        <f>'Emission Factors database'!B63</f>
        <v>Cement - cladding/roofing</v>
      </c>
      <c r="B59" s="75" t="str">
        <f>'Emission Factors database'!C63</f>
        <v>GRC cladding</v>
      </c>
      <c r="C59" s="75" t="str">
        <f ca="1">'Emission Factors database'!D63</f>
        <v xml:space="preserve">Glass reinforced concrete (GRC) or glass fibre reinforced concrete including all uses i.e. as cladding or as slab concrete </v>
      </c>
      <c r="D59" s="75" t="str">
        <f ca="1">'Emission Factors database'!F63</f>
        <v>tonne</v>
      </c>
      <c r="E59" s="75" t="str">
        <f ca="1">'Emission Factors database'!G63</f>
        <v>Tier 4</v>
      </c>
      <c r="F59" s="75">
        <f ca="1">'Emission Factors database'!H63</f>
        <v>1.2</v>
      </c>
      <c r="G59" s="75" t="str">
        <f ca="1">'Emission Factors database'!I63</f>
        <v>869</v>
      </c>
      <c r="H59" s="75" t="str">
        <f ca="1">'Emission Factors database'!J63</f>
        <v>724</v>
      </c>
      <c r="I59" s="75" t="str">
        <f ca="1">'Emission Factors database'!K63</f>
        <v>408</v>
      </c>
      <c r="J59" s="75" t="str">
        <f ca="1">'Emission Factors database'!L63</f>
        <v>544</v>
      </c>
      <c r="K59" s="75" t="str">
        <f ca="1">'Emission Factors database'!M63</f>
        <v>0.869</v>
      </c>
      <c r="L59" s="75" t="str">
        <f ca="1">'Emission Factors database'!N63</f>
        <v>0.724</v>
      </c>
      <c r="M59" s="75" t="str">
        <f ca="1">'Emission Factors database'!O63</f>
        <v>0.408</v>
      </c>
      <c r="N59" s="75" t="str">
        <f ca="1">'Emission Factors database'!P63</f>
        <v>0.544</v>
      </c>
      <c r="O59" s="75" t="str">
        <f ca="1">'Emission Factors database'!Q63</f>
        <v>0</v>
      </c>
      <c r="P59" s="75" t="str">
        <f ca="1">'Emission Factors database'!R63</f>
        <v>0</v>
      </c>
      <c r="Q59" s="75" t="str">
        <f ca="1">'Emission Factors database'!S63</f>
        <v>0</v>
      </c>
      <c r="R59" s="75" t="str">
        <f ca="1">'Emission Factors database'!T63</f>
        <v>0</v>
      </c>
      <c r="S59" s="75" t="str">
        <f ca="1">'Emission Factors database'!U63</f>
        <v>0</v>
      </c>
      <c r="T59" s="75" t="str">
        <f ca="1">'Emission Factors database'!V63</f>
        <v>0</v>
      </c>
      <c r="U59" s="75" t="str">
        <f ca="1">'Emission Factors database'!W63</f>
        <v>1,000</v>
      </c>
      <c r="V59" s="75" t="str">
        <f ca="1">'Emission Factors database'!X63</f>
        <v>kg/tonne</v>
      </c>
      <c r="W59" s="75" t="str">
        <f ca="1">'Emission Factors database'!Z63</f>
        <v>No</v>
      </c>
    </row>
    <row r="60" spans="1:23" ht="24.9" customHeight="1" x14ac:dyDescent="0.25">
      <c r="A60" s="75" t="str">
        <f>'Emission Factors database'!B64</f>
        <v>Cement - cladding/roofing</v>
      </c>
      <c r="B60" s="75" t="str">
        <f>'Emission Factors database'!C64</f>
        <v>Fibre cement board</v>
      </c>
      <c r="C60" s="75" t="str">
        <f ca="1">'Emission Factors database'!D64</f>
        <v>Board made from fibre cement including compressed sheet, flooring, cladding, lining and roofing boards. Thickness from 4 mm to 22 mm.</v>
      </c>
      <c r="D60" s="75" t="str">
        <f ca="1">'Emission Factors database'!F64</f>
        <v>m²</v>
      </c>
      <c r="E60" s="75" t="str">
        <f ca="1">'Emission Factors database'!G64</f>
        <v>Tier 2</v>
      </c>
      <c r="F60" s="75">
        <f ca="1">'Emission Factors database'!H64</f>
        <v>1.05</v>
      </c>
      <c r="G60" s="75" t="str">
        <f ca="1">'Emission Factors database'!I64</f>
        <v>48.2</v>
      </c>
      <c r="H60" s="75" t="str">
        <f ca="1">'Emission Factors database'!J64</f>
        <v>45.9</v>
      </c>
      <c r="I60" s="75" t="str">
        <f ca="1">'Emission Factors database'!K64</f>
        <v>3.51</v>
      </c>
      <c r="J60" s="75" t="str">
        <f ca="1">'Emission Factors database'!L64</f>
        <v>12.9</v>
      </c>
      <c r="K60" s="75" t="str">
        <f ca="1">'Emission Factors database'!M64</f>
        <v>1.39</v>
      </c>
      <c r="L60" s="75" t="str">
        <f ca="1">'Emission Factors database'!N64</f>
        <v>1.32</v>
      </c>
      <c r="M60" s="75" t="str">
        <f ca="1">'Emission Factors database'!O64</f>
        <v>0.307</v>
      </c>
      <c r="N60" s="75" t="str">
        <f ca="1">'Emission Factors database'!P64</f>
        <v>0.853</v>
      </c>
      <c r="O60" s="75" t="str">
        <f ca="1">'Emission Factors database'!Q64</f>
        <v>0.0473</v>
      </c>
      <c r="P60" s="75" t="str">
        <f ca="1">'Emission Factors database'!R64</f>
        <v>0.0450</v>
      </c>
      <c r="Q60" s="75" t="str">
        <f ca="1">'Emission Factors database'!S64</f>
        <v>0.0373</v>
      </c>
      <c r="R60" s="75" t="str">
        <f ca="1">'Emission Factors database'!T64</f>
        <v>0.00833</v>
      </c>
      <c r="S60" s="75" t="str">
        <f ca="1">'Emission Factors database'!U64</f>
        <v>0.00833</v>
      </c>
      <c r="T60" s="75" t="str">
        <f ca="1">'Emission Factors database'!V64</f>
        <v>0.00321</v>
      </c>
      <c r="U60" s="75" t="str">
        <f ca="1">'Emission Factors database'!W64</f>
        <v>15.1</v>
      </c>
      <c r="V60" s="75" t="str">
        <f ca="1">'Emission Factors database'!X64</f>
        <v>kg/m²</v>
      </c>
      <c r="W60" s="75" t="str">
        <f ca="1">'Emission Factors database'!Z64</f>
        <v>No</v>
      </c>
    </row>
    <row r="61" spans="1:23" ht="24.9" customHeight="1" x14ac:dyDescent="0.25">
      <c r="A61" s="75" t="str">
        <f>'Emission Factors database'!B65</f>
        <v>Cement - cladding/roofing</v>
      </c>
      <c r="B61" s="75" t="str">
        <f>'Emission Factors database'!C65</f>
        <v>Plasterboard</v>
      </c>
      <c r="C61" s="75" t="str">
        <f ca="1">'Emission Factors database'!D65</f>
        <v>Board made from plaster typically coated in paper. Thickness from 4 mm to 22 mm.</v>
      </c>
      <c r="D61" s="75" t="str">
        <f ca="1">'Emission Factors database'!F65</f>
        <v>m²</v>
      </c>
      <c r="E61" s="75" t="str">
        <f ca="1">'Emission Factors database'!G65</f>
        <v>Tier 4</v>
      </c>
      <c r="F61" s="75">
        <f ca="1">'Emission Factors database'!H65</f>
        <v>1.2</v>
      </c>
      <c r="G61" s="75" t="str">
        <f ca="1">'Emission Factors database'!I65</f>
        <v>8.15</v>
      </c>
      <c r="H61" s="75" t="str">
        <f ca="1">'Emission Factors database'!J65</f>
        <v>6.79</v>
      </c>
      <c r="I61" s="75" t="str">
        <f ca="1">'Emission Factors database'!K65</f>
        <v>1.49</v>
      </c>
      <c r="J61" s="75" t="str">
        <f ca="1">'Emission Factors database'!L65</f>
        <v>3.25</v>
      </c>
      <c r="K61" s="75" t="str">
        <f ca="1">'Emission Factors database'!M65</f>
        <v>0.473</v>
      </c>
      <c r="L61" s="75" t="str">
        <f ca="1">'Emission Factors database'!N65</f>
        <v>0.394</v>
      </c>
      <c r="M61" s="75" t="str">
        <f ca="1">'Emission Factors database'!O65</f>
        <v>0.175</v>
      </c>
      <c r="N61" s="75" t="str">
        <f ca="1">'Emission Factors database'!P65</f>
        <v>0.298</v>
      </c>
      <c r="O61" s="75" t="str">
        <f ca="1">'Emission Factors database'!Q65</f>
        <v>1.28</v>
      </c>
      <c r="P61" s="75" t="str">
        <f ca="1">'Emission Factors database'!R65</f>
        <v>1.07</v>
      </c>
      <c r="Q61" s="75" t="str">
        <f ca="1">'Emission Factors database'!S65</f>
        <v>0.597</v>
      </c>
      <c r="R61" s="75" t="str">
        <f ca="1">'Emission Factors database'!T65</f>
        <v>0.204</v>
      </c>
      <c r="S61" s="75" t="str">
        <f ca="1">'Emission Factors database'!U65</f>
        <v>0.204</v>
      </c>
      <c r="T61" s="75" t="str">
        <f ca="1">'Emission Factors database'!V65</f>
        <v>0.0608</v>
      </c>
      <c r="U61" s="75" t="str">
        <f ca="1">'Emission Factors database'!W65</f>
        <v>10.9</v>
      </c>
      <c r="V61" s="75" t="str">
        <f ca="1">'Emission Factors database'!X65</f>
        <v>kg/m²</v>
      </c>
      <c r="W61" s="75" t="str">
        <f ca="1">'Emission Factors database'!Z65</f>
        <v>No</v>
      </c>
    </row>
    <row r="62" spans="1:23" ht="24.9" customHeight="1" x14ac:dyDescent="0.25">
      <c r="A62" s="75" t="str">
        <f>'Emission Factors database'!B66</f>
        <v xml:space="preserve">Cladding - timber </v>
      </c>
      <c r="B62" s="75" t="str">
        <f>'Emission Factors database'!C66</f>
        <v>Timber weatherboards</v>
      </c>
      <c r="C62" s="75" t="str">
        <f ca="1">'Emission Factors database'!D66</f>
        <v>Based on softwood timber used for weatherboards includes finger jointed, thermally modified timber, treated, untreated, surfaced, and sawn products</v>
      </c>
      <c r="D62" s="75" t="str">
        <f ca="1">'Emission Factors database'!F66</f>
        <v>m³</v>
      </c>
      <c r="E62" s="75" t="str">
        <f ca="1">'Emission Factors database'!G66</f>
        <v>Tier 2</v>
      </c>
      <c r="F62" s="75">
        <f ca="1">'Emission Factors database'!H66</f>
        <v>1.05</v>
      </c>
      <c r="G62" s="75" t="str">
        <f ca="1">'Emission Factors database'!I66</f>
        <v>349</v>
      </c>
      <c r="H62" s="75" t="str">
        <f ca="1">'Emission Factors database'!J66</f>
        <v>332</v>
      </c>
      <c r="I62" s="75" t="str">
        <f ca="1">'Emission Factors database'!K66</f>
        <v>100</v>
      </c>
      <c r="J62" s="75" t="str">
        <f ca="1">'Emission Factors database'!L66</f>
        <v>195</v>
      </c>
      <c r="K62" s="75" t="str">
        <f ca="1">'Emission Factors database'!M66</f>
        <v>0.725</v>
      </c>
      <c r="L62" s="75" t="str">
        <f ca="1">'Emission Factors database'!N66</f>
        <v>0.690</v>
      </c>
      <c r="M62" s="75" t="str">
        <f ca="1">'Emission Factors database'!O66</f>
        <v>0.205</v>
      </c>
      <c r="N62" s="75" t="str">
        <f ca="1">'Emission Factors database'!P66</f>
        <v>0.381</v>
      </c>
      <c r="O62" s="75" t="str">
        <f ca="1">'Emission Factors database'!Q66</f>
        <v>933</v>
      </c>
      <c r="P62" s="75" t="str">
        <f ca="1">'Emission Factors database'!R66</f>
        <v>889</v>
      </c>
      <c r="Q62" s="75" t="str">
        <f ca="1">'Emission Factors database'!S66</f>
        <v>848</v>
      </c>
      <c r="R62" s="75" t="str">
        <f ca="1">'Emission Factors database'!T66</f>
        <v>1.61</v>
      </c>
      <c r="S62" s="75" t="str">
        <f ca="1">'Emission Factors database'!U66</f>
        <v>1.61</v>
      </c>
      <c r="T62" s="75" t="str">
        <f ca="1">'Emission Factors database'!V66</f>
        <v>1.63</v>
      </c>
      <c r="U62" s="75" t="str">
        <f ca="1">'Emission Factors database'!W66</f>
        <v>512</v>
      </c>
      <c r="V62" s="75" t="str">
        <f ca="1">'Emission Factors database'!X66</f>
        <v>kg/m³</v>
      </c>
      <c r="W62" s="75" t="str">
        <f ca="1">'Emission Factors database'!Z66</f>
        <v>Yes</v>
      </c>
    </row>
    <row r="63" spans="1:23" ht="24.9" customHeight="1" x14ac:dyDescent="0.25">
      <c r="A63" s="75" t="str">
        <f>'Emission Factors database'!B67</f>
        <v xml:space="preserve">Cladding - timber </v>
      </c>
      <c r="B63" s="75" t="str">
        <f>'Emission Factors database'!C67</f>
        <v>Plywood</v>
      </c>
      <c r="C63" s="75" t="str">
        <f ca="1">'Emission Factors database'!D67</f>
        <v xml:space="preserve">Plywood timber for bracing, structural (walling, flooring), formwork purposes. </v>
      </c>
      <c r="D63" s="75" t="str">
        <f ca="1">'Emission Factors database'!F67</f>
        <v>m³</v>
      </c>
      <c r="E63" s="75" t="str">
        <f ca="1">'Emission Factors database'!G67</f>
        <v>Tier 2</v>
      </c>
      <c r="F63" s="75">
        <f ca="1">'Emission Factors database'!H67</f>
        <v>1.05</v>
      </c>
      <c r="G63" s="75" t="str">
        <f ca="1">'Emission Factors database'!I67</f>
        <v>968</v>
      </c>
      <c r="H63" s="75" t="str">
        <f ca="1">'Emission Factors database'!J67</f>
        <v>922</v>
      </c>
      <c r="I63" s="75" t="str">
        <f ca="1">'Emission Factors database'!K67</f>
        <v>235</v>
      </c>
      <c r="J63" s="75" t="str">
        <f ca="1">'Emission Factors database'!L67</f>
        <v>498</v>
      </c>
      <c r="K63" s="75" t="str">
        <f ca="1">'Emission Factors database'!M67</f>
        <v>1.77</v>
      </c>
      <c r="L63" s="75" t="str">
        <f ca="1">'Emission Factors database'!N67</f>
        <v>1.69</v>
      </c>
      <c r="M63" s="75" t="str">
        <f ca="1">'Emission Factors database'!O67</f>
        <v>0.396</v>
      </c>
      <c r="N63" s="75" t="str">
        <f ca="1">'Emission Factors database'!P67</f>
        <v>0.978</v>
      </c>
      <c r="O63" s="75" t="str">
        <f ca="1">'Emission Factors database'!Q67</f>
        <v>967</v>
      </c>
      <c r="P63" s="75" t="str">
        <f ca="1">'Emission Factors database'!R67</f>
        <v>921</v>
      </c>
      <c r="Q63" s="75" t="str">
        <f ca="1">'Emission Factors database'!S67</f>
        <v>841</v>
      </c>
      <c r="R63" s="75" t="str">
        <f ca="1">'Emission Factors database'!T67</f>
        <v>1.69</v>
      </c>
      <c r="S63" s="75" t="str">
        <f ca="1">'Emission Factors database'!U67</f>
        <v>1.69</v>
      </c>
      <c r="T63" s="75" t="str">
        <f ca="1">'Emission Factors database'!V67</f>
        <v>1.64</v>
      </c>
      <c r="U63" s="75" t="str">
        <f ca="1">'Emission Factors database'!W67</f>
        <v>509</v>
      </c>
      <c r="V63" s="75" t="str">
        <f ca="1">'Emission Factors database'!X67</f>
        <v>kg/m³</v>
      </c>
      <c r="W63" s="75" t="str">
        <f ca="1">'Emission Factors database'!Z67</f>
        <v>Yes</v>
      </c>
    </row>
    <row r="64" spans="1:23" ht="24.9" customHeight="1" x14ac:dyDescent="0.25">
      <c r="A64" s="75" t="str">
        <f>'Emission Factors database'!B68</f>
        <v xml:space="preserve">Cladding - timber </v>
      </c>
      <c r="B64" s="75" t="str">
        <f>'Emission Factors database'!C68</f>
        <v>Particleboard</v>
      </c>
      <c r="C64" s="75" t="str">
        <f ca="1">'Emission Factors database'!D68</f>
        <v xml:space="preserve">Particleboard including walling and flooring applications </v>
      </c>
      <c r="D64" s="75" t="str">
        <f ca="1">'Emission Factors database'!F68</f>
        <v>m³</v>
      </c>
      <c r="E64" s="75" t="str">
        <f ca="1">'Emission Factors database'!G68</f>
        <v>Tier 2</v>
      </c>
      <c r="F64" s="75">
        <f ca="1">'Emission Factors database'!H68</f>
        <v>1.05</v>
      </c>
      <c r="G64" s="75" t="str">
        <f ca="1">'Emission Factors database'!I68</f>
        <v>880</v>
      </c>
      <c r="H64" s="75" t="str">
        <f ca="1">'Emission Factors database'!J68</f>
        <v>838</v>
      </c>
      <c r="I64" s="75" t="str">
        <f ca="1">'Emission Factors database'!K68</f>
        <v>322</v>
      </c>
      <c r="J64" s="75" t="str">
        <f ca="1">'Emission Factors database'!L68</f>
        <v>650</v>
      </c>
      <c r="K64" s="75" t="str">
        <f ca="1">'Emission Factors database'!M68</f>
        <v>1.23</v>
      </c>
      <c r="L64" s="75" t="str">
        <f ca="1">'Emission Factors database'!N68</f>
        <v>1.17</v>
      </c>
      <c r="M64" s="75" t="str">
        <f ca="1">'Emission Factors database'!O68</f>
        <v>0.488</v>
      </c>
      <c r="N64" s="75" t="str">
        <f ca="1">'Emission Factors database'!P68</f>
        <v>0.915</v>
      </c>
      <c r="O64" s="75" t="str">
        <f ca="1">'Emission Factors database'!Q68</f>
        <v>1,240</v>
      </c>
      <c r="P64" s="75" t="str">
        <f ca="1">'Emission Factors database'!R68</f>
        <v>1,180</v>
      </c>
      <c r="Q64" s="75" t="str">
        <f ca="1">'Emission Factors database'!S68</f>
        <v>1,140</v>
      </c>
      <c r="R64" s="75" t="str">
        <f ca="1">'Emission Factors database'!T68</f>
        <v>1.65</v>
      </c>
      <c r="S64" s="75" t="str">
        <f ca="1">'Emission Factors database'!U68</f>
        <v>1.65</v>
      </c>
      <c r="T64" s="75" t="str">
        <f ca="1">'Emission Factors database'!V68</f>
        <v>1.62</v>
      </c>
      <c r="U64" s="75" t="str">
        <f ca="1">'Emission Factors database'!W68</f>
        <v>711</v>
      </c>
      <c r="V64" s="75" t="str">
        <f ca="1">'Emission Factors database'!X68</f>
        <v>kg/m³</v>
      </c>
      <c r="W64" s="75" t="str">
        <f ca="1">'Emission Factors database'!Z68</f>
        <v>Yes</v>
      </c>
    </row>
    <row r="65" spans="1:23" ht="24.9" customHeight="1" x14ac:dyDescent="0.25">
      <c r="A65" s="75" t="str">
        <f>'Emission Factors database'!B69</f>
        <v>Roller doors</v>
      </c>
      <c r="B65" s="75" t="str">
        <f>'Emission Factors database'!C69</f>
        <v>Roller doors</v>
      </c>
      <c r="C65" s="75" t="str">
        <f ca="1">'Emission Factors database'!D69</f>
        <v>Roller door (i.e. sectional door or garage door) including all elements steel, electrical drives etc.</v>
      </c>
      <c r="D65" s="75" t="str">
        <f ca="1">'Emission Factors database'!F69</f>
        <v>m²</v>
      </c>
      <c r="E65" s="75" t="str">
        <f ca="1">'Emission Factors database'!G69</f>
        <v>Tier 4</v>
      </c>
      <c r="F65" s="75">
        <f ca="1">'Emission Factors database'!H69</f>
        <v>1.2</v>
      </c>
      <c r="G65" s="75" t="str">
        <f ca="1">'Emission Factors database'!I69</f>
        <v>132</v>
      </c>
      <c r="H65" s="75" t="str">
        <f ca="1">'Emission Factors database'!J69</f>
        <v>110</v>
      </c>
      <c r="I65" s="75" t="str">
        <f ca="1">'Emission Factors database'!K69</f>
        <v>96.7</v>
      </c>
      <c r="J65" s="75" t="str">
        <f ca="1">'Emission Factors database'!L69</f>
        <v>103</v>
      </c>
      <c r="K65" s="75" t="str">
        <f ca="1">'Emission Factors database'!M69</f>
        <v>5.67</v>
      </c>
      <c r="L65" s="75" t="str">
        <f ca="1">'Emission Factors database'!N69</f>
        <v>4.72</v>
      </c>
      <c r="M65" s="75" t="str">
        <f ca="1">'Emission Factors database'!O69</f>
        <v>3.26</v>
      </c>
      <c r="N65" s="75" t="str">
        <f ca="1">'Emission Factors database'!P69</f>
        <v>3.99</v>
      </c>
      <c r="O65" s="75" t="str">
        <f ca="1">'Emission Factors database'!Q69</f>
        <v>0</v>
      </c>
      <c r="P65" s="75" t="str">
        <f ca="1">'Emission Factors database'!R69</f>
        <v>0</v>
      </c>
      <c r="Q65" s="75" t="str">
        <f ca="1">'Emission Factors database'!S69</f>
        <v>0</v>
      </c>
      <c r="R65" s="75" t="str">
        <f ca="1">'Emission Factors database'!T69</f>
        <v>0</v>
      </c>
      <c r="S65" s="75" t="str">
        <f ca="1">'Emission Factors database'!U69</f>
        <v>0</v>
      </c>
      <c r="T65" s="75" t="str">
        <f ca="1">'Emission Factors database'!V69</f>
        <v>0</v>
      </c>
      <c r="U65" s="75" t="str">
        <f ca="1">'Emission Factors database'!W69</f>
        <v>25.9</v>
      </c>
      <c r="V65" s="75" t="str">
        <f ca="1">'Emission Factors database'!X69</f>
        <v>kg/m²</v>
      </c>
      <c r="W65" s="75" t="str">
        <f ca="1">'Emission Factors database'!Z69</f>
        <v>No</v>
      </c>
    </row>
    <row r="66" spans="1:23" ht="24.9" customHeight="1" x14ac:dyDescent="0.25">
      <c r="A66" s="75" t="str">
        <f>'Emission Factors database'!B70</f>
        <v>Stick-framed wall /ceiling system</v>
      </c>
      <c r="B66" s="75" t="str">
        <f>'Emission Factors database'!C70</f>
        <v>Stick wall - Aluminium frame</v>
      </c>
      <c r="C66" s="75" t="str">
        <f ca="1">'Emission Factors database'!D70</f>
        <v xml:space="preserve">Extruded aluminium for use in construction. </v>
      </c>
      <c r="D66" s="75" t="str">
        <f ca="1">'Emission Factors database'!F70</f>
        <v>tonne</v>
      </c>
      <c r="E66" s="75" t="str">
        <f ca="1">'Emission Factors database'!G70</f>
        <v>Tier 2</v>
      </c>
      <c r="F66" s="75">
        <f ca="1">'Emission Factors database'!H70</f>
        <v>1.05</v>
      </c>
      <c r="G66" s="75" t="str">
        <f ca="1">'Emission Factors database'!I70</f>
        <v>30,200</v>
      </c>
      <c r="H66" s="75" t="str">
        <f ca="1">'Emission Factors database'!J70</f>
        <v>28,800</v>
      </c>
      <c r="I66" s="75" t="str">
        <f ca="1">'Emission Factors database'!K70</f>
        <v>3,490</v>
      </c>
      <c r="J66" s="75" t="str">
        <f ca="1">'Emission Factors database'!L70</f>
        <v>17,400</v>
      </c>
      <c r="K66" s="75" t="str">
        <f ca="1">'Emission Factors database'!M70</f>
        <v>30.2</v>
      </c>
      <c r="L66" s="75" t="str">
        <f ca="1">'Emission Factors database'!N70</f>
        <v>28.8</v>
      </c>
      <c r="M66" s="75" t="str">
        <f ca="1">'Emission Factors database'!O70</f>
        <v>3.49</v>
      </c>
      <c r="N66" s="75" t="str">
        <f ca="1">'Emission Factors database'!P70</f>
        <v>17.4</v>
      </c>
      <c r="O66" s="75" t="str">
        <f ca="1">'Emission Factors database'!Q70</f>
        <v>0</v>
      </c>
      <c r="P66" s="75" t="str">
        <f ca="1">'Emission Factors database'!R70</f>
        <v>0</v>
      </c>
      <c r="Q66" s="75" t="str">
        <f ca="1">'Emission Factors database'!S70</f>
        <v>0</v>
      </c>
      <c r="R66" s="75" t="str">
        <f ca="1">'Emission Factors database'!T70</f>
        <v>0</v>
      </c>
      <c r="S66" s="75" t="str">
        <f ca="1">'Emission Factors database'!U70</f>
        <v>0</v>
      </c>
      <c r="T66" s="75" t="str">
        <f ca="1">'Emission Factors database'!V70</f>
        <v>0</v>
      </c>
      <c r="U66" s="75" t="str">
        <f ca="1">'Emission Factors database'!W70</f>
        <v>1,000</v>
      </c>
      <c r="V66" s="75" t="str">
        <f ca="1">'Emission Factors database'!X70</f>
        <v>kg/tonne</v>
      </c>
      <c r="W66" s="75" t="str">
        <f ca="1">'Emission Factors database'!Z70</f>
        <v>Yes</v>
      </c>
    </row>
    <row r="67" spans="1:23" ht="24.9" customHeight="1" x14ac:dyDescent="0.25">
      <c r="A67" s="75" t="str">
        <f>'Emission Factors database'!B71</f>
        <v>Stick-framed wall /ceiling system</v>
      </c>
      <c r="B67" s="75" t="str">
        <f>'Emission Factors database'!C71</f>
        <v>Stick wall - Steel frame</v>
      </c>
      <c r="C67" s="75" t="str">
        <f ca="1">'Emission Factors database'!D71</f>
        <v>Steel (upainted, not galvanized) used for structural purposes that has undergone cold-rolled steel production route. Including purlins, girts, stick frames, wall framing, merchant bar.</v>
      </c>
      <c r="D67" s="75" t="str">
        <f ca="1">'Emission Factors database'!F71</f>
        <v>tonne</v>
      </c>
      <c r="E67" s="75" t="str">
        <f ca="1">'Emission Factors database'!G71</f>
        <v>Tier 2</v>
      </c>
      <c r="F67" s="75">
        <f ca="1">'Emission Factors database'!H71</f>
        <v>1.05</v>
      </c>
      <c r="G67" s="75" t="str">
        <f ca="1">'Emission Factors database'!I71</f>
        <v>4,050</v>
      </c>
      <c r="H67" s="75" t="str">
        <f ca="1">'Emission Factors database'!J71</f>
        <v>3,860</v>
      </c>
      <c r="I67" s="75" t="str">
        <f ca="1">'Emission Factors database'!K71</f>
        <v>1,240</v>
      </c>
      <c r="J67" s="75" t="str">
        <f ca="1">'Emission Factors database'!L71</f>
        <v>2,430</v>
      </c>
      <c r="K67" s="75" t="str">
        <f ca="1">'Emission Factors database'!M71</f>
        <v>4.05</v>
      </c>
      <c r="L67" s="75" t="str">
        <f ca="1">'Emission Factors database'!N71</f>
        <v>3.86</v>
      </c>
      <c r="M67" s="75" t="str">
        <f ca="1">'Emission Factors database'!O71</f>
        <v>1.24</v>
      </c>
      <c r="N67" s="75" t="str">
        <f ca="1">'Emission Factors database'!P71</f>
        <v>2.43</v>
      </c>
      <c r="O67" s="75" t="str">
        <f ca="1">'Emission Factors database'!Q71</f>
        <v>0</v>
      </c>
      <c r="P67" s="75" t="str">
        <f ca="1">'Emission Factors database'!R71</f>
        <v>0</v>
      </c>
      <c r="Q67" s="75" t="str">
        <f ca="1">'Emission Factors database'!S71</f>
        <v>0</v>
      </c>
      <c r="R67" s="75" t="str">
        <f ca="1">'Emission Factors database'!T71</f>
        <v>0</v>
      </c>
      <c r="S67" s="75" t="str">
        <f ca="1">'Emission Factors database'!U71</f>
        <v>0</v>
      </c>
      <c r="T67" s="75" t="str">
        <f ca="1">'Emission Factors database'!V71</f>
        <v>0</v>
      </c>
      <c r="U67" s="75" t="str">
        <f ca="1">'Emission Factors database'!W71</f>
        <v>1,000</v>
      </c>
      <c r="V67" s="75" t="str">
        <f ca="1">'Emission Factors database'!X71</f>
        <v>kg/tonne</v>
      </c>
      <c r="W67" s="75" t="str">
        <f ca="1">'Emission Factors database'!Z71</f>
        <v>Yes</v>
      </c>
    </row>
    <row r="68" spans="1:23" ht="24.9" customHeight="1" x14ac:dyDescent="0.25">
      <c r="A68" s="75" t="str">
        <f>'Emission Factors database'!B72</f>
        <v>Wall louvre system</v>
      </c>
      <c r="B68" s="75" t="str">
        <f>'Emission Factors database'!C72</f>
        <v xml:space="preserve">Aluminium louvre </v>
      </c>
      <c r="C68" s="75" t="str">
        <f ca="1">'Emission Factors database'!D72</f>
        <v>Extruded aluminium (powder coated) for use in construction</v>
      </c>
      <c r="D68" s="75" t="str">
        <f ca="1">'Emission Factors database'!F72</f>
        <v>tonne</v>
      </c>
      <c r="E68" s="75" t="str">
        <f ca="1">'Emission Factors database'!G72</f>
        <v>Tier 2</v>
      </c>
      <c r="F68" s="75">
        <f ca="1">'Emission Factors database'!H72</f>
        <v>1.05</v>
      </c>
      <c r="G68" s="75" t="str">
        <f ca="1">'Emission Factors database'!I72</f>
        <v>32,000</v>
      </c>
      <c r="H68" s="75" t="str">
        <f ca="1">'Emission Factors database'!J72</f>
        <v>30,500</v>
      </c>
      <c r="I68" s="75" t="str">
        <f ca="1">'Emission Factors database'!K72</f>
        <v>5,150</v>
      </c>
      <c r="J68" s="75" t="str">
        <f ca="1">'Emission Factors database'!L72</f>
        <v>18,200</v>
      </c>
      <c r="K68" s="75" t="str">
        <f ca="1">'Emission Factors database'!M72</f>
        <v>32.0</v>
      </c>
      <c r="L68" s="75" t="str">
        <f ca="1">'Emission Factors database'!N72</f>
        <v>30.5</v>
      </c>
      <c r="M68" s="75" t="str">
        <f ca="1">'Emission Factors database'!O72</f>
        <v>5.15</v>
      </c>
      <c r="N68" s="75" t="str">
        <f ca="1">'Emission Factors database'!P72</f>
        <v>18.2</v>
      </c>
      <c r="O68" s="75" t="str">
        <f ca="1">'Emission Factors database'!Q72</f>
        <v>0</v>
      </c>
      <c r="P68" s="75" t="str">
        <f ca="1">'Emission Factors database'!R72</f>
        <v>0</v>
      </c>
      <c r="Q68" s="75" t="str">
        <f ca="1">'Emission Factors database'!S72</f>
        <v>0</v>
      </c>
      <c r="R68" s="75" t="str">
        <f ca="1">'Emission Factors database'!T72</f>
        <v>0</v>
      </c>
      <c r="S68" s="75" t="str">
        <f ca="1">'Emission Factors database'!U72</f>
        <v>0</v>
      </c>
      <c r="T68" s="75" t="str">
        <f ca="1">'Emission Factors database'!V72</f>
        <v>0</v>
      </c>
      <c r="U68" s="75" t="str">
        <f ca="1">'Emission Factors database'!W72</f>
        <v>1,000</v>
      </c>
      <c r="V68" s="75" t="str">
        <f ca="1">'Emission Factors database'!X72</f>
        <v>kg/tonne</v>
      </c>
      <c r="W68" s="75" t="str">
        <f ca="1">'Emission Factors database'!Z72</f>
        <v>Yes</v>
      </c>
    </row>
    <row r="69" spans="1:23" ht="24.9" customHeight="1" x14ac:dyDescent="0.25">
      <c r="A69" s="75" t="str">
        <f>'Emission Factors database'!B73</f>
        <v>External shading system</v>
      </c>
      <c r="B69" s="75" t="str">
        <f>'Emission Factors database'!C73</f>
        <v>Aluminium frame shading system</v>
      </c>
      <c r="C69" s="75" t="str">
        <f ca="1">'Emission Factors database'!D73</f>
        <v>Extruded aluminium (powder coated) for use in construction</v>
      </c>
      <c r="D69" s="75" t="str">
        <f ca="1">'Emission Factors database'!F73</f>
        <v>tonne</v>
      </c>
      <c r="E69" s="75" t="str">
        <f ca="1">'Emission Factors database'!G73</f>
        <v>Tier 2</v>
      </c>
      <c r="F69" s="75">
        <f ca="1">'Emission Factors database'!H73</f>
        <v>1.05</v>
      </c>
      <c r="G69" s="75" t="str">
        <f ca="1">'Emission Factors database'!I73</f>
        <v>32,000</v>
      </c>
      <c r="H69" s="75" t="str">
        <f ca="1">'Emission Factors database'!J73</f>
        <v>30,500</v>
      </c>
      <c r="I69" s="75" t="str">
        <f ca="1">'Emission Factors database'!K73</f>
        <v>5,150</v>
      </c>
      <c r="J69" s="75" t="str">
        <f ca="1">'Emission Factors database'!L73</f>
        <v>18,200</v>
      </c>
      <c r="K69" s="75" t="str">
        <f ca="1">'Emission Factors database'!M73</f>
        <v>32.0</v>
      </c>
      <c r="L69" s="75" t="str">
        <f ca="1">'Emission Factors database'!N73</f>
        <v>30.5</v>
      </c>
      <c r="M69" s="75" t="str">
        <f ca="1">'Emission Factors database'!O73</f>
        <v>5.15</v>
      </c>
      <c r="N69" s="75" t="str">
        <f ca="1">'Emission Factors database'!P73</f>
        <v>18.2</v>
      </c>
      <c r="O69" s="75" t="str">
        <f ca="1">'Emission Factors database'!Q73</f>
        <v>0</v>
      </c>
      <c r="P69" s="75" t="str">
        <f ca="1">'Emission Factors database'!R73</f>
        <v>0</v>
      </c>
      <c r="Q69" s="75" t="str">
        <f ca="1">'Emission Factors database'!S73</f>
        <v>0</v>
      </c>
      <c r="R69" s="75" t="str">
        <f ca="1">'Emission Factors database'!T73</f>
        <v>0</v>
      </c>
      <c r="S69" s="75" t="str">
        <f ca="1">'Emission Factors database'!U73</f>
        <v>0</v>
      </c>
      <c r="T69" s="75" t="str">
        <f ca="1">'Emission Factors database'!V73</f>
        <v>0</v>
      </c>
      <c r="U69" s="75" t="str">
        <f ca="1">'Emission Factors database'!W73</f>
        <v>1,000</v>
      </c>
      <c r="V69" s="75" t="str">
        <f ca="1">'Emission Factors database'!X73</f>
        <v>kg/tonne</v>
      </c>
      <c r="W69" s="75" t="str">
        <f ca="1">'Emission Factors database'!Z73</f>
        <v>Yes</v>
      </c>
    </row>
    <row r="70" spans="1:23" ht="24.9" customHeight="1" x14ac:dyDescent="0.25">
      <c r="A70" s="75" t="str">
        <f>'Emission Factors database'!B74</f>
        <v>External shading system</v>
      </c>
      <c r="B70" s="75" t="str">
        <f>'Emission Factors database'!C74</f>
        <v>Steel frame shading system</v>
      </c>
      <c r="C70" s="75" t="str">
        <f ca="1">'Emission Factors database'!D74</f>
        <v>Steel (Painted) used for structural purposes that has undergone cold-rolled steel production route. Including purlins, girts, stick frames, wall framing, merchant bar.</v>
      </c>
      <c r="D70" s="75" t="str">
        <f ca="1">'Emission Factors database'!F74</f>
        <v>tonne</v>
      </c>
      <c r="E70" s="75" t="str">
        <f ca="1">'Emission Factors database'!G74</f>
        <v>Tier 2</v>
      </c>
      <c r="F70" s="75">
        <f ca="1">'Emission Factors database'!H74</f>
        <v>1.05</v>
      </c>
      <c r="G70" s="75" t="str">
        <f ca="1">'Emission Factors database'!I74</f>
        <v>4,510</v>
      </c>
      <c r="H70" s="75" t="str">
        <f ca="1">'Emission Factors database'!J74</f>
        <v>4,290</v>
      </c>
      <c r="I70" s="75" t="str">
        <f ca="1">'Emission Factors database'!K74</f>
        <v>1,240</v>
      </c>
      <c r="J70" s="75" t="str">
        <f ca="1">'Emission Factors database'!L74</f>
        <v>2,710</v>
      </c>
      <c r="K70" s="75" t="str">
        <f ca="1">'Emission Factors database'!M74</f>
        <v>4.51</v>
      </c>
      <c r="L70" s="75" t="str">
        <f ca="1">'Emission Factors database'!N74</f>
        <v>4.29</v>
      </c>
      <c r="M70" s="75" t="str">
        <f ca="1">'Emission Factors database'!O74</f>
        <v>1.24</v>
      </c>
      <c r="N70" s="75" t="str">
        <f ca="1">'Emission Factors database'!P74</f>
        <v>2.71</v>
      </c>
      <c r="O70" s="75" t="str">
        <f ca="1">'Emission Factors database'!Q74</f>
        <v>0</v>
      </c>
      <c r="P70" s="75" t="str">
        <f ca="1">'Emission Factors database'!R74</f>
        <v>0</v>
      </c>
      <c r="Q70" s="75" t="str">
        <f ca="1">'Emission Factors database'!S74</f>
        <v>0</v>
      </c>
      <c r="R70" s="75" t="str">
        <f ca="1">'Emission Factors database'!T74</f>
        <v>0</v>
      </c>
      <c r="S70" s="75" t="str">
        <f ca="1">'Emission Factors database'!U74</f>
        <v>0</v>
      </c>
      <c r="T70" s="75" t="str">
        <f ca="1">'Emission Factors database'!V74</f>
        <v>0</v>
      </c>
      <c r="U70" s="75" t="str">
        <f ca="1">'Emission Factors database'!W74</f>
        <v>1,000</v>
      </c>
      <c r="V70" s="75" t="str">
        <f ca="1">'Emission Factors database'!X74</f>
        <v>kg/tonne</v>
      </c>
      <c r="W70" s="75" t="str">
        <f ca="1">'Emission Factors database'!Z74</f>
        <v>Yes</v>
      </c>
    </row>
    <row r="71" spans="1:23" ht="24.9" customHeight="1" x14ac:dyDescent="0.25">
      <c r="A71" s="75" t="str">
        <f>'Emission Factors database'!B75</f>
        <v>Interior wall (permanent)</v>
      </c>
      <c r="B71" s="75" t="str">
        <f>'Emission Factors database'!C75</f>
        <v>Steel (light framing)</v>
      </c>
      <c r="C71" s="75" t="str">
        <f ca="1">'Emission Factors database'!D75</f>
        <v>Steel (upainted, not galvanized) used for structural purposes that has undergone cold-rolled steel production route. Including purlins, girts, stick frames, wall framing, merchant bar.</v>
      </c>
      <c r="D71" s="75" t="str">
        <f ca="1">'Emission Factors database'!F75</f>
        <v>tonne</v>
      </c>
      <c r="E71" s="75" t="str">
        <f ca="1">'Emission Factors database'!G75</f>
        <v>Tier 2</v>
      </c>
      <c r="F71" s="75">
        <f ca="1">'Emission Factors database'!H75</f>
        <v>1.05</v>
      </c>
      <c r="G71" s="75" t="str">
        <f ca="1">'Emission Factors database'!I75</f>
        <v>4,050</v>
      </c>
      <c r="H71" s="75" t="str">
        <f ca="1">'Emission Factors database'!J75</f>
        <v>3,860</v>
      </c>
      <c r="I71" s="75" t="str">
        <f ca="1">'Emission Factors database'!K75</f>
        <v>1,240</v>
      </c>
      <c r="J71" s="75" t="str">
        <f ca="1">'Emission Factors database'!L75</f>
        <v>2,430</v>
      </c>
      <c r="K71" s="75" t="str">
        <f ca="1">'Emission Factors database'!M75</f>
        <v>4.05</v>
      </c>
      <c r="L71" s="75" t="str">
        <f ca="1">'Emission Factors database'!N75</f>
        <v>3.86</v>
      </c>
      <c r="M71" s="75" t="str">
        <f ca="1">'Emission Factors database'!O75</f>
        <v>1.24</v>
      </c>
      <c r="N71" s="75" t="str">
        <f ca="1">'Emission Factors database'!P75</f>
        <v>2.43</v>
      </c>
      <c r="O71" s="75" t="str">
        <f ca="1">'Emission Factors database'!Q75</f>
        <v>0</v>
      </c>
      <c r="P71" s="75" t="str">
        <f ca="1">'Emission Factors database'!R75</f>
        <v>0</v>
      </c>
      <c r="Q71" s="75" t="str">
        <f ca="1">'Emission Factors database'!S75</f>
        <v>0</v>
      </c>
      <c r="R71" s="75" t="str">
        <f ca="1">'Emission Factors database'!T75</f>
        <v>0</v>
      </c>
      <c r="S71" s="75" t="str">
        <f ca="1">'Emission Factors database'!U75</f>
        <v>0</v>
      </c>
      <c r="T71" s="75" t="str">
        <f ca="1">'Emission Factors database'!V75</f>
        <v>0</v>
      </c>
      <c r="U71" s="75" t="str">
        <f ca="1">'Emission Factors database'!W75</f>
        <v>1,000</v>
      </c>
      <c r="V71" s="75" t="str">
        <f ca="1">'Emission Factors database'!X75</f>
        <v>kg/tonne</v>
      </c>
      <c r="W71" s="75" t="str">
        <f ca="1">'Emission Factors database'!Z75</f>
        <v>Yes</v>
      </c>
    </row>
    <row r="72" spans="1:23" ht="24.9" customHeight="1" x14ac:dyDescent="0.25">
      <c r="A72" s="75" t="str">
        <f>'Emission Factors database'!B76</f>
        <v>Interior wall (permanent)</v>
      </c>
      <c r="B72" s="75" t="str">
        <f>'Emission Factors database'!C76</f>
        <v>Steel (light framing) - painted</v>
      </c>
      <c r="C72" s="75" t="str">
        <f ca="1">'Emission Factors database'!D76</f>
        <v>Steel (Painted) used for structural purposes that has undergone cold-rolled steel production route. Including purlins, girts, stick frames, wall framing, merchant bar.</v>
      </c>
      <c r="D72" s="75" t="str">
        <f ca="1">'Emission Factors database'!F76</f>
        <v>tonne</v>
      </c>
      <c r="E72" s="75" t="str">
        <f ca="1">'Emission Factors database'!G76</f>
        <v>Tier 2</v>
      </c>
      <c r="F72" s="75">
        <f ca="1">'Emission Factors database'!H76</f>
        <v>1.05</v>
      </c>
      <c r="G72" s="75" t="str">
        <f ca="1">'Emission Factors database'!I76</f>
        <v>4,510</v>
      </c>
      <c r="H72" s="75" t="str">
        <f ca="1">'Emission Factors database'!J76</f>
        <v>4,290</v>
      </c>
      <c r="I72" s="75" t="str">
        <f ca="1">'Emission Factors database'!K76</f>
        <v>1,240</v>
      </c>
      <c r="J72" s="75" t="str">
        <f ca="1">'Emission Factors database'!L76</f>
        <v>2,710</v>
      </c>
      <c r="K72" s="75" t="str">
        <f ca="1">'Emission Factors database'!M76</f>
        <v>4.51</v>
      </c>
      <c r="L72" s="75" t="str">
        <f ca="1">'Emission Factors database'!N76</f>
        <v>4.29</v>
      </c>
      <c r="M72" s="75" t="str">
        <f ca="1">'Emission Factors database'!O76</f>
        <v>1.24</v>
      </c>
      <c r="N72" s="75" t="str">
        <f ca="1">'Emission Factors database'!P76</f>
        <v>2.71</v>
      </c>
      <c r="O72" s="75" t="str">
        <f ca="1">'Emission Factors database'!Q76</f>
        <v>0</v>
      </c>
      <c r="P72" s="75" t="str">
        <f ca="1">'Emission Factors database'!R76</f>
        <v>0</v>
      </c>
      <c r="Q72" s="75" t="str">
        <f ca="1">'Emission Factors database'!S76</f>
        <v>0</v>
      </c>
      <c r="R72" s="75" t="str">
        <f ca="1">'Emission Factors database'!T76</f>
        <v>0</v>
      </c>
      <c r="S72" s="75" t="str">
        <f ca="1">'Emission Factors database'!U76</f>
        <v>0</v>
      </c>
      <c r="T72" s="75" t="str">
        <f ca="1">'Emission Factors database'!V76</f>
        <v>0</v>
      </c>
      <c r="U72" s="75" t="str">
        <f ca="1">'Emission Factors database'!W76</f>
        <v>1,000</v>
      </c>
      <c r="V72" s="75" t="str">
        <f ca="1">'Emission Factors database'!X76</f>
        <v>kg/tonne</v>
      </c>
      <c r="W72" s="75" t="str">
        <f ca="1">'Emission Factors database'!Z76</f>
        <v>Yes</v>
      </c>
    </row>
    <row r="73" spans="1:23" ht="24.9" customHeight="1" x14ac:dyDescent="0.25">
      <c r="A73" s="75" t="str">
        <f>'Emission Factors database'!B77</f>
        <v>Interior wall (permanent)</v>
      </c>
      <c r="B73" s="75" t="str">
        <f>'Emission Factors database'!C77</f>
        <v>Steel (light framing) - galvanised</v>
      </c>
      <c r="C73" s="75" t="str">
        <f ca="1">'Emission Factors database'!D77</f>
        <v>Steel (Galvanized) used for structural purposes that has undergone cold-rolled steel production route. Including purlins, girts, stick frames, wall framing, merchant bar.</v>
      </c>
      <c r="D73" s="75" t="str">
        <f ca="1">'Emission Factors database'!F77</f>
        <v>tonne</v>
      </c>
      <c r="E73" s="75" t="str">
        <f ca="1">'Emission Factors database'!G77</f>
        <v>Tier 2</v>
      </c>
      <c r="F73" s="75">
        <f ca="1">'Emission Factors database'!H77</f>
        <v>1.05</v>
      </c>
      <c r="G73" s="75" t="str">
        <f ca="1">'Emission Factors database'!I77</f>
        <v>4,240</v>
      </c>
      <c r="H73" s="75" t="str">
        <f ca="1">'Emission Factors database'!J77</f>
        <v>4,040</v>
      </c>
      <c r="I73" s="75" t="str">
        <f ca="1">'Emission Factors database'!K77</f>
        <v>1,240</v>
      </c>
      <c r="J73" s="75" t="str">
        <f ca="1">'Emission Factors database'!L77</f>
        <v>2,550</v>
      </c>
      <c r="K73" s="75" t="str">
        <f ca="1">'Emission Factors database'!M77</f>
        <v>4.24</v>
      </c>
      <c r="L73" s="75" t="str">
        <f ca="1">'Emission Factors database'!N77</f>
        <v>4.04</v>
      </c>
      <c r="M73" s="75" t="str">
        <f ca="1">'Emission Factors database'!O77</f>
        <v>1.24</v>
      </c>
      <c r="N73" s="75" t="str">
        <f ca="1">'Emission Factors database'!P77</f>
        <v>2.55</v>
      </c>
      <c r="O73" s="75" t="str">
        <f ca="1">'Emission Factors database'!Q77</f>
        <v>0</v>
      </c>
      <c r="P73" s="75" t="str">
        <f ca="1">'Emission Factors database'!R77</f>
        <v>0</v>
      </c>
      <c r="Q73" s="75" t="str">
        <f ca="1">'Emission Factors database'!S77</f>
        <v>0</v>
      </c>
      <c r="R73" s="75" t="str">
        <f ca="1">'Emission Factors database'!T77</f>
        <v>0</v>
      </c>
      <c r="S73" s="75" t="str">
        <f ca="1">'Emission Factors database'!U77</f>
        <v>0</v>
      </c>
      <c r="T73" s="75" t="str">
        <f ca="1">'Emission Factors database'!V77</f>
        <v>0</v>
      </c>
      <c r="U73" s="75" t="str">
        <f ca="1">'Emission Factors database'!W77</f>
        <v>1,000</v>
      </c>
      <c r="V73" s="75" t="str">
        <f ca="1">'Emission Factors database'!X77</f>
        <v>kg/tonne</v>
      </c>
      <c r="W73" s="75" t="str">
        <f ca="1">'Emission Factors database'!Z77</f>
        <v>Yes</v>
      </c>
    </row>
    <row r="74" spans="1:23" ht="24.9" customHeight="1" x14ac:dyDescent="0.25">
      <c r="A74" s="75" t="str">
        <f>'Emission Factors database'!B78</f>
        <v>Interior wall (permanent)</v>
      </c>
      <c r="B74" s="75" t="str">
        <f>'Emission Factors database'!C78</f>
        <v>Timber framing</v>
      </c>
      <c r="C74" s="75" t="str">
        <f ca="1">'Emission Factors database'!D78</f>
        <v>Softwood timber most common species raidata pine,and includes treated, untreated, surfaced, and sawn products</v>
      </c>
      <c r="D74" s="75" t="str">
        <f ca="1">'Emission Factors database'!F78</f>
        <v>m³</v>
      </c>
      <c r="E74" s="75" t="str">
        <f ca="1">'Emission Factors database'!G78</f>
        <v>Tier 2</v>
      </c>
      <c r="F74" s="75">
        <f ca="1">'Emission Factors database'!H78</f>
        <v>1.05</v>
      </c>
      <c r="G74" s="75" t="str">
        <f ca="1">'Emission Factors database'!I78</f>
        <v>349</v>
      </c>
      <c r="H74" s="75" t="str">
        <f ca="1">'Emission Factors database'!J78</f>
        <v>332</v>
      </c>
      <c r="I74" s="75" t="str">
        <f ca="1">'Emission Factors database'!K78</f>
        <v>113</v>
      </c>
      <c r="J74" s="75" t="str">
        <f ca="1">'Emission Factors database'!L78</f>
        <v>188</v>
      </c>
      <c r="K74" s="75" t="str">
        <f ca="1">'Emission Factors database'!M78</f>
        <v>0.633</v>
      </c>
      <c r="L74" s="75" t="str">
        <f ca="1">'Emission Factors database'!N78</f>
        <v>0.603</v>
      </c>
      <c r="M74" s="75" t="str">
        <f ca="1">'Emission Factors database'!O78</f>
        <v>0.205</v>
      </c>
      <c r="N74" s="75" t="str">
        <f ca="1">'Emission Factors database'!P78</f>
        <v>0.366</v>
      </c>
      <c r="O74" s="75" t="str">
        <f ca="1">'Emission Factors database'!Q78</f>
        <v>933</v>
      </c>
      <c r="P74" s="75" t="str">
        <f ca="1">'Emission Factors database'!R78</f>
        <v>889</v>
      </c>
      <c r="Q74" s="75" t="str">
        <f ca="1">'Emission Factors database'!S78</f>
        <v>857</v>
      </c>
      <c r="R74" s="75" t="str">
        <f ca="1">'Emission Factors database'!T78</f>
        <v>1.61</v>
      </c>
      <c r="S74" s="75" t="str">
        <f ca="1">'Emission Factors database'!U78</f>
        <v>1.61</v>
      </c>
      <c r="T74" s="75" t="str">
        <f ca="1">'Emission Factors database'!V78</f>
        <v>1.64</v>
      </c>
      <c r="U74" s="75" t="str">
        <f ca="1">'Emission Factors database'!W78</f>
        <v>514</v>
      </c>
      <c r="V74" s="75" t="str">
        <f ca="1">'Emission Factors database'!X78</f>
        <v>kg/m³</v>
      </c>
      <c r="W74" s="75" t="str">
        <f ca="1">'Emission Factors database'!Z78</f>
        <v>Yes</v>
      </c>
    </row>
    <row r="75" spans="1:23" ht="24.9" customHeight="1" x14ac:dyDescent="0.25">
      <c r="A75" s="75" t="str">
        <f>'Emission Factors database'!B79</f>
        <v>Interior wall (permanent)</v>
      </c>
      <c r="B75" s="75" t="str">
        <f>'Emission Factors database'!C79</f>
        <v>AAC panel (reinforced)</v>
      </c>
      <c r="C75" s="75" t="str">
        <f ca="1">'Emission Factors database'!D79</f>
        <v>Autoclaved Aerated Concrete (AAC) blocks/bricks</v>
      </c>
      <c r="D75" s="75" t="str">
        <f ca="1">'Emission Factors database'!F79</f>
        <v>m³</v>
      </c>
      <c r="E75" s="75" t="str">
        <f ca="1">'Emission Factors database'!G79</f>
        <v>Tier 4</v>
      </c>
      <c r="F75" s="75">
        <f ca="1">'Emission Factors database'!H79</f>
        <v>1.2</v>
      </c>
      <c r="G75" s="75" t="str">
        <f ca="1">'Emission Factors database'!I79</f>
        <v>278</v>
      </c>
      <c r="H75" s="75" t="str">
        <f ca="1">'Emission Factors database'!J79</f>
        <v>232</v>
      </c>
      <c r="I75" s="75" t="str">
        <f ca="1">'Emission Factors database'!K79</f>
        <v>150</v>
      </c>
      <c r="J75" s="75" t="str">
        <f ca="1">'Emission Factors database'!L79</f>
        <v>190</v>
      </c>
      <c r="K75" s="75" t="str">
        <f ca="1">'Emission Factors database'!M79</f>
        <v>0.724</v>
      </c>
      <c r="L75" s="75" t="str">
        <f ca="1">'Emission Factors database'!N79</f>
        <v>0.603</v>
      </c>
      <c r="M75" s="75" t="str">
        <f ca="1">'Emission Factors database'!O79</f>
        <v>0.334</v>
      </c>
      <c r="N75" s="75" t="str">
        <f ca="1">'Emission Factors database'!P79</f>
        <v>0.437</v>
      </c>
      <c r="O75" s="75" t="str">
        <f ca="1">'Emission Factors database'!Q79</f>
        <v>0</v>
      </c>
      <c r="P75" s="75" t="str">
        <f ca="1">'Emission Factors database'!R79</f>
        <v>0</v>
      </c>
      <c r="Q75" s="75" t="str">
        <f ca="1">'Emission Factors database'!S79</f>
        <v>0</v>
      </c>
      <c r="R75" s="75" t="str">
        <f ca="1">'Emission Factors database'!T79</f>
        <v>0</v>
      </c>
      <c r="S75" s="75" t="str">
        <f ca="1">'Emission Factors database'!U79</f>
        <v>0</v>
      </c>
      <c r="T75" s="75" t="str">
        <f ca="1">'Emission Factors database'!V79</f>
        <v>0</v>
      </c>
      <c r="U75" s="75" t="str">
        <f ca="1">'Emission Factors database'!W79</f>
        <v>435</v>
      </c>
      <c r="V75" s="75" t="str">
        <f ca="1">'Emission Factors database'!X79</f>
        <v>kg/m³</v>
      </c>
      <c r="W75" s="75" t="str">
        <f ca="1">'Emission Factors database'!Z79</f>
        <v>No</v>
      </c>
    </row>
    <row r="76" spans="1:23" ht="24.9" customHeight="1" x14ac:dyDescent="0.25">
      <c r="A76" s="75" t="str">
        <f>'Emission Factors database'!B80</f>
        <v>Interior wall (permanent)</v>
      </c>
      <c r="B76" s="75" t="str">
        <f>'Emission Factors database'!C80</f>
        <v>Plasterboard</v>
      </c>
      <c r="C76" s="75" t="str">
        <f ca="1">'Emission Factors database'!D80</f>
        <v>Board made from plaster typically coated in paper. Thickness from 4 mm to 22 mm.</v>
      </c>
      <c r="D76" s="75" t="str">
        <f ca="1">'Emission Factors database'!F80</f>
        <v>m²</v>
      </c>
      <c r="E76" s="75" t="str">
        <f ca="1">'Emission Factors database'!G80</f>
        <v>Tier 4</v>
      </c>
      <c r="F76" s="75">
        <f ca="1">'Emission Factors database'!H80</f>
        <v>1.2</v>
      </c>
      <c r="G76" s="75" t="str">
        <f ca="1">'Emission Factors database'!I80</f>
        <v>8.15</v>
      </c>
      <c r="H76" s="75" t="str">
        <f ca="1">'Emission Factors database'!J80</f>
        <v>6.79</v>
      </c>
      <c r="I76" s="75" t="str">
        <f ca="1">'Emission Factors database'!K80</f>
        <v>1.49</v>
      </c>
      <c r="J76" s="75" t="str">
        <f ca="1">'Emission Factors database'!L80</f>
        <v>3.25</v>
      </c>
      <c r="K76" s="75" t="str">
        <f ca="1">'Emission Factors database'!M80</f>
        <v>0.473</v>
      </c>
      <c r="L76" s="75" t="str">
        <f ca="1">'Emission Factors database'!N80</f>
        <v>0.394</v>
      </c>
      <c r="M76" s="75" t="str">
        <f ca="1">'Emission Factors database'!O80</f>
        <v>0.175</v>
      </c>
      <c r="N76" s="75" t="str">
        <f ca="1">'Emission Factors database'!P80</f>
        <v>0.298</v>
      </c>
      <c r="O76" s="75" t="str">
        <f ca="1">'Emission Factors database'!Q80</f>
        <v>1.28</v>
      </c>
      <c r="P76" s="75" t="str">
        <f ca="1">'Emission Factors database'!R80</f>
        <v>1.07</v>
      </c>
      <c r="Q76" s="75" t="str">
        <f ca="1">'Emission Factors database'!S80</f>
        <v>0.597</v>
      </c>
      <c r="R76" s="75" t="str">
        <f ca="1">'Emission Factors database'!T80</f>
        <v>0.204</v>
      </c>
      <c r="S76" s="75" t="str">
        <f ca="1">'Emission Factors database'!U80</f>
        <v>0.204</v>
      </c>
      <c r="T76" s="75" t="str">
        <f ca="1">'Emission Factors database'!V80</f>
        <v>0.0608</v>
      </c>
      <c r="U76" s="75" t="str">
        <f ca="1">'Emission Factors database'!W80</f>
        <v>10.9</v>
      </c>
      <c r="V76" s="75" t="str">
        <f ca="1">'Emission Factors database'!X80</f>
        <v>kg/m²</v>
      </c>
      <c r="W76" s="75" t="str">
        <f ca="1">'Emission Factors database'!Z80</f>
        <v>No</v>
      </c>
    </row>
    <row r="77" spans="1:23" ht="24.9" customHeight="1" x14ac:dyDescent="0.25">
      <c r="A77" s="75" t="str">
        <f>'Emission Factors database'!B81</f>
        <v>Interior wall (permanent)</v>
      </c>
      <c r="B77" s="75" t="str">
        <f>'Emission Factors database'!C81</f>
        <v>Decorative particleboard</v>
      </c>
      <c r="C77" s="75" t="str">
        <f ca="1">'Emission Factors database'!D81</f>
        <v xml:space="preserve">Particleboard for decorative purposes i.e. finished wall panel including coating </v>
      </c>
      <c r="D77" s="75" t="str">
        <f ca="1">'Emission Factors database'!F81</f>
        <v>m³</v>
      </c>
      <c r="E77" s="75" t="str">
        <f ca="1">'Emission Factors database'!G81</f>
        <v>Tier 2</v>
      </c>
      <c r="F77" s="75">
        <f ca="1">'Emission Factors database'!H81</f>
        <v>1.05</v>
      </c>
      <c r="G77" s="75" t="str">
        <f ca="1">'Emission Factors database'!I81</f>
        <v>663</v>
      </c>
      <c r="H77" s="75" t="str">
        <f ca="1">'Emission Factors database'!J81</f>
        <v>631</v>
      </c>
      <c r="I77" s="75" t="str">
        <f ca="1">'Emission Factors database'!K81</f>
        <v>177</v>
      </c>
      <c r="J77" s="75" t="str">
        <f ca="1">'Emission Factors database'!L81</f>
        <v>433</v>
      </c>
      <c r="K77" s="75" t="str">
        <f ca="1">'Emission Factors database'!M81</f>
        <v>1.01</v>
      </c>
      <c r="L77" s="75" t="str">
        <f ca="1">'Emission Factors database'!N81</f>
        <v>0.959</v>
      </c>
      <c r="M77" s="75" t="str">
        <f ca="1">'Emission Factors database'!O81</f>
        <v>0.286</v>
      </c>
      <c r="N77" s="75" t="str">
        <f ca="1">'Emission Factors database'!P81</f>
        <v>0.662</v>
      </c>
      <c r="O77" s="75" t="str">
        <f ca="1">'Emission Factors database'!Q81</f>
        <v>1,170</v>
      </c>
      <c r="P77" s="75" t="str">
        <f ca="1">'Emission Factors database'!R81</f>
        <v>1,110</v>
      </c>
      <c r="Q77" s="75" t="str">
        <f ca="1">'Emission Factors database'!S81</f>
        <v>1,080</v>
      </c>
      <c r="R77" s="75" t="str">
        <f ca="1">'Emission Factors database'!T81</f>
        <v>1.69</v>
      </c>
      <c r="S77" s="75" t="str">
        <f ca="1">'Emission Factors database'!U81</f>
        <v>1.69</v>
      </c>
      <c r="T77" s="75" t="str">
        <f ca="1">'Emission Factors database'!V81</f>
        <v>1.67</v>
      </c>
      <c r="U77" s="75" t="str">
        <f ca="1">'Emission Factors database'!W81</f>
        <v>654</v>
      </c>
      <c r="V77" s="75" t="str">
        <f ca="1">'Emission Factors database'!X81</f>
        <v>kg/m³</v>
      </c>
      <c r="W77" s="75" t="str">
        <f ca="1">'Emission Factors database'!Z81</f>
        <v>Yes</v>
      </c>
    </row>
    <row r="78" spans="1:23" ht="24.9" customHeight="1" x14ac:dyDescent="0.25">
      <c r="A78" s="75" t="str">
        <f>'Emission Factors database'!B82</f>
        <v>Interior wall (permanent)</v>
      </c>
      <c r="B78" s="75" t="str">
        <f>'Emission Factors database'!C82</f>
        <v>MDF</v>
      </c>
      <c r="C78" s="75" t="str">
        <f ca="1">'Emission Factors database'!D82</f>
        <v xml:space="preserve">Medium density fibreboard (MDF) for decorative purposes i.e. finished wall panel including coating </v>
      </c>
      <c r="D78" s="75" t="str">
        <f ca="1">'Emission Factors database'!F82</f>
        <v>m³</v>
      </c>
      <c r="E78" s="75" t="str">
        <f ca="1">'Emission Factors database'!G82</f>
        <v>Tier 2</v>
      </c>
      <c r="F78" s="75">
        <f ca="1">'Emission Factors database'!H82</f>
        <v>1.05</v>
      </c>
      <c r="G78" s="75" t="str">
        <f ca="1">'Emission Factors database'!I82</f>
        <v>1,320</v>
      </c>
      <c r="H78" s="75" t="str">
        <f ca="1">'Emission Factors database'!J82</f>
        <v>1,250</v>
      </c>
      <c r="I78" s="75" t="str">
        <f ca="1">'Emission Factors database'!K82</f>
        <v>526</v>
      </c>
      <c r="J78" s="75" t="str">
        <f ca="1">'Emission Factors database'!L82</f>
        <v>815</v>
      </c>
      <c r="K78" s="75" t="str">
        <f ca="1">'Emission Factors database'!M82</f>
        <v>1.83</v>
      </c>
      <c r="L78" s="75" t="str">
        <f ca="1">'Emission Factors database'!N82</f>
        <v>1.74</v>
      </c>
      <c r="M78" s="75" t="str">
        <f ca="1">'Emission Factors database'!O82</f>
        <v>0.714</v>
      </c>
      <c r="N78" s="75" t="str">
        <f ca="1">'Emission Factors database'!P82</f>
        <v>1.13</v>
      </c>
      <c r="O78" s="75" t="str">
        <f ca="1">'Emission Factors database'!Q82</f>
        <v>1,290</v>
      </c>
      <c r="P78" s="75" t="str">
        <f ca="1">'Emission Factors database'!R82</f>
        <v>1,230</v>
      </c>
      <c r="Q78" s="75" t="str">
        <f ca="1">'Emission Factors database'!S82</f>
        <v>1,230</v>
      </c>
      <c r="R78" s="75" t="str">
        <f ca="1">'Emission Factors database'!T82</f>
        <v>1.71</v>
      </c>
      <c r="S78" s="75" t="str">
        <f ca="1">'Emission Factors database'!U82</f>
        <v>1.71</v>
      </c>
      <c r="T78" s="75" t="str">
        <f ca="1">'Emission Factors database'!V82</f>
        <v>1.70</v>
      </c>
      <c r="U78" s="75" t="str">
        <f ca="1">'Emission Factors database'!W82</f>
        <v>722</v>
      </c>
      <c r="V78" s="75" t="str">
        <f ca="1">'Emission Factors database'!X82</f>
        <v>kg/m³</v>
      </c>
      <c r="W78" s="75" t="str">
        <f ca="1">'Emission Factors database'!Z82</f>
        <v>Yes</v>
      </c>
    </row>
    <row r="79" spans="1:23" ht="24.9" customHeight="1" x14ac:dyDescent="0.25">
      <c r="A79" s="75" t="str">
        <f>'Emission Factors database'!B83</f>
        <v>Interior wall (permanent)</v>
      </c>
      <c r="B79" s="75" t="str">
        <f>'Emission Factors database'!C83</f>
        <v>Fibre cement sheet</v>
      </c>
      <c r="C79" s="75" t="str">
        <f ca="1">'Emission Factors database'!D83</f>
        <v>Board made from fibre cement including compressed sheet, flooring, cladding, lining and roofing boards. Thickness from 4 mm to 22 mm.</v>
      </c>
      <c r="D79" s="75" t="str">
        <f ca="1">'Emission Factors database'!F83</f>
        <v>m²</v>
      </c>
      <c r="E79" s="75" t="str">
        <f ca="1">'Emission Factors database'!G83</f>
        <v>Tier 2</v>
      </c>
      <c r="F79" s="75">
        <f ca="1">'Emission Factors database'!H83</f>
        <v>1.05</v>
      </c>
      <c r="G79" s="75" t="str">
        <f ca="1">'Emission Factors database'!I83</f>
        <v>48.2</v>
      </c>
      <c r="H79" s="75" t="str">
        <f ca="1">'Emission Factors database'!J83</f>
        <v>45.9</v>
      </c>
      <c r="I79" s="75" t="str">
        <f ca="1">'Emission Factors database'!K83</f>
        <v>3.51</v>
      </c>
      <c r="J79" s="75" t="str">
        <f ca="1">'Emission Factors database'!L83</f>
        <v>12.9</v>
      </c>
      <c r="K79" s="75" t="str">
        <f ca="1">'Emission Factors database'!M83</f>
        <v>1.39</v>
      </c>
      <c r="L79" s="75" t="str">
        <f ca="1">'Emission Factors database'!N83</f>
        <v>1.32</v>
      </c>
      <c r="M79" s="75" t="str">
        <f ca="1">'Emission Factors database'!O83</f>
        <v>0.307</v>
      </c>
      <c r="N79" s="75" t="str">
        <f ca="1">'Emission Factors database'!P83</f>
        <v>0.853</v>
      </c>
      <c r="O79" s="75" t="str">
        <f ca="1">'Emission Factors database'!Q83</f>
        <v>0.0473</v>
      </c>
      <c r="P79" s="75" t="str">
        <f ca="1">'Emission Factors database'!R83</f>
        <v>0.0450</v>
      </c>
      <c r="Q79" s="75" t="str">
        <f ca="1">'Emission Factors database'!S83</f>
        <v>0.0373</v>
      </c>
      <c r="R79" s="75" t="str">
        <f ca="1">'Emission Factors database'!T83</f>
        <v>0.00833</v>
      </c>
      <c r="S79" s="75" t="str">
        <f ca="1">'Emission Factors database'!U83</f>
        <v>0.00833</v>
      </c>
      <c r="T79" s="75" t="str">
        <f ca="1">'Emission Factors database'!V83</f>
        <v>0.00321</v>
      </c>
      <c r="U79" s="75" t="str">
        <f ca="1">'Emission Factors database'!W83</f>
        <v>15.1</v>
      </c>
      <c r="V79" s="75" t="str">
        <f ca="1">'Emission Factors database'!X83</f>
        <v>kg/m²</v>
      </c>
      <c r="W79" s="75" t="str">
        <f ca="1">'Emission Factors database'!Z83</f>
        <v>No</v>
      </c>
    </row>
    <row r="80" spans="1:23" ht="24.9" customHeight="1" x14ac:dyDescent="0.25">
      <c r="A80" s="75" t="str">
        <f>'Emission Factors database'!B84</f>
        <v>Interior wall (permanent)</v>
      </c>
      <c r="B80" s="75" t="str">
        <f>'Emission Factors database'!C84</f>
        <v>Glass</v>
      </c>
      <c r="C80" s="75" t="str">
        <f ca="1">'Emission Factors database'!D84</f>
        <v>Glass used in windows, doors, curtain wall purposes. Including single, double and triple glazing units.</v>
      </c>
      <c r="D80" s="75" t="str">
        <f ca="1">'Emission Factors database'!F84</f>
        <v>kg</v>
      </c>
      <c r="E80" s="75" t="str">
        <f ca="1">'Emission Factors database'!G84</f>
        <v>Tier 4</v>
      </c>
      <c r="F80" s="75">
        <f ca="1">'Emission Factors database'!H84</f>
        <v>1.2</v>
      </c>
      <c r="G80" s="75" t="str">
        <f ca="1">'Emission Factors database'!I84</f>
        <v>2.38</v>
      </c>
      <c r="H80" s="75" t="str">
        <f ca="1">'Emission Factors database'!J84</f>
        <v>1.98</v>
      </c>
      <c r="I80" s="75" t="str">
        <f ca="1">'Emission Factors database'!K84</f>
        <v>1.10</v>
      </c>
      <c r="J80" s="75" t="str">
        <f ca="1">'Emission Factors database'!L84</f>
        <v>1.67</v>
      </c>
      <c r="K80" s="75" t="str">
        <f ca="1">'Emission Factors database'!M84</f>
        <v>2.38</v>
      </c>
      <c r="L80" s="75" t="str">
        <f ca="1">'Emission Factors database'!N84</f>
        <v>1.98</v>
      </c>
      <c r="M80" s="75" t="str">
        <f ca="1">'Emission Factors database'!O84</f>
        <v>1.10</v>
      </c>
      <c r="N80" s="75" t="str">
        <f ca="1">'Emission Factors database'!P84</f>
        <v>1.67</v>
      </c>
      <c r="O80" s="75" t="str">
        <f ca="1">'Emission Factors database'!Q84</f>
        <v>0</v>
      </c>
      <c r="P80" s="75" t="str">
        <f ca="1">'Emission Factors database'!R84</f>
        <v>0</v>
      </c>
      <c r="Q80" s="75" t="str">
        <f ca="1">'Emission Factors database'!S84</f>
        <v>0</v>
      </c>
      <c r="R80" s="75" t="str">
        <f ca="1">'Emission Factors database'!T84</f>
        <v>0</v>
      </c>
      <c r="S80" s="75" t="str">
        <f ca="1">'Emission Factors database'!U84</f>
        <v>0</v>
      </c>
      <c r="T80" s="75" t="str">
        <f ca="1">'Emission Factors database'!V84</f>
        <v>0</v>
      </c>
      <c r="U80" s="75" t="str">
        <f ca="1">'Emission Factors database'!W84</f>
        <v>1.00</v>
      </c>
      <c r="V80" s="75" t="str">
        <f ca="1">'Emission Factors database'!X84</f>
        <v>kg/kg</v>
      </c>
      <c r="W80" s="75" t="str">
        <f ca="1">'Emission Factors database'!Z84</f>
        <v>No</v>
      </c>
    </row>
    <row r="81" spans="1:23" ht="24.9" customHeight="1" x14ac:dyDescent="0.25">
      <c r="A81" s="75" t="str">
        <f>'Emission Factors database'!B85</f>
        <v>Windows &amp; doors</v>
      </c>
      <c r="B81" s="75" t="str">
        <f>'Emission Factors database'!C85</f>
        <v>Glass (treated or untreated)</v>
      </c>
      <c r="C81" s="75" t="str">
        <f ca="1">'Emission Factors database'!D85</f>
        <v>Glass used in windows, doors, curtain wall purposes. Including single, double and triple glazing units.</v>
      </c>
      <c r="D81" s="75" t="str">
        <f ca="1">'Emission Factors database'!F85</f>
        <v>kg</v>
      </c>
      <c r="E81" s="75" t="str">
        <f ca="1">'Emission Factors database'!G85</f>
        <v>Tier 4</v>
      </c>
      <c r="F81" s="75">
        <f ca="1">'Emission Factors database'!H85</f>
        <v>1.2</v>
      </c>
      <c r="G81" s="75" t="str">
        <f ca="1">'Emission Factors database'!I85</f>
        <v>2.38</v>
      </c>
      <c r="H81" s="75" t="str">
        <f ca="1">'Emission Factors database'!J85</f>
        <v>1.98</v>
      </c>
      <c r="I81" s="75" t="str">
        <f ca="1">'Emission Factors database'!K85</f>
        <v>1.10</v>
      </c>
      <c r="J81" s="75" t="str">
        <f ca="1">'Emission Factors database'!L85</f>
        <v>1.67</v>
      </c>
      <c r="K81" s="75" t="str">
        <f ca="1">'Emission Factors database'!M85</f>
        <v>2.38</v>
      </c>
      <c r="L81" s="75" t="str">
        <f ca="1">'Emission Factors database'!N85</f>
        <v>1.98</v>
      </c>
      <c r="M81" s="75" t="str">
        <f ca="1">'Emission Factors database'!O85</f>
        <v>1.10</v>
      </c>
      <c r="N81" s="75" t="str">
        <f ca="1">'Emission Factors database'!P85</f>
        <v>1.67</v>
      </c>
      <c r="O81" s="75" t="str">
        <f ca="1">'Emission Factors database'!Q85</f>
        <v>0</v>
      </c>
      <c r="P81" s="75" t="str">
        <f ca="1">'Emission Factors database'!R85</f>
        <v>0</v>
      </c>
      <c r="Q81" s="75" t="str">
        <f ca="1">'Emission Factors database'!S85</f>
        <v>0</v>
      </c>
      <c r="R81" s="75" t="str">
        <f ca="1">'Emission Factors database'!T85</f>
        <v>0</v>
      </c>
      <c r="S81" s="75" t="str">
        <f ca="1">'Emission Factors database'!U85</f>
        <v>0</v>
      </c>
      <c r="T81" s="75" t="str">
        <f ca="1">'Emission Factors database'!V85</f>
        <v>0</v>
      </c>
      <c r="U81" s="75" t="str">
        <f ca="1">'Emission Factors database'!W85</f>
        <v>1.00</v>
      </c>
      <c r="V81" s="75" t="str">
        <f ca="1">'Emission Factors database'!X85</f>
        <v>kg/kg</v>
      </c>
      <c r="W81" s="75" t="str">
        <f ca="1">'Emission Factors database'!Z85</f>
        <v>No</v>
      </c>
    </row>
    <row r="82" spans="1:23" ht="24.9" customHeight="1" x14ac:dyDescent="0.25">
      <c r="A82" s="75" t="str">
        <f>'Emission Factors database'!B86</f>
        <v>Extruded aluminium</v>
      </c>
      <c r="B82" s="75" t="str">
        <f>'Emission Factors database'!C86</f>
        <v>Aluminium extruded uncoated</v>
      </c>
      <c r="C82" s="75" t="str">
        <f ca="1">'Emission Factors database'!D86</f>
        <v xml:space="preserve">Extruded aluminium for use in construction. </v>
      </c>
      <c r="D82" s="75" t="str">
        <f ca="1">'Emission Factors database'!F86</f>
        <v>tonne</v>
      </c>
      <c r="E82" s="75" t="str">
        <f ca="1">'Emission Factors database'!G86</f>
        <v>Tier 2</v>
      </c>
      <c r="F82" s="75">
        <f ca="1">'Emission Factors database'!H86</f>
        <v>1.05</v>
      </c>
      <c r="G82" s="75" t="str">
        <f ca="1">'Emission Factors database'!I86</f>
        <v>30,200</v>
      </c>
      <c r="H82" s="75" t="str">
        <f ca="1">'Emission Factors database'!J86</f>
        <v>28,800</v>
      </c>
      <c r="I82" s="75" t="str">
        <f ca="1">'Emission Factors database'!K86</f>
        <v>3,490</v>
      </c>
      <c r="J82" s="75" t="str">
        <f ca="1">'Emission Factors database'!L86</f>
        <v>17,400</v>
      </c>
      <c r="K82" s="75" t="str">
        <f ca="1">'Emission Factors database'!M86</f>
        <v>30.2</v>
      </c>
      <c r="L82" s="75" t="str">
        <f ca="1">'Emission Factors database'!N86</f>
        <v>28.8</v>
      </c>
      <c r="M82" s="75" t="str">
        <f ca="1">'Emission Factors database'!O86</f>
        <v>3.49</v>
      </c>
      <c r="N82" s="75" t="str">
        <f ca="1">'Emission Factors database'!P86</f>
        <v>17.4</v>
      </c>
      <c r="O82" s="75" t="str">
        <f ca="1">'Emission Factors database'!Q86</f>
        <v>0</v>
      </c>
      <c r="P82" s="75" t="str">
        <f ca="1">'Emission Factors database'!R86</f>
        <v>0</v>
      </c>
      <c r="Q82" s="75" t="str">
        <f ca="1">'Emission Factors database'!S86</f>
        <v>0</v>
      </c>
      <c r="R82" s="75" t="str">
        <f ca="1">'Emission Factors database'!T86</f>
        <v>0</v>
      </c>
      <c r="S82" s="75" t="str">
        <f ca="1">'Emission Factors database'!U86</f>
        <v>0</v>
      </c>
      <c r="T82" s="75" t="str">
        <f ca="1">'Emission Factors database'!V86</f>
        <v>0</v>
      </c>
      <c r="U82" s="75" t="str">
        <f ca="1">'Emission Factors database'!W86</f>
        <v>1,000</v>
      </c>
      <c r="V82" s="75" t="str">
        <f ca="1">'Emission Factors database'!X86</f>
        <v>kg/tonne</v>
      </c>
      <c r="W82" s="75" t="str">
        <f ca="1">'Emission Factors database'!Z86</f>
        <v>Yes</v>
      </c>
    </row>
    <row r="83" spans="1:23" ht="24.9" customHeight="1" x14ac:dyDescent="0.25">
      <c r="A83" s="75" t="str">
        <f>'Emission Factors database'!B87</f>
        <v>Extruded aluminium</v>
      </c>
      <c r="B83" s="75" t="str">
        <f>'Emission Factors database'!C87</f>
        <v>Aluminium extruded powder coated</v>
      </c>
      <c r="C83" s="75" t="str">
        <f ca="1">'Emission Factors database'!D87</f>
        <v>Extruded aluminium (powder coated) for use in construction</v>
      </c>
      <c r="D83" s="75" t="str">
        <f ca="1">'Emission Factors database'!F87</f>
        <v>tonne</v>
      </c>
      <c r="E83" s="75" t="str">
        <f ca="1">'Emission Factors database'!G87</f>
        <v>Tier 2</v>
      </c>
      <c r="F83" s="75">
        <f ca="1">'Emission Factors database'!H87</f>
        <v>1.05</v>
      </c>
      <c r="G83" s="75" t="str">
        <f ca="1">'Emission Factors database'!I87</f>
        <v>32,000</v>
      </c>
      <c r="H83" s="75" t="str">
        <f ca="1">'Emission Factors database'!J87</f>
        <v>30,500</v>
      </c>
      <c r="I83" s="75" t="str">
        <f ca="1">'Emission Factors database'!K87</f>
        <v>5,150</v>
      </c>
      <c r="J83" s="75" t="str">
        <f ca="1">'Emission Factors database'!L87</f>
        <v>18,200</v>
      </c>
      <c r="K83" s="75" t="str">
        <f ca="1">'Emission Factors database'!M87</f>
        <v>32.0</v>
      </c>
      <c r="L83" s="75" t="str">
        <f ca="1">'Emission Factors database'!N87</f>
        <v>30.5</v>
      </c>
      <c r="M83" s="75" t="str">
        <f ca="1">'Emission Factors database'!O87</f>
        <v>5.15</v>
      </c>
      <c r="N83" s="75" t="str">
        <f ca="1">'Emission Factors database'!P87</f>
        <v>18.2</v>
      </c>
      <c r="O83" s="75" t="str">
        <f ca="1">'Emission Factors database'!Q87</f>
        <v>0</v>
      </c>
      <c r="P83" s="75" t="str">
        <f ca="1">'Emission Factors database'!R87</f>
        <v>0</v>
      </c>
      <c r="Q83" s="75" t="str">
        <f ca="1">'Emission Factors database'!S87</f>
        <v>0</v>
      </c>
      <c r="R83" s="75" t="str">
        <f ca="1">'Emission Factors database'!T87</f>
        <v>0</v>
      </c>
      <c r="S83" s="75" t="str">
        <f ca="1">'Emission Factors database'!U87</f>
        <v>0</v>
      </c>
      <c r="T83" s="75" t="str">
        <f ca="1">'Emission Factors database'!V87</f>
        <v>0</v>
      </c>
      <c r="U83" s="75" t="str">
        <f ca="1">'Emission Factors database'!W87</f>
        <v>1,000</v>
      </c>
      <c r="V83" s="75" t="str">
        <f ca="1">'Emission Factors database'!X87</f>
        <v>kg/tonne</v>
      </c>
      <c r="W83" s="75" t="str">
        <f ca="1">'Emission Factors database'!Z87</f>
        <v>Yes</v>
      </c>
    </row>
    <row r="84" spans="1:23" ht="24.9" customHeight="1" x14ac:dyDescent="0.25">
      <c r="A84" s="75" t="str">
        <f>'Emission Factors database'!B88</f>
        <v>Extruded aluminium</v>
      </c>
      <c r="B84" s="75" t="str">
        <f>'Emission Factors database'!C88</f>
        <v>Aluminium extruded anodised</v>
      </c>
      <c r="C84" s="75" t="str">
        <f ca="1">'Emission Factors database'!D88</f>
        <v>Extruded aluminium (anodised) for use in construction</v>
      </c>
      <c r="D84" s="75" t="str">
        <f ca="1">'Emission Factors database'!F88</f>
        <v>tonne</v>
      </c>
      <c r="E84" s="75" t="str">
        <f ca="1">'Emission Factors database'!G88</f>
        <v>Tier 2</v>
      </c>
      <c r="F84" s="75">
        <f ca="1">'Emission Factors database'!H88</f>
        <v>1.05</v>
      </c>
      <c r="G84" s="75" t="str">
        <f ca="1">'Emission Factors database'!I88</f>
        <v>34,200</v>
      </c>
      <c r="H84" s="75" t="str">
        <f ca="1">'Emission Factors database'!J88</f>
        <v>32,600</v>
      </c>
      <c r="I84" s="75" t="str">
        <f ca="1">'Emission Factors database'!K88</f>
        <v>7,290</v>
      </c>
      <c r="J84" s="75" t="str">
        <f ca="1">'Emission Factors database'!L88</f>
        <v>19,300</v>
      </c>
      <c r="K84" s="75" t="str">
        <f ca="1">'Emission Factors database'!M88</f>
        <v>34.2</v>
      </c>
      <c r="L84" s="75" t="str">
        <f ca="1">'Emission Factors database'!N88</f>
        <v>32.6</v>
      </c>
      <c r="M84" s="75" t="str">
        <f ca="1">'Emission Factors database'!O88</f>
        <v>7.29</v>
      </c>
      <c r="N84" s="75" t="str">
        <f ca="1">'Emission Factors database'!P88</f>
        <v>19.3</v>
      </c>
      <c r="O84" s="75" t="str">
        <f ca="1">'Emission Factors database'!Q88</f>
        <v>0</v>
      </c>
      <c r="P84" s="75" t="str">
        <f ca="1">'Emission Factors database'!R88</f>
        <v>0</v>
      </c>
      <c r="Q84" s="75" t="str">
        <f ca="1">'Emission Factors database'!S88</f>
        <v>0</v>
      </c>
      <c r="R84" s="75" t="str">
        <f ca="1">'Emission Factors database'!T88</f>
        <v>0</v>
      </c>
      <c r="S84" s="75" t="str">
        <f ca="1">'Emission Factors database'!U88</f>
        <v>0</v>
      </c>
      <c r="T84" s="75" t="str">
        <f ca="1">'Emission Factors database'!V88</f>
        <v>0</v>
      </c>
      <c r="U84" s="75" t="str">
        <f ca="1">'Emission Factors database'!W88</f>
        <v>1,000</v>
      </c>
      <c r="V84" s="75" t="str">
        <f ca="1">'Emission Factors database'!X88</f>
        <v>kg/tonne</v>
      </c>
      <c r="W84" s="75" t="str">
        <f ca="1">'Emission Factors database'!Z88</f>
        <v>Yes</v>
      </c>
    </row>
    <row r="85" spans="1:23" ht="24.9" customHeight="1" x14ac:dyDescent="0.25">
      <c r="A85" s="75" t="str">
        <f>'Emission Factors database'!B89</f>
        <v>Pavers/tiles</v>
      </c>
      <c r="B85" s="75" t="str">
        <f>'Emission Factors database'!C89</f>
        <v xml:space="preserve">Pavers Concrete </v>
      </c>
      <c r="C85" s="75" t="str">
        <f ca="1">'Emission Factors database'!D89</f>
        <v>Concrete brick or block i.e. cinder block or concrete finishing brick used in masonry. Not including any core fill material or reinforcing.</v>
      </c>
      <c r="D85" s="75" t="str">
        <f ca="1">'Emission Factors database'!F89</f>
        <v>tonne</v>
      </c>
      <c r="E85" s="75" t="str">
        <f ca="1">'Emission Factors database'!G89</f>
        <v>Tier 3</v>
      </c>
      <c r="F85" s="75">
        <f ca="1">'Emission Factors database'!H89</f>
        <v>1.1000000000000001</v>
      </c>
      <c r="G85" s="75" t="str">
        <f ca="1">'Emission Factors database'!I89</f>
        <v>264</v>
      </c>
      <c r="H85" s="75" t="str">
        <f ca="1">'Emission Factors database'!J89</f>
        <v>240</v>
      </c>
      <c r="I85" s="75" t="str">
        <f ca="1">'Emission Factors database'!K89</f>
        <v>112</v>
      </c>
      <c r="J85" s="75" t="str">
        <f ca="1">'Emission Factors database'!L89</f>
        <v>159</v>
      </c>
      <c r="K85" s="75" t="str">
        <f ca="1">'Emission Factors database'!M89</f>
        <v>0.264</v>
      </c>
      <c r="L85" s="75" t="str">
        <f ca="1">'Emission Factors database'!N89</f>
        <v>0.240</v>
      </c>
      <c r="M85" s="75" t="str">
        <f ca="1">'Emission Factors database'!O89</f>
        <v>0.112</v>
      </c>
      <c r="N85" s="75" t="str">
        <f ca="1">'Emission Factors database'!P89</f>
        <v>0.159</v>
      </c>
      <c r="O85" s="75" t="str">
        <f ca="1">'Emission Factors database'!Q89</f>
        <v>0</v>
      </c>
      <c r="P85" s="75" t="str">
        <f ca="1">'Emission Factors database'!R89</f>
        <v>0</v>
      </c>
      <c r="Q85" s="75" t="str">
        <f ca="1">'Emission Factors database'!S89</f>
        <v>0</v>
      </c>
      <c r="R85" s="75" t="str">
        <f ca="1">'Emission Factors database'!T89</f>
        <v>0</v>
      </c>
      <c r="S85" s="75" t="str">
        <f ca="1">'Emission Factors database'!U89</f>
        <v>0</v>
      </c>
      <c r="T85" s="75" t="str">
        <f ca="1">'Emission Factors database'!V89</f>
        <v>0</v>
      </c>
      <c r="U85" s="75" t="str">
        <f ca="1">'Emission Factors database'!W89</f>
        <v>1,000</v>
      </c>
      <c r="V85" s="75" t="str">
        <f ca="1">'Emission Factors database'!X89</f>
        <v>kg/tonne</v>
      </c>
      <c r="W85" s="75" t="str">
        <f ca="1">'Emission Factors database'!Z89</f>
        <v>No</v>
      </c>
    </row>
    <row r="86" spans="1:23" ht="24.9" customHeight="1" x14ac:dyDescent="0.25">
      <c r="A86" s="75" t="str">
        <f>'Emission Factors database'!B90</f>
        <v>Pavers/tiles</v>
      </c>
      <c r="B86" s="75" t="str">
        <f>'Emission Factors database'!C90</f>
        <v>Pavers Ceramic</v>
      </c>
      <c r="C86" s="75" t="str">
        <f ca="1">'Emission Factors database'!D90</f>
        <v xml:space="preserve">Ceramic tiles (wall and floor) and pavers including porcelain tiles </v>
      </c>
      <c r="D86" s="75" t="str">
        <f ca="1">'Emission Factors database'!F90</f>
        <v>kg</v>
      </c>
      <c r="E86" s="75" t="str">
        <f ca="1">'Emission Factors database'!G90</f>
        <v>Tier 4</v>
      </c>
      <c r="F86" s="75">
        <f ca="1">'Emission Factors database'!H90</f>
        <v>1.2</v>
      </c>
      <c r="G86" s="75" t="str">
        <f ca="1">'Emission Factors database'!I90</f>
        <v>0.984</v>
      </c>
      <c r="H86" s="75" t="str">
        <f ca="1">'Emission Factors database'!J90</f>
        <v>0.820</v>
      </c>
      <c r="I86" s="75" t="str">
        <f ca="1">'Emission Factors database'!K90</f>
        <v>0.308</v>
      </c>
      <c r="J86" s="75" t="str">
        <f ca="1">'Emission Factors database'!L90</f>
        <v>0.581</v>
      </c>
      <c r="K86" s="75" t="str">
        <f ca="1">'Emission Factors database'!M90</f>
        <v>0.984</v>
      </c>
      <c r="L86" s="75" t="str">
        <f ca="1">'Emission Factors database'!N90</f>
        <v>0.820</v>
      </c>
      <c r="M86" s="75" t="str">
        <f ca="1">'Emission Factors database'!O90</f>
        <v>0.308</v>
      </c>
      <c r="N86" s="75" t="str">
        <f ca="1">'Emission Factors database'!P90</f>
        <v>0.581</v>
      </c>
      <c r="O86" s="75" t="str">
        <f ca="1">'Emission Factors database'!Q90</f>
        <v>0</v>
      </c>
      <c r="P86" s="75" t="str">
        <f ca="1">'Emission Factors database'!R90</f>
        <v>0</v>
      </c>
      <c r="Q86" s="75" t="str">
        <f ca="1">'Emission Factors database'!S90</f>
        <v>0</v>
      </c>
      <c r="R86" s="75" t="str">
        <f ca="1">'Emission Factors database'!T90</f>
        <v>0</v>
      </c>
      <c r="S86" s="75" t="str">
        <f ca="1">'Emission Factors database'!U90</f>
        <v>0</v>
      </c>
      <c r="T86" s="75" t="str">
        <f ca="1">'Emission Factors database'!V90</f>
        <v>0</v>
      </c>
      <c r="U86" s="75" t="str">
        <f ca="1">'Emission Factors database'!W90</f>
        <v>1.00</v>
      </c>
      <c r="V86" s="75" t="str">
        <f ca="1">'Emission Factors database'!X90</f>
        <v>kg/kg</v>
      </c>
      <c r="W86" s="75" t="str">
        <f ca="1">'Emission Factors database'!Z90</f>
        <v>No</v>
      </c>
    </row>
    <row r="87" spans="1:23" ht="24.9" customHeight="1" x14ac:dyDescent="0.25">
      <c r="A87" s="75" t="str">
        <f>'Emission Factors database'!B91</f>
        <v>Pavers/tiles</v>
      </c>
      <c r="B87" s="75" t="str">
        <f>'Emission Factors database'!C91</f>
        <v>Pavers Stone</v>
      </c>
      <c r="C87" s="75" t="str">
        <f ca="1">'Emission Factors database'!D91</f>
        <v>Stone tiles (wall and floor) and pavers including porcelain tiles, represented by granite and limestone quarry operations and surface preparation with stabilisation as needed.</v>
      </c>
      <c r="D87" s="75" t="str">
        <f ca="1">'Emission Factors database'!F91</f>
        <v>tonne</v>
      </c>
      <c r="E87" s="75" t="str">
        <f ca="1">'Emission Factors database'!G91</f>
        <v>Tier 4</v>
      </c>
      <c r="F87" s="75">
        <f ca="1">'Emission Factors database'!H91</f>
        <v>1.2</v>
      </c>
      <c r="G87" s="75" t="str">
        <f ca="1">'Emission Factors database'!I91</f>
        <v>542</v>
      </c>
      <c r="H87" s="75" t="str">
        <f ca="1">'Emission Factors database'!J91</f>
        <v>452</v>
      </c>
      <c r="I87" s="75" t="str">
        <f ca="1">'Emission Factors database'!K91</f>
        <v>75.7</v>
      </c>
      <c r="J87" s="75" t="str">
        <f ca="1">'Emission Factors database'!L91</f>
        <v>256</v>
      </c>
      <c r="K87" s="75" t="str">
        <f ca="1">'Emission Factors database'!M91</f>
        <v>0.542</v>
      </c>
      <c r="L87" s="75" t="str">
        <f ca="1">'Emission Factors database'!N91</f>
        <v>0.452</v>
      </c>
      <c r="M87" s="75" t="str">
        <f ca="1">'Emission Factors database'!O91</f>
        <v>0.0757</v>
      </c>
      <c r="N87" s="75" t="str">
        <f ca="1">'Emission Factors database'!P91</f>
        <v>0.256</v>
      </c>
      <c r="O87" s="75" t="str">
        <f ca="1">'Emission Factors database'!Q91</f>
        <v>0</v>
      </c>
      <c r="P87" s="75" t="str">
        <f ca="1">'Emission Factors database'!R91</f>
        <v>0</v>
      </c>
      <c r="Q87" s="75" t="str">
        <f ca="1">'Emission Factors database'!S91</f>
        <v>0</v>
      </c>
      <c r="R87" s="75" t="str">
        <f ca="1">'Emission Factors database'!T91</f>
        <v>0</v>
      </c>
      <c r="S87" s="75" t="str">
        <f ca="1">'Emission Factors database'!U91</f>
        <v>0</v>
      </c>
      <c r="T87" s="75" t="str">
        <f ca="1">'Emission Factors database'!V91</f>
        <v>0</v>
      </c>
      <c r="U87" s="75" t="str">
        <f ca="1">'Emission Factors database'!W91</f>
        <v>1,000</v>
      </c>
      <c r="V87" s="75" t="str">
        <f ca="1">'Emission Factors database'!X91</f>
        <v>kg/tonne</v>
      </c>
      <c r="W87" s="75" t="str">
        <f ca="1">'Emission Factors database'!Z91</f>
        <v>No</v>
      </c>
    </row>
    <row r="88" spans="1:23" ht="24.9" customHeight="1" x14ac:dyDescent="0.25">
      <c r="A88" s="75" t="str">
        <f>'Emission Factors database'!B92</f>
        <v>Lifts</v>
      </c>
      <c r="B88" s="75" t="str">
        <f>'Emission Factors database'!C92</f>
        <v>Lift_High_rise_hospital_shopcentre_Usage Cat_5_6</v>
      </c>
      <c r="C88" s="75" t="str">
        <f ca="1">'Emission Factors database'!D92</f>
        <v>Lift (elevator) classified as category 5 and 6 from ISO 25745. Typically used in high use environments, shopping centres, high-rise commercial.residential (10+ floors). Includes all elements of a lift installation i.e. lift cars, fittings, finishes, drive elements, electronics, guide rails, counterweights, ropes etc.</v>
      </c>
      <c r="D88" s="75" t="str">
        <f ca="1">'Emission Factors database'!F92</f>
        <v>Unit</v>
      </c>
      <c r="E88" s="75" t="str">
        <f ca="1">'Emission Factors database'!G92</f>
        <v>Tier 4</v>
      </c>
      <c r="F88" s="75">
        <f ca="1">'Emission Factors database'!H92</f>
        <v>1.2</v>
      </c>
      <c r="G88" s="75" t="str">
        <f ca="1">'Emission Factors database'!I92</f>
        <v>3.11E+05</v>
      </c>
      <c r="H88" s="75" t="str">
        <f ca="1">'Emission Factors database'!J92</f>
        <v>2.59E+05</v>
      </c>
      <c r="I88" s="75" t="str">
        <f ca="1">'Emission Factors database'!K92</f>
        <v>1.40E+05</v>
      </c>
      <c r="J88" s="75" t="str">
        <f ca="1">'Emission Factors database'!L92</f>
        <v>2.00E+05</v>
      </c>
      <c r="K88" s="75" t="str">
        <f ca="1">'Emission Factors database'!M92</f>
        <v>6.72</v>
      </c>
      <c r="L88" s="75" t="str">
        <f ca="1">'Emission Factors database'!N92</f>
        <v>5.60</v>
      </c>
      <c r="M88" s="75" t="str">
        <f ca="1">'Emission Factors database'!O92</f>
        <v>2.20</v>
      </c>
      <c r="N88" s="75" t="str">
        <f ca="1">'Emission Factors database'!P92</f>
        <v>3.90</v>
      </c>
      <c r="O88" s="75" t="str">
        <f ca="1">'Emission Factors database'!Q92</f>
        <v>0</v>
      </c>
      <c r="P88" s="75" t="str">
        <f ca="1">'Emission Factors database'!R92</f>
        <v>0</v>
      </c>
      <c r="Q88" s="75" t="str">
        <f ca="1">'Emission Factors database'!S92</f>
        <v>0</v>
      </c>
      <c r="R88" s="75" t="str">
        <f ca="1">'Emission Factors database'!T92</f>
        <v>0</v>
      </c>
      <c r="S88" s="75" t="str">
        <f ca="1">'Emission Factors database'!U92</f>
        <v>0</v>
      </c>
      <c r="T88" s="75" t="str">
        <f ca="1">'Emission Factors database'!V92</f>
        <v>0</v>
      </c>
      <c r="U88" s="75" t="str">
        <f ca="1">'Emission Factors database'!W92</f>
        <v>51,300</v>
      </c>
      <c r="V88" s="75" t="str">
        <f ca="1">'Emission Factors database'!X92</f>
        <v>kg/Unit</v>
      </c>
      <c r="W88" s="75" t="str">
        <f ca="1">'Emission Factors database'!Z92</f>
        <v>No</v>
      </c>
    </row>
    <row r="89" spans="1:23" ht="24.9" customHeight="1" x14ac:dyDescent="0.25">
      <c r="A89" s="75" t="str">
        <f>'Emission Factors database'!B93</f>
        <v>Lifts</v>
      </c>
      <c r="B89" s="75" t="str">
        <f>'Emission Factors database'!C93</f>
        <v>Lift_Residential_commercial_less7500sqm_Usage Cat_3_4</v>
      </c>
      <c r="C89" s="75" t="str">
        <f ca="1">'Emission Factors database'!D93</f>
        <v>Lift (elevator) classified as category 3 and 4 from ISO 25745. Typically used in medium rise (4-10 floor). Includes all elements of a lift installation i.e. lift cars, fittings, finishes, drive elements, electronics, guide rails, counterweights, ropes etc.</v>
      </c>
      <c r="D89" s="75" t="str">
        <f ca="1">'Emission Factors database'!F93</f>
        <v>Unit</v>
      </c>
      <c r="E89" s="75" t="str">
        <f ca="1">'Emission Factors database'!G93</f>
        <v>Tier 4</v>
      </c>
      <c r="F89" s="75">
        <f ca="1">'Emission Factors database'!H93</f>
        <v>1.2</v>
      </c>
      <c r="G89" s="75" t="str">
        <f ca="1">'Emission Factors database'!I93</f>
        <v>1.41E+05</v>
      </c>
      <c r="H89" s="75" t="str">
        <f ca="1">'Emission Factors database'!J93</f>
        <v>1.17E+05</v>
      </c>
      <c r="I89" s="75" t="str">
        <f ca="1">'Emission Factors database'!K93</f>
        <v>4,490</v>
      </c>
      <c r="J89" s="75" t="str">
        <f ca="1">'Emission Factors database'!L93</f>
        <v>47,300</v>
      </c>
      <c r="K89" s="75" t="str">
        <f ca="1">'Emission Factors database'!M93</f>
        <v>6.03</v>
      </c>
      <c r="L89" s="75" t="str">
        <f ca="1">'Emission Factors database'!N93</f>
        <v>5.02</v>
      </c>
      <c r="M89" s="75" t="str">
        <f ca="1">'Emission Factors database'!O93</f>
        <v>1.92</v>
      </c>
      <c r="N89" s="75" t="str">
        <f ca="1">'Emission Factors database'!P93</f>
        <v>3.04</v>
      </c>
      <c r="O89" s="75" t="str">
        <f ca="1">'Emission Factors database'!Q93</f>
        <v>0</v>
      </c>
      <c r="P89" s="75" t="str">
        <f ca="1">'Emission Factors database'!R93</f>
        <v>0</v>
      </c>
      <c r="Q89" s="75" t="str">
        <f ca="1">'Emission Factors database'!S93</f>
        <v>0</v>
      </c>
      <c r="R89" s="75" t="str">
        <f ca="1">'Emission Factors database'!T93</f>
        <v>0</v>
      </c>
      <c r="S89" s="75" t="str">
        <f ca="1">'Emission Factors database'!U93</f>
        <v>0</v>
      </c>
      <c r="T89" s="75" t="str">
        <f ca="1">'Emission Factors database'!V93</f>
        <v>0</v>
      </c>
      <c r="U89" s="75" t="str">
        <f ca="1">'Emission Factors database'!W93</f>
        <v>15,500</v>
      </c>
      <c r="V89" s="75" t="str">
        <f ca="1">'Emission Factors database'!X93</f>
        <v>kg/Unit</v>
      </c>
      <c r="W89" s="75" t="str">
        <f ca="1">'Emission Factors database'!Z93</f>
        <v>No</v>
      </c>
    </row>
    <row r="90" spans="1:23" ht="24.9" customHeight="1" x14ac:dyDescent="0.25">
      <c r="A90" s="75" t="str">
        <f>'Emission Factors database'!B94</f>
        <v>Lifts</v>
      </c>
      <c r="B90" s="75" t="str">
        <f>'Emission Factors database'!C94</f>
        <v>Lift_warehouse_residential_commercial_less7500sqm_Usage Cat_1_2</v>
      </c>
      <c r="C90" s="75" t="str">
        <f ca="1">'Emission Factors database'!D94</f>
        <v>Lift (elevator) classified as category 1 and 2 from ISO 25745. Typically used in low rise (less 4 floors) building. Includes all elements of a lift installation i.e. lift cars, fittings, finishes, drive elements, electronics, guide rails, counterweights, ropes etc.</v>
      </c>
      <c r="D90" s="75" t="str">
        <f ca="1">'Emission Factors database'!F94</f>
        <v>Unit</v>
      </c>
      <c r="E90" s="75" t="str">
        <f ca="1">'Emission Factors database'!G94</f>
        <v>Tier 4</v>
      </c>
      <c r="F90" s="75">
        <f ca="1">'Emission Factors database'!H94</f>
        <v>1.2</v>
      </c>
      <c r="G90" s="75" t="str">
        <f ca="1">'Emission Factors database'!I94</f>
        <v>34,600</v>
      </c>
      <c r="H90" s="75" t="str">
        <f ca="1">'Emission Factors database'!J94</f>
        <v>28,800</v>
      </c>
      <c r="I90" s="75" t="str">
        <f ca="1">'Emission Factors database'!K94</f>
        <v>4,500</v>
      </c>
      <c r="J90" s="75" t="str">
        <f ca="1">'Emission Factors database'!L94</f>
        <v>14,200</v>
      </c>
      <c r="K90" s="75" t="str">
        <f ca="1">'Emission Factors database'!M94</f>
        <v>4.67</v>
      </c>
      <c r="L90" s="75" t="str">
        <f ca="1">'Emission Factors database'!N94</f>
        <v>3.89</v>
      </c>
      <c r="M90" s="75" t="str">
        <f ca="1">'Emission Factors database'!O94</f>
        <v>1.93</v>
      </c>
      <c r="N90" s="75" t="str">
        <f ca="1">'Emission Factors database'!P94</f>
        <v>2.99</v>
      </c>
      <c r="O90" s="75" t="str">
        <f ca="1">'Emission Factors database'!Q94</f>
        <v>0</v>
      </c>
      <c r="P90" s="75" t="str">
        <f ca="1">'Emission Factors database'!R94</f>
        <v>0</v>
      </c>
      <c r="Q90" s="75" t="str">
        <f ca="1">'Emission Factors database'!S94</f>
        <v>0</v>
      </c>
      <c r="R90" s="75" t="str">
        <f ca="1">'Emission Factors database'!T94</f>
        <v>0</v>
      </c>
      <c r="S90" s="75" t="str">
        <f ca="1">'Emission Factors database'!U94</f>
        <v>0</v>
      </c>
      <c r="T90" s="75" t="str">
        <f ca="1">'Emission Factors database'!V94</f>
        <v>0</v>
      </c>
      <c r="U90" s="75" t="str">
        <f ca="1">'Emission Factors database'!W94</f>
        <v>4,740</v>
      </c>
      <c r="V90" s="75" t="str">
        <f ca="1">'Emission Factors database'!X94</f>
        <v>kg/Unit</v>
      </c>
      <c r="W90" s="75" t="str">
        <f ca="1">'Emission Factors database'!Z94</f>
        <v>No</v>
      </c>
    </row>
    <row r="91" spans="1:23" ht="24.9" customHeight="1" x14ac:dyDescent="0.25">
      <c r="A91" s="75" t="str">
        <f>'Emission Factors database'!B95</f>
        <v>Escalator</v>
      </c>
      <c r="B91" s="75" t="str">
        <f>'Emission Factors database'!C95</f>
        <v>Escalator</v>
      </c>
      <c r="C91" s="75" t="str">
        <f ca="1">'Emission Factors database'!D95</f>
        <v xml:space="preserve">Escalator/travelator. Including all componentry (i.e. truss, stairs, rails and balustrade, drive train etc. </v>
      </c>
      <c r="D91" s="75" t="str">
        <f ca="1">'Emission Factors database'!F95</f>
        <v>Unit</v>
      </c>
      <c r="E91" s="75" t="str">
        <f ca="1">'Emission Factors database'!G95</f>
        <v>Tier 4</v>
      </c>
      <c r="F91" s="75">
        <f ca="1">'Emission Factors database'!H95</f>
        <v>1.2</v>
      </c>
      <c r="G91" s="75" t="str">
        <f ca="1">'Emission Factors database'!I95</f>
        <v>1.42E+05</v>
      </c>
      <c r="H91" s="75" t="str">
        <f ca="1">'Emission Factors database'!J95</f>
        <v>1.18E+05</v>
      </c>
      <c r="I91" s="75" t="str">
        <f ca="1">'Emission Factors database'!K95</f>
        <v>20,300</v>
      </c>
      <c r="J91" s="75" t="str">
        <f ca="1">'Emission Factors database'!L95</f>
        <v>50,500</v>
      </c>
      <c r="K91" s="75" t="str">
        <f ca="1">'Emission Factors database'!M95</f>
        <v>0</v>
      </c>
      <c r="L91" s="75" t="str">
        <f ca="1">'Emission Factors database'!N95</f>
        <v>0</v>
      </c>
      <c r="M91" s="75" t="str">
        <f ca="1">'Emission Factors database'!O95</f>
        <v>0</v>
      </c>
      <c r="N91" s="75" t="str">
        <f ca="1">'Emission Factors database'!P95</f>
        <v>0</v>
      </c>
      <c r="O91" s="75" t="str">
        <f ca="1">'Emission Factors database'!Q95</f>
        <v>0</v>
      </c>
      <c r="P91" s="75" t="str">
        <f ca="1">'Emission Factors database'!R95</f>
        <v>0</v>
      </c>
      <c r="Q91" s="75" t="str">
        <f ca="1">'Emission Factors database'!S95</f>
        <v>0</v>
      </c>
      <c r="R91" s="75" t="str">
        <f ca="1">'Emission Factors database'!T95</f>
        <v>0</v>
      </c>
      <c r="S91" s="75" t="str">
        <f ca="1">'Emission Factors database'!U95</f>
        <v>0</v>
      </c>
      <c r="T91" s="75" t="str">
        <f ca="1">'Emission Factors database'!V95</f>
        <v>0</v>
      </c>
      <c r="U91" s="75" t="str">
        <f ca="1">'Emission Factors database'!W95</f>
        <v/>
      </c>
      <c r="V91" s="75">
        <f>'Emission Factors database'!X95</f>
        <v>0</v>
      </c>
      <c r="W91" s="75" t="str">
        <f ca="1">'Emission Factors database'!Z95</f>
        <v>No</v>
      </c>
    </row>
    <row r="92" spans="1:23" ht="24.9" customHeight="1" x14ac:dyDescent="0.25">
      <c r="A92" s="75" t="str">
        <f>'Emission Factors database'!B96</f>
        <v>Asphalt</v>
      </c>
      <c r="B92" s="75" t="str">
        <f>'Emission Factors database'!C96</f>
        <v>Asphalt</v>
      </c>
      <c r="C92" s="75" t="str">
        <f ca="1">'Emission Factors database'!D96</f>
        <v>Any asphalt mix</v>
      </c>
      <c r="D92" s="75" t="str">
        <f ca="1">'Emission Factors database'!F96</f>
        <v>tonne</v>
      </c>
      <c r="E92" s="75" t="str">
        <f ca="1">'Emission Factors database'!G96</f>
        <v>Tier 2</v>
      </c>
      <c r="F92" s="75">
        <f ca="1">'Emission Factors database'!H96</f>
        <v>1.05</v>
      </c>
      <c r="G92" s="75" t="str">
        <f ca="1">'Emission Factors database'!I96</f>
        <v>141</v>
      </c>
      <c r="H92" s="75" t="str">
        <f ca="1">'Emission Factors database'!J96</f>
        <v>134</v>
      </c>
      <c r="I92" s="75" t="str">
        <f ca="1">'Emission Factors database'!K96</f>
        <v>11.3</v>
      </c>
      <c r="J92" s="75" t="str">
        <f ca="1">'Emission Factors database'!L96</f>
        <v>72.4</v>
      </c>
      <c r="K92" s="75" t="str">
        <f ca="1">'Emission Factors database'!M96</f>
        <v>0.141</v>
      </c>
      <c r="L92" s="75" t="str">
        <f ca="1">'Emission Factors database'!N96</f>
        <v>0.134</v>
      </c>
      <c r="M92" s="75" t="str">
        <f ca="1">'Emission Factors database'!O96</f>
        <v>0.0113</v>
      </c>
      <c r="N92" s="75" t="str">
        <f ca="1">'Emission Factors database'!P96</f>
        <v>0.0724</v>
      </c>
      <c r="O92" s="75" t="str">
        <f ca="1">'Emission Factors database'!Q96</f>
        <v>0</v>
      </c>
      <c r="P92" s="75" t="str">
        <f ca="1">'Emission Factors database'!R96</f>
        <v>0</v>
      </c>
      <c r="Q92" s="75" t="str">
        <f ca="1">'Emission Factors database'!S96</f>
        <v>0</v>
      </c>
      <c r="R92" s="75" t="str">
        <f ca="1">'Emission Factors database'!T96</f>
        <v>0</v>
      </c>
      <c r="S92" s="75" t="str">
        <f ca="1">'Emission Factors database'!U96</f>
        <v>0</v>
      </c>
      <c r="T92" s="75" t="str">
        <f ca="1">'Emission Factors database'!V96</f>
        <v>0</v>
      </c>
      <c r="U92" s="75" t="str">
        <f ca="1">'Emission Factors database'!W96</f>
        <v>1,000</v>
      </c>
      <c r="V92" s="75" t="str">
        <f ca="1">'Emission Factors database'!X96</f>
        <v>kg/tonne</v>
      </c>
      <c r="W92" s="75" t="str">
        <f ca="1">'Emission Factors database'!Z96</f>
        <v>No</v>
      </c>
    </row>
    <row r="93" spans="1:23" ht="24.9" customHeight="1" x14ac:dyDescent="0.25">
      <c r="A93" s="75" t="str">
        <f>'Emission Factors database'!B97</f>
        <v>Concrete in-situ</v>
      </c>
      <c r="B93" s="75" t="str">
        <f>'Emission Factors database'!C97</f>
        <v>Kerb</v>
      </c>
      <c r="C93" s="75" t="str">
        <f ca="1">'Emission Factors database'!D97</f>
        <v>Any concrete mix with a strength rating of 32 MPa or lower and greater than 25 MPa</v>
      </c>
      <c r="D93" s="75" t="str">
        <f ca="1">'Emission Factors database'!F97</f>
        <v>m³</v>
      </c>
      <c r="E93" s="75" t="str">
        <f ca="1">'Emission Factors database'!G97</f>
        <v>Tier 1</v>
      </c>
      <c r="F93" s="75">
        <f ca="1">'Emission Factors database'!H97</f>
        <v>1.02</v>
      </c>
      <c r="G93" s="75" t="str">
        <f ca="1">'Emission Factors database'!I97</f>
        <v>468</v>
      </c>
      <c r="H93" s="75" t="str">
        <f ca="1">'Emission Factors database'!J97</f>
        <v>459</v>
      </c>
      <c r="I93" s="75" t="str">
        <f ca="1">'Emission Factors database'!K97</f>
        <v>167</v>
      </c>
      <c r="J93" s="75" t="str">
        <f ca="1">'Emission Factors database'!L97</f>
        <v>249</v>
      </c>
      <c r="K93" s="75" t="str">
        <f ca="1">'Emission Factors database'!M97</f>
        <v>0.195</v>
      </c>
      <c r="L93" s="75" t="str">
        <f ca="1">'Emission Factors database'!N97</f>
        <v>0.191</v>
      </c>
      <c r="M93" s="75" t="str">
        <f ca="1">'Emission Factors database'!O97</f>
        <v>0.0696</v>
      </c>
      <c r="N93" s="75" t="str">
        <f ca="1">'Emission Factors database'!P97</f>
        <v>0.104</v>
      </c>
      <c r="O93" s="75" t="str">
        <f ca="1">'Emission Factors database'!Q97</f>
        <v>0</v>
      </c>
      <c r="P93" s="75" t="str">
        <f ca="1">'Emission Factors database'!R97</f>
        <v>0</v>
      </c>
      <c r="Q93" s="75" t="str">
        <f ca="1">'Emission Factors database'!S97</f>
        <v>0</v>
      </c>
      <c r="R93" s="75" t="str">
        <f ca="1">'Emission Factors database'!T97</f>
        <v>0</v>
      </c>
      <c r="S93" s="75" t="str">
        <f ca="1">'Emission Factors database'!U97</f>
        <v>0</v>
      </c>
      <c r="T93" s="75" t="str">
        <f ca="1">'Emission Factors database'!V97</f>
        <v>0</v>
      </c>
      <c r="U93" s="75" t="str">
        <f ca="1">'Emission Factors database'!W97</f>
        <v>2,400</v>
      </c>
      <c r="V93" s="75" t="str">
        <f ca="1">'Emission Factors database'!X97</f>
        <v>kg/m³</v>
      </c>
      <c r="W93" s="75" t="str">
        <f ca="1">'Emission Factors database'!Z97</f>
        <v>No</v>
      </c>
    </row>
    <row r="94" spans="1:23" ht="24.9" customHeight="1" x14ac:dyDescent="0.25">
      <c r="A94" s="75" t="str">
        <f>'Emission Factors database'!B98</f>
        <v>Floors</v>
      </c>
      <c r="B94" s="75" t="str">
        <f>'Emission Factors database'!C98</f>
        <v>Access flooring</v>
      </c>
      <c r="C94" s="75" t="str">
        <f ca="1">'Emission Factors database'!D98</f>
        <v>Access floor (raised floor) including pedestal, base, componentry. Excluding finish top layer.</v>
      </c>
      <c r="D94" s="75" t="str">
        <f ca="1">'Emission Factors database'!F98</f>
        <v>m²</v>
      </c>
      <c r="E94" s="75" t="str">
        <f ca="1">'Emission Factors database'!G98</f>
        <v>Tier 3</v>
      </c>
      <c r="F94" s="75">
        <f ca="1">'Emission Factors database'!H98</f>
        <v>1.1000000000000001</v>
      </c>
      <c r="G94" s="75" t="str">
        <f ca="1">'Emission Factors database'!I98</f>
        <v>83.6</v>
      </c>
      <c r="H94" s="75" t="str">
        <f ca="1">'Emission Factors database'!J98</f>
        <v>76.0</v>
      </c>
      <c r="I94" s="75" t="str">
        <f ca="1">'Emission Factors database'!K98</f>
        <v>19.0</v>
      </c>
      <c r="J94" s="75" t="str">
        <f ca="1">'Emission Factors database'!L98</f>
        <v>38.4</v>
      </c>
      <c r="K94" s="75" t="str">
        <f ca="1">'Emission Factors database'!M98</f>
        <v>1.42</v>
      </c>
      <c r="L94" s="75" t="str">
        <f ca="1">'Emission Factors database'!N98</f>
        <v>1.29</v>
      </c>
      <c r="M94" s="75" t="str">
        <f ca="1">'Emission Factors database'!O98</f>
        <v>0.306</v>
      </c>
      <c r="N94" s="75" t="str">
        <f ca="1">'Emission Factors database'!P98</f>
        <v>0.822</v>
      </c>
      <c r="O94" s="75" t="str">
        <f ca="1">'Emission Factors database'!Q98</f>
        <v>0</v>
      </c>
      <c r="P94" s="75" t="str">
        <f ca="1">'Emission Factors database'!R98</f>
        <v>0</v>
      </c>
      <c r="Q94" s="75" t="str">
        <f ca="1">'Emission Factors database'!S98</f>
        <v>0</v>
      </c>
      <c r="R94" s="75" t="str">
        <f ca="1">'Emission Factors database'!T98</f>
        <v>0</v>
      </c>
      <c r="S94" s="75" t="str">
        <f ca="1">'Emission Factors database'!U98</f>
        <v>0</v>
      </c>
      <c r="T94" s="75" t="str">
        <f ca="1">'Emission Factors database'!V98</f>
        <v>0</v>
      </c>
      <c r="U94" s="75" t="str">
        <f ca="1">'Emission Factors database'!W98</f>
        <v>46.7</v>
      </c>
      <c r="V94" s="75" t="str">
        <f ca="1">'Emission Factors database'!X98</f>
        <v>kg/m²</v>
      </c>
      <c r="W94" s="75" t="str">
        <f ca="1">'Emission Factors database'!Z98</f>
        <v>No</v>
      </c>
    </row>
    <row r="95" spans="1:23" ht="24.9" customHeight="1" x14ac:dyDescent="0.25">
      <c r="A95" s="75" t="str">
        <f>'Emission Factors database'!B99</f>
        <v>Floors</v>
      </c>
      <c r="B95" s="75" t="str">
        <f>'Emission Factors database'!C99</f>
        <v>Carpet flooring</v>
      </c>
      <c r="C95" s="75" t="str">
        <f ca="1">'Emission Factors database'!D99</f>
        <v>Carpet for flooring inc. carpet tiles.</v>
      </c>
      <c r="D95" s="75" t="str">
        <f ca="1">'Emission Factors database'!F99</f>
        <v>m²</v>
      </c>
      <c r="E95" s="75" t="str">
        <f ca="1">'Emission Factors database'!G99</f>
        <v>Tier 4</v>
      </c>
      <c r="F95" s="75">
        <f ca="1">'Emission Factors database'!H99</f>
        <v>1.2</v>
      </c>
      <c r="G95" s="75" t="str">
        <f ca="1">'Emission Factors database'!I99</f>
        <v>34.2</v>
      </c>
      <c r="H95" s="75" t="str">
        <f ca="1">'Emission Factors database'!J99</f>
        <v>28.5</v>
      </c>
      <c r="I95" s="75" t="str">
        <f ca="1">'Emission Factors database'!K99</f>
        <v>8.53</v>
      </c>
      <c r="J95" s="75" t="str">
        <f ca="1">'Emission Factors database'!L99</f>
        <v>15.7</v>
      </c>
      <c r="K95" s="75" t="str">
        <f ca="1">'Emission Factors database'!M99</f>
        <v>13.3</v>
      </c>
      <c r="L95" s="75" t="str">
        <f ca="1">'Emission Factors database'!N99</f>
        <v>11.1</v>
      </c>
      <c r="M95" s="75" t="str">
        <f ca="1">'Emission Factors database'!O99</f>
        <v>2.26</v>
      </c>
      <c r="N95" s="75" t="str">
        <f ca="1">'Emission Factors database'!P99</f>
        <v>4.90</v>
      </c>
      <c r="O95" s="75" t="str">
        <f ca="1">'Emission Factors database'!Q99</f>
        <v>0</v>
      </c>
      <c r="P95" s="75" t="str">
        <f ca="1">'Emission Factors database'!R99</f>
        <v>0</v>
      </c>
      <c r="Q95" s="75" t="str">
        <f ca="1">'Emission Factors database'!S99</f>
        <v>0</v>
      </c>
      <c r="R95" s="75" t="str">
        <f ca="1">'Emission Factors database'!T99</f>
        <v>0</v>
      </c>
      <c r="S95" s="75" t="str">
        <f ca="1">'Emission Factors database'!U99</f>
        <v>0</v>
      </c>
      <c r="T95" s="75" t="str">
        <f ca="1">'Emission Factors database'!V99</f>
        <v>0</v>
      </c>
      <c r="U95" s="75" t="str">
        <f ca="1">'Emission Factors database'!W99</f>
        <v>3.22</v>
      </c>
      <c r="V95" s="75" t="str">
        <f ca="1">'Emission Factors database'!X99</f>
        <v>kg/m²</v>
      </c>
      <c r="W95" s="75" t="str">
        <f ca="1">'Emission Factors database'!Z99</f>
        <v>No</v>
      </c>
    </row>
    <row r="96" spans="1:23" ht="24.9" customHeight="1" x14ac:dyDescent="0.25">
      <c r="A96" s="75" t="str">
        <f>'Emission Factors database'!B100</f>
        <v>Floors</v>
      </c>
      <c r="B96" s="75" t="str">
        <f>'Emission Factors database'!C100</f>
        <v>Vinyl flooring</v>
      </c>
      <c r="C96" s="75" t="str">
        <f ca="1">'Emission Factors database'!D100</f>
        <v xml:space="preserve">Vinyl flooring </v>
      </c>
      <c r="D96" s="75" t="str">
        <f ca="1">'Emission Factors database'!F100</f>
        <v>m²</v>
      </c>
      <c r="E96" s="75" t="str">
        <f ca="1">'Emission Factors database'!G100</f>
        <v>Tier 3</v>
      </c>
      <c r="F96" s="75">
        <f ca="1">'Emission Factors database'!H100</f>
        <v>1.1000000000000001</v>
      </c>
      <c r="G96" s="75" t="str">
        <f ca="1">'Emission Factors database'!I100</f>
        <v>37.8</v>
      </c>
      <c r="H96" s="75" t="str">
        <f ca="1">'Emission Factors database'!J100</f>
        <v>34.4</v>
      </c>
      <c r="I96" s="75" t="str">
        <f ca="1">'Emission Factors database'!K100</f>
        <v>9.11</v>
      </c>
      <c r="J96" s="75" t="str">
        <f ca="1">'Emission Factors database'!L100</f>
        <v>21.4</v>
      </c>
      <c r="K96" s="75" t="str">
        <f ca="1">'Emission Factors database'!M100</f>
        <v>2.53</v>
      </c>
      <c r="L96" s="75" t="str">
        <f ca="1">'Emission Factors database'!N100</f>
        <v>2.30</v>
      </c>
      <c r="M96" s="75" t="str">
        <f ca="1">'Emission Factors database'!O100</f>
        <v>0.868</v>
      </c>
      <c r="N96" s="75" t="str">
        <f ca="1">'Emission Factors database'!P100</f>
        <v>1.84</v>
      </c>
      <c r="O96" s="75" t="str">
        <f ca="1">'Emission Factors database'!Q100</f>
        <v>0</v>
      </c>
      <c r="P96" s="75" t="str">
        <f ca="1">'Emission Factors database'!R100</f>
        <v>0</v>
      </c>
      <c r="Q96" s="75" t="str">
        <f ca="1">'Emission Factors database'!S100</f>
        <v>0</v>
      </c>
      <c r="R96" s="75" t="str">
        <f ca="1">'Emission Factors database'!T100</f>
        <v>0</v>
      </c>
      <c r="S96" s="75" t="str">
        <f ca="1">'Emission Factors database'!U100</f>
        <v>0</v>
      </c>
      <c r="T96" s="75" t="str">
        <f ca="1">'Emission Factors database'!V100</f>
        <v>0</v>
      </c>
      <c r="U96" s="75" t="str">
        <f ca="1">'Emission Factors database'!W100</f>
        <v>11.6</v>
      </c>
      <c r="V96" s="75" t="str">
        <f ca="1">'Emission Factors database'!X100</f>
        <v>kg/m²</v>
      </c>
      <c r="W96" s="75" t="str">
        <f ca="1">'Emission Factors database'!Z100</f>
        <v>No</v>
      </c>
    </row>
    <row r="97" spans="1:23" ht="24.9" customHeight="1" x14ac:dyDescent="0.25">
      <c r="A97" s="75" t="str">
        <f>'Emission Factors database'!B101</f>
        <v>Floors</v>
      </c>
      <c r="B97" s="75" t="str">
        <f>'Emission Factors database'!C101</f>
        <v>Rubber flooring</v>
      </c>
      <c r="C97" s="75" t="str">
        <f ca="1">'Emission Factors database'!D101</f>
        <v>Rubber flooring</v>
      </c>
      <c r="D97" s="75" t="str">
        <f ca="1">'Emission Factors database'!F101</f>
        <v>m²</v>
      </c>
      <c r="E97" s="75" t="str">
        <f ca="1">'Emission Factors database'!G101</f>
        <v>Tier 4</v>
      </c>
      <c r="F97" s="75">
        <f ca="1">'Emission Factors database'!H101</f>
        <v>1.2</v>
      </c>
      <c r="G97" s="75" t="str">
        <f ca="1">'Emission Factors database'!I101</f>
        <v>19.5</v>
      </c>
      <c r="H97" s="75" t="str">
        <f ca="1">'Emission Factors database'!J101</f>
        <v>16.2</v>
      </c>
      <c r="I97" s="75" t="str">
        <f ca="1">'Emission Factors database'!K101</f>
        <v>16.2</v>
      </c>
      <c r="J97" s="75" t="str">
        <f ca="1">'Emission Factors database'!L101</f>
        <v>16.2</v>
      </c>
      <c r="K97" s="75" t="str">
        <f ca="1">'Emission Factors database'!M101</f>
        <v>10.2</v>
      </c>
      <c r="L97" s="75" t="str">
        <f ca="1">'Emission Factors database'!N101</f>
        <v>8.54</v>
      </c>
      <c r="M97" s="75" t="str">
        <f ca="1">'Emission Factors database'!O101</f>
        <v>8.54</v>
      </c>
      <c r="N97" s="75" t="str">
        <f ca="1">'Emission Factors database'!P101</f>
        <v>8.54</v>
      </c>
      <c r="O97" s="75" t="str">
        <f ca="1">'Emission Factors database'!Q101</f>
        <v>0</v>
      </c>
      <c r="P97" s="75" t="str">
        <f ca="1">'Emission Factors database'!R101</f>
        <v>0</v>
      </c>
      <c r="Q97" s="75" t="str">
        <f ca="1">'Emission Factors database'!S101</f>
        <v>0</v>
      </c>
      <c r="R97" s="75" t="str">
        <f ca="1">'Emission Factors database'!T101</f>
        <v>0</v>
      </c>
      <c r="S97" s="75" t="str">
        <f ca="1">'Emission Factors database'!U101</f>
        <v>0</v>
      </c>
      <c r="T97" s="75" t="str">
        <f ca="1">'Emission Factors database'!V101</f>
        <v>0</v>
      </c>
      <c r="U97" s="75" t="str">
        <f ca="1">'Emission Factors database'!W101</f>
        <v>1.90</v>
      </c>
      <c r="V97" s="75" t="str">
        <f ca="1">'Emission Factors database'!X101</f>
        <v>kg/m²</v>
      </c>
      <c r="W97" s="75" t="str">
        <f ca="1">'Emission Factors database'!Z101</f>
        <v>No</v>
      </c>
    </row>
    <row r="98" spans="1:23" ht="24.9" customHeight="1" x14ac:dyDescent="0.25">
      <c r="A98" s="75" t="str">
        <f>'Emission Factors database'!B102</f>
        <v>Floors</v>
      </c>
      <c r="B98" s="75" t="str">
        <f>'Emission Factors database'!C102</f>
        <v>Laminate flooring</v>
      </c>
      <c r="C98" s="75" t="str">
        <f ca="1">'Emission Factors database'!D102</f>
        <v>Laminate flooring</v>
      </c>
      <c r="D98" s="75" t="str">
        <f ca="1">'Emission Factors database'!F102</f>
        <v>m²</v>
      </c>
      <c r="E98" s="75" t="str">
        <f ca="1">'Emission Factors database'!G102</f>
        <v>Tier 4</v>
      </c>
      <c r="F98" s="75">
        <f ca="1">'Emission Factors database'!H102</f>
        <v>1.2</v>
      </c>
      <c r="G98" s="75" t="str">
        <f ca="1">'Emission Factors database'!I102</f>
        <v>5.69</v>
      </c>
      <c r="H98" s="75" t="str">
        <f ca="1">'Emission Factors database'!J102</f>
        <v>4.74</v>
      </c>
      <c r="I98" s="75" t="str">
        <f ca="1">'Emission Factors database'!K102</f>
        <v>2.67</v>
      </c>
      <c r="J98" s="75" t="str">
        <f ca="1">'Emission Factors database'!L102</f>
        <v>3.71</v>
      </c>
      <c r="K98" s="75" t="str">
        <f ca="1">'Emission Factors database'!M102</f>
        <v>0.814</v>
      </c>
      <c r="L98" s="75" t="str">
        <f ca="1">'Emission Factors database'!N102</f>
        <v>0.679</v>
      </c>
      <c r="M98" s="75" t="str">
        <f ca="1">'Emission Factors database'!O102</f>
        <v>0.384</v>
      </c>
      <c r="N98" s="75" t="str">
        <f ca="1">'Emission Factors database'!P102</f>
        <v>0.531</v>
      </c>
      <c r="O98" s="75" t="str">
        <f ca="1">'Emission Factors database'!Q102</f>
        <v>0</v>
      </c>
      <c r="P98" s="75" t="str">
        <f ca="1">'Emission Factors database'!R102</f>
        <v>0</v>
      </c>
      <c r="Q98" s="75" t="str">
        <f ca="1">'Emission Factors database'!S102</f>
        <v>0</v>
      </c>
      <c r="R98" s="75" t="str">
        <f ca="1">'Emission Factors database'!T102</f>
        <v>0</v>
      </c>
      <c r="S98" s="75" t="str">
        <f ca="1">'Emission Factors database'!U102</f>
        <v>0</v>
      </c>
      <c r="T98" s="75" t="str">
        <f ca="1">'Emission Factors database'!V102</f>
        <v>0</v>
      </c>
      <c r="U98" s="75" t="str">
        <f ca="1">'Emission Factors database'!W102</f>
        <v>6.98</v>
      </c>
      <c r="V98" s="75" t="str">
        <f ca="1">'Emission Factors database'!X102</f>
        <v>kg/m²</v>
      </c>
      <c r="W98" s="75" t="str">
        <f ca="1">'Emission Factors database'!Z102</f>
        <v>No</v>
      </c>
    </row>
    <row r="99" spans="1:23" ht="24.9" customHeight="1" x14ac:dyDescent="0.25">
      <c r="A99" s="75" t="str">
        <f>'Emission Factors database'!B103</f>
        <v>Floors</v>
      </c>
      <c r="B99" s="75" t="str">
        <f>'Emission Factors database'!C103</f>
        <v>Hybrid flooring</v>
      </c>
      <c r="C99" s="75" t="str">
        <f ca="1">'Emission Factors database'!D103</f>
        <v>Hybrid flooring</v>
      </c>
      <c r="D99" s="75" t="str">
        <f ca="1">'Emission Factors database'!F103</f>
        <v>m²</v>
      </c>
      <c r="E99" s="75" t="str">
        <f ca="1">'Emission Factors database'!G103</f>
        <v>Tier 4</v>
      </c>
      <c r="F99" s="75">
        <f ca="1">'Emission Factors database'!H103</f>
        <v>1.2</v>
      </c>
      <c r="G99" s="75" t="str">
        <f ca="1">'Emission Factors database'!I103</f>
        <v>15.6</v>
      </c>
      <c r="H99" s="75" t="str">
        <f ca="1">'Emission Factors database'!J103</f>
        <v>13.0</v>
      </c>
      <c r="I99" s="75" t="str">
        <f ca="1">'Emission Factors database'!K103</f>
        <v>13.0</v>
      </c>
      <c r="J99" s="75" t="str">
        <f ca="1">'Emission Factors database'!L103</f>
        <v>13.0</v>
      </c>
      <c r="K99" s="75" t="str">
        <f ca="1">'Emission Factors database'!M103</f>
        <v>1.82</v>
      </c>
      <c r="L99" s="75" t="str">
        <f ca="1">'Emission Factors database'!N103</f>
        <v>1.52</v>
      </c>
      <c r="M99" s="75" t="str">
        <f ca="1">'Emission Factors database'!O103</f>
        <v>1.52</v>
      </c>
      <c r="N99" s="75" t="str">
        <f ca="1">'Emission Factors database'!P103</f>
        <v>1.52</v>
      </c>
      <c r="O99" s="75" t="str">
        <f ca="1">'Emission Factors database'!Q103</f>
        <v>10.9</v>
      </c>
      <c r="P99" s="75" t="str">
        <f ca="1">'Emission Factors database'!R103</f>
        <v>9.09</v>
      </c>
      <c r="Q99" s="75" t="str">
        <f ca="1">'Emission Factors database'!S103</f>
        <v>9.09</v>
      </c>
      <c r="R99" s="75" t="str">
        <f ca="1">'Emission Factors database'!T103</f>
        <v>1.06</v>
      </c>
      <c r="S99" s="75" t="str">
        <f ca="1">'Emission Factors database'!U103</f>
        <v>1.06</v>
      </c>
      <c r="T99" s="75" t="str">
        <f ca="1">'Emission Factors database'!V103</f>
        <v>1.06</v>
      </c>
      <c r="U99" s="75" t="str">
        <f ca="1">'Emission Factors database'!W103</f>
        <v>8.60</v>
      </c>
      <c r="V99" s="75" t="str">
        <f ca="1">'Emission Factors database'!X103</f>
        <v>kg/m²</v>
      </c>
      <c r="W99" s="75" t="str">
        <f ca="1">'Emission Factors database'!Z103</f>
        <v>No</v>
      </c>
    </row>
    <row r="100" spans="1:23" ht="24.9" customHeight="1" x14ac:dyDescent="0.25">
      <c r="A100" s="75" t="str">
        <f>'Emission Factors database'!B104</f>
        <v>Windows &amp; doors</v>
      </c>
      <c r="B100" s="75" t="str">
        <f>'Emission Factors database'!C104</f>
        <v>Window - Aluminium frame  - Generic</v>
      </c>
      <c r="C100" s="75" t="str">
        <f ca="1">'Emission Factors database'!D104</f>
        <v>Determination of a generic window and door as described in material category column. Includes glass, framing, thermal breaks, spandrel/cladding material and key componentry in one sqm rate.</v>
      </c>
      <c r="D100" s="75" t="str">
        <f>'Emission Factors database'!F104</f>
        <v>m²</v>
      </c>
      <c r="E100" s="75" t="str">
        <f>'Emission Factors database'!G104</f>
        <v>Untiered</v>
      </c>
      <c r="F100" s="75">
        <f>'Emission Factors database'!H104</f>
        <v>1</v>
      </c>
      <c r="G100" s="75" t="str">
        <f ca="1">'Emission Factors database'!I104</f>
        <v>257</v>
      </c>
      <c r="H100" s="75" t="str">
        <f>'Emission Factors database'!J104</f>
        <v/>
      </c>
      <c r="I100" s="75" t="str">
        <f ca="1">'Emission Factors database'!K104</f>
        <v>46.3</v>
      </c>
      <c r="J100" s="75" t="str">
        <f ca="1">'Emission Factors database'!L104</f>
        <v>153</v>
      </c>
      <c r="K100" s="75" t="str">
        <f ca="1">'Emission Factors database'!M104</f>
        <v>11.2</v>
      </c>
      <c r="L100" s="75" t="str">
        <f>'Emission Factors database'!N104</f>
        <v/>
      </c>
      <c r="M100" s="75" t="str">
        <f ca="1">'Emission Factors database'!O104</f>
        <v>2.01</v>
      </c>
      <c r="N100" s="75" t="str">
        <f ca="1">'Emission Factors database'!P104</f>
        <v>6.65</v>
      </c>
      <c r="O100" s="75" t="str">
        <f ca="1">'Emission Factors database'!Q104</f>
        <v>0</v>
      </c>
      <c r="P100" s="75" t="str">
        <f>'Emission Factors database'!R104</f>
        <v/>
      </c>
      <c r="Q100" s="75" t="str">
        <f ca="1">'Emission Factors database'!S104</f>
        <v>0</v>
      </c>
      <c r="R100" s="75" t="str">
        <f ca="1">'Emission Factors database'!T104</f>
        <v>0</v>
      </c>
      <c r="S100" s="75" t="str">
        <f>'Emission Factors database'!U104</f>
        <v/>
      </c>
      <c r="T100" s="75" t="str">
        <f ca="1">'Emission Factors database'!V104</f>
        <v>0</v>
      </c>
      <c r="U100" s="75" t="str">
        <f ca="1">'Emission Factors database'!W104</f>
        <v>23.0</v>
      </c>
      <c r="V100" s="75" t="str">
        <f>'Emission Factors database'!X104</f>
        <v>kg/m²</v>
      </c>
      <c r="W100" s="75" t="str">
        <f ca="1">'Emission Factors database'!Z104</f>
        <v>No</v>
      </c>
    </row>
    <row r="101" spans="1:23" ht="24.9" customHeight="1" x14ac:dyDescent="0.25">
      <c r="A101" s="75" t="str">
        <f>'Emission Factors database'!B105</f>
        <v>Windows &amp; doors</v>
      </c>
      <c r="B101" s="75" t="str">
        <f>'Emission Factors database'!C105</f>
        <v>Door - glazed - Timber/Aluminium  - Generic</v>
      </c>
      <c r="C101" s="75" t="str">
        <f ca="1">'Emission Factors database'!D105</f>
        <v>Determination of a generic window and door as described in material category column. Includes glass, framing, thermal breaks, spandrel/cladding material and key componentry in one sqm rate.</v>
      </c>
      <c r="D101" s="75" t="str">
        <f>'Emission Factors database'!F105</f>
        <v>m²</v>
      </c>
      <c r="E101" s="75" t="str">
        <f>'Emission Factors database'!G105</f>
        <v>Untiered</v>
      </c>
      <c r="F101" s="75">
        <f>'Emission Factors database'!H105</f>
        <v>1</v>
      </c>
      <c r="G101" s="75" t="str">
        <f ca="1">'Emission Factors database'!I105</f>
        <v>291</v>
      </c>
      <c r="H101" s="75" t="str">
        <f>'Emission Factors database'!J105</f>
        <v/>
      </c>
      <c r="I101" s="75" t="str">
        <f ca="1">'Emission Factors database'!K105</f>
        <v>51.5</v>
      </c>
      <c r="J101" s="75" t="str">
        <f ca="1">'Emission Factors database'!L105</f>
        <v>173</v>
      </c>
      <c r="K101" s="75" t="str">
        <f ca="1">'Emission Factors database'!M105</f>
        <v>10.3</v>
      </c>
      <c r="L101" s="75" t="str">
        <f>'Emission Factors database'!N105</f>
        <v/>
      </c>
      <c r="M101" s="75" t="str">
        <f ca="1">'Emission Factors database'!O105</f>
        <v>1.83</v>
      </c>
      <c r="N101" s="75" t="str">
        <f ca="1">'Emission Factors database'!P105</f>
        <v>6.15</v>
      </c>
      <c r="O101" s="75" t="str">
        <f ca="1">'Emission Factors database'!Q105</f>
        <v>5.72</v>
      </c>
      <c r="P101" s="75" t="str">
        <f>'Emission Factors database'!R105</f>
        <v/>
      </c>
      <c r="Q101" s="75" t="str">
        <f ca="1">'Emission Factors database'!S105</f>
        <v>5.61</v>
      </c>
      <c r="R101" s="75" t="str">
        <f ca="1">'Emission Factors database'!T105</f>
        <v>0.203</v>
      </c>
      <c r="S101" s="75" t="str">
        <f>'Emission Factors database'!U105</f>
        <v/>
      </c>
      <c r="T101" s="75" t="str">
        <f ca="1">'Emission Factors database'!V105</f>
        <v>0.199</v>
      </c>
      <c r="U101" s="75" t="str">
        <f ca="1">'Emission Factors database'!W105</f>
        <v>28.2</v>
      </c>
      <c r="V101" s="75" t="str">
        <f>'Emission Factors database'!X105</f>
        <v>kg/m²</v>
      </c>
      <c r="W101" s="75" t="str">
        <f ca="1">'Emission Factors database'!Z105</f>
        <v>No</v>
      </c>
    </row>
    <row r="102" spans="1:23" ht="24.9" customHeight="1" x14ac:dyDescent="0.25">
      <c r="A102" s="75" t="str">
        <f>'Emission Factors database'!B106</f>
        <v>Windows &amp; doors</v>
      </c>
      <c r="B102" s="75" t="str">
        <f>'Emission Factors database'!C106</f>
        <v>Door - glazed - Steel  - Generic</v>
      </c>
      <c r="C102" s="75" t="str">
        <f ca="1">'Emission Factors database'!D106</f>
        <v>Determination of a generic window and door as described in material category column. Includes glass, framing, thermal breaks, spandrel/cladding material and key componentry in one sqm rate.</v>
      </c>
      <c r="D102" s="75" t="str">
        <f>'Emission Factors database'!F106</f>
        <v>m²</v>
      </c>
      <c r="E102" s="75" t="str">
        <f>'Emission Factors database'!G106</f>
        <v>Untiered</v>
      </c>
      <c r="F102" s="75">
        <f>'Emission Factors database'!H106</f>
        <v>1</v>
      </c>
      <c r="G102" s="75" t="str">
        <f ca="1">'Emission Factors database'!I106</f>
        <v>181</v>
      </c>
      <c r="H102" s="75" t="str">
        <f>'Emission Factors database'!J106</f>
        <v/>
      </c>
      <c r="I102" s="75" t="str">
        <f ca="1">'Emission Factors database'!K106</f>
        <v>68.0</v>
      </c>
      <c r="J102" s="75" t="str">
        <f ca="1">'Emission Factors database'!L106</f>
        <v>115</v>
      </c>
      <c r="K102" s="75" t="str">
        <f ca="1">'Emission Factors database'!M106</f>
        <v>3.49</v>
      </c>
      <c r="L102" s="75" t="str">
        <f>'Emission Factors database'!N106</f>
        <v/>
      </c>
      <c r="M102" s="75" t="str">
        <f ca="1">'Emission Factors database'!O106</f>
        <v>1.31</v>
      </c>
      <c r="N102" s="75" t="str">
        <f ca="1">'Emission Factors database'!P106</f>
        <v>2.22</v>
      </c>
      <c r="O102" s="75" t="str">
        <f ca="1">'Emission Factors database'!Q106</f>
        <v>0</v>
      </c>
      <c r="P102" s="75" t="str">
        <f>'Emission Factors database'!R106</f>
        <v/>
      </c>
      <c r="Q102" s="75" t="str">
        <f ca="1">'Emission Factors database'!S106</f>
        <v>0</v>
      </c>
      <c r="R102" s="75" t="str">
        <f ca="1">'Emission Factors database'!T106</f>
        <v>0</v>
      </c>
      <c r="S102" s="75" t="str">
        <f>'Emission Factors database'!U106</f>
        <v/>
      </c>
      <c r="T102" s="75" t="str">
        <f ca="1">'Emission Factors database'!V106</f>
        <v>0</v>
      </c>
      <c r="U102" s="75" t="str">
        <f ca="1">'Emission Factors database'!W106</f>
        <v>51.7</v>
      </c>
      <c r="V102" s="75" t="str">
        <f>'Emission Factors database'!X106</f>
        <v>kg/m²</v>
      </c>
      <c r="W102" s="75" t="str">
        <f ca="1">'Emission Factors database'!Z106</f>
        <v>No</v>
      </c>
    </row>
    <row r="103" spans="1:23" ht="24.9" customHeight="1" x14ac:dyDescent="0.25">
      <c r="A103" s="75" t="str">
        <f>'Emission Factors database'!B107</f>
        <v>Windows &amp; doors</v>
      </c>
      <c r="B103" s="75" t="str">
        <f>'Emission Factors database'!C107</f>
        <v>Door - glazed - minimal frame - Generic</v>
      </c>
      <c r="C103" s="75" t="str">
        <f ca="1">'Emission Factors database'!D107</f>
        <v>Determination of a generic window and door as described in material category column. Includes glass, framing, thermal breaks, spandrel/cladding material and key componentry in one sqm rate.</v>
      </c>
      <c r="D103" s="75" t="str">
        <f>'Emission Factors database'!F107</f>
        <v>m²</v>
      </c>
      <c r="E103" s="75" t="str">
        <f>'Emission Factors database'!G107</f>
        <v>Untiered</v>
      </c>
      <c r="F103" s="75">
        <f>'Emission Factors database'!H107</f>
        <v>1</v>
      </c>
      <c r="G103" s="75" t="str">
        <f ca="1">'Emission Factors database'!I107</f>
        <v>307</v>
      </c>
      <c r="H103" s="75" t="str">
        <f>'Emission Factors database'!J107</f>
        <v/>
      </c>
      <c r="I103" s="75" t="str">
        <f ca="1">'Emission Factors database'!K107</f>
        <v>70.7</v>
      </c>
      <c r="J103" s="75" t="str">
        <f ca="1">'Emission Factors database'!L107</f>
        <v>189</v>
      </c>
      <c r="K103" s="75" t="str">
        <f ca="1">'Emission Factors database'!M107</f>
        <v>6.97</v>
      </c>
      <c r="L103" s="75" t="str">
        <f>'Emission Factors database'!N107</f>
        <v/>
      </c>
      <c r="M103" s="75" t="str">
        <f ca="1">'Emission Factors database'!O107</f>
        <v>1.61</v>
      </c>
      <c r="N103" s="75" t="str">
        <f ca="1">'Emission Factors database'!P107</f>
        <v>4.30</v>
      </c>
      <c r="O103" s="75" t="str">
        <f ca="1">'Emission Factors database'!Q107</f>
        <v>0</v>
      </c>
      <c r="P103" s="75" t="str">
        <f>'Emission Factors database'!R107</f>
        <v/>
      </c>
      <c r="Q103" s="75" t="str">
        <f ca="1">'Emission Factors database'!S107</f>
        <v>0</v>
      </c>
      <c r="R103" s="75" t="str">
        <f ca="1">'Emission Factors database'!T107</f>
        <v>0</v>
      </c>
      <c r="S103" s="75" t="str">
        <f>'Emission Factors database'!U107</f>
        <v/>
      </c>
      <c r="T103" s="75" t="str">
        <f ca="1">'Emission Factors database'!V107</f>
        <v>0</v>
      </c>
      <c r="U103" s="75" t="str">
        <f ca="1">'Emission Factors database'!W107</f>
        <v>44.0</v>
      </c>
      <c r="V103" s="75" t="str">
        <f>'Emission Factors database'!X107</f>
        <v>kg/m²</v>
      </c>
      <c r="W103" s="75" t="str">
        <f ca="1">'Emission Factors database'!Z107</f>
        <v>No</v>
      </c>
    </row>
    <row r="104" spans="1:23" ht="24.9" customHeight="1" x14ac:dyDescent="0.25">
      <c r="A104" s="75" t="str">
        <f>'Emission Factors database'!B108</f>
        <v>Windows &amp; doors</v>
      </c>
      <c r="B104" s="75" t="str">
        <f>'Emission Factors database'!C108</f>
        <v>Door - glazed - Aluminium frame - Generic</v>
      </c>
      <c r="C104" s="75" t="str">
        <f ca="1">'Emission Factors database'!D108</f>
        <v>Determination of a generic window and door as described in material category column. Includes glass, framing, thermal breaks, spandrel/cladding material and key componentry in one sqm rate.</v>
      </c>
      <c r="D104" s="75" t="str">
        <f>'Emission Factors database'!F108</f>
        <v>m²</v>
      </c>
      <c r="E104" s="75" t="str">
        <f>'Emission Factors database'!G108</f>
        <v>Untiered</v>
      </c>
      <c r="F104" s="75">
        <f>'Emission Factors database'!H108</f>
        <v>1</v>
      </c>
      <c r="G104" s="75" t="str">
        <f ca="1">'Emission Factors database'!I108</f>
        <v>313</v>
      </c>
      <c r="H104" s="75" t="str">
        <f>'Emission Factors database'!J108</f>
        <v/>
      </c>
      <c r="I104" s="75" t="str">
        <f ca="1">'Emission Factors database'!K108</f>
        <v>51.7</v>
      </c>
      <c r="J104" s="75" t="str">
        <f ca="1">'Emission Factors database'!L108</f>
        <v>185</v>
      </c>
      <c r="K104" s="75" t="str">
        <f ca="1">'Emission Factors database'!M108</f>
        <v>10.7</v>
      </c>
      <c r="L104" s="75" t="str">
        <f>'Emission Factors database'!N108</f>
        <v/>
      </c>
      <c r="M104" s="75" t="str">
        <f ca="1">'Emission Factors database'!O108</f>
        <v>1.78</v>
      </c>
      <c r="N104" s="75" t="str">
        <f ca="1">'Emission Factors database'!P108</f>
        <v>6.34</v>
      </c>
      <c r="O104" s="75" t="str">
        <f ca="1">'Emission Factors database'!Q108</f>
        <v>0</v>
      </c>
      <c r="P104" s="75" t="str">
        <f>'Emission Factors database'!R108</f>
        <v/>
      </c>
      <c r="Q104" s="75" t="str">
        <f ca="1">'Emission Factors database'!S108</f>
        <v>0</v>
      </c>
      <c r="R104" s="75" t="str">
        <f ca="1">'Emission Factors database'!T108</f>
        <v>0</v>
      </c>
      <c r="S104" s="75" t="str">
        <f>'Emission Factors database'!U108</f>
        <v/>
      </c>
      <c r="T104" s="75" t="str">
        <f ca="1">'Emission Factors database'!V108</f>
        <v>0</v>
      </c>
      <c r="U104" s="75" t="str">
        <f ca="1">'Emission Factors database'!W108</f>
        <v>29.1</v>
      </c>
      <c r="V104" s="75" t="str">
        <f>'Emission Factors database'!X108</f>
        <v>kg/m²</v>
      </c>
      <c r="W104" s="75" t="str">
        <f ca="1">'Emission Factors database'!Z108</f>
        <v>No</v>
      </c>
    </row>
    <row r="105" spans="1:23" ht="24.9" customHeight="1" x14ac:dyDescent="0.25">
      <c r="A105" s="75" t="str">
        <f>'Emission Factors database'!B109</f>
        <v>Windows &amp; doors</v>
      </c>
      <c r="B105" s="75" t="str">
        <f>'Emission Factors database'!C109</f>
        <v>Window Timber frame - Generic</v>
      </c>
      <c r="C105" s="75" t="str">
        <f ca="1">'Emission Factors database'!D109</f>
        <v>Determination of a generic window and door as described in material category column. Includes glass, framing, thermal breaks, spandrel/cladding material and key componentry in one sqm rate.</v>
      </c>
      <c r="D105" s="75" t="str">
        <f>'Emission Factors database'!F109</f>
        <v>m²</v>
      </c>
      <c r="E105" s="75" t="str">
        <f>'Emission Factors database'!G109</f>
        <v>Untiered</v>
      </c>
      <c r="F105" s="75">
        <f>'Emission Factors database'!H109</f>
        <v>1</v>
      </c>
      <c r="G105" s="75" t="str">
        <f ca="1">'Emission Factors database'!I109</f>
        <v>311</v>
      </c>
      <c r="H105" s="75" t="str">
        <f>'Emission Factors database'!J109</f>
        <v/>
      </c>
      <c r="I105" s="75" t="str">
        <f ca="1">'Emission Factors database'!K109</f>
        <v>55.0</v>
      </c>
      <c r="J105" s="75" t="str">
        <f ca="1">'Emission Factors database'!L109</f>
        <v>185</v>
      </c>
      <c r="K105" s="75" t="str">
        <f ca="1">'Emission Factors database'!M109</f>
        <v>10.3</v>
      </c>
      <c r="L105" s="75" t="str">
        <f>'Emission Factors database'!N109</f>
        <v/>
      </c>
      <c r="M105" s="75" t="str">
        <f ca="1">'Emission Factors database'!O109</f>
        <v>1.83</v>
      </c>
      <c r="N105" s="75" t="str">
        <f ca="1">'Emission Factors database'!P109</f>
        <v>6.15</v>
      </c>
      <c r="O105" s="75" t="str">
        <f ca="1">'Emission Factors database'!Q109</f>
        <v>6.10</v>
      </c>
      <c r="P105" s="75" t="str">
        <f>'Emission Factors database'!R109</f>
        <v/>
      </c>
      <c r="Q105" s="75" t="str">
        <f ca="1">'Emission Factors database'!S109</f>
        <v>5.99</v>
      </c>
      <c r="R105" s="75" t="str">
        <f ca="1">'Emission Factors database'!T109</f>
        <v>0.203</v>
      </c>
      <c r="S105" s="75" t="str">
        <f>'Emission Factors database'!U109</f>
        <v/>
      </c>
      <c r="T105" s="75" t="str">
        <f ca="1">'Emission Factors database'!V109</f>
        <v>0.199</v>
      </c>
      <c r="U105" s="75" t="str">
        <f ca="1">'Emission Factors database'!W109</f>
        <v>30.1</v>
      </c>
      <c r="V105" s="75" t="str">
        <f>'Emission Factors database'!X109</f>
        <v>kg/m²</v>
      </c>
      <c r="W105" s="75" t="str">
        <f ca="1">'Emission Factors database'!Z109</f>
        <v>No</v>
      </c>
    </row>
    <row r="106" spans="1:23" ht="24.9" customHeight="1" x14ac:dyDescent="0.25">
      <c r="A106" s="75" t="str">
        <f>'Emission Factors database'!B110</f>
        <v>Windows &amp; doors</v>
      </c>
      <c r="B106" s="75" t="str">
        <f>'Emission Factors database'!C110</f>
        <v>Door timber no glazing - Generic</v>
      </c>
      <c r="C106" s="75" t="str">
        <f ca="1">'Emission Factors database'!D110</f>
        <v>Determination of a generic window and door as described in material category column. Includes glass, framing, thermal breaks, spandrel/cladding material and key componentry in one sqm rate.</v>
      </c>
      <c r="D106" s="75" t="str">
        <f>'Emission Factors database'!F110</f>
        <v>m²</v>
      </c>
      <c r="E106" s="75" t="str">
        <f>'Emission Factors database'!G110</f>
        <v>Untiered</v>
      </c>
      <c r="F106" s="75">
        <f>'Emission Factors database'!H110</f>
        <v>1</v>
      </c>
      <c r="G106" s="75" t="str">
        <f ca="1">'Emission Factors database'!I110</f>
        <v>111</v>
      </c>
      <c r="H106" s="75" t="str">
        <f>'Emission Factors database'!J110</f>
        <v/>
      </c>
      <c r="I106" s="75" t="str">
        <f ca="1">'Emission Factors database'!K110</f>
        <v>32.7</v>
      </c>
      <c r="J106" s="75" t="str">
        <f ca="1">'Emission Factors database'!L110</f>
        <v>68.3</v>
      </c>
      <c r="K106" s="75" t="str">
        <f ca="1">'Emission Factors database'!M110</f>
        <v>1.80</v>
      </c>
      <c r="L106" s="75" t="str">
        <f>'Emission Factors database'!N110</f>
        <v/>
      </c>
      <c r="M106" s="75" t="str">
        <f ca="1">'Emission Factors database'!O110</f>
        <v>0.527</v>
      </c>
      <c r="N106" s="75" t="str">
        <f ca="1">'Emission Factors database'!P110</f>
        <v>1.10</v>
      </c>
      <c r="O106" s="75" t="str">
        <f ca="1">'Emission Factors database'!Q110</f>
        <v>70.0</v>
      </c>
      <c r="P106" s="75" t="str">
        <f>'Emission Factors database'!R110</f>
        <v/>
      </c>
      <c r="Q106" s="75" t="str">
        <f ca="1">'Emission Factors database'!S110</f>
        <v>68.8</v>
      </c>
      <c r="R106" s="75" t="str">
        <f ca="1">'Emission Factors database'!T110</f>
        <v>1.13</v>
      </c>
      <c r="S106" s="75" t="str">
        <f>'Emission Factors database'!U110</f>
        <v/>
      </c>
      <c r="T106" s="75" t="str">
        <f ca="1">'Emission Factors database'!V110</f>
        <v>1.11</v>
      </c>
      <c r="U106" s="75" t="str">
        <f ca="1">'Emission Factors database'!W110</f>
        <v>62.0</v>
      </c>
      <c r="V106" s="75" t="str">
        <f>'Emission Factors database'!X110</f>
        <v>kg/m²</v>
      </c>
      <c r="W106" s="75" t="str">
        <f ca="1">'Emission Factors database'!Z110</f>
        <v>No</v>
      </c>
    </row>
    <row r="107" spans="1:23" ht="24.9" customHeight="1" x14ac:dyDescent="0.25">
      <c r="A107" s="75" t="str">
        <f>'Emission Factors database'!B111</f>
        <v>Windows &amp; doors</v>
      </c>
      <c r="B107" s="75" t="str">
        <f>'Emission Factors database'!C111</f>
        <v>Door steel no glazing - Generic</v>
      </c>
      <c r="C107" s="75" t="str">
        <f ca="1">'Emission Factors database'!D111</f>
        <v>Determination of a generic window and door as described in material category column. Includes glass, framing, thermal breaks, spandrel/cladding material and key componentry in one sqm rate.</v>
      </c>
      <c r="D107" s="75" t="str">
        <f>'Emission Factors database'!F111</f>
        <v>m²</v>
      </c>
      <c r="E107" s="75" t="str">
        <f>'Emission Factors database'!G111</f>
        <v>Untiered</v>
      </c>
      <c r="F107" s="75">
        <f>'Emission Factors database'!H111</f>
        <v>1</v>
      </c>
      <c r="G107" s="75" t="str">
        <f ca="1">'Emission Factors database'!I111</f>
        <v>380</v>
      </c>
      <c r="H107" s="75" t="str">
        <f>'Emission Factors database'!J111</f>
        <v/>
      </c>
      <c r="I107" s="75" t="str">
        <f ca="1">'Emission Factors database'!K111</f>
        <v>122</v>
      </c>
      <c r="J107" s="75" t="str">
        <f ca="1">'Emission Factors database'!L111</f>
        <v>231</v>
      </c>
      <c r="K107" s="75" t="str">
        <f ca="1">'Emission Factors database'!M111</f>
        <v>3.87</v>
      </c>
      <c r="L107" s="75" t="str">
        <f>'Emission Factors database'!N111</f>
        <v/>
      </c>
      <c r="M107" s="75" t="str">
        <f ca="1">'Emission Factors database'!O111</f>
        <v>1.24</v>
      </c>
      <c r="N107" s="75" t="str">
        <f ca="1">'Emission Factors database'!P111</f>
        <v>2.36</v>
      </c>
      <c r="O107" s="75" t="str">
        <f ca="1">'Emission Factors database'!Q111</f>
        <v>0</v>
      </c>
      <c r="P107" s="75" t="str">
        <f>'Emission Factors database'!R111</f>
        <v/>
      </c>
      <c r="Q107" s="75" t="str">
        <f ca="1">'Emission Factors database'!S111</f>
        <v>0</v>
      </c>
      <c r="R107" s="75" t="str">
        <f ca="1">'Emission Factors database'!T111</f>
        <v>0</v>
      </c>
      <c r="S107" s="75" t="str">
        <f>'Emission Factors database'!U111</f>
        <v/>
      </c>
      <c r="T107" s="75" t="str">
        <f ca="1">'Emission Factors database'!V111</f>
        <v>0</v>
      </c>
      <c r="U107" s="75" t="str">
        <f ca="1">'Emission Factors database'!W111</f>
        <v>98.0</v>
      </c>
      <c r="V107" s="75" t="str">
        <f>'Emission Factors database'!X111</f>
        <v>kg/m²</v>
      </c>
      <c r="W107" s="75" t="str">
        <f ca="1">'Emission Factors database'!Z111</f>
        <v>No</v>
      </c>
    </row>
    <row r="108" spans="1:23" ht="24.9" customHeight="1" x14ac:dyDescent="0.25">
      <c r="A108" s="75" t="str">
        <f>'Emission Factors database'!B112</f>
        <v>Windows &amp; doors</v>
      </c>
      <c r="B108" s="75" t="str">
        <f>'Emission Factors database'!C112</f>
        <v>Revolving door Glass_aluminium_steel - Generic</v>
      </c>
      <c r="C108" s="75" t="str">
        <f ca="1">'Emission Factors database'!D112</f>
        <v>Determination of a generic window and door as described in material category column. Includes glass, framing, thermal breaks, spandrel/cladding material and key componentry in one sqm rate.</v>
      </c>
      <c r="D108" s="75" t="str">
        <f>'Emission Factors database'!F112</f>
        <v>m²</v>
      </c>
      <c r="E108" s="75" t="str">
        <f>'Emission Factors database'!G112</f>
        <v>Untiered</v>
      </c>
      <c r="F108" s="75">
        <f>'Emission Factors database'!H112</f>
        <v>1</v>
      </c>
      <c r="G108" s="75" t="str">
        <f ca="1">'Emission Factors database'!I112</f>
        <v>1,590</v>
      </c>
      <c r="H108" s="75" t="str">
        <f>'Emission Factors database'!J112</f>
        <v/>
      </c>
      <c r="I108" s="75" t="str">
        <f ca="1">'Emission Factors database'!K112</f>
        <v>283</v>
      </c>
      <c r="J108" s="75" t="str">
        <f ca="1">'Emission Factors database'!L112</f>
        <v>943</v>
      </c>
      <c r="K108" s="75" t="str">
        <f ca="1">'Emission Factors database'!M112</f>
        <v>9.71</v>
      </c>
      <c r="L108" s="75" t="str">
        <f>'Emission Factors database'!N112</f>
        <v/>
      </c>
      <c r="M108" s="75" t="str">
        <f ca="1">'Emission Factors database'!O112</f>
        <v>1.72</v>
      </c>
      <c r="N108" s="75" t="str">
        <f ca="1">'Emission Factors database'!P112</f>
        <v>5.75</v>
      </c>
      <c r="O108" s="75" t="str">
        <f ca="1">'Emission Factors database'!Q112</f>
        <v>26.8</v>
      </c>
      <c r="P108" s="75" t="str">
        <f>'Emission Factors database'!R112</f>
        <v/>
      </c>
      <c r="Q108" s="75" t="str">
        <f ca="1">'Emission Factors database'!S112</f>
        <v>26.3</v>
      </c>
      <c r="R108" s="75" t="str">
        <f ca="1">'Emission Factors database'!T112</f>
        <v>0.163</v>
      </c>
      <c r="S108" s="75" t="str">
        <f>'Emission Factors database'!U112</f>
        <v/>
      </c>
      <c r="T108" s="75" t="str">
        <f ca="1">'Emission Factors database'!V112</f>
        <v>0.160</v>
      </c>
      <c r="U108" s="75" t="str">
        <f ca="1">'Emission Factors database'!W112</f>
        <v>164</v>
      </c>
      <c r="V108" s="75" t="str">
        <f>'Emission Factors database'!X112</f>
        <v>kg/m²</v>
      </c>
      <c r="W108" s="75" t="str">
        <f ca="1">'Emission Factors database'!Z112</f>
        <v>No</v>
      </c>
    </row>
    <row r="109" spans="1:23" ht="24.9" customHeight="1" x14ac:dyDescent="0.25">
      <c r="A109" s="75" t="str">
        <f>'Emission Factors database'!B113</f>
        <v>Curtain wall</v>
      </c>
      <c r="B109" s="75" t="str">
        <f>'Emission Factors database'!C113</f>
        <v xml:space="preserve">Curtain wall - Generic - Curtain wall, aluminium unitised, 100% DGU 8T-16-44.2 </v>
      </c>
      <c r="C109" s="75" t="str">
        <f ca="1">'Emission Factors database'!D113</f>
        <v>Determination of a generic curtain wall as described in material category column. Includes glass, framing, thermal breaks, spandrel/cladding material and insulation in one sqm rate.</v>
      </c>
      <c r="D109" s="75" t="str">
        <f>'Emission Factors database'!F113</f>
        <v>m²</v>
      </c>
      <c r="E109" s="75" t="str">
        <f>'Emission Factors database'!G113</f>
        <v>Untiered</v>
      </c>
      <c r="F109" s="75">
        <f>'Emission Factors database'!H113</f>
        <v>1</v>
      </c>
      <c r="G109" s="75" t="str">
        <f ca="1">'Emission Factors database'!I113</f>
        <v>435</v>
      </c>
      <c r="H109" s="75" t="str">
        <f>'Emission Factors database'!J113</f>
        <v/>
      </c>
      <c r="I109" s="75" t="str">
        <f ca="1">'Emission Factors database'!K113</f>
        <v>115</v>
      </c>
      <c r="J109" s="75" t="str">
        <f ca="1">'Emission Factors database'!L113</f>
        <v>267</v>
      </c>
      <c r="K109" s="75" t="str">
        <f ca="1">'Emission Factors database'!M113</f>
        <v>7.84</v>
      </c>
      <c r="L109" s="75" t="str">
        <f>'Emission Factors database'!N113</f>
        <v/>
      </c>
      <c r="M109" s="75" t="str">
        <f ca="1">'Emission Factors database'!O113</f>
        <v>2.07</v>
      </c>
      <c r="N109" s="75" t="str">
        <f ca="1">'Emission Factors database'!P113</f>
        <v>4.82</v>
      </c>
      <c r="O109" s="75" t="str">
        <f ca="1">'Emission Factors database'!Q113</f>
        <v>0</v>
      </c>
      <c r="P109" s="75" t="str">
        <f>'Emission Factors database'!R113</f>
        <v/>
      </c>
      <c r="Q109" s="75" t="str">
        <f ca="1">'Emission Factors database'!S113</f>
        <v>0</v>
      </c>
      <c r="R109" s="75" t="str">
        <f ca="1">'Emission Factors database'!T113</f>
        <v>0</v>
      </c>
      <c r="S109" s="75" t="str">
        <f>'Emission Factors database'!U113</f>
        <v/>
      </c>
      <c r="T109" s="75" t="str">
        <f ca="1">'Emission Factors database'!V113</f>
        <v>0</v>
      </c>
      <c r="U109" s="75" t="str">
        <f ca="1">'Emission Factors database'!W113</f>
        <v>55.4</v>
      </c>
      <c r="V109" s="75" t="str">
        <f>'Emission Factors database'!X113</f>
        <v>kg/m²</v>
      </c>
      <c r="W109" s="75" t="str">
        <f ca="1">'Emission Factors database'!Z113</f>
        <v>No</v>
      </c>
    </row>
    <row r="110" spans="1:23" ht="24.9" customHeight="1" x14ac:dyDescent="0.25">
      <c r="A110" s="75" t="str">
        <f>'Emission Factors database'!B114</f>
        <v>Curtain wall</v>
      </c>
      <c r="B110" s="75" t="str">
        <f>'Emission Factors database'!C114</f>
        <v xml:space="preserve">Curtain wall - Generic - Curtain wall, aluminium unitised, aluminium cladding, 50% DGU 8T-16-44.2 </v>
      </c>
      <c r="C110" s="75" t="str">
        <f ca="1">'Emission Factors database'!D114</f>
        <v>Determination of a generic curtain wall as described in material category column. Includes glass, framing, thermal breaks, spandrel/cladding material and insulation in one sqm rate.</v>
      </c>
      <c r="D110" s="75" t="str">
        <f>'Emission Factors database'!F114</f>
        <v>m²</v>
      </c>
      <c r="E110" s="75" t="str">
        <f>'Emission Factors database'!G114</f>
        <v>Untiered</v>
      </c>
      <c r="F110" s="75">
        <f>'Emission Factors database'!H114</f>
        <v>1</v>
      </c>
      <c r="G110" s="75" t="str">
        <f ca="1">'Emission Factors database'!I114</f>
        <v>655</v>
      </c>
      <c r="H110" s="75" t="str">
        <f>'Emission Factors database'!J114</f>
        <v/>
      </c>
      <c r="I110" s="75" t="str">
        <f ca="1">'Emission Factors database'!K114</f>
        <v>138</v>
      </c>
      <c r="J110" s="75" t="str">
        <f ca="1">'Emission Factors database'!L114</f>
        <v>386</v>
      </c>
      <c r="K110" s="75" t="str">
        <f ca="1">'Emission Factors database'!M114</f>
        <v>14.4</v>
      </c>
      <c r="L110" s="75" t="str">
        <f>'Emission Factors database'!N114</f>
        <v/>
      </c>
      <c r="M110" s="75" t="str">
        <f ca="1">'Emission Factors database'!O114</f>
        <v>3.03</v>
      </c>
      <c r="N110" s="75" t="str">
        <f ca="1">'Emission Factors database'!P114</f>
        <v>8.50</v>
      </c>
      <c r="O110" s="75" t="str">
        <f ca="1">'Emission Factors database'!Q114</f>
        <v>0</v>
      </c>
      <c r="P110" s="75" t="str">
        <f>'Emission Factors database'!R114</f>
        <v/>
      </c>
      <c r="Q110" s="75" t="str">
        <f ca="1">'Emission Factors database'!S114</f>
        <v>0</v>
      </c>
      <c r="R110" s="75" t="str">
        <f ca="1">'Emission Factors database'!T114</f>
        <v>0</v>
      </c>
      <c r="S110" s="75" t="str">
        <f>'Emission Factors database'!U114</f>
        <v/>
      </c>
      <c r="T110" s="75" t="str">
        <f ca="1">'Emission Factors database'!V114</f>
        <v>0</v>
      </c>
      <c r="U110" s="75" t="str">
        <f ca="1">'Emission Factors database'!W114</f>
        <v>45.5</v>
      </c>
      <c r="V110" s="75" t="str">
        <f>'Emission Factors database'!X114</f>
        <v>kg/m²</v>
      </c>
      <c r="W110" s="75" t="str">
        <f ca="1">'Emission Factors database'!Z114</f>
        <v>No</v>
      </c>
    </row>
    <row r="111" spans="1:23" ht="24.9" customHeight="1" x14ac:dyDescent="0.25">
      <c r="A111" s="75" t="str">
        <f>'Emission Factors database'!B115</f>
        <v>Curtain wall</v>
      </c>
      <c r="B111" s="75" t="str">
        <f>'Emission Factors database'!C115</f>
        <v xml:space="preserve">Curtain wall - Generic - Curtain wall, aluminium unitised, aluminium cladding with vertical fins, 50% DGU 8T-16-44.2 </v>
      </c>
      <c r="C111" s="75" t="str">
        <f ca="1">'Emission Factors database'!D115</f>
        <v>Determination of a generic curtain wall as described in material category column. Includes glass, framing, thermal breaks, spandrel/cladding material and insulation in one sqm rate.</v>
      </c>
      <c r="D111" s="75" t="str">
        <f>'Emission Factors database'!F115</f>
        <v>m²</v>
      </c>
      <c r="E111" s="75" t="str">
        <f>'Emission Factors database'!G115</f>
        <v>Untiered</v>
      </c>
      <c r="F111" s="75">
        <f>'Emission Factors database'!H115</f>
        <v>1</v>
      </c>
      <c r="G111" s="75" t="str">
        <f ca="1">'Emission Factors database'!I115</f>
        <v>866</v>
      </c>
      <c r="H111" s="75" t="str">
        <f>'Emission Factors database'!J115</f>
        <v/>
      </c>
      <c r="I111" s="75" t="str">
        <f ca="1">'Emission Factors database'!K115</f>
        <v>174</v>
      </c>
      <c r="J111" s="75" t="str">
        <f ca="1">'Emission Factors database'!L115</f>
        <v>507</v>
      </c>
      <c r="K111" s="75" t="str">
        <f ca="1">'Emission Factors database'!M115</f>
        <v>16.5</v>
      </c>
      <c r="L111" s="75" t="str">
        <f>'Emission Factors database'!N115</f>
        <v/>
      </c>
      <c r="M111" s="75" t="str">
        <f ca="1">'Emission Factors database'!O115</f>
        <v>3.32</v>
      </c>
      <c r="N111" s="75" t="str">
        <f ca="1">'Emission Factors database'!P115</f>
        <v>9.66</v>
      </c>
      <c r="O111" s="75" t="str">
        <f ca="1">'Emission Factors database'!Q115</f>
        <v>0</v>
      </c>
      <c r="P111" s="75" t="str">
        <f>'Emission Factors database'!R115</f>
        <v/>
      </c>
      <c r="Q111" s="75" t="str">
        <f ca="1">'Emission Factors database'!S115</f>
        <v>0</v>
      </c>
      <c r="R111" s="75" t="str">
        <f ca="1">'Emission Factors database'!T115</f>
        <v>0</v>
      </c>
      <c r="S111" s="75" t="str">
        <f>'Emission Factors database'!U115</f>
        <v/>
      </c>
      <c r="T111" s="75" t="str">
        <f ca="1">'Emission Factors database'!V115</f>
        <v>0</v>
      </c>
      <c r="U111" s="75" t="str">
        <f ca="1">'Emission Factors database'!W115</f>
        <v>52.5</v>
      </c>
      <c r="V111" s="75" t="str">
        <f>'Emission Factors database'!X115</f>
        <v>kg/m²</v>
      </c>
      <c r="W111" s="75" t="str">
        <f ca="1">'Emission Factors database'!Z115</f>
        <v>No</v>
      </c>
    </row>
    <row r="112" spans="1:23" ht="24.9" customHeight="1" x14ac:dyDescent="0.25">
      <c r="A112" s="75" t="str">
        <f>'Emission Factors database'!B116</f>
        <v>Curtain wall</v>
      </c>
      <c r="B112" s="75" t="str">
        <f>'Emission Factors database'!C116</f>
        <v xml:space="preserve">Curtain wall - Generic - Curtain wall, aluminium unitised, aluminium cladding, 50% TGU 8T-16-6-16-44.2 </v>
      </c>
      <c r="C112" s="75" t="str">
        <f ca="1">'Emission Factors database'!D116</f>
        <v>Determination of a generic curtain wall as described in material category column. Includes glass, framing, thermal breaks, spandrel/cladding material and insulation in one sqm rate.</v>
      </c>
      <c r="D112" s="75" t="str">
        <f>'Emission Factors database'!F116</f>
        <v>m²</v>
      </c>
      <c r="E112" s="75" t="str">
        <f>'Emission Factors database'!G116</f>
        <v>Untiered</v>
      </c>
      <c r="F112" s="75">
        <f>'Emission Factors database'!H116</f>
        <v>1</v>
      </c>
      <c r="G112" s="75" t="str">
        <f ca="1">'Emission Factors database'!I116</f>
        <v>665</v>
      </c>
      <c r="H112" s="75" t="str">
        <f>'Emission Factors database'!J116</f>
        <v/>
      </c>
      <c r="I112" s="75" t="str">
        <f ca="1">'Emission Factors database'!K116</f>
        <v>148</v>
      </c>
      <c r="J112" s="75" t="str">
        <f ca="1">'Emission Factors database'!L116</f>
        <v>395</v>
      </c>
      <c r="K112" s="75" t="str">
        <f ca="1">'Emission Factors database'!M116</f>
        <v>12.4</v>
      </c>
      <c r="L112" s="75" t="str">
        <f>'Emission Factors database'!N116</f>
        <v/>
      </c>
      <c r="M112" s="75" t="str">
        <f ca="1">'Emission Factors database'!O116</f>
        <v>2.75</v>
      </c>
      <c r="N112" s="75" t="str">
        <f ca="1">'Emission Factors database'!P116</f>
        <v>7.36</v>
      </c>
      <c r="O112" s="75" t="str">
        <f ca="1">'Emission Factors database'!Q116</f>
        <v>0</v>
      </c>
      <c r="P112" s="75" t="str">
        <f>'Emission Factors database'!R116</f>
        <v/>
      </c>
      <c r="Q112" s="75" t="str">
        <f ca="1">'Emission Factors database'!S116</f>
        <v>0</v>
      </c>
      <c r="R112" s="75" t="str">
        <f ca="1">'Emission Factors database'!T116</f>
        <v>0</v>
      </c>
      <c r="S112" s="75" t="str">
        <f>'Emission Factors database'!U116</f>
        <v/>
      </c>
      <c r="T112" s="75" t="str">
        <f ca="1">'Emission Factors database'!V116</f>
        <v>0</v>
      </c>
      <c r="U112" s="75" t="str">
        <f ca="1">'Emission Factors database'!W116</f>
        <v>53.7</v>
      </c>
      <c r="V112" s="75" t="str">
        <f>'Emission Factors database'!X116</f>
        <v>kg/m²</v>
      </c>
      <c r="W112" s="75" t="str">
        <f ca="1">'Emission Factors database'!Z116</f>
        <v>No</v>
      </c>
    </row>
    <row r="113" spans="1:23" ht="24.9" customHeight="1" x14ac:dyDescent="0.25">
      <c r="A113" s="75" t="str">
        <f>'Emission Factors database'!B117</f>
        <v>Curtain wall</v>
      </c>
      <c r="B113" s="75" t="str">
        <f>'Emission Factors database'!C117</f>
        <v xml:space="preserve">Curtain wall - Generic - Curtain wall, aluminium unitised, insulated shadow box, 50% DGU 8T-16-44.2 </v>
      </c>
      <c r="C113" s="75" t="str">
        <f ca="1">'Emission Factors database'!D117</f>
        <v>Determination of a generic curtain wall as described in material category column. Includes glass, framing, thermal breaks, spandrel/cladding material and insulation in one sqm rate.</v>
      </c>
      <c r="D113" s="75" t="str">
        <f>'Emission Factors database'!F117</f>
        <v>m²</v>
      </c>
      <c r="E113" s="75" t="str">
        <f>'Emission Factors database'!G117</f>
        <v>Untiered</v>
      </c>
      <c r="F113" s="75">
        <f>'Emission Factors database'!H117</f>
        <v>1</v>
      </c>
      <c r="G113" s="75" t="str">
        <f ca="1">'Emission Factors database'!I117</f>
        <v>575</v>
      </c>
      <c r="H113" s="75" t="str">
        <f>'Emission Factors database'!J117</f>
        <v/>
      </c>
      <c r="I113" s="75" t="str">
        <f ca="1">'Emission Factors database'!K117</f>
        <v>142</v>
      </c>
      <c r="J113" s="75" t="str">
        <f ca="1">'Emission Factors database'!L117</f>
        <v>349</v>
      </c>
      <c r="K113" s="75" t="str">
        <f ca="1">'Emission Factors database'!M117</f>
        <v>9.33</v>
      </c>
      <c r="L113" s="75" t="str">
        <f>'Emission Factors database'!N117</f>
        <v/>
      </c>
      <c r="M113" s="75" t="str">
        <f ca="1">'Emission Factors database'!O117</f>
        <v>2.29</v>
      </c>
      <c r="N113" s="75" t="str">
        <f ca="1">'Emission Factors database'!P117</f>
        <v>5.65</v>
      </c>
      <c r="O113" s="75" t="str">
        <f ca="1">'Emission Factors database'!Q117</f>
        <v>0</v>
      </c>
      <c r="P113" s="75" t="str">
        <f>'Emission Factors database'!R117</f>
        <v/>
      </c>
      <c r="Q113" s="75" t="str">
        <f ca="1">'Emission Factors database'!S117</f>
        <v>0</v>
      </c>
      <c r="R113" s="75" t="str">
        <f ca="1">'Emission Factors database'!T117</f>
        <v>0</v>
      </c>
      <c r="S113" s="75" t="str">
        <f>'Emission Factors database'!U117</f>
        <v/>
      </c>
      <c r="T113" s="75" t="str">
        <f ca="1">'Emission Factors database'!V117</f>
        <v>0</v>
      </c>
      <c r="U113" s="75" t="str">
        <f ca="1">'Emission Factors database'!W117</f>
        <v>61.7</v>
      </c>
      <c r="V113" s="75" t="str">
        <f>'Emission Factors database'!X117</f>
        <v>kg/m²</v>
      </c>
      <c r="W113" s="75" t="str">
        <f ca="1">'Emission Factors database'!Z117</f>
        <v>No</v>
      </c>
    </row>
    <row r="114" spans="1:23" ht="24.9" customHeight="1" x14ac:dyDescent="0.25">
      <c r="A114" s="75" t="str">
        <f>'Emission Factors database'!B118</f>
        <v>Curtain wall</v>
      </c>
      <c r="B114" s="75" t="str">
        <f>'Emission Factors database'!C118</f>
        <v xml:space="preserve">Curtain wall - Generic - Curtain wall, aluminium unitised, GRC cladding, 50% DGU 8T-16-44.2 </v>
      </c>
      <c r="C114" s="75" t="str">
        <f ca="1">'Emission Factors database'!D118</f>
        <v>Determination of a generic curtain wall as described in material category column. Includes glass, framing, thermal breaks, spandrel/cladding material and insulation in one sqm rate.</v>
      </c>
      <c r="D114" s="75" t="str">
        <f>'Emission Factors database'!F118</f>
        <v>m²</v>
      </c>
      <c r="E114" s="75" t="str">
        <f>'Emission Factors database'!G118</f>
        <v>Untiered</v>
      </c>
      <c r="F114" s="75">
        <f>'Emission Factors database'!H118</f>
        <v>1</v>
      </c>
      <c r="G114" s="75" t="str">
        <f ca="1">'Emission Factors database'!I118</f>
        <v>765</v>
      </c>
      <c r="H114" s="75" t="str">
        <f>'Emission Factors database'!J118</f>
        <v/>
      </c>
      <c r="I114" s="75" t="str">
        <f ca="1">'Emission Factors database'!K118</f>
        <v>167</v>
      </c>
      <c r="J114" s="75" t="str">
        <f ca="1">'Emission Factors database'!L118</f>
        <v>452</v>
      </c>
      <c r="K114" s="75" t="str">
        <f ca="1">'Emission Factors database'!M118</f>
        <v>10.1</v>
      </c>
      <c r="L114" s="75" t="str">
        <f>'Emission Factors database'!N118</f>
        <v/>
      </c>
      <c r="M114" s="75" t="str">
        <f ca="1">'Emission Factors database'!O118</f>
        <v>2.20</v>
      </c>
      <c r="N114" s="75" t="str">
        <f ca="1">'Emission Factors database'!P118</f>
        <v>5.95</v>
      </c>
      <c r="O114" s="75" t="str">
        <f ca="1">'Emission Factors database'!Q118</f>
        <v>0</v>
      </c>
      <c r="P114" s="75" t="str">
        <f>'Emission Factors database'!R118</f>
        <v/>
      </c>
      <c r="Q114" s="75" t="str">
        <f ca="1">'Emission Factors database'!S118</f>
        <v>0</v>
      </c>
      <c r="R114" s="75" t="str">
        <f ca="1">'Emission Factors database'!T118</f>
        <v>0</v>
      </c>
      <c r="S114" s="75" t="str">
        <f>'Emission Factors database'!U118</f>
        <v/>
      </c>
      <c r="T114" s="75" t="str">
        <f ca="1">'Emission Factors database'!V118</f>
        <v>0</v>
      </c>
      <c r="U114" s="75" t="str">
        <f ca="1">'Emission Factors database'!W118</f>
        <v>75.9</v>
      </c>
      <c r="V114" s="75" t="str">
        <f>'Emission Factors database'!X118</f>
        <v>kg/m²</v>
      </c>
      <c r="W114" s="75" t="str">
        <f ca="1">'Emission Factors database'!Z118</f>
        <v>No</v>
      </c>
    </row>
    <row r="115" spans="1:23" ht="24.9" customHeight="1" x14ac:dyDescent="0.25">
      <c r="A115" s="75" t="str">
        <f>'Emission Factors database'!B119</f>
        <v>Curtain wall</v>
      </c>
      <c r="B115" s="75" t="str">
        <f>'Emission Factors database'!C119</f>
        <v xml:space="preserve">Curtain wall - Generic - Curtain wall, aluminium stick, aluminium cladding, 50% DGU 8T-16-44.2 </v>
      </c>
      <c r="C115" s="75" t="str">
        <f ca="1">'Emission Factors database'!D119</f>
        <v>Determination of a generic curtain wall as described in material category column. Includes glass, framing, thermal breaks, spandrel/cladding material and insulation in one sqm rate.</v>
      </c>
      <c r="D115" s="75" t="str">
        <f>'Emission Factors database'!F119</f>
        <v>m²</v>
      </c>
      <c r="E115" s="75" t="str">
        <f>'Emission Factors database'!G119</f>
        <v>Untiered</v>
      </c>
      <c r="F115" s="75">
        <f>'Emission Factors database'!H119</f>
        <v>1</v>
      </c>
      <c r="G115" s="75" t="str">
        <f ca="1">'Emission Factors database'!I119</f>
        <v>476</v>
      </c>
      <c r="H115" s="75" t="str">
        <f>'Emission Factors database'!J119</f>
        <v/>
      </c>
      <c r="I115" s="75" t="str">
        <f ca="1">'Emission Factors database'!K119</f>
        <v>105</v>
      </c>
      <c r="J115" s="75" t="str">
        <f ca="1">'Emission Factors database'!L119</f>
        <v>282</v>
      </c>
      <c r="K115" s="75" t="str">
        <f ca="1">'Emission Factors database'!M119</f>
        <v>12.1</v>
      </c>
      <c r="L115" s="75" t="str">
        <f>'Emission Factors database'!N119</f>
        <v/>
      </c>
      <c r="M115" s="75" t="str">
        <f ca="1">'Emission Factors database'!O119</f>
        <v>2.67</v>
      </c>
      <c r="N115" s="75" t="str">
        <f ca="1">'Emission Factors database'!P119</f>
        <v>7.17</v>
      </c>
      <c r="O115" s="75" t="str">
        <f ca="1">'Emission Factors database'!Q119</f>
        <v>0</v>
      </c>
      <c r="P115" s="75" t="str">
        <f>'Emission Factors database'!R119</f>
        <v/>
      </c>
      <c r="Q115" s="75" t="str">
        <f ca="1">'Emission Factors database'!S119</f>
        <v>0</v>
      </c>
      <c r="R115" s="75" t="str">
        <f ca="1">'Emission Factors database'!T119</f>
        <v>0</v>
      </c>
      <c r="S115" s="75" t="str">
        <f>'Emission Factors database'!U119</f>
        <v/>
      </c>
      <c r="T115" s="75" t="str">
        <f ca="1">'Emission Factors database'!V119</f>
        <v>0</v>
      </c>
      <c r="U115" s="75" t="str">
        <f ca="1">'Emission Factors database'!W119</f>
        <v>39.4</v>
      </c>
      <c r="V115" s="75" t="str">
        <f>'Emission Factors database'!X119</f>
        <v>kg/m²</v>
      </c>
      <c r="W115" s="75" t="str">
        <f ca="1">'Emission Factors database'!Z119</f>
        <v>No</v>
      </c>
    </row>
    <row r="116" spans="1:23" ht="24.9" customHeight="1" x14ac:dyDescent="0.25">
      <c r="A116" s="75" t="str">
        <f>'Emission Factors database'!B120</f>
        <v>Curtain wall</v>
      </c>
      <c r="B116" s="75" t="str">
        <f>'Emission Factors database'!C120</f>
        <v xml:space="preserve">Curtain wall - Generic - Curtain wall, steel stick, aluminium cladding, 50% DGU 8T-16-44.2 </v>
      </c>
      <c r="C116" s="75" t="str">
        <f ca="1">'Emission Factors database'!D120</f>
        <v>Determination of a generic curtain wall as described in material category column. Includes glass, framing, thermal breaks, spandrel/cladding material and insulation in one sqm rate.</v>
      </c>
      <c r="D116" s="75" t="str">
        <f>'Emission Factors database'!F120</f>
        <v>m²</v>
      </c>
      <c r="E116" s="75" t="str">
        <f>'Emission Factors database'!G120</f>
        <v>Untiered</v>
      </c>
      <c r="F116" s="75">
        <f>'Emission Factors database'!H120</f>
        <v>1</v>
      </c>
      <c r="G116" s="75" t="str">
        <f ca="1">'Emission Factors database'!I120</f>
        <v>405</v>
      </c>
      <c r="H116" s="75" t="str">
        <f>'Emission Factors database'!J120</f>
        <v/>
      </c>
      <c r="I116" s="75" t="str">
        <f ca="1">'Emission Factors database'!K120</f>
        <v>119</v>
      </c>
      <c r="J116" s="75" t="str">
        <f ca="1">'Emission Factors database'!L120</f>
        <v>248</v>
      </c>
      <c r="K116" s="75" t="str">
        <f ca="1">'Emission Factors database'!M120</f>
        <v>5.61</v>
      </c>
      <c r="L116" s="75" t="str">
        <f>'Emission Factors database'!N120</f>
        <v/>
      </c>
      <c r="M116" s="75" t="str">
        <f ca="1">'Emission Factors database'!O120</f>
        <v>1.65</v>
      </c>
      <c r="N116" s="75" t="str">
        <f ca="1">'Emission Factors database'!P120</f>
        <v>3.43</v>
      </c>
      <c r="O116" s="75" t="str">
        <f ca="1">'Emission Factors database'!Q120</f>
        <v>0</v>
      </c>
      <c r="P116" s="75" t="str">
        <f>'Emission Factors database'!R120</f>
        <v/>
      </c>
      <c r="Q116" s="75" t="str">
        <f ca="1">'Emission Factors database'!S120</f>
        <v>0</v>
      </c>
      <c r="R116" s="75" t="str">
        <f ca="1">'Emission Factors database'!T120</f>
        <v>0</v>
      </c>
      <c r="S116" s="75" t="str">
        <f>'Emission Factors database'!U120</f>
        <v/>
      </c>
      <c r="T116" s="75" t="str">
        <f ca="1">'Emission Factors database'!V120</f>
        <v>0</v>
      </c>
      <c r="U116" s="75" t="str">
        <f ca="1">'Emission Factors database'!W120</f>
        <v>72.1</v>
      </c>
      <c r="V116" s="75" t="str">
        <f>'Emission Factors database'!X120</f>
        <v>kg/m²</v>
      </c>
      <c r="W116" s="75" t="str">
        <f ca="1">'Emission Factors database'!Z120</f>
        <v>No</v>
      </c>
    </row>
    <row r="117" spans="1:23" ht="24.9" customHeight="1" x14ac:dyDescent="0.25">
      <c r="A117" s="75" t="str">
        <f>'Emission Factors database'!B121</f>
        <v>Curtain wall</v>
      </c>
      <c r="B117" s="75" t="str">
        <f>'Emission Factors database'!C121</f>
        <v xml:space="preserve">Curtain wall - Generic - Curtain wall, timber stick, aluminium cladding, 50% DGU 8T-16-44.2 </v>
      </c>
      <c r="C117" s="75" t="str">
        <f ca="1">'Emission Factors database'!D121</f>
        <v>Determination of a generic curtain wall as described in material category column. Includes glass, framing, thermal breaks, spandrel/cladding material and insulation in one sqm rate.</v>
      </c>
      <c r="D117" s="75" t="str">
        <f>'Emission Factors database'!F121</f>
        <v>m²</v>
      </c>
      <c r="E117" s="75" t="str">
        <f>'Emission Factors database'!G121</f>
        <v>Untiered</v>
      </c>
      <c r="F117" s="75">
        <f>'Emission Factors database'!H121</f>
        <v>1</v>
      </c>
      <c r="G117" s="75" t="str">
        <f ca="1">'Emission Factors database'!I121</f>
        <v>350</v>
      </c>
      <c r="H117" s="75" t="str">
        <f>'Emission Factors database'!J121</f>
        <v/>
      </c>
      <c r="I117" s="75" t="str">
        <f ca="1">'Emission Factors database'!K121</f>
        <v>85.9</v>
      </c>
      <c r="J117" s="75" t="str">
        <f ca="1">'Emission Factors database'!L121</f>
        <v>211</v>
      </c>
      <c r="K117" s="75" t="str">
        <f ca="1">'Emission Factors database'!M121</f>
        <v>7.47</v>
      </c>
      <c r="L117" s="75" t="str">
        <f>'Emission Factors database'!N121</f>
        <v/>
      </c>
      <c r="M117" s="75" t="str">
        <f ca="1">'Emission Factors database'!O121</f>
        <v>1.83</v>
      </c>
      <c r="N117" s="75" t="str">
        <f ca="1">'Emission Factors database'!P121</f>
        <v>4.51</v>
      </c>
      <c r="O117" s="75" t="str">
        <f ca="1">'Emission Factors database'!Q121</f>
        <v>20.1</v>
      </c>
      <c r="P117" s="75" t="str">
        <f>'Emission Factors database'!R121</f>
        <v/>
      </c>
      <c r="Q117" s="75" t="str">
        <f ca="1">'Emission Factors database'!S121</f>
        <v>18.8</v>
      </c>
      <c r="R117" s="75" t="str">
        <f ca="1">'Emission Factors database'!T121</f>
        <v>0.429</v>
      </c>
      <c r="S117" s="75" t="str">
        <f>'Emission Factors database'!U121</f>
        <v/>
      </c>
      <c r="T117" s="75" t="str">
        <f ca="1">'Emission Factors database'!V121</f>
        <v>0.401</v>
      </c>
      <c r="U117" s="75" t="str">
        <f ca="1">'Emission Factors database'!W121</f>
        <v>46.8</v>
      </c>
      <c r="V117" s="75" t="str">
        <f>'Emission Factors database'!X121</f>
        <v>kg/m²</v>
      </c>
      <c r="W117" s="75" t="str">
        <f ca="1">'Emission Factors database'!Z121</f>
        <v>No</v>
      </c>
    </row>
    <row r="118" spans="1:23" ht="24.9" customHeight="1" x14ac:dyDescent="0.25">
      <c r="A118" s="75" t="str">
        <f>'Emission Factors database'!B122</f>
        <v>Curtain wall</v>
      </c>
      <c r="B118" s="75" t="str">
        <f>'Emission Factors database'!C122</f>
        <v xml:space="preserve">Curtain wall - Generic - Curtain wall, double skin, deep cavity aluminium façade, 100% single + DGU 66.2 + 8T-16-44.2 </v>
      </c>
      <c r="C118" s="75" t="str">
        <f ca="1">'Emission Factors database'!D122</f>
        <v>Determination of a generic curtain wall as described in material category column. Includes glass, framing, thermal breaks, spandrel/cladding material and insulation in one sqm rate.</v>
      </c>
      <c r="D118" s="75" t="str">
        <f>'Emission Factors database'!F122</f>
        <v>m²</v>
      </c>
      <c r="E118" s="75" t="str">
        <f>'Emission Factors database'!G122</f>
        <v>Untiered</v>
      </c>
      <c r="F118" s="75">
        <f>'Emission Factors database'!H122</f>
        <v>1</v>
      </c>
      <c r="G118" s="75" t="str">
        <f ca="1">'Emission Factors database'!I122</f>
        <v>1,260</v>
      </c>
      <c r="H118" s="75" t="str">
        <f>'Emission Factors database'!J122</f>
        <v/>
      </c>
      <c r="I118" s="75" t="str">
        <f ca="1">'Emission Factors database'!K122</f>
        <v>293</v>
      </c>
      <c r="J118" s="75" t="str">
        <f ca="1">'Emission Factors database'!L122</f>
        <v>753</v>
      </c>
      <c r="K118" s="75" t="str">
        <f ca="1">'Emission Factors database'!M122</f>
        <v>9.13</v>
      </c>
      <c r="L118" s="75" t="str">
        <f>'Emission Factors database'!N122</f>
        <v/>
      </c>
      <c r="M118" s="75" t="str">
        <f ca="1">'Emission Factors database'!O122</f>
        <v>2.13</v>
      </c>
      <c r="N118" s="75" t="str">
        <f ca="1">'Emission Factors database'!P122</f>
        <v>5.46</v>
      </c>
      <c r="O118" s="75" t="str">
        <f ca="1">'Emission Factors database'!Q122</f>
        <v>0</v>
      </c>
      <c r="P118" s="75" t="str">
        <f>'Emission Factors database'!R122</f>
        <v/>
      </c>
      <c r="Q118" s="75" t="str">
        <f ca="1">'Emission Factors database'!S122</f>
        <v>0</v>
      </c>
      <c r="R118" s="75" t="str">
        <f ca="1">'Emission Factors database'!T122</f>
        <v>0</v>
      </c>
      <c r="S118" s="75" t="str">
        <f>'Emission Factors database'!U122</f>
        <v/>
      </c>
      <c r="T118" s="75" t="str">
        <f ca="1">'Emission Factors database'!V122</f>
        <v>0</v>
      </c>
      <c r="U118" s="75" t="str">
        <f ca="1">'Emission Factors database'!W122</f>
        <v>138</v>
      </c>
      <c r="V118" s="75" t="str">
        <f>'Emission Factors database'!X122</f>
        <v>kg/m²</v>
      </c>
      <c r="W118" s="75" t="str">
        <f ca="1">'Emission Factors database'!Z122</f>
        <v>No</v>
      </c>
    </row>
    <row r="119" spans="1:23" ht="24.9" customHeight="1" x14ac:dyDescent="0.25">
      <c r="A119" s="75" t="str">
        <f>'Emission Factors database'!B123</f>
        <v>Curtain wall</v>
      </c>
      <c r="B119" s="75" t="str">
        <f>'Emission Factors database'!C123</f>
        <v xml:space="preserve">Curtain wall - Generic - Curtain wall, double skin, narrow cavity aluminium façade, 100% single + DGU 66.2 + 8T-16-44.2 </v>
      </c>
      <c r="C119" s="75" t="str">
        <f ca="1">'Emission Factors database'!D123</f>
        <v>Determination of a generic curtain wall as described in material category column. Includes glass, framing, thermal breaks, spandrel/cladding material and insulation in one sqm rate.</v>
      </c>
      <c r="D119" s="75" t="str">
        <f>'Emission Factors database'!F123</f>
        <v>m²</v>
      </c>
      <c r="E119" s="75" t="str">
        <f>'Emission Factors database'!G123</f>
        <v>Untiered</v>
      </c>
      <c r="F119" s="75">
        <f>'Emission Factors database'!H123</f>
        <v>1</v>
      </c>
      <c r="G119" s="75" t="str">
        <f ca="1">'Emission Factors database'!I123</f>
        <v>668</v>
      </c>
      <c r="H119" s="75" t="str">
        <f>'Emission Factors database'!J123</f>
        <v/>
      </c>
      <c r="I119" s="75" t="str">
        <f ca="1">'Emission Factors database'!K123</f>
        <v>183</v>
      </c>
      <c r="J119" s="75" t="str">
        <f ca="1">'Emission Factors database'!L123</f>
        <v>412</v>
      </c>
      <c r="K119" s="75" t="str">
        <f ca="1">'Emission Factors database'!M123</f>
        <v>7.17</v>
      </c>
      <c r="L119" s="75" t="str">
        <f>'Emission Factors database'!N123</f>
        <v/>
      </c>
      <c r="M119" s="75" t="str">
        <f ca="1">'Emission Factors database'!O123</f>
        <v>1.97</v>
      </c>
      <c r="N119" s="75" t="str">
        <f ca="1">'Emission Factors database'!P123</f>
        <v>4.42</v>
      </c>
      <c r="O119" s="75" t="str">
        <f ca="1">'Emission Factors database'!Q123</f>
        <v>0</v>
      </c>
      <c r="P119" s="75" t="str">
        <f>'Emission Factors database'!R123</f>
        <v/>
      </c>
      <c r="Q119" s="75" t="str">
        <f ca="1">'Emission Factors database'!S123</f>
        <v>0</v>
      </c>
      <c r="R119" s="75" t="str">
        <f ca="1">'Emission Factors database'!T123</f>
        <v>0</v>
      </c>
      <c r="S119" s="75" t="str">
        <f>'Emission Factors database'!U123</f>
        <v/>
      </c>
      <c r="T119" s="75" t="str">
        <f ca="1">'Emission Factors database'!V123</f>
        <v>0</v>
      </c>
      <c r="U119" s="75" t="str">
        <f ca="1">'Emission Factors database'!W123</f>
        <v>93.1</v>
      </c>
      <c r="V119" s="75" t="str">
        <f>'Emission Factors database'!X123</f>
        <v>kg/m²</v>
      </c>
      <c r="W119" s="75" t="str">
        <f ca="1">'Emission Factors database'!Z123</f>
        <v>No</v>
      </c>
    </row>
    <row r="120" spans="1:23" ht="24.9" customHeight="1" x14ac:dyDescent="0.25">
      <c r="A120" s="75" t="str">
        <f>'Emission Factors database'!B124</f>
        <v>Curtain wall</v>
      </c>
      <c r="B120" s="75" t="str">
        <f>'Emission Factors database'!C124</f>
        <v>Curtain wall - Generic - Wall system, precast concrete, 50% DGU 8T-16-44.2</v>
      </c>
      <c r="C120" s="75" t="str">
        <f ca="1">'Emission Factors database'!D124</f>
        <v>Determination of a generic curtain wall as described in material category column. Includes glass, framing, thermal breaks, spandrel/cladding material and insulation in one sqm rate.</v>
      </c>
      <c r="D120" s="75" t="str">
        <f>'Emission Factors database'!F124</f>
        <v>m²</v>
      </c>
      <c r="E120" s="75" t="str">
        <f>'Emission Factors database'!G124</f>
        <v>Untiered</v>
      </c>
      <c r="F120" s="75">
        <f>'Emission Factors database'!H124</f>
        <v>1</v>
      </c>
      <c r="G120" s="75" t="str">
        <f ca="1">'Emission Factors database'!I124</f>
        <v>375</v>
      </c>
      <c r="H120" s="75" t="str">
        <f>'Emission Factors database'!J124</f>
        <v/>
      </c>
      <c r="I120" s="75" t="str">
        <f ca="1">'Emission Factors database'!K124</f>
        <v>159</v>
      </c>
      <c r="J120" s="75" t="str">
        <f ca="1">'Emission Factors database'!L124</f>
        <v>251</v>
      </c>
      <c r="K120" s="75" t="str">
        <f ca="1">'Emission Factors database'!M124</f>
        <v>1.14</v>
      </c>
      <c r="L120" s="75" t="str">
        <f>'Emission Factors database'!N124</f>
        <v/>
      </c>
      <c r="M120" s="75" t="str">
        <f ca="1">'Emission Factors database'!O124</f>
        <v>0.484</v>
      </c>
      <c r="N120" s="75" t="str">
        <f ca="1">'Emission Factors database'!P124</f>
        <v>0.764</v>
      </c>
      <c r="O120" s="75" t="str">
        <f ca="1">'Emission Factors database'!Q124</f>
        <v>1.48</v>
      </c>
      <c r="P120" s="75" t="str">
        <f>'Emission Factors database'!R124</f>
        <v/>
      </c>
      <c r="Q120" s="75" t="str">
        <f ca="1">'Emission Factors database'!S124</f>
        <v>0.440</v>
      </c>
      <c r="R120" s="75" t="str">
        <f ca="1">'Emission Factors database'!T124</f>
        <v>0.00450</v>
      </c>
      <c r="S120" s="75" t="str">
        <f>'Emission Factors database'!U124</f>
        <v/>
      </c>
      <c r="T120" s="75" t="str">
        <f ca="1">'Emission Factors database'!V124</f>
        <v>0.00134</v>
      </c>
      <c r="U120" s="75" t="str">
        <f ca="1">'Emission Factors database'!W124</f>
        <v>329</v>
      </c>
      <c r="V120" s="75" t="str">
        <f>'Emission Factors database'!X124</f>
        <v>kg/m²</v>
      </c>
      <c r="W120" s="75" t="str">
        <f ca="1">'Emission Factors database'!Z124</f>
        <v>No</v>
      </c>
    </row>
    <row r="121" spans="1:23" ht="24.9" customHeight="1" x14ac:dyDescent="0.25">
      <c r="A121" s="75" t="str">
        <f>'Emission Factors database'!B125</f>
        <v>Curtain wall</v>
      </c>
      <c r="B121" s="75" t="str">
        <f>'Emission Factors database'!C125</f>
        <v>Curtain wall - Generic - Wall system, steel frame, aluminium rainscreen, 50% DGU 8T-16-44.2</v>
      </c>
      <c r="C121" s="75" t="str">
        <f ca="1">'Emission Factors database'!D125</f>
        <v>Determination of a generic curtain wall as described in material category column. Includes glass, framing, thermal breaks, spandrel/cladding material and insulation in one sqm rate.</v>
      </c>
      <c r="D121" s="75" t="str">
        <f>'Emission Factors database'!F125</f>
        <v>m²</v>
      </c>
      <c r="E121" s="75" t="str">
        <f>'Emission Factors database'!G125</f>
        <v>Untiered</v>
      </c>
      <c r="F121" s="75">
        <f>'Emission Factors database'!H125</f>
        <v>1</v>
      </c>
      <c r="G121" s="75" t="str">
        <f ca="1">'Emission Factors database'!I125</f>
        <v>379</v>
      </c>
      <c r="H121" s="75" t="str">
        <f>'Emission Factors database'!J125</f>
        <v/>
      </c>
      <c r="I121" s="75" t="str">
        <f ca="1">'Emission Factors database'!K125</f>
        <v>92.0</v>
      </c>
      <c r="J121" s="75" t="str">
        <f ca="1">'Emission Factors database'!L125</f>
        <v>226</v>
      </c>
      <c r="K121" s="75" t="str">
        <f ca="1">'Emission Factors database'!M125</f>
        <v>7.60</v>
      </c>
      <c r="L121" s="75" t="str">
        <f>'Emission Factors database'!N125</f>
        <v/>
      </c>
      <c r="M121" s="75" t="str">
        <f ca="1">'Emission Factors database'!O125</f>
        <v>1.85</v>
      </c>
      <c r="N121" s="75" t="str">
        <f ca="1">'Emission Factors database'!P125</f>
        <v>4.53</v>
      </c>
      <c r="O121" s="75" t="str">
        <f ca="1">'Emission Factors database'!Q125</f>
        <v>1.29</v>
      </c>
      <c r="P121" s="75" t="str">
        <f>'Emission Factors database'!R125</f>
        <v/>
      </c>
      <c r="Q121" s="75" t="str">
        <f ca="1">'Emission Factors database'!S125</f>
        <v>0.388</v>
      </c>
      <c r="R121" s="75" t="str">
        <f ca="1">'Emission Factors database'!T125</f>
        <v>0.0259</v>
      </c>
      <c r="S121" s="75" t="str">
        <f>'Emission Factors database'!U125</f>
        <v/>
      </c>
      <c r="T121" s="75" t="str">
        <f ca="1">'Emission Factors database'!V125</f>
        <v>0.00778</v>
      </c>
      <c r="U121" s="75" t="str">
        <f ca="1">'Emission Factors database'!W125</f>
        <v>49.9</v>
      </c>
      <c r="V121" s="75" t="str">
        <f>'Emission Factors database'!X125</f>
        <v>kg/m²</v>
      </c>
      <c r="W121" s="75" t="str">
        <f ca="1">'Emission Factors database'!Z125</f>
        <v>No</v>
      </c>
    </row>
    <row r="122" spans="1:23" ht="24.9" customHeight="1" x14ac:dyDescent="0.25">
      <c r="A122" s="75" t="str">
        <f>'Emission Factors database'!B126</f>
        <v>Curtain wall</v>
      </c>
      <c r="B122" s="75" t="str">
        <f>'Emission Factors database'!C126</f>
        <v>Curtain wall - Generic - Wall system, steel frame, stone cladding, 50% DGU 8T-16-44.2</v>
      </c>
      <c r="C122" s="75" t="str">
        <f ca="1">'Emission Factors database'!D126</f>
        <v>Determination of a generic curtain wall as described in material category column. Includes glass, framing, thermal breaks, spandrel/cladding material and insulation in one sqm rate.</v>
      </c>
      <c r="D122" s="75" t="str">
        <f>'Emission Factors database'!F126</f>
        <v>m²</v>
      </c>
      <c r="E122" s="75" t="str">
        <f>'Emission Factors database'!G126</f>
        <v>Untiered</v>
      </c>
      <c r="F122" s="75">
        <f>'Emission Factors database'!H126</f>
        <v>1</v>
      </c>
      <c r="G122" s="75" t="str">
        <f ca="1">'Emission Factors database'!I126</f>
        <v>264</v>
      </c>
      <c r="H122" s="75" t="str">
        <f>'Emission Factors database'!J126</f>
        <v/>
      </c>
      <c r="I122" s="75" t="str">
        <f ca="1">'Emission Factors database'!K126</f>
        <v>79.6</v>
      </c>
      <c r="J122" s="75" t="str">
        <f ca="1">'Emission Factors database'!L126</f>
        <v>161</v>
      </c>
      <c r="K122" s="75" t="str">
        <f ca="1">'Emission Factors database'!M126</f>
        <v>5.26</v>
      </c>
      <c r="L122" s="75" t="str">
        <f>'Emission Factors database'!N126</f>
        <v/>
      </c>
      <c r="M122" s="75" t="str">
        <f ca="1">'Emission Factors database'!O126</f>
        <v>1.58</v>
      </c>
      <c r="N122" s="75" t="str">
        <f ca="1">'Emission Factors database'!P126</f>
        <v>3.20</v>
      </c>
      <c r="O122" s="75" t="str">
        <f ca="1">'Emission Factors database'!Q126</f>
        <v>1.31</v>
      </c>
      <c r="P122" s="75" t="str">
        <f>'Emission Factors database'!R126</f>
        <v/>
      </c>
      <c r="Q122" s="75" t="str">
        <f ca="1">'Emission Factors database'!S126</f>
        <v>0.397</v>
      </c>
      <c r="R122" s="75" t="str">
        <f ca="1">'Emission Factors database'!T126</f>
        <v>0.0261</v>
      </c>
      <c r="S122" s="75" t="str">
        <f>'Emission Factors database'!U126</f>
        <v/>
      </c>
      <c r="T122" s="75" t="str">
        <f ca="1">'Emission Factors database'!V126</f>
        <v>0.00789</v>
      </c>
      <c r="U122" s="75" t="str">
        <f ca="1">'Emission Factors database'!W126</f>
        <v>50.3</v>
      </c>
      <c r="V122" s="75" t="str">
        <f>'Emission Factors database'!X126</f>
        <v>kg/m²</v>
      </c>
      <c r="W122" s="75" t="str">
        <f ca="1">'Emission Factors database'!Z126</f>
        <v>No</v>
      </c>
    </row>
    <row r="123" spans="1:23" ht="24.9" customHeight="1" x14ac:dyDescent="0.25">
      <c r="A123" s="75" t="str">
        <f>'Emission Factors database'!B127</f>
        <v>Curtain wall</v>
      </c>
      <c r="B123" s="75" t="str">
        <f>'Emission Factors database'!C127</f>
        <v>Curtain wall - Generic - Wall system, steel frame, brick cladding, 50% DGU 8T-16-44.2</v>
      </c>
      <c r="C123" s="75" t="str">
        <f ca="1">'Emission Factors database'!D127</f>
        <v>Determination of a generic curtain wall as described in material category column. Includes glass, framing, thermal breaks, spandrel/cladding material and insulation in one sqm rate.</v>
      </c>
      <c r="D123" s="75" t="str">
        <f>'Emission Factors database'!F127</f>
        <v>m²</v>
      </c>
      <c r="E123" s="75" t="str">
        <f>'Emission Factors database'!G127</f>
        <v>Untiered</v>
      </c>
      <c r="F123" s="75">
        <f>'Emission Factors database'!H127</f>
        <v>1</v>
      </c>
      <c r="G123" s="75" t="str">
        <f ca="1">'Emission Factors database'!I127</f>
        <v>308</v>
      </c>
      <c r="H123" s="75" t="str">
        <f>'Emission Factors database'!J127</f>
        <v/>
      </c>
      <c r="I123" s="75" t="str">
        <f ca="1">'Emission Factors database'!K127</f>
        <v>89.1</v>
      </c>
      <c r="J123" s="75" t="str">
        <f ca="1">'Emission Factors database'!L127</f>
        <v>182</v>
      </c>
      <c r="K123" s="75" t="str">
        <f ca="1">'Emission Factors database'!M127</f>
        <v>2.18</v>
      </c>
      <c r="L123" s="75" t="str">
        <f>'Emission Factors database'!N127</f>
        <v/>
      </c>
      <c r="M123" s="75" t="str">
        <f ca="1">'Emission Factors database'!O127</f>
        <v>0.629</v>
      </c>
      <c r="N123" s="75" t="str">
        <f ca="1">'Emission Factors database'!P127</f>
        <v>1.28</v>
      </c>
      <c r="O123" s="75" t="str">
        <f ca="1">'Emission Factors database'!Q127</f>
        <v>0.922</v>
      </c>
      <c r="P123" s="75" t="str">
        <f>'Emission Factors database'!R127</f>
        <v/>
      </c>
      <c r="Q123" s="75" t="str">
        <f ca="1">'Emission Factors database'!S127</f>
        <v>0.277</v>
      </c>
      <c r="R123" s="75" t="str">
        <f ca="1">'Emission Factors database'!T127</f>
        <v>0.00651</v>
      </c>
      <c r="S123" s="75" t="str">
        <f>'Emission Factors database'!U127</f>
        <v/>
      </c>
      <c r="T123" s="75" t="str">
        <f ca="1">'Emission Factors database'!V127</f>
        <v>0.00196</v>
      </c>
      <c r="U123" s="75" t="str">
        <f ca="1">'Emission Factors database'!W127</f>
        <v>142</v>
      </c>
      <c r="V123" s="75" t="str">
        <f>'Emission Factors database'!X127</f>
        <v>kg/m²</v>
      </c>
      <c r="W123" s="75" t="str">
        <f ca="1">'Emission Factors database'!Z127</f>
        <v>No</v>
      </c>
    </row>
    <row r="124" spans="1:23" ht="24.9" customHeight="1" x14ac:dyDescent="0.25">
      <c r="A124" s="75" t="str">
        <f>'Emission Factors database'!B128</f>
        <v>Curtain wall</v>
      </c>
      <c r="B124" s="75" t="str">
        <f>'Emission Factors database'!C128</f>
        <v>Curtain wall - Generic - Wall system, cross laminated timber backing, brick cladding, 50% DGU 8T-16-44.2</v>
      </c>
      <c r="C124" s="75" t="str">
        <f ca="1">'Emission Factors database'!D128</f>
        <v>Determination of a generic curtain wall as described in material category column. Includes glass, framing, thermal breaks, spandrel/cladding material and insulation in one sqm rate.</v>
      </c>
      <c r="D124" s="75" t="str">
        <f>'Emission Factors database'!F128</f>
        <v>m²</v>
      </c>
      <c r="E124" s="75" t="str">
        <f>'Emission Factors database'!G128</f>
        <v>Untiered</v>
      </c>
      <c r="F124" s="75">
        <f>'Emission Factors database'!H128</f>
        <v>1</v>
      </c>
      <c r="G124" s="75" t="str">
        <f ca="1">'Emission Factors database'!I128</f>
        <v>294</v>
      </c>
      <c r="H124" s="75" t="str">
        <f>'Emission Factors database'!J128</f>
        <v/>
      </c>
      <c r="I124" s="75" t="str">
        <f ca="1">'Emission Factors database'!K128</f>
        <v>87.3</v>
      </c>
      <c r="J124" s="75" t="str">
        <f ca="1">'Emission Factors database'!L128</f>
        <v>174</v>
      </c>
      <c r="K124" s="75" t="str">
        <f ca="1">'Emission Factors database'!M128</f>
        <v>2.08</v>
      </c>
      <c r="L124" s="75" t="str">
        <f>'Emission Factors database'!N128</f>
        <v/>
      </c>
      <c r="M124" s="75" t="str">
        <f ca="1">'Emission Factors database'!O128</f>
        <v>0.620</v>
      </c>
      <c r="N124" s="75" t="str">
        <f ca="1">'Emission Factors database'!P128</f>
        <v>1.24</v>
      </c>
      <c r="O124" s="75" t="str">
        <f ca="1">'Emission Factors database'!Q128</f>
        <v>10.1</v>
      </c>
      <c r="P124" s="75" t="str">
        <f>'Emission Factors database'!R128</f>
        <v/>
      </c>
      <c r="Q124" s="75" t="str">
        <f ca="1">'Emission Factors database'!S128</f>
        <v>10.1</v>
      </c>
      <c r="R124" s="75" t="str">
        <f ca="1">'Emission Factors database'!T128</f>
        <v>0.0719</v>
      </c>
      <c r="S124" s="75" t="str">
        <f>'Emission Factors database'!U128</f>
        <v/>
      </c>
      <c r="T124" s="75" t="str">
        <f ca="1">'Emission Factors database'!V128</f>
        <v>0.0719</v>
      </c>
      <c r="U124" s="75" t="str">
        <f ca="1">'Emission Factors database'!W128</f>
        <v>141</v>
      </c>
      <c r="V124" s="75" t="str">
        <f>'Emission Factors database'!X128</f>
        <v>kg/m²</v>
      </c>
      <c r="W124" s="75" t="str">
        <f ca="1">'Emission Factors database'!Z128</f>
        <v>No</v>
      </c>
    </row>
    <row r="125" spans="1:23" ht="24.9" customHeight="1" x14ac:dyDescent="0.25">
      <c r="A125" s="75" t="str">
        <f>'Emission Factors database'!B129</f>
        <v>Warehouse/Residential</v>
      </c>
      <c r="B125" s="75" t="str">
        <f>'Emission Factors database'!C129</f>
        <v>Building_services_MEP_warehouse_residential_HVAC</v>
      </c>
      <c r="C125" s="75" t="str">
        <f ca="1">'Emission Factors database'!D129</f>
        <v xml:space="preserve">Determination of a generic buildings services rate according to the description in material category column. Includes mechanical, electrical and heating, ventilation and air conditioning. </v>
      </c>
      <c r="D125" s="75" t="str">
        <f>'Emission Factors database'!F129</f>
        <v>m²</v>
      </c>
      <c r="E125" s="75" t="str">
        <f>'Emission Factors database'!G129</f>
        <v>Untiered</v>
      </c>
      <c r="F125" s="75">
        <f>'Emission Factors database'!H129</f>
        <v>1</v>
      </c>
      <c r="G125" s="75" t="str">
        <f>'Emission Factors database'!I129</f>
        <v>57.4</v>
      </c>
      <c r="H125" s="75" t="str">
        <f>'Emission Factors database'!J129</f>
        <v/>
      </c>
      <c r="I125" s="75" t="str">
        <f>'Emission Factors database'!K129</f>
        <v>41.2</v>
      </c>
      <c r="J125" s="75" t="str">
        <f>'Emission Factors database'!L129</f>
        <v>46.8</v>
      </c>
      <c r="K125" s="75" t="str">
        <f>'Emission Factors database'!M129</f>
        <v>2.69</v>
      </c>
      <c r="L125" s="75" t="str">
        <f>'Emission Factors database'!N129</f>
        <v/>
      </c>
      <c r="M125" s="75" t="str">
        <f>'Emission Factors database'!O129</f>
        <v>2.26</v>
      </c>
      <c r="N125" s="75" t="str">
        <f>'Emission Factors database'!P129</f>
        <v>2.26</v>
      </c>
      <c r="O125" s="75" t="str">
        <f>'Emission Factors database'!Q129</f>
        <v>0</v>
      </c>
      <c r="P125" s="75" t="str">
        <f>'Emission Factors database'!R129</f>
        <v/>
      </c>
      <c r="Q125" s="75" t="str">
        <f>'Emission Factors database'!S129</f>
        <v>0</v>
      </c>
      <c r="R125" s="75" t="str">
        <f>'Emission Factors database'!T129</f>
        <v/>
      </c>
      <c r="S125" s="75" t="str">
        <f>'Emission Factors database'!U129</f>
        <v/>
      </c>
      <c r="T125" s="75" t="str">
        <f>'Emission Factors database'!V129</f>
        <v/>
      </c>
      <c r="U125" s="75" t="str">
        <f>'Emission Factors database'!W129</f>
        <v>20.7</v>
      </c>
      <c r="V125" s="75" t="str">
        <f>'Emission Factors database'!X129</f>
        <v>kg/m²</v>
      </c>
      <c r="W125" s="75" t="str">
        <f ca="1">'Emission Factors database'!Z129</f>
        <v>No</v>
      </c>
    </row>
    <row r="126" spans="1:23" ht="24.9" customHeight="1" x14ac:dyDescent="0.25">
      <c r="A126" s="75" t="str">
        <f>'Emission Factors database'!B130</f>
        <v>Warehouse (no HVAC)</v>
      </c>
      <c r="B126" s="75" t="str">
        <f>'Emission Factors database'!C130</f>
        <v>Building_services_MEP_warehouse_none_HVAC</v>
      </c>
      <c r="C126" s="75" t="str">
        <f ca="1">'Emission Factors database'!D130</f>
        <v xml:space="preserve">Determination of a generic buildings services rate according to the description in material category column. Includes mechanical, electrical and heating, ventilation and air conditioning. </v>
      </c>
      <c r="D126" s="75" t="str">
        <f>'Emission Factors database'!F130</f>
        <v>m²</v>
      </c>
      <c r="E126" s="75" t="str">
        <f>'Emission Factors database'!G130</f>
        <v>Untiered</v>
      </c>
      <c r="F126" s="75">
        <f>'Emission Factors database'!H130</f>
        <v>1</v>
      </c>
      <c r="G126" s="75" t="str">
        <f>'Emission Factors database'!I130</f>
        <v>13.4</v>
      </c>
      <c r="H126" s="75" t="str">
        <f>'Emission Factors database'!J130</f>
        <v/>
      </c>
      <c r="I126" s="75" t="str">
        <f>'Emission Factors database'!K130</f>
        <v>11.8</v>
      </c>
      <c r="J126" s="75" t="str">
        <f>'Emission Factors database'!L130</f>
        <v>12.6</v>
      </c>
      <c r="K126" s="75" t="str">
        <f>'Emission Factors database'!M130</f>
        <v>2.77</v>
      </c>
      <c r="L126" s="75" t="str">
        <f>'Emission Factors database'!N130</f>
        <v/>
      </c>
      <c r="M126" s="75" t="str">
        <f>'Emission Factors database'!O130</f>
        <v>1.59</v>
      </c>
      <c r="N126" s="75" t="str">
        <f>'Emission Factors database'!P130</f>
        <v>2.18</v>
      </c>
      <c r="O126" s="75" t="str">
        <f>'Emission Factors database'!Q130</f>
        <v>0</v>
      </c>
      <c r="P126" s="75" t="str">
        <f>'Emission Factors database'!R130</f>
        <v/>
      </c>
      <c r="Q126" s="75" t="str">
        <f>'Emission Factors database'!S130</f>
        <v>0</v>
      </c>
      <c r="R126" s="75" t="str">
        <f>'Emission Factors database'!T130</f>
        <v/>
      </c>
      <c r="S126" s="75" t="str">
        <f>'Emission Factors database'!U130</f>
        <v/>
      </c>
      <c r="T126" s="75" t="str">
        <f>'Emission Factors database'!V130</f>
        <v/>
      </c>
      <c r="U126" s="75" t="str">
        <f>'Emission Factors database'!W130</f>
        <v>5.77</v>
      </c>
      <c r="V126" s="75" t="str">
        <f>'Emission Factors database'!X130</f>
        <v>kg/m²</v>
      </c>
      <c r="W126" s="75" t="str">
        <f ca="1">'Emission Factors database'!Z130</f>
        <v>No</v>
      </c>
    </row>
    <row r="127" spans="1:23" ht="24.9" customHeight="1" x14ac:dyDescent="0.25">
      <c r="A127" s="75" t="str">
        <f>'Emission Factors database'!B131</f>
        <v>Office commercial low rise</v>
      </c>
      <c r="B127" s="75" t="str">
        <f>'Emission Factors database'!C131</f>
        <v>Building_services_MEP_office_less7500sqm</v>
      </c>
      <c r="C127" s="75" t="str">
        <f ca="1">'Emission Factors database'!D131</f>
        <v xml:space="preserve">Determination of a generic buildings services rate according to the description in material category column. Includes mechanical, electrical and heating, ventilation and air conditioning. </v>
      </c>
      <c r="D127" s="75" t="str">
        <f>'Emission Factors database'!F131</f>
        <v>m²</v>
      </c>
      <c r="E127" s="75" t="str">
        <f>'Emission Factors database'!G131</f>
        <v>Untiered</v>
      </c>
      <c r="F127" s="75">
        <f>'Emission Factors database'!H131</f>
        <v>1</v>
      </c>
      <c r="G127" s="75" t="str">
        <f>'Emission Factors database'!I131</f>
        <v>67.0</v>
      </c>
      <c r="H127" s="75" t="str">
        <f>'Emission Factors database'!J131</f>
        <v/>
      </c>
      <c r="I127" s="75" t="str">
        <f>'Emission Factors database'!K131</f>
        <v>41.3</v>
      </c>
      <c r="J127" s="75" t="str">
        <f>'Emission Factors database'!L131</f>
        <v>55.3</v>
      </c>
      <c r="K127" s="75" t="str">
        <f>'Emission Factors database'!M131</f>
        <v>3.11</v>
      </c>
      <c r="L127" s="75" t="str">
        <f>'Emission Factors database'!N131</f>
        <v/>
      </c>
      <c r="M127" s="75" t="str">
        <f>'Emission Factors database'!O131</f>
        <v>2.77</v>
      </c>
      <c r="N127" s="75" t="str">
        <f>'Emission Factors database'!P131</f>
        <v>2.95</v>
      </c>
      <c r="O127" s="75" t="str">
        <f>'Emission Factors database'!Q131</f>
        <v>0</v>
      </c>
      <c r="P127" s="75" t="str">
        <f>'Emission Factors database'!R131</f>
        <v/>
      </c>
      <c r="Q127" s="75" t="str">
        <f>'Emission Factors database'!S131</f>
        <v>0</v>
      </c>
      <c r="R127" s="75" t="str">
        <f>'Emission Factors database'!T131</f>
        <v/>
      </c>
      <c r="S127" s="75" t="str">
        <f>'Emission Factors database'!U131</f>
        <v/>
      </c>
      <c r="T127" s="75" t="str">
        <f>'Emission Factors database'!V131</f>
        <v/>
      </c>
      <c r="U127" s="75" t="str">
        <f>'Emission Factors database'!W131</f>
        <v>18.8</v>
      </c>
      <c r="V127" s="75" t="str">
        <f>'Emission Factors database'!X131</f>
        <v>kg/m²</v>
      </c>
      <c r="W127" s="75" t="str">
        <f ca="1">'Emission Factors database'!Z131</f>
        <v>No</v>
      </c>
    </row>
    <row r="128" spans="1:23" ht="24.9" customHeight="1" x14ac:dyDescent="0.25">
      <c r="A128" s="75" t="str">
        <f>'Emission Factors database'!B132</f>
        <v>Office commercial high rise</v>
      </c>
      <c r="B128" s="75" t="str">
        <f>'Emission Factors database'!C132</f>
        <v>Building_services_MEP_office_commercial_greater7500sqm</v>
      </c>
      <c r="C128" s="75" t="str">
        <f ca="1">'Emission Factors database'!D132</f>
        <v xml:space="preserve">Determination of a generic buildings services rate according to the description in material category column. Includes mechanical, electrical and heating, ventilation and air conditioning. </v>
      </c>
      <c r="D128" s="75" t="str">
        <f>'Emission Factors database'!F132</f>
        <v>m²</v>
      </c>
      <c r="E128" s="75" t="str">
        <f>'Emission Factors database'!G132</f>
        <v>Untiered</v>
      </c>
      <c r="F128" s="75">
        <f>'Emission Factors database'!H132</f>
        <v>1</v>
      </c>
      <c r="G128" s="75" t="str">
        <f>'Emission Factors database'!I132</f>
        <v>74.8</v>
      </c>
      <c r="H128" s="75" t="str">
        <f>'Emission Factors database'!J132</f>
        <v/>
      </c>
      <c r="I128" s="75" t="str">
        <f>'Emission Factors database'!K132</f>
        <v>48.9</v>
      </c>
      <c r="J128" s="75" t="str">
        <f>'Emission Factors database'!L132</f>
        <v>62.6</v>
      </c>
      <c r="K128" s="75" t="str">
        <f>'Emission Factors database'!M132</f>
        <v>3.88</v>
      </c>
      <c r="L128" s="75" t="str">
        <f>'Emission Factors database'!N132</f>
        <v/>
      </c>
      <c r="M128" s="75" t="str">
        <f>'Emission Factors database'!O132</f>
        <v>2.88</v>
      </c>
      <c r="N128" s="75" t="str">
        <f>'Emission Factors database'!P132</f>
        <v>3.24</v>
      </c>
      <c r="O128" s="75" t="str">
        <f>'Emission Factors database'!Q132</f>
        <v>0</v>
      </c>
      <c r="P128" s="75" t="str">
        <f>'Emission Factors database'!R132</f>
        <v/>
      </c>
      <c r="Q128" s="75" t="str">
        <f>'Emission Factors database'!S132</f>
        <v>0</v>
      </c>
      <c r="R128" s="75" t="str">
        <f>'Emission Factors database'!T132</f>
        <v/>
      </c>
      <c r="S128" s="75" t="str">
        <f>'Emission Factors database'!U132</f>
        <v/>
      </c>
      <c r="T128" s="75" t="str">
        <f>'Emission Factors database'!V132</f>
        <v/>
      </c>
      <c r="U128" s="75" t="str">
        <f>'Emission Factors database'!W132</f>
        <v>19.3</v>
      </c>
      <c r="V128" s="75" t="str">
        <f>'Emission Factors database'!X132</f>
        <v>kg/m²</v>
      </c>
      <c r="W128" s="75" t="str">
        <f ca="1">'Emission Factors database'!Z132</f>
        <v>No</v>
      </c>
    </row>
    <row r="129" spans="1:23" ht="24.9" customHeight="1" x14ac:dyDescent="0.25">
      <c r="A129" s="75" t="str">
        <f>'Emission Factors database'!B133</f>
        <v>Hospital</v>
      </c>
      <c r="B129" s="75" t="str">
        <f>'Emission Factors database'!C133</f>
        <v>Building_services_MEP_hospital_special</v>
      </c>
      <c r="C129" s="75" t="str">
        <f ca="1">'Emission Factors database'!D133</f>
        <v xml:space="preserve">Determination of a generic buildings services rate according to the description in material category column. Includes mechanical, electrical and heating, ventilation and air conditioning. </v>
      </c>
      <c r="D129" s="75" t="str">
        <f>'Emission Factors database'!F133</f>
        <v>m²</v>
      </c>
      <c r="E129" s="75" t="str">
        <f>'Emission Factors database'!G133</f>
        <v>Untiered</v>
      </c>
      <c r="F129" s="75">
        <f>'Emission Factors database'!H133</f>
        <v>1</v>
      </c>
      <c r="G129" s="75" t="str">
        <f>'Emission Factors database'!I133</f>
        <v>74.8</v>
      </c>
      <c r="H129" s="75" t="str">
        <f>'Emission Factors database'!J133</f>
        <v/>
      </c>
      <c r="I129" s="75" t="str">
        <f>'Emission Factors database'!K133</f>
        <v>55.1</v>
      </c>
      <c r="J129" s="75" t="str">
        <f>'Emission Factors database'!L133</f>
        <v>66.0</v>
      </c>
      <c r="K129" s="75" t="str">
        <f>'Emission Factors database'!M133</f>
        <v>3.95</v>
      </c>
      <c r="L129" s="75" t="str">
        <f>'Emission Factors database'!N133</f>
        <v/>
      </c>
      <c r="M129" s="75" t="str">
        <f>'Emission Factors database'!O133</f>
        <v>2.91</v>
      </c>
      <c r="N129" s="75" t="str">
        <f>'Emission Factors database'!P133</f>
        <v>3.29</v>
      </c>
      <c r="O129" s="75" t="str">
        <f>'Emission Factors database'!Q133</f>
        <v>0</v>
      </c>
      <c r="P129" s="75" t="str">
        <f>'Emission Factors database'!R133</f>
        <v/>
      </c>
      <c r="Q129" s="75" t="str">
        <f>'Emission Factors database'!S133</f>
        <v>0</v>
      </c>
      <c r="R129" s="75" t="str">
        <f>'Emission Factors database'!T133</f>
        <v/>
      </c>
      <c r="S129" s="75" t="str">
        <f>'Emission Factors database'!U133</f>
        <v/>
      </c>
      <c r="T129" s="75" t="str">
        <f>'Emission Factors database'!V133</f>
        <v/>
      </c>
      <c r="U129" s="75" t="str">
        <f>'Emission Factors database'!W133</f>
        <v>20.1</v>
      </c>
      <c r="V129" s="75" t="str">
        <f>'Emission Factors database'!X133</f>
        <v>kg/m²</v>
      </c>
      <c r="W129" s="75" t="str">
        <f ca="1">'Emission Factors database'!Z133</f>
        <v>No</v>
      </c>
    </row>
  </sheetData>
  <pageMargins left="0.7" right="0.7" top="0.75" bottom="0.75"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917A90-A97A-42C8-9D94-031C348C3574}">
  <sheetPr codeName="Sheet94">
    <tabColor rgb="FF00CCFF"/>
  </sheetPr>
  <dimension ref="A1:I166"/>
  <sheetViews>
    <sheetView showGridLines="0" zoomScale="80" zoomScaleNormal="80" workbookViewId="0"/>
  </sheetViews>
  <sheetFormatPr defaultRowHeight="13.2" x14ac:dyDescent="0.25"/>
  <cols>
    <col min="1" max="1" width="30.5546875" customWidth="1"/>
    <col min="2" max="2" width="128.88671875" style="122" customWidth="1"/>
    <col min="3" max="3" width="21" customWidth="1"/>
    <col min="4" max="6" width="19.88671875" style="96" customWidth="1"/>
    <col min="7" max="7" width="23.5546875" style="121" customWidth="1"/>
    <col min="8" max="8" width="14.44140625" customWidth="1"/>
    <col min="9" max="9" width="13.109375" customWidth="1"/>
  </cols>
  <sheetData>
    <row r="1" spans="1:7" x14ac:dyDescent="0.25">
      <c r="A1" s="4" t="str" cm="1">
        <f t="array" aca="1" ref="A1" ca="1">MID(CELL("filename",A1),FIND("]",CELL("filename",A1))+1,255)</f>
        <v>Access_floor</v>
      </c>
      <c r="B1"/>
      <c r="G1" s="96"/>
    </row>
    <row r="2" spans="1:7" x14ac:dyDescent="0.25">
      <c r="A2" s="4"/>
      <c r="B2"/>
      <c r="C2" s="4"/>
      <c r="G2" s="96"/>
    </row>
    <row r="3" spans="1:7" x14ac:dyDescent="0.25">
      <c r="A3" s="4" t="s">
        <v>4048</v>
      </c>
      <c r="B3" t="s">
        <v>4251</v>
      </c>
      <c r="G3" s="96"/>
    </row>
    <row r="4" spans="1:7" x14ac:dyDescent="0.25">
      <c r="A4" s="4"/>
      <c r="B4"/>
      <c r="G4" s="96"/>
    </row>
    <row r="5" spans="1:7" ht="92.25" customHeight="1" x14ac:dyDescent="0.25">
      <c r="A5" s="26" t="s">
        <v>4050</v>
      </c>
      <c r="B5" s="14" t="s">
        <v>4252</v>
      </c>
      <c r="D5" s="14"/>
      <c r="E5" s="43"/>
      <c r="G5" s="96"/>
    </row>
    <row r="6" spans="1:7" x14ac:dyDescent="0.25">
      <c r="A6" s="26" t="s">
        <v>4052</v>
      </c>
      <c r="B6" s="27" t="s">
        <v>69</v>
      </c>
      <c r="D6"/>
      <c r="G6" s="96"/>
    </row>
    <row r="7" spans="1:7" x14ac:dyDescent="0.25">
      <c r="A7" s="26" t="s">
        <v>4053</v>
      </c>
      <c r="B7" s="27" t="s">
        <v>68</v>
      </c>
      <c r="G7" s="96"/>
    </row>
    <row r="8" spans="1:7" x14ac:dyDescent="0.25">
      <c r="A8" s="26" t="s">
        <v>4054</v>
      </c>
      <c r="B8" s="27" t="s">
        <v>70</v>
      </c>
      <c r="G8" s="96"/>
    </row>
    <row r="9" spans="1:7" x14ac:dyDescent="0.25">
      <c r="A9" s="26" t="s">
        <v>4055</v>
      </c>
      <c r="B9" s="4" t="s">
        <v>70</v>
      </c>
      <c r="G9" s="96"/>
    </row>
    <row r="10" spans="1:7" x14ac:dyDescent="0.25">
      <c r="A10" s="26"/>
      <c r="B10" s="4"/>
      <c r="G10" s="96"/>
    </row>
    <row r="11" spans="1:7" x14ac:dyDescent="0.25">
      <c r="A11" s="26" t="s">
        <v>4056</v>
      </c>
      <c r="B11" s="14" t="s">
        <v>4253</v>
      </c>
      <c r="G11" s="96"/>
    </row>
    <row r="12" spans="1:7" x14ac:dyDescent="0.25">
      <c r="A12" s="101"/>
      <c r="B12"/>
      <c r="G12" s="96"/>
    </row>
    <row r="13" spans="1:7" x14ac:dyDescent="0.25">
      <c r="A13" s="101"/>
      <c r="B13"/>
      <c r="G13" s="96"/>
    </row>
    <row r="14" spans="1:7" x14ac:dyDescent="0.25">
      <c r="A14" s="26" t="s">
        <v>4057</v>
      </c>
      <c r="B14"/>
      <c r="G14" s="96"/>
    </row>
    <row r="15" spans="1:7" x14ac:dyDescent="0.25">
      <c r="A15" s="26"/>
      <c r="B15"/>
      <c r="D15" s="112" t="s">
        <v>4058</v>
      </c>
      <c r="E15" s="113"/>
      <c r="F15" s="114" t="s">
        <v>4059</v>
      </c>
      <c r="G15" s="113"/>
    </row>
    <row r="16" spans="1:7" ht="39.6" x14ac:dyDescent="0.25">
      <c r="B16" s="28" t="s">
        <v>2414</v>
      </c>
      <c r="C16" s="23" t="s">
        <v>23</v>
      </c>
      <c r="D16" s="24" t="s">
        <v>141</v>
      </c>
      <c r="E16" s="25" t="s">
        <v>148</v>
      </c>
      <c r="F16" s="24" t="s">
        <v>142</v>
      </c>
      <c r="G16" s="24" t="s">
        <v>149</v>
      </c>
    </row>
    <row r="17" spans="2:9" x14ac:dyDescent="0.25">
      <c r="B17" s="29"/>
      <c r="C17" s="30" t="s">
        <v>4060</v>
      </c>
      <c r="D17" s="118" t="str" cm="1">
        <f t="array" ref="D17">IF(AND(_xlfn.ANCHORARRAY(C23)=C23),C23,"Mixed")</f>
        <v>m²</v>
      </c>
      <c r="E17" s="118" t="s">
        <v>219</v>
      </c>
      <c r="F17" s="118" t="str" cm="1">
        <f t="array" ref="F17">IF(AND(_xlfn.ANCHORARRAY(C23)=C23),C23,"Mixed")</f>
        <v>m²</v>
      </c>
      <c r="G17" s="119" t="s">
        <v>219</v>
      </c>
    </row>
    <row r="18" spans="2:9" s="14" customFormat="1" x14ac:dyDescent="0.25">
      <c r="B18" s="31"/>
      <c r="C18" s="4" t="s">
        <v>4061</v>
      </c>
      <c r="D18" s="96">
        <f>MAX(_xlfn.ANCHORARRAY(D23))</f>
        <v>76</v>
      </c>
      <c r="E18" s="96">
        <f t="shared" ref="E18:G18" si="0">MAX(_xlfn.ANCHORARRAY(E23))</f>
        <v>1.2925170068027212</v>
      </c>
      <c r="F18" s="96">
        <f t="shared" si="0"/>
        <v>0</v>
      </c>
      <c r="G18" s="121">
        <f t="shared" si="0"/>
        <v>0</v>
      </c>
      <c r="H18"/>
      <c r="I18"/>
    </row>
    <row r="19" spans="2:9" x14ac:dyDescent="0.25">
      <c r="C19" s="4" t="s">
        <v>4062</v>
      </c>
      <c r="D19" s="96">
        <f>MIN(_xlfn.ANCHORARRAY(D23))</f>
        <v>19</v>
      </c>
      <c r="E19" s="96">
        <f t="shared" ref="E19:G19" si="1">MIN(_xlfn.ANCHORARRAY(E23))</f>
        <v>0.30583845612747351</v>
      </c>
      <c r="F19" s="96">
        <f t="shared" si="1"/>
        <v>0</v>
      </c>
      <c r="G19" s="121">
        <f t="shared" si="1"/>
        <v>0</v>
      </c>
    </row>
    <row r="20" spans="2:9" x14ac:dyDescent="0.25">
      <c r="C20" s="4" t="s">
        <v>4063</v>
      </c>
      <c r="D20" s="96">
        <f>AVERAGE(_xlfn.ANCHORARRAY(D23))</f>
        <v>38.39418214285714</v>
      </c>
      <c r="E20" s="96">
        <f t="shared" ref="E20:G20" si="2">AVERAGE(_xlfn.ANCHORARRAY(E23))</f>
        <v>0.82217358485199188</v>
      </c>
      <c r="F20" s="96">
        <f t="shared" si="2"/>
        <v>0</v>
      </c>
      <c r="G20" s="121">
        <f t="shared" si="2"/>
        <v>0</v>
      </c>
    </row>
    <row r="21" spans="2:9" x14ac:dyDescent="0.25">
      <c r="C21" s="4"/>
    </row>
    <row r="22" spans="2:9" x14ac:dyDescent="0.25">
      <c r="B22" s="32" t="s">
        <v>4064</v>
      </c>
      <c r="D22"/>
      <c r="E22"/>
      <c r="F22"/>
      <c r="G22" s="124"/>
    </row>
    <row r="23" spans="2:9" x14ac:dyDescent="0.25">
      <c r="B23" s="122" t="str" cm="1">
        <f t="array" ref="B23:B50">_xlfn.UNIQUE(_xlfn._xlws.FILTER('EPD List'!D:D,ISNUMBER(SEARCH(B16,'EPD List'!C:C)),0))</f>
        <v>Access floor, , Icon Data HPL access floor system (ASP Accees Floors) (Australia)</v>
      </c>
      <c r="C23" t="str" cm="1">
        <f t="array" ref="C23:C50">_xlfn.IFNA(INDEX('EPD List'!$A:$AB,MATCH(_xlfn.ANCHORARRAY(B23),'EPD List'!$D:$D,0),MATCH(C$16,'EPD List'!$7:$7,0)),"")</f>
        <v>m²</v>
      </c>
      <c r="D23" s="96" cm="1">
        <f t="array" ref="D23:D50">_xlfn.IFNA(VALUE((INDEX('EPD List'!$A:$AD,MATCH(_xlfn.ANCHORARRAY($B23),'EPD List'!$D:$D,0),MATCH(D$16,'EPD List'!$7:$7,0)))),"")</f>
        <v>36.413499999999999</v>
      </c>
      <c r="E23" s="96" cm="1">
        <f t="array" ref="E23:E50">IFERROR(VALUE((INDEX('EPD List'!$A:$AD,MATCH(_xlfn.ANCHORARRAY($B23),'EPD List'!$D:$D,0),MATCH(E$16,'EPD List'!$7:$7,0)))),"")</f>
        <v>0.94091731266149858</v>
      </c>
      <c r="F23" s="96" cm="1">
        <f t="array" ref="F23:F50">_xlfn.IFNA(VALUE((INDEX('EPD List'!$A:$AD,MATCH(_xlfn.ANCHORARRAY($B23),'EPD List'!$D:$D,0),MATCH(F$16,'EPD List'!$7:$7,0)))),"")</f>
        <v>0</v>
      </c>
      <c r="G23" s="121" cm="1">
        <f t="array" ref="G23:G50">IFERROR(VALUE((INDEX('EPD List'!$A:$AD,MATCH(_xlfn.ANCHORARRAY($B23),'EPD List'!$D:$D,0),MATCH(G$16,'EPD List'!$7:$7,0)))),"")</f>
        <v>0</v>
      </c>
    </row>
    <row r="24" spans="2:9" x14ac:dyDescent="0.25">
      <c r="B24" s="122" t="str">
        <v>Icon Air, , Icon Air access floor system (ASP Accees Floors) (Australia)</v>
      </c>
      <c r="C24" t="str">
        <v>m²</v>
      </c>
      <c r="D24" s="96">
        <v>33.111899999999999</v>
      </c>
      <c r="E24" s="96">
        <v>0.86680366492146588</v>
      </c>
      <c r="F24" s="96">
        <v>0</v>
      </c>
      <c r="G24" s="121">
        <v>0</v>
      </c>
    </row>
    <row r="25" spans="2:9" x14ac:dyDescent="0.25">
      <c r="B25" s="122" t="str">
        <v>Access floor, , Icon X access floor system (ASP Accees Floors) (Australia)</v>
      </c>
      <c r="C25" t="str">
        <v>m²</v>
      </c>
      <c r="D25" s="96">
        <v>32.711700000000008</v>
      </c>
      <c r="E25" s="96">
        <v>0.86538888888888899</v>
      </c>
      <c r="F25" s="96">
        <v>0</v>
      </c>
      <c r="G25" s="121">
        <v>0</v>
      </c>
    </row>
    <row r="26" spans="2:9" x14ac:dyDescent="0.25">
      <c r="B26" s="122" t="str">
        <v>Access floor, , Urban X S2 access floor system - medium (ASP Accees Floors) (Australia)</v>
      </c>
      <c r="C26" t="str">
        <v>m²</v>
      </c>
      <c r="D26" s="96">
        <v>19</v>
      </c>
      <c r="E26" s="96">
        <v>0.34547338945760681</v>
      </c>
      <c r="F26" s="96">
        <v>0</v>
      </c>
      <c r="G26" s="121">
        <v>0</v>
      </c>
    </row>
    <row r="27" spans="2:9" x14ac:dyDescent="0.25">
      <c r="B27" s="122" t="str">
        <v>Access floor, , Urban X S2 access floor system - heavy (ASP Accees Floors) (Australia)</v>
      </c>
      <c r="C27" t="str">
        <v>m²</v>
      </c>
      <c r="D27" s="96">
        <v>23</v>
      </c>
      <c r="E27" s="96">
        <v>0.37817751323621296</v>
      </c>
      <c r="F27" s="96">
        <v>0</v>
      </c>
      <c r="G27" s="121">
        <v>0</v>
      </c>
    </row>
    <row r="28" spans="2:9" x14ac:dyDescent="0.25">
      <c r="B28" s="122" t="str">
        <v>Access floor, , Urban X S2 access floor system - extra heavy (ASP Accees Floors) (Australia)</v>
      </c>
      <c r="C28" t="str">
        <v>m²</v>
      </c>
      <c r="D28" s="96">
        <v>25</v>
      </c>
      <c r="E28" s="96">
        <v>0.38178430713783951</v>
      </c>
      <c r="F28" s="96">
        <v>0</v>
      </c>
      <c r="G28" s="121">
        <v>0</v>
      </c>
    </row>
    <row r="29" spans="2:9" x14ac:dyDescent="0.25">
      <c r="B29" s="122" t="str">
        <v>Access floor, , Urban X S4 access floor system - medium (ASP Accees Floors) (Australia)</v>
      </c>
      <c r="C29" t="str">
        <v>m²</v>
      </c>
      <c r="D29" s="96">
        <v>20</v>
      </c>
      <c r="E29" s="96">
        <v>0.36148715816870608</v>
      </c>
      <c r="F29" s="96">
        <v>0</v>
      </c>
      <c r="G29" s="121">
        <v>0</v>
      </c>
    </row>
    <row r="30" spans="2:9" x14ac:dyDescent="0.25">
      <c r="B30" s="122" t="str">
        <v>Access floor, , Urban X S4 access floor system - heavy (ASP Accees Floors) (Australia)</v>
      </c>
      <c r="C30" t="str">
        <v>m²</v>
      </c>
      <c r="D30" s="96">
        <v>23</v>
      </c>
      <c r="E30" s="96">
        <v>0.37613658664224509</v>
      </c>
      <c r="F30" s="96">
        <v>0</v>
      </c>
      <c r="G30" s="121">
        <v>0</v>
      </c>
    </row>
    <row r="31" spans="2:9" x14ac:dyDescent="0.25">
      <c r="B31" s="122" t="str">
        <v>Access floor, , Urban X S4 access floor system - extra heavy (ASP Accees Floors) (Australia)</v>
      </c>
      <c r="C31" t="str">
        <v>m²</v>
      </c>
      <c r="D31" s="96">
        <v>26</v>
      </c>
      <c r="E31" s="96">
        <v>0.39506472983650398</v>
      </c>
      <c r="F31" s="96">
        <v>0</v>
      </c>
      <c r="G31" s="121">
        <v>0</v>
      </c>
    </row>
    <row r="32" spans="2:9" x14ac:dyDescent="0.25">
      <c r="B32" s="122" t="str">
        <v>Access floor, , Urban X S6 access floor system - medium (ASP Accees Floors) (Australia)</v>
      </c>
      <c r="C32" t="str">
        <v>m²</v>
      </c>
      <c r="D32" s="96">
        <v>20.3</v>
      </c>
      <c r="E32" s="96">
        <v>0.36258417132548626</v>
      </c>
      <c r="F32" s="96">
        <v>0</v>
      </c>
      <c r="G32" s="121">
        <v>0</v>
      </c>
    </row>
    <row r="33" spans="2:7" x14ac:dyDescent="0.25">
      <c r="B33" s="122" t="str">
        <v>Access floor, , Urban X S6 access floor system - heavy (ASP Accees Floors) (Australia)</v>
      </c>
      <c r="C33" t="str">
        <v>m²</v>
      </c>
      <c r="D33" s="96">
        <v>24</v>
      </c>
      <c r="E33" s="96">
        <v>0.38829924928811804</v>
      </c>
      <c r="F33" s="96">
        <v>0</v>
      </c>
      <c r="G33" s="121">
        <v>0</v>
      </c>
    </row>
    <row r="34" spans="2:7" x14ac:dyDescent="0.25">
      <c r="B34" s="122" t="str">
        <v>Access floor, , Urban X S6 access floor system - extra heavy (ASP Accees Floors) (Australia)</v>
      </c>
      <c r="C34" t="str">
        <v>m²</v>
      </c>
      <c r="D34" s="96">
        <v>26.5</v>
      </c>
      <c r="E34" s="96">
        <v>0.39866409916957518</v>
      </c>
      <c r="F34" s="96">
        <v>0</v>
      </c>
      <c r="G34" s="121">
        <v>0</v>
      </c>
    </row>
    <row r="35" spans="2:7" x14ac:dyDescent="0.25">
      <c r="B35" s="122" t="str">
        <v>Access floor, , Urban IL S2 access floor system (ASP Accees Floors) (Australia)</v>
      </c>
      <c r="C35" t="str">
        <v>m²</v>
      </c>
      <c r="D35" s="96">
        <v>20</v>
      </c>
      <c r="E35" s="96">
        <v>0.30583845612747351</v>
      </c>
      <c r="F35" s="96">
        <v>0</v>
      </c>
      <c r="G35" s="121">
        <v>0</v>
      </c>
    </row>
    <row r="36" spans="2:7" x14ac:dyDescent="0.25">
      <c r="B36" s="122" t="str">
        <v>Access floor, , Urban IL S4 access floor system (ASP Accees Floors) (Australia)</v>
      </c>
      <c r="C36" t="str">
        <v>m²</v>
      </c>
      <c r="D36" s="96">
        <v>21</v>
      </c>
      <c r="E36" s="96">
        <v>0.3195179842979734</v>
      </c>
      <c r="F36" s="96">
        <v>0</v>
      </c>
      <c r="G36" s="121">
        <v>0</v>
      </c>
    </row>
    <row r="37" spans="2:7" x14ac:dyDescent="0.25">
      <c r="B37" s="122" t="str">
        <v>Access floor, , Urban IL S6 access floor system - extra heavy (ASP Accees Floors) (Australia)</v>
      </c>
      <c r="C37" t="str">
        <v>m²</v>
      </c>
      <c r="D37" s="96">
        <v>21</v>
      </c>
      <c r="E37" s="96">
        <v>0.31634128705712228</v>
      </c>
      <c r="F37" s="96">
        <v>0</v>
      </c>
      <c r="G37" s="121">
        <v>0</v>
      </c>
    </row>
    <row r="38" spans="2:7" x14ac:dyDescent="0.25">
      <c r="B38" s="122" t="str">
        <v>Access floor, , ConCore 800 (Tate Asia-Pacific Pty td) (Australia)</v>
      </c>
      <c r="C38" t="str">
        <v>m²</v>
      </c>
      <c r="D38" s="96">
        <v>34</v>
      </c>
      <c r="E38" s="96">
        <v>1.1447811447811449</v>
      </c>
      <c r="F38" s="96">
        <v>0</v>
      </c>
      <c r="G38" s="121">
        <v>0</v>
      </c>
    </row>
    <row r="39" spans="2:7" x14ac:dyDescent="0.25">
      <c r="B39" s="122" t="str">
        <v>Access floor, , ConCore 1000 (Tate Asia-Pacific Pty td) (Australia)</v>
      </c>
      <c r="C39" t="str">
        <v>m²</v>
      </c>
      <c r="D39" s="96">
        <v>37</v>
      </c>
      <c r="E39" s="96">
        <v>1.1671924290220821</v>
      </c>
      <c r="F39" s="96">
        <v>0</v>
      </c>
      <c r="G39" s="121">
        <v>0</v>
      </c>
    </row>
    <row r="40" spans="2:7" x14ac:dyDescent="0.25">
      <c r="B40" s="122" t="str">
        <v>Access floor, , ConCore 1250 (Tate Asia-Pacific Pty td) (Australia)</v>
      </c>
      <c r="C40" t="str">
        <v>m²</v>
      </c>
      <c r="D40" s="96">
        <v>39</v>
      </c>
      <c r="E40" s="96">
        <v>1.1607142857142856</v>
      </c>
      <c r="F40" s="96">
        <v>0</v>
      </c>
      <c r="G40" s="121">
        <v>0</v>
      </c>
    </row>
    <row r="41" spans="2:7" x14ac:dyDescent="0.25">
      <c r="B41" s="122" t="str">
        <v>Access floor, , ConCore 1500 (Tate Asia-Pacific Pty td) (Australia)</v>
      </c>
      <c r="C41" t="str">
        <v>m²</v>
      </c>
      <c r="D41" s="96">
        <v>50</v>
      </c>
      <c r="E41" s="96">
        <v>1.2106537530266344</v>
      </c>
      <c r="F41" s="96">
        <v>0</v>
      </c>
      <c r="G41" s="121">
        <v>0</v>
      </c>
    </row>
    <row r="42" spans="2:7" x14ac:dyDescent="0.25">
      <c r="B42" s="122" t="str">
        <v>Access floor, , ConCore 2000 (Tate Asia-Pacific Pty td) (Australia)</v>
      </c>
      <c r="C42" t="str">
        <v>m²</v>
      </c>
      <c r="D42" s="96">
        <v>59</v>
      </c>
      <c r="E42" s="96">
        <v>1.2317327766179542</v>
      </c>
      <c r="F42" s="96">
        <v>0</v>
      </c>
      <c r="G42" s="121">
        <v>0</v>
      </c>
    </row>
    <row r="43" spans="2:7" x14ac:dyDescent="0.25">
      <c r="B43" s="122" t="str">
        <v>Access floor, , ConCore 2500 (Tate Asia-Pacific Pty td) (Australia)</v>
      </c>
      <c r="C43" t="str">
        <v>m²</v>
      </c>
      <c r="D43" s="96">
        <v>64</v>
      </c>
      <c r="E43" s="96">
        <v>1.2307692307692308</v>
      </c>
      <c r="F43" s="96">
        <v>0</v>
      </c>
      <c r="G43" s="121">
        <v>0</v>
      </c>
    </row>
    <row r="44" spans="2:7" x14ac:dyDescent="0.25">
      <c r="B44" s="122" t="str">
        <v>Access floor, , ConCore 3000 (Tate Asia-Pacific Pty td) (Australia)</v>
      </c>
      <c r="C44" t="str">
        <v>m²</v>
      </c>
      <c r="D44" s="96">
        <v>71</v>
      </c>
      <c r="E44" s="96">
        <v>1.243432574430823</v>
      </c>
      <c r="F44" s="96">
        <v>0</v>
      </c>
      <c r="G44" s="121">
        <v>0</v>
      </c>
    </row>
    <row r="45" spans="2:7" x14ac:dyDescent="0.25">
      <c r="B45" s="122" t="str">
        <v>Access floor, , ConCore 1000 with HPL (Tate Asia-Pacific Pty td) (Australia)</v>
      </c>
      <c r="C45" t="str">
        <v>m²</v>
      </c>
      <c r="D45" s="96">
        <v>41</v>
      </c>
      <c r="E45" s="96">
        <v>1.2202380952380951</v>
      </c>
      <c r="F45" s="96">
        <v>0</v>
      </c>
      <c r="G45" s="121">
        <v>0</v>
      </c>
    </row>
    <row r="46" spans="2:7" x14ac:dyDescent="0.25">
      <c r="B46" s="122" t="str">
        <v>Access floor, , ConCore 1250 with HPL (Tate Asia-Pacific Pty td) (Australia)</v>
      </c>
      <c r="C46" t="str">
        <v>m²</v>
      </c>
      <c r="D46" s="96">
        <v>45</v>
      </c>
      <c r="E46" s="96">
        <v>1.267605633802817</v>
      </c>
      <c r="F46" s="96">
        <v>0</v>
      </c>
      <c r="G46" s="121">
        <v>0</v>
      </c>
    </row>
    <row r="47" spans="2:7" x14ac:dyDescent="0.25">
      <c r="B47" s="122" t="str">
        <v>Access floor, , ConCore 1500 with HPL (Tate Asia-Pacific Pty td) (Australia)</v>
      </c>
      <c r="C47" t="str">
        <v>m²</v>
      </c>
      <c r="D47" s="96">
        <v>55</v>
      </c>
      <c r="E47" s="96">
        <v>1.2761020881670533</v>
      </c>
      <c r="F47" s="96">
        <v>0</v>
      </c>
      <c r="G47" s="121">
        <v>0</v>
      </c>
    </row>
    <row r="48" spans="2:7" x14ac:dyDescent="0.25">
      <c r="B48" s="122" t="str">
        <v>Access floor, , ConCore 2000 with HPL (Tate Asia-Pacific Pty td) (Australia)</v>
      </c>
      <c r="C48" t="str">
        <v>m²</v>
      </c>
      <c r="D48" s="96">
        <v>64</v>
      </c>
      <c r="E48" s="96">
        <v>1.2877263581488934</v>
      </c>
      <c r="F48" s="96">
        <v>0</v>
      </c>
      <c r="G48" s="121">
        <v>0</v>
      </c>
    </row>
    <row r="49" spans="2:7" x14ac:dyDescent="0.25">
      <c r="B49" s="122" t="str">
        <v>Access floor, , ConCore 2500 with HPL (Tate Asia-Pacific Pty td) (Australia)</v>
      </c>
      <c r="C49" t="str">
        <v>m²</v>
      </c>
      <c r="D49" s="96">
        <v>69</v>
      </c>
      <c r="E49" s="96">
        <v>1.2849162011173183</v>
      </c>
      <c r="F49" s="96">
        <v>0</v>
      </c>
      <c r="G49" s="121">
        <v>0</v>
      </c>
    </row>
    <row r="50" spans="2:7" x14ac:dyDescent="0.25">
      <c r="B50" s="122" t="str">
        <v>Access floor, , ConCore 3000 with HPL (Tate Asia-Pacific Pty td) (Australia)</v>
      </c>
      <c r="C50" t="str">
        <v>m²</v>
      </c>
      <c r="D50" s="96">
        <v>76</v>
      </c>
      <c r="E50" s="96">
        <v>1.2925170068027212</v>
      </c>
      <c r="F50" s="96">
        <v>0</v>
      </c>
      <c r="G50" s="121">
        <v>0</v>
      </c>
    </row>
    <row r="90" spans="9:9" x14ac:dyDescent="0.25">
      <c r="I90" s="96"/>
    </row>
    <row r="166" spans="2:7" x14ac:dyDescent="0.25">
      <c r="B166" s="125"/>
      <c r="C166" s="126"/>
      <c r="D166" s="127"/>
      <c r="E166" s="127"/>
      <c r="F166" s="127"/>
      <c r="G166" s="128"/>
    </row>
  </sheetData>
  <dataValidations count="1">
    <dataValidation type="list" allowBlank="1" showInputMessage="1" showErrorMessage="1" sqref="B6:B9" xr:uid="{DC26BCC5-25AD-48DF-A55C-AD166B0FC4E6}">
      <formula1>"Tier 1,Tier 2,Tier 3,Tier 4"</formula1>
    </dataValidation>
  </dataValidations>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CE163D-4BC2-4CE0-AFDA-2B7FDE1DFBBF}">
  <sheetPr codeName="Sheet95">
    <tabColor rgb="FF00CCFF"/>
  </sheetPr>
  <dimension ref="A1:I166"/>
  <sheetViews>
    <sheetView showGridLines="0" zoomScale="80" zoomScaleNormal="80" workbookViewId="0"/>
  </sheetViews>
  <sheetFormatPr defaultRowHeight="13.2" x14ac:dyDescent="0.25"/>
  <cols>
    <col min="1" max="1" width="30.109375" bestFit="1" customWidth="1"/>
    <col min="2" max="2" width="128.88671875" style="122" customWidth="1"/>
    <col min="3" max="3" width="21" customWidth="1"/>
    <col min="4" max="6" width="19.88671875" style="96" customWidth="1"/>
    <col min="7" max="7" width="23.5546875" style="121" customWidth="1"/>
    <col min="8" max="8" width="14.44140625" customWidth="1"/>
    <col min="9" max="9" width="13.109375" customWidth="1"/>
  </cols>
  <sheetData>
    <row r="1" spans="1:7" x14ac:dyDescent="0.25">
      <c r="A1" s="4" t="str" cm="1">
        <f t="array" aca="1" ref="A1" ca="1">MID(CELL("filename",A1),FIND("]",CELL("filename",A1))+1,255)</f>
        <v>Carpet_flooring</v>
      </c>
      <c r="B1"/>
      <c r="G1" s="96"/>
    </row>
    <row r="2" spans="1:7" x14ac:dyDescent="0.25">
      <c r="A2" s="4"/>
      <c r="B2"/>
      <c r="C2" s="4"/>
      <c r="G2" s="96"/>
    </row>
    <row r="3" spans="1:7" x14ac:dyDescent="0.25">
      <c r="A3" s="4" t="s">
        <v>4048</v>
      </c>
      <c r="B3" t="s">
        <v>4254</v>
      </c>
      <c r="G3" s="96"/>
    </row>
    <row r="4" spans="1:7" x14ac:dyDescent="0.25">
      <c r="A4" s="4"/>
      <c r="B4"/>
      <c r="G4" s="96"/>
    </row>
    <row r="5" spans="1:7" ht="92.25" customHeight="1" x14ac:dyDescent="0.25">
      <c r="A5" s="26" t="s">
        <v>4050</v>
      </c>
      <c r="B5" s="14" t="s">
        <v>4255</v>
      </c>
      <c r="D5" s="14"/>
      <c r="E5" s="43"/>
      <c r="G5" s="96"/>
    </row>
    <row r="6" spans="1:7" x14ac:dyDescent="0.25">
      <c r="A6" s="26" t="s">
        <v>4052</v>
      </c>
      <c r="B6" s="27" t="s">
        <v>71</v>
      </c>
      <c r="D6"/>
      <c r="G6" s="96"/>
    </row>
    <row r="7" spans="1:7" x14ac:dyDescent="0.25">
      <c r="A7" s="26" t="s">
        <v>4053</v>
      </c>
      <c r="B7" s="27" t="s">
        <v>68</v>
      </c>
      <c r="G7" s="96"/>
    </row>
    <row r="8" spans="1:7" x14ac:dyDescent="0.25">
      <c r="A8" s="26" t="s">
        <v>4054</v>
      </c>
      <c r="B8" s="27" t="s">
        <v>70</v>
      </c>
      <c r="G8" s="96"/>
    </row>
    <row r="9" spans="1:7" x14ac:dyDescent="0.25">
      <c r="A9" s="26" t="s">
        <v>4055</v>
      </c>
      <c r="B9" s="4" t="s">
        <v>71</v>
      </c>
      <c r="G9" s="96"/>
    </row>
    <row r="10" spans="1:7" x14ac:dyDescent="0.25">
      <c r="A10" s="26"/>
      <c r="B10" s="4"/>
      <c r="G10" s="96"/>
    </row>
    <row r="11" spans="1:7" x14ac:dyDescent="0.25">
      <c r="A11" s="26" t="s">
        <v>4056</v>
      </c>
      <c r="B11" s="14" t="s">
        <v>4253</v>
      </c>
      <c r="G11" s="96"/>
    </row>
    <row r="12" spans="1:7" x14ac:dyDescent="0.25">
      <c r="A12" s="101"/>
      <c r="B12"/>
      <c r="G12" s="96"/>
    </row>
    <row r="13" spans="1:7" x14ac:dyDescent="0.25">
      <c r="A13" s="101"/>
      <c r="B13"/>
      <c r="G13" s="96"/>
    </row>
    <row r="14" spans="1:7" x14ac:dyDescent="0.25">
      <c r="A14" s="26" t="s">
        <v>4057</v>
      </c>
      <c r="B14"/>
      <c r="G14" s="96"/>
    </row>
    <row r="15" spans="1:7" x14ac:dyDescent="0.25">
      <c r="A15" s="26"/>
      <c r="B15"/>
      <c r="D15" s="112" t="s">
        <v>4058</v>
      </c>
      <c r="E15" s="113"/>
      <c r="F15" s="114" t="s">
        <v>4059</v>
      </c>
      <c r="G15" s="113"/>
    </row>
    <row r="16" spans="1:7" ht="39.6" x14ac:dyDescent="0.25">
      <c r="B16" s="28" t="s">
        <v>2430</v>
      </c>
      <c r="C16" s="23" t="s">
        <v>23</v>
      </c>
      <c r="D16" s="24" t="s">
        <v>141</v>
      </c>
      <c r="E16" s="25" t="s">
        <v>148</v>
      </c>
      <c r="F16" s="24" t="s">
        <v>142</v>
      </c>
      <c r="G16" s="24" t="s">
        <v>149</v>
      </c>
    </row>
    <row r="17" spans="2:9" x14ac:dyDescent="0.25">
      <c r="B17" s="29"/>
      <c r="C17" s="30" t="s">
        <v>4060</v>
      </c>
      <c r="D17" s="118" t="str" cm="1">
        <f t="array" ref="D17">IF(AND(_xlfn.ANCHORARRAY(C23)=C23),C23,"Mixed")</f>
        <v>m²</v>
      </c>
      <c r="E17" s="118" t="s">
        <v>219</v>
      </c>
      <c r="F17" s="118" t="str" cm="1">
        <f t="array" ref="F17">IF(AND(_xlfn.ANCHORARRAY(C23)=C23),C23,"Mixed")</f>
        <v>m²</v>
      </c>
      <c r="G17" s="119" t="s">
        <v>219</v>
      </c>
    </row>
    <row r="18" spans="2:9" s="14" customFormat="1" x14ac:dyDescent="0.25">
      <c r="B18" s="31"/>
      <c r="C18" s="4" t="s">
        <v>4061</v>
      </c>
      <c r="D18" s="96">
        <f>MAX(_xlfn.ANCHORARRAY(D23))</f>
        <v>28.52</v>
      </c>
      <c r="E18" s="96">
        <f t="shared" ref="E18:G18" si="0">MAX(_xlfn.ANCHORARRAY(E23))</f>
        <v>11.097276264591441</v>
      </c>
      <c r="F18" s="96">
        <f t="shared" si="0"/>
        <v>0</v>
      </c>
      <c r="G18" s="121">
        <f t="shared" si="0"/>
        <v>0</v>
      </c>
      <c r="H18"/>
      <c r="I18"/>
    </row>
    <row r="19" spans="2:9" x14ac:dyDescent="0.25">
      <c r="C19" s="4" t="s">
        <v>4062</v>
      </c>
      <c r="D19" s="96">
        <f>MIN(_xlfn.ANCHORARRAY(D23))</f>
        <v>8.5299999999999994</v>
      </c>
      <c r="E19" s="96">
        <f t="shared" ref="E19:G19" si="1">MIN(_xlfn.ANCHORARRAY(E23))</f>
        <v>2.2565598086124408</v>
      </c>
      <c r="F19" s="96">
        <f t="shared" si="1"/>
        <v>0</v>
      </c>
      <c r="G19" s="121">
        <f t="shared" si="1"/>
        <v>0</v>
      </c>
    </row>
    <row r="20" spans="2:9" x14ac:dyDescent="0.25">
      <c r="C20" s="4" t="s">
        <v>4063</v>
      </c>
      <c r="D20" s="96">
        <f>AVERAGE(_xlfn.ANCHORARRAY(D23))</f>
        <v>15.748526250000001</v>
      </c>
      <c r="E20" s="96">
        <f t="shared" ref="E20:G20" si="2">AVERAGE(_xlfn.ANCHORARRAY(E23))</f>
        <v>4.8977891824859556</v>
      </c>
      <c r="F20" s="96">
        <f t="shared" si="2"/>
        <v>0</v>
      </c>
      <c r="G20" s="121">
        <f t="shared" si="2"/>
        <v>0</v>
      </c>
    </row>
    <row r="21" spans="2:9" x14ac:dyDescent="0.25">
      <c r="C21" s="4"/>
    </row>
    <row r="22" spans="2:9" x14ac:dyDescent="0.25">
      <c r="B22" s="32" t="s">
        <v>4064</v>
      </c>
      <c r="D22"/>
      <c r="E22"/>
      <c r="F22"/>
      <c r="G22" s="124"/>
    </row>
    <row r="23" spans="2:9" x14ac:dyDescent="0.25">
      <c r="B23" s="122" t="str" cm="1">
        <f t="array" ref="B23:B38">_xlfn.UNIQUE(_xlfn._xlws.FILTER('EPD List'!D:D,ISNUMBER(SEARCH(B16,'EPD List'!C:C)),0))</f>
        <v>Carpet, , Colortec RE:THINK 500g, 1300g/m2 (Dansk Wilton) (Global)</v>
      </c>
      <c r="C23" t="str" cm="1">
        <f t="array" ref="C23:C38">_xlfn.IFNA(INDEX('EPD List'!$A:$AB,MATCH(_xlfn.ANCHORARRAY(B23),'EPD List'!$D:$D,0),MATCH(C$16,'EPD List'!$7:$7,0)),"")</f>
        <v>m²</v>
      </c>
      <c r="D23" s="96" cm="1">
        <f t="array" ref="D23:D38">_xlfn.IFNA(VALUE((INDEX('EPD List'!$A:$AD,MATCH(_xlfn.ANCHORARRAY($B23),'EPD List'!$D:$D,0),MATCH(D$16,'EPD List'!$7:$7,0)))),"")</f>
        <v>25.659999999999997</v>
      </c>
      <c r="E23" s="96" cm="1">
        <f t="array" ref="E23:E38">IFERROR(VALUE((INDEX('EPD List'!$A:$AD,MATCH(_xlfn.ANCHORARRAY($B23),'EPD List'!$D:$D,0),MATCH(E$16,'EPD List'!$7:$7,0)))),"")</f>
        <v>10.827004219409282</v>
      </c>
      <c r="F23" s="96" cm="1">
        <f t="array" ref="F23:F38">_xlfn.IFNA(VALUE((INDEX('EPD List'!$A:$AD,MATCH(_xlfn.ANCHORARRAY($B23),'EPD List'!$D:$D,0),MATCH(F$16,'EPD List'!$7:$7,0)))),"")</f>
        <v>0</v>
      </c>
      <c r="G23" s="121" cm="1">
        <f t="array" ref="G23:G38">IFERROR(VALUE((INDEX('EPD List'!$A:$AD,MATCH(_xlfn.ANCHORARRAY($B23),'EPD List'!$D:$D,0),MATCH(G$16,'EPD List'!$7:$7,0)))),"")</f>
        <v>0</v>
      </c>
    </row>
    <row r="24" spans="2:9" x14ac:dyDescent="0.25">
      <c r="B24" s="122" t="str">
        <v>Carpet tile, , Vibe carpet tiles (Burmatex) (United Kingdom)</v>
      </c>
      <c r="C24" t="str">
        <v>m²</v>
      </c>
      <c r="D24" s="96">
        <v>9.4324200000000005</v>
      </c>
      <c r="E24" s="96">
        <v>2.2565598086124408</v>
      </c>
      <c r="F24" s="96">
        <v>0</v>
      </c>
      <c r="G24" s="121">
        <v>0</v>
      </c>
    </row>
    <row r="25" spans="2:9" x14ac:dyDescent="0.25">
      <c r="B25" s="122" t="str">
        <v>Carpet, , Colortec RE:THINK 500g, 1100g/m2 (Dansk Wilton) (Global)</v>
      </c>
      <c r="C25" t="str">
        <v>m²</v>
      </c>
      <c r="D25" s="96">
        <v>22.703999999999997</v>
      </c>
      <c r="E25" s="96">
        <v>10.462672811059907</v>
      </c>
      <c r="F25" s="96">
        <v>0</v>
      </c>
      <c r="G25" s="121">
        <v>0</v>
      </c>
    </row>
    <row r="26" spans="2:9" x14ac:dyDescent="0.25">
      <c r="B26" s="122" t="str">
        <v>Carpet tile, , Nexus Cushion Modular Carpet Tile -Ultima 19oz face weight (J+J Flooring) (Global)</v>
      </c>
      <c r="C26" t="str">
        <v>m²</v>
      </c>
      <c r="D26" s="96">
        <v>17.600000000000001</v>
      </c>
      <c r="E26" s="96">
        <v>4.1706161137440763</v>
      </c>
      <c r="F26" s="96">
        <v>0</v>
      </c>
      <c r="G26" s="121">
        <v>0</v>
      </c>
    </row>
    <row r="27" spans="2:9" x14ac:dyDescent="0.25">
      <c r="B27" s="122" t="str">
        <v>Carpet tile, , Nexus Cushion Modular Carpet Tile - Encore 100 19oz face weight (J+J Flooring) (Global)</v>
      </c>
      <c r="C27" t="str">
        <v>m²</v>
      </c>
      <c r="D27" s="96">
        <v>14.4</v>
      </c>
      <c r="E27" s="96">
        <v>3.4123222748815167</v>
      </c>
      <c r="F27" s="96">
        <v>0</v>
      </c>
      <c r="G27" s="121">
        <v>0</v>
      </c>
    </row>
    <row r="28" spans="2:9" x14ac:dyDescent="0.25">
      <c r="B28" s="122" t="str">
        <v>Carpet tile, , Nexus Cushion Modular Carpet Tile - TerePlex 19oz face weight (J+J Flooring) (Global)</v>
      </c>
      <c r="C28" t="str">
        <v>m²</v>
      </c>
      <c r="D28" s="96">
        <v>17.5</v>
      </c>
      <c r="E28" s="96">
        <v>4.1469194312796214</v>
      </c>
      <c r="F28" s="96">
        <v>0</v>
      </c>
      <c r="G28" s="121">
        <v>0</v>
      </c>
    </row>
    <row r="29" spans="2:9" x14ac:dyDescent="0.25">
      <c r="B29" s="122" t="str">
        <v>Carpet, , Endure Plus Broadloom carpet - Ultima (J+J Flooring) (North America)</v>
      </c>
      <c r="C29" t="str">
        <v>m²</v>
      </c>
      <c r="D29" s="96">
        <v>12.3</v>
      </c>
      <c r="E29" s="96">
        <v>3.738601823708207</v>
      </c>
      <c r="F29" s="96">
        <v>0</v>
      </c>
      <c r="G29" s="121">
        <v>0</v>
      </c>
    </row>
    <row r="30" spans="2:9" x14ac:dyDescent="0.25">
      <c r="B30" s="122" t="str">
        <v>Carpet, , Endure Plus Broadloom carpet - Encore (J+J Flooring) (North America)</v>
      </c>
      <c r="C30" t="str">
        <v>m²</v>
      </c>
      <c r="D30" s="96">
        <v>8.5299999999999994</v>
      </c>
      <c r="E30" s="96">
        <v>2.5927051671732522</v>
      </c>
      <c r="F30" s="96">
        <v>0</v>
      </c>
      <c r="G30" s="121">
        <v>0</v>
      </c>
    </row>
    <row r="31" spans="2:9" x14ac:dyDescent="0.25">
      <c r="B31" s="122" t="str">
        <v>Carpet, , Endure Plus Broadloom carpet - TeraPlex (J+J Flooring) (North America)</v>
      </c>
      <c r="C31" t="str">
        <v>m²</v>
      </c>
      <c r="D31" s="96">
        <v>12.5</v>
      </c>
      <c r="E31" s="96">
        <v>3.7993920972644375</v>
      </c>
      <c r="F31" s="96">
        <v>0</v>
      </c>
      <c r="G31" s="121">
        <v>0</v>
      </c>
    </row>
    <row r="32" spans="2:9" x14ac:dyDescent="0.25">
      <c r="B32" s="122" t="str">
        <v>Carpet tile, , Nexus Cushion Modular Carpet Tile -Ultima (EF Contract) (North America)</v>
      </c>
      <c r="C32" t="str">
        <v>m²</v>
      </c>
      <c r="D32" s="96">
        <v>17.600000000000001</v>
      </c>
      <c r="E32" s="96">
        <v>4.1706161137440763</v>
      </c>
      <c r="F32" s="96">
        <v>0</v>
      </c>
      <c r="G32" s="121">
        <v>0</v>
      </c>
    </row>
    <row r="33" spans="2:7" x14ac:dyDescent="0.25">
      <c r="B33" s="122" t="str">
        <v>Carpet tile, , Nexus Cushion Modular Carpet Tile - Encore 100 (EF Contract) (North America)</v>
      </c>
      <c r="C33" t="str">
        <v>m²</v>
      </c>
      <c r="D33" s="96">
        <v>14.4</v>
      </c>
      <c r="E33" s="96">
        <v>3.4123222748815167</v>
      </c>
      <c r="F33" s="96">
        <v>0</v>
      </c>
      <c r="G33" s="121">
        <v>0</v>
      </c>
    </row>
    <row r="34" spans="2:7" x14ac:dyDescent="0.25">
      <c r="B34" s="122" t="str">
        <v>Carpet tile, , Nexus Cushion Modular Carpet Tile - TerePlex (EF Contract) (North America)</v>
      </c>
      <c r="C34" t="str">
        <v>m²</v>
      </c>
      <c r="D34" s="96">
        <v>17.5</v>
      </c>
      <c r="E34" s="96">
        <v>4.1469194312796214</v>
      </c>
      <c r="F34" s="96">
        <v>0</v>
      </c>
      <c r="G34" s="121">
        <v>0</v>
      </c>
    </row>
    <row r="35" spans="2:7" x14ac:dyDescent="0.25">
      <c r="B35" s="122" t="str">
        <v>Carpet, , Endure Plus Broadloom carpet - Ultima (EF Contract) (North America)</v>
      </c>
      <c r="C35" t="str">
        <v>m²</v>
      </c>
      <c r="D35" s="96">
        <v>12.3</v>
      </c>
      <c r="E35" s="96">
        <v>3.738601823708207</v>
      </c>
      <c r="F35" s="96">
        <v>0</v>
      </c>
      <c r="G35" s="121">
        <v>0</v>
      </c>
    </row>
    <row r="36" spans="2:7" x14ac:dyDescent="0.25">
      <c r="B36" s="122" t="str">
        <v>Carpet, , Endure Plus Broadloom carpet - Encore (EF Contract) (North America)</v>
      </c>
      <c r="C36" t="str">
        <v>m²</v>
      </c>
      <c r="D36" s="96">
        <v>8.5299999999999994</v>
      </c>
      <c r="E36" s="96">
        <v>2.5927051671732522</v>
      </c>
      <c r="F36" s="96">
        <v>0</v>
      </c>
      <c r="G36" s="121">
        <v>0</v>
      </c>
    </row>
    <row r="37" spans="2:7" x14ac:dyDescent="0.25">
      <c r="B37" s="122" t="str">
        <v>Carpet, , Endure Plus Broadloom carpet - TeraPlex (EF Contract) (North America)</v>
      </c>
      <c r="C37" t="str">
        <v>m²</v>
      </c>
      <c r="D37" s="96">
        <v>12.5</v>
      </c>
      <c r="E37" s="96">
        <v>3.7993920972644375</v>
      </c>
      <c r="F37" s="96">
        <v>0</v>
      </c>
      <c r="G37" s="121">
        <v>0</v>
      </c>
    </row>
    <row r="38" spans="2:7" x14ac:dyDescent="0.25">
      <c r="B38" s="122" t="str">
        <v>Carpet, , Colortec RE:THINK 500g, 1500g/m2 (Dansk Wilton) (Global)</v>
      </c>
      <c r="C38" t="str">
        <v>m²</v>
      </c>
      <c r="D38" s="96">
        <v>28.52</v>
      </c>
      <c r="E38" s="96">
        <v>11.097276264591441</v>
      </c>
      <c r="F38" s="96">
        <v>0</v>
      </c>
      <c r="G38" s="121">
        <v>0</v>
      </c>
    </row>
    <row r="90" spans="9:9" x14ac:dyDescent="0.25">
      <c r="I90" s="96"/>
    </row>
    <row r="166" spans="2:7" x14ac:dyDescent="0.25">
      <c r="B166" s="125"/>
      <c r="C166" s="126"/>
      <c r="D166" s="127"/>
      <c r="E166" s="127"/>
      <c r="F166" s="127"/>
      <c r="G166" s="128"/>
    </row>
  </sheetData>
  <dataValidations count="1">
    <dataValidation type="list" allowBlank="1" showInputMessage="1" showErrorMessage="1" sqref="B6:B9" xr:uid="{94885692-C365-42F8-90AE-9E402E1B6D19}">
      <formula1>"Tier 1,Tier 2,Tier 3,Tier 4"</formula1>
    </dataValidation>
  </dataValidations>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E7B688-1DFF-4B37-9F83-466D8A817303}">
  <sheetPr codeName="Sheet96">
    <tabColor rgb="FF00CCFF"/>
  </sheetPr>
  <dimension ref="A1:I166"/>
  <sheetViews>
    <sheetView showGridLines="0" zoomScale="80" zoomScaleNormal="80" workbookViewId="0"/>
  </sheetViews>
  <sheetFormatPr defaultRowHeight="13.2" x14ac:dyDescent="0.25"/>
  <cols>
    <col min="1" max="1" width="26.109375" customWidth="1"/>
    <col min="2" max="2" width="128.88671875" style="122" customWidth="1"/>
    <col min="3" max="3" width="21" customWidth="1"/>
    <col min="4" max="6" width="19.88671875" style="96" customWidth="1"/>
    <col min="7" max="7" width="23.5546875" style="121" customWidth="1"/>
    <col min="8" max="8" width="14.44140625" customWidth="1"/>
    <col min="9" max="9" width="13.109375" customWidth="1"/>
  </cols>
  <sheetData>
    <row r="1" spans="1:7" x14ac:dyDescent="0.25">
      <c r="A1" s="4" t="str" cm="1">
        <f t="array" aca="1" ref="A1" ca="1">MID(CELL("filename",A1),FIND("]",CELL("filename",A1))+1,255)</f>
        <v>Vinyl_flooring</v>
      </c>
      <c r="B1"/>
      <c r="G1" s="96"/>
    </row>
    <row r="2" spans="1:7" x14ac:dyDescent="0.25">
      <c r="A2" s="4"/>
      <c r="B2"/>
      <c r="C2" s="4"/>
      <c r="G2" s="96"/>
    </row>
    <row r="3" spans="1:7" x14ac:dyDescent="0.25">
      <c r="A3" s="4" t="s">
        <v>4048</v>
      </c>
      <c r="B3" t="s">
        <v>4256</v>
      </c>
      <c r="G3" s="96"/>
    </row>
    <row r="4" spans="1:7" x14ac:dyDescent="0.25">
      <c r="A4" s="4"/>
      <c r="B4"/>
      <c r="G4" s="96"/>
    </row>
    <row r="5" spans="1:7" ht="92.25" customHeight="1" x14ac:dyDescent="0.25">
      <c r="A5" s="26" t="s">
        <v>4050</v>
      </c>
      <c r="B5" s="14" t="s">
        <v>4257</v>
      </c>
      <c r="D5" s="14"/>
      <c r="E5" s="43"/>
      <c r="G5" s="96"/>
    </row>
    <row r="6" spans="1:7" x14ac:dyDescent="0.25">
      <c r="A6" s="26" t="s">
        <v>4052</v>
      </c>
      <c r="B6" s="27" t="s">
        <v>70</v>
      </c>
      <c r="D6"/>
      <c r="G6" s="96"/>
    </row>
    <row r="7" spans="1:7" x14ac:dyDescent="0.25">
      <c r="A7" s="26" t="s">
        <v>4053</v>
      </c>
      <c r="B7" s="27" t="s">
        <v>68</v>
      </c>
      <c r="G7" s="96"/>
    </row>
    <row r="8" spans="1:7" x14ac:dyDescent="0.25">
      <c r="A8" s="26" t="s">
        <v>4054</v>
      </c>
      <c r="B8" s="27" t="s">
        <v>70</v>
      </c>
      <c r="G8" s="96"/>
    </row>
    <row r="9" spans="1:7" x14ac:dyDescent="0.25">
      <c r="A9" s="26" t="s">
        <v>4055</v>
      </c>
      <c r="B9" s="4" t="s">
        <v>70</v>
      </c>
      <c r="G9" s="96"/>
    </row>
    <row r="10" spans="1:7" x14ac:dyDescent="0.25">
      <c r="A10" s="26"/>
      <c r="B10" s="4"/>
      <c r="G10" s="96"/>
    </row>
    <row r="11" spans="1:7" x14ac:dyDescent="0.25">
      <c r="A11" s="26" t="s">
        <v>4056</v>
      </c>
      <c r="B11" s="14" t="s">
        <v>4253</v>
      </c>
      <c r="G11" s="96"/>
    </row>
    <row r="12" spans="1:7" x14ac:dyDescent="0.25">
      <c r="A12" s="101"/>
      <c r="B12"/>
      <c r="G12" s="96"/>
    </row>
    <row r="13" spans="1:7" x14ac:dyDescent="0.25">
      <c r="A13" s="101"/>
      <c r="B13"/>
      <c r="G13" s="96"/>
    </row>
    <row r="14" spans="1:7" x14ac:dyDescent="0.25">
      <c r="A14" s="26" t="s">
        <v>4057</v>
      </c>
      <c r="B14"/>
      <c r="G14" s="96"/>
    </row>
    <row r="15" spans="1:7" x14ac:dyDescent="0.25">
      <c r="A15" s="26"/>
      <c r="B15"/>
      <c r="D15" s="112" t="s">
        <v>4058</v>
      </c>
      <c r="E15" s="113"/>
      <c r="F15" s="114" t="s">
        <v>4059</v>
      </c>
      <c r="G15" s="113"/>
    </row>
    <row r="16" spans="1:7" ht="39.6" x14ac:dyDescent="0.25">
      <c r="B16" s="28" t="s">
        <v>2391</v>
      </c>
      <c r="C16" s="23" t="s">
        <v>23</v>
      </c>
      <c r="D16" s="24" t="s">
        <v>141</v>
      </c>
      <c r="E16" s="25" t="s">
        <v>148</v>
      </c>
      <c r="F16" s="24" t="s">
        <v>142</v>
      </c>
      <c r="G16" s="24" t="s">
        <v>149</v>
      </c>
    </row>
    <row r="17" spans="2:9" x14ac:dyDescent="0.25">
      <c r="B17" s="29"/>
      <c r="C17" s="30" t="s">
        <v>4060</v>
      </c>
      <c r="D17" s="118" t="str" cm="1">
        <f t="array" ref="D17">IF(AND(_xlfn.ANCHORARRAY(C23)=C23),C23,"Mixed")</f>
        <v>m²</v>
      </c>
      <c r="E17" s="118" t="s">
        <v>219</v>
      </c>
      <c r="F17" s="118" t="str" cm="1">
        <f t="array" ref="F17">IF(AND(_xlfn.ANCHORARRAY(C23)=C23),C23,"Mixed")</f>
        <v>m²</v>
      </c>
      <c r="G17" s="119" t="s">
        <v>219</v>
      </c>
    </row>
    <row r="18" spans="2:9" s="14" customFormat="1" x14ac:dyDescent="0.25">
      <c r="B18" s="31"/>
      <c r="C18" s="4" t="s">
        <v>4061</v>
      </c>
      <c r="D18" s="96">
        <f>MAX(_xlfn.ANCHORARRAY(D23))</f>
        <v>34.386000000000003</v>
      </c>
      <c r="E18" s="96">
        <f t="shared" ref="E18:G18" si="0">MAX(_xlfn.ANCHORARRAY(E23))</f>
        <v>2.2969939879759522</v>
      </c>
      <c r="F18" s="96">
        <f t="shared" si="0"/>
        <v>0</v>
      </c>
      <c r="G18" s="121">
        <f t="shared" si="0"/>
        <v>0</v>
      </c>
      <c r="H18"/>
      <c r="I18"/>
    </row>
    <row r="19" spans="2:9" x14ac:dyDescent="0.25">
      <c r="C19" s="4" t="s">
        <v>4062</v>
      </c>
      <c r="D19" s="96">
        <f>MIN(_xlfn.ANCHORARRAY(D23))</f>
        <v>9.1138000000000012</v>
      </c>
      <c r="E19" s="96">
        <f t="shared" ref="E19:G19" si="1">MIN(_xlfn.ANCHORARRAY(E23))</f>
        <v>0.86798095238095241</v>
      </c>
      <c r="F19" s="96">
        <f t="shared" si="1"/>
        <v>0</v>
      </c>
      <c r="G19" s="121">
        <f t="shared" si="1"/>
        <v>0</v>
      </c>
    </row>
    <row r="20" spans="2:9" x14ac:dyDescent="0.25">
      <c r="C20" s="4" t="s">
        <v>4063</v>
      </c>
      <c r="D20" s="96">
        <f>AVERAGE(_xlfn.ANCHORARRAY(D23))</f>
        <v>21.35324</v>
      </c>
      <c r="E20" s="96">
        <f t="shared" ref="E20:G20" si="2">AVERAGE(_xlfn.ANCHORARRAY(E23))</f>
        <v>1.8380692737856665</v>
      </c>
      <c r="F20" s="96">
        <f t="shared" si="2"/>
        <v>0</v>
      </c>
      <c r="G20" s="121">
        <f t="shared" si="2"/>
        <v>0</v>
      </c>
    </row>
    <row r="21" spans="2:9" x14ac:dyDescent="0.25">
      <c r="C21" s="4"/>
    </row>
    <row r="22" spans="2:9" x14ac:dyDescent="0.25">
      <c r="B22" s="32" t="s">
        <v>4064</v>
      </c>
      <c r="D22"/>
      <c r="E22"/>
      <c r="F22"/>
      <c r="G22" s="124"/>
    </row>
    <row r="23" spans="2:9" x14ac:dyDescent="0.25">
      <c r="B23" s="122" t="str" cm="1">
        <f t="array" ref="B23:B27">_xlfn.UNIQUE(_xlfn._xlws.FILTER('EPD List'!D:D,ISNUMBER(SEARCH(B16,'EPD List'!C:C)),0))</f>
        <v>Vinyl floor, , VINYL FLOORING (LVT, SPC, WPC) (Changzhou Tooyei New Material Co.,ltd) (China)</v>
      </c>
      <c r="C23" t="str" cm="1">
        <f t="array" ref="C23:C27">_xlfn.IFNA(INDEX('EPD List'!$A:$AB,MATCH(_xlfn.ANCHORARRAY(B23),'EPD List'!$D:$D,0),MATCH(C$16,'EPD List'!$7:$7,0)),"")</f>
        <v>m²</v>
      </c>
      <c r="D23" s="96" cm="1">
        <f t="array" ref="D23:D27">_xlfn.IFNA(VALUE((INDEX('EPD List'!$A:$AD,MATCH(_xlfn.ANCHORARRAY($B23),'EPD List'!$D:$D,0),MATCH(D$16,'EPD List'!$7:$7,0)))),"")</f>
        <v>21.088799999999999</v>
      </c>
      <c r="E23" s="96" cm="1">
        <f t="array" ref="E23:E27">IFERROR(VALUE((INDEX('EPD List'!$A:$AD,MATCH(_xlfn.ANCHORARRAY($B23),'EPD List'!$D:$D,0),MATCH(E$16,'EPD List'!$7:$7,0)))),"")</f>
        <v>2.0084571428571429</v>
      </c>
      <c r="F23" s="96" cm="1">
        <f t="array" ref="F23:F27">_xlfn.IFNA(VALUE((INDEX('EPD List'!$A:$AD,MATCH(_xlfn.ANCHORARRAY($B23),'EPD List'!$D:$D,0),MATCH(F$16,'EPD List'!$7:$7,0)))),"")</f>
        <v>0</v>
      </c>
      <c r="G23" s="121" cm="1">
        <f t="array" ref="G23:G27">IFERROR(VALUE((INDEX('EPD List'!$A:$AD,MATCH(_xlfn.ANCHORARRAY($B23),'EPD List'!$D:$D,0),MATCH(G$16,'EPD List'!$7:$7,0)))),"")</f>
        <v>0</v>
      </c>
    </row>
    <row r="24" spans="2:9" x14ac:dyDescent="0.25">
      <c r="B24" s="122" t="str">
        <v>Vinyl floor, , VINYL FLOORING (LVT, SPC, WPC) (BIYORK MATERIALS CANADA INC) (China and Canada)</v>
      </c>
      <c r="C24" t="str">
        <v>m²</v>
      </c>
      <c r="D24" s="96">
        <v>21.088799999999999</v>
      </c>
      <c r="E24" s="96">
        <v>2.0084571428571429</v>
      </c>
      <c r="F24" s="96">
        <v>0</v>
      </c>
      <c r="G24" s="121">
        <v>0</v>
      </c>
    </row>
    <row r="25" spans="2:9" x14ac:dyDescent="0.25">
      <c r="B25" s="122" t="str">
        <v>Vinyl floor, , VINYL FLOORING (LVT, SPC, WPC) (REPUBLIC FLOOR GMBH) (China and Europe)</v>
      </c>
      <c r="C25" t="str">
        <v>m²</v>
      </c>
      <c r="D25" s="96">
        <v>21.088799999999999</v>
      </c>
      <c r="E25" s="96">
        <v>2.0084571428571429</v>
      </c>
      <c r="F25" s="96">
        <v>0</v>
      </c>
      <c r="G25" s="121">
        <v>0</v>
      </c>
    </row>
    <row r="26" spans="2:9" x14ac:dyDescent="0.25">
      <c r="B26" s="122" t="str">
        <v>Vinyl floor, , DIOCO REGAL PLUS 70 VINYL FLOOR DIOCO GREENFLOORING VINYL FLOOR (DIOCO GLOBAL TRADING, S.L.) (Global)</v>
      </c>
      <c r="C26" t="str">
        <v>m²</v>
      </c>
      <c r="D26" s="96">
        <v>34.386000000000003</v>
      </c>
      <c r="E26" s="96">
        <v>2.2969939879759522</v>
      </c>
      <c r="F26" s="96">
        <v>0</v>
      </c>
      <c r="G26" s="121">
        <v>0</v>
      </c>
    </row>
    <row r="27" spans="2:9" x14ac:dyDescent="0.25">
      <c r="B27" s="122" t="str">
        <v>Vinyl floor, , VINYL FLOORING (LVT, SPC, WPC) (JIANGSU ZHENGYOUNG FLOORING DECORATION MATERIAL CO., LTD.) (China)</v>
      </c>
      <c r="C27" t="str">
        <v>m²</v>
      </c>
      <c r="D27" s="96">
        <v>9.1138000000000012</v>
      </c>
      <c r="E27" s="96">
        <v>0.86798095238095241</v>
      </c>
      <c r="F27" s="96">
        <v>0</v>
      </c>
      <c r="G27" s="121">
        <v>0</v>
      </c>
    </row>
    <row r="90" spans="9:9" x14ac:dyDescent="0.25">
      <c r="I90" s="96"/>
    </row>
    <row r="166" spans="2:7" x14ac:dyDescent="0.25">
      <c r="B166" s="125"/>
      <c r="C166" s="126"/>
      <c r="D166" s="127"/>
      <c r="E166" s="127"/>
      <c r="F166" s="127"/>
      <c r="G166" s="128"/>
    </row>
  </sheetData>
  <dataValidations count="1">
    <dataValidation type="list" allowBlank="1" showInputMessage="1" showErrorMessage="1" sqref="B6:B9" xr:uid="{4FFEDE2B-3F17-4832-A855-DBD4D0D92D7A}">
      <formula1>"Tier 1,Tier 2,Tier 3,Tier 4"</formula1>
    </dataValidation>
  </dataValidations>
  <pageMargins left="0.7" right="0.7" top="0.75" bottom="0.75" header="0.3" footer="0.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F4AC31-3850-43B8-84C3-42E5BAD5AB3B}">
  <sheetPr codeName="Sheet97">
    <tabColor rgb="FF00CCFF"/>
  </sheetPr>
  <dimension ref="A1:I166"/>
  <sheetViews>
    <sheetView showGridLines="0" zoomScale="80" zoomScaleNormal="80" workbookViewId="0"/>
  </sheetViews>
  <sheetFormatPr defaultRowHeight="13.2" x14ac:dyDescent="0.25"/>
  <cols>
    <col min="1" max="1" width="26.109375" customWidth="1"/>
    <col min="2" max="2" width="128.88671875" style="122" customWidth="1"/>
    <col min="3" max="3" width="21" customWidth="1"/>
    <col min="4" max="6" width="19.88671875" style="96" customWidth="1"/>
    <col min="7" max="7" width="23.5546875" style="121" customWidth="1"/>
    <col min="8" max="8" width="14.44140625" customWidth="1"/>
    <col min="9" max="9" width="13.109375" customWidth="1"/>
  </cols>
  <sheetData>
    <row r="1" spans="1:7" x14ac:dyDescent="0.25">
      <c r="A1" s="4" t="str" cm="1">
        <f t="array" aca="1" ref="A1" ca="1">MID(CELL("filename",A1),FIND("]",CELL("filename",A1))+1,255)</f>
        <v>Laminate_flooring</v>
      </c>
      <c r="B1"/>
      <c r="G1" s="96"/>
    </row>
    <row r="2" spans="1:7" x14ac:dyDescent="0.25">
      <c r="A2" s="4"/>
      <c r="B2"/>
      <c r="C2" s="4"/>
      <c r="G2" s="96"/>
    </row>
    <row r="3" spans="1:7" x14ac:dyDescent="0.25">
      <c r="A3" s="4" t="s">
        <v>4048</v>
      </c>
      <c r="B3" t="s">
        <v>2498</v>
      </c>
      <c r="G3" s="96"/>
    </row>
    <row r="4" spans="1:7" x14ac:dyDescent="0.25">
      <c r="A4" s="4"/>
      <c r="B4"/>
      <c r="G4" s="96"/>
    </row>
    <row r="5" spans="1:7" ht="92.25" customHeight="1" x14ac:dyDescent="0.25">
      <c r="A5" s="26" t="s">
        <v>4050</v>
      </c>
      <c r="B5" s="14" t="s">
        <v>4258</v>
      </c>
      <c r="D5" s="14"/>
      <c r="E5" s="43"/>
      <c r="G5" s="96"/>
    </row>
    <row r="6" spans="1:7" x14ac:dyDescent="0.25">
      <c r="A6" s="26" t="s">
        <v>4052</v>
      </c>
      <c r="B6" s="27" t="s">
        <v>71</v>
      </c>
      <c r="D6"/>
      <c r="G6" s="96"/>
    </row>
    <row r="7" spans="1:7" x14ac:dyDescent="0.25">
      <c r="A7" s="26" t="s">
        <v>4053</v>
      </c>
      <c r="B7" s="27" t="s">
        <v>68</v>
      </c>
      <c r="G7" s="96"/>
    </row>
    <row r="8" spans="1:7" x14ac:dyDescent="0.25">
      <c r="A8" s="26" t="s">
        <v>4054</v>
      </c>
      <c r="B8" s="27" t="s">
        <v>71</v>
      </c>
      <c r="G8" s="96"/>
    </row>
    <row r="9" spans="1:7" x14ac:dyDescent="0.25">
      <c r="A9" s="26" t="s">
        <v>4055</v>
      </c>
      <c r="B9" s="4" t="s">
        <v>71</v>
      </c>
      <c r="G9" s="96"/>
    </row>
    <row r="10" spans="1:7" x14ac:dyDescent="0.25">
      <c r="A10" s="26"/>
      <c r="B10" s="4"/>
      <c r="G10" s="96"/>
    </row>
    <row r="11" spans="1:7" x14ac:dyDescent="0.25">
      <c r="A11" s="26" t="s">
        <v>4056</v>
      </c>
      <c r="B11" s="14" t="s">
        <v>4253</v>
      </c>
      <c r="G11" s="96"/>
    </row>
    <row r="12" spans="1:7" x14ac:dyDescent="0.25">
      <c r="A12" s="101"/>
      <c r="B12"/>
      <c r="G12" s="96"/>
    </row>
    <row r="13" spans="1:7" x14ac:dyDescent="0.25">
      <c r="A13" s="101"/>
      <c r="B13"/>
      <c r="G13" s="96"/>
    </row>
    <row r="14" spans="1:7" x14ac:dyDescent="0.25">
      <c r="A14" s="26" t="s">
        <v>4057</v>
      </c>
      <c r="B14"/>
      <c r="G14" s="96"/>
    </row>
    <row r="15" spans="1:7" x14ac:dyDescent="0.25">
      <c r="A15" s="26"/>
      <c r="B15"/>
      <c r="D15" s="112" t="s">
        <v>4058</v>
      </c>
      <c r="E15" s="113"/>
      <c r="F15" s="114" t="s">
        <v>4059</v>
      </c>
      <c r="G15" s="113"/>
    </row>
    <row r="16" spans="1:7" ht="39.6" x14ac:dyDescent="0.25">
      <c r="B16" s="28" t="s">
        <v>2498</v>
      </c>
      <c r="C16" s="23" t="s">
        <v>23</v>
      </c>
      <c r="D16" s="24" t="s">
        <v>141</v>
      </c>
      <c r="E16" s="25" t="s">
        <v>148</v>
      </c>
      <c r="F16" s="24" t="s">
        <v>142</v>
      </c>
      <c r="G16" s="24" t="s">
        <v>149</v>
      </c>
    </row>
    <row r="17" spans="2:9" x14ac:dyDescent="0.25">
      <c r="B17" s="29"/>
      <c r="C17" s="30" t="s">
        <v>4060</v>
      </c>
      <c r="D17" s="118" t="str" cm="1">
        <f t="array" ref="D17">IF(AND(_xlfn.ANCHORARRAY(C23)=C23),C23,"Mixed")</f>
        <v>m²</v>
      </c>
      <c r="E17" s="118" t="s">
        <v>219</v>
      </c>
      <c r="F17" s="118" t="str" cm="1">
        <f t="array" ref="F17">IF(AND(_xlfn.ANCHORARRAY(C23)=C23),C23,"Mixed")</f>
        <v>m²</v>
      </c>
      <c r="G17" s="119" t="s">
        <v>219</v>
      </c>
    </row>
    <row r="18" spans="2:9" s="14" customFormat="1" x14ac:dyDescent="0.25">
      <c r="B18" s="31"/>
      <c r="C18" s="4" t="s">
        <v>4061</v>
      </c>
      <c r="D18" s="96">
        <f>MAX(_xlfn.ANCHORARRAY(D23))</f>
        <v>4.7433000000000005</v>
      </c>
      <c r="E18" s="96">
        <f t="shared" ref="E18:G18" si="0">MAX(_xlfn.ANCHORARRAY(E23))</f>
        <v>0.67858369098712457</v>
      </c>
      <c r="F18" s="96">
        <f t="shared" si="0"/>
        <v>0</v>
      </c>
      <c r="G18" s="121">
        <f t="shared" si="0"/>
        <v>0</v>
      </c>
      <c r="H18"/>
      <c r="I18"/>
    </row>
    <row r="19" spans="2:9" x14ac:dyDescent="0.25">
      <c r="C19" s="4" t="s">
        <v>4062</v>
      </c>
      <c r="D19" s="96">
        <f>MIN(_xlfn.ANCHORARRAY(D23))</f>
        <v>2.66934</v>
      </c>
      <c r="E19" s="96">
        <f t="shared" ref="E19:G19" si="1">MIN(_xlfn.ANCHORARRAY(E23))</f>
        <v>0.38352586206896544</v>
      </c>
      <c r="F19" s="96">
        <f t="shared" si="1"/>
        <v>0</v>
      </c>
      <c r="G19" s="121">
        <f t="shared" si="1"/>
        <v>0</v>
      </c>
    </row>
    <row r="20" spans="2:9" x14ac:dyDescent="0.25">
      <c r="C20" s="4" t="s">
        <v>4063</v>
      </c>
      <c r="D20" s="96">
        <f>AVERAGE(_xlfn.ANCHORARRAY(D23))</f>
        <v>3.7063200000000003</v>
      </c>
      <c r="E20" s="96">
        <f t="shared" ref="E20:G20" si="2">AVERAGE(_xlfn.ANCHORARRAY(E23))</f>
        <v>0.531054776528045</v>
      </c>
      <c r="F20" s="96">
        <f t="shared" si="2"/>
        <v>0</v>
      </c>
      <c r="G20" s="121">
        <f t="shared" si="2"/>
        <v>0</v>
      </c>
    </row>
    <row r="21" spans="2:9" x14ac:dyDescent="0.25">
      <c r="C21" s="4"/>
    </row>
    <row r="22" spans="2:9" x14ac:dyDescent="0.25">
      <c r="B22" s="32" t="s">
        <v>4064</v>
      </c>
      <c r="D22"/>
      <c r="E22"/>
      <c r="F22"/>
      <c r="G22" s="124"/>
    </row>
    <row r="23" spans="2:9" x14ac:dyDescent="0.25">
      <c r="B23" s="122" t="str" cm="1">
        <f t="array" ref="B23:B24">_xlfn.UNIQUE(_xlfn._xlws.FILTER('EPD List'!D:D,ISNUMBER(SEARCH(B16,'EPD List'!C:C)),0))</f>
        <v>Laminate floor, , Laminate flooring (Kronospan) (Turkey)</v>
      </c>
      <c r="C23" t="str" cm="1">
        <f t="array" ref="C23:C24">_xlfn.IFNA(INDEX('EPD List'!$A:$AB,MATCH(_xlfn.ANCHORARRAY(B23),'EPD List'!$D:$D,0),MATCH(C$16,'EPD List'!$7:$7,0)),"")</f>
        <v>m²</v>
      </c>
      <c r="D23" s="96" cm="1">
        <f t="array" ref="D23:D24">_xlfn.IFNA(VALUE((INDEX('EPD List'!$A:$AD,MATCH(_xlfn.ANCHORARRAY($B23),'EPD List'!$D:$D,0),MATCH(D$16,'EPD List'!$7:$7,0)))),"")</f>
        <v>2.66934</v>
      </c>
      <c r="E23" s="96" cm="1">
        <f t="array" ref="E23:E24">IFERROR(VALUE((INDEX('EPD List'!$A:$AD,MATCH(_xlfn.ANCHORARRAY($B23),'EPD List'!$D:$D,0),MATCH(E$16,'EPD List'!$7:$7,0)))),"")</f>
        <v>0.38352586206896544</v>
      </c>
      <c r="F23" s="96" cm="1">
        <f t="array" ref="F23:F24">_xlfn.IFNA(VALUE((INDEX('EPD List'!$A:$AD,MATCH(_xlfn.ANCHORARRAY($B23),'EPD List'!$D:$D,0),MATCH(F$16,'EPD List'!$7:$7,0)))),"")</f>
        <v>0</v>
      </c>
      <c r="G23" s="121" cm="1">
        <f t="array" ref="G23:G24">IFERROR(VALUE((INDEX('EPD List'!$A:$AD,MATCH(_xlfn.ANCHORARRAY($B23),'EPD List'!$D:$D,0),MATCH(G$16,'EPD List'!$7:$7,0)))),"")</f>
        <v>0</v>
      </c>
    </row>
    <row r="24" spans="2:9" x14ac:dyDescent="0.25">
      <c r="B24" s="122" t="str">
        <v>Laminate floor, , Laminate flooring (Peli Parke) (Global)</v>
      </c>
      <c r="C24" t="str">
        <v>m²</v>
      </c>
      <c r="D24" s="96">
        <v>4.7433000000000005</v>
      </c>
      <c r="E24" s="96">
        <v>0.67858369098712457</v>
      </c>
      <c r="F24" s="96">
        <v>0</v>
      </c>
      <c r="G24" s="121">
        <v>0</v>
      </c>
    </row>
    <row r="90" spans="9:9" x14ac:dyDescent="0.25">
      <c r="I90" s="96"/>
    </row>
    <row r="166" spans="2:7" x14ac:dyDescent="0.25">
      <c r="B166" s="125"/>
      <c r="C166" s="126"/>
      <c r="D166" s="127"/>
      <c r="E166" s="127"/>
      <c r="F166" s="127"/>
      <c r="G166" s="128"/>
    </row>
  </sheetData>
  <dataValidations count="1">
    <dataValidation type="list" allowBlank="1" showInputMessage="1" showErrorMessage="1" sqref="B6:B9" xr:uid="{5545F1F7-7F5C-48C6-8182-CBDC8CF7065F}">
      <formula1>"Tier 1,Tier 2,Tier 3,Tier 4"</formula1>
    </dataValidation>
  </dataValidations>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F4A8BE-44CE-47D4-9845-5748BBB850AA}">
  <sheetPr codeName="Sheet98">
    <tabColor rgb="FF00CCFF"/>
  </sheetPr>
  <dimension ref="A1:I166"/>
  <sheetViews>
    <sheetView showGridLines="0" zoomScale="80" zoomScaleNormal="80" workbookViewId="0"/>
  </sheetViews>
  <sheetFormatPr defaultRowHeight="13.2" x14ac:dyDescent="0.25"/>
  <cols>
    <col min="1" max="1" width="26.109375" customWidth="1"/>
    <col min="2" max="2" width="128.88671875" style="122" customWidth="1"/>
    <col min="3" max="3" width="21" customWidth="1"/>
    <col min="4" max="6" width="19.88671875" style="96" customWidth="1"/>
    <col min="7" max="7" width="23.5546875" style="121" customWidth="1"/>
    <col min="8" max="8" width="14.44140625" customWidth="1"/>
    <col min="9" max="9" width="13.109375" customWidth="1"/>
  </cols>
  <sheetData>
    <row r="1" spans="1:7" x14ac:dyDescent="0.25">
      <c r="A1" s="4" t="str" cm="1">
        <f t="array" aca="1" ref="A1" ca="1">MID(CELL("filename",A1),FIND("]",CELL("filename",A1))+1,255)</f>
        <v>Hybrid_flooring</v>
      </c>
      <c r="B1"/>
      <c r="G1" s="96"/>
    </row>
    <row r="2" spans="1:7" x14ac:dyDescent="0.25">
      <c r="A2" s="4"/>
      <c r="B2"/>
      <c r="C2" s="4"/>
      <c r="G2" s="96"/>
    </row>
    <row r="3" spans="1:7" x14ac:dyDescent="0.25">
      <c r="A3" s="4" t="s">
        <v>4048</v>
      </c>
      <c r="B3" t="s">
        <v>2386</v>
      </c>
      <c r="G3" s="96"/>
    </row>
    <row r="4" spans="1:7" x14ac:dyDescent="0.25">
      <c r="A4" s="4"/>
      <c r="B4"/>
      <c r="G4" s="96"/>
    </row>
    <row r="5" spans="1:7" ht="92.25" customHeight="1" x14ac:dyDescent="0.25">
      <c r="A5" s="26" t="s">
        <v>4050</v>
      </c>
      <c r="B5" s="14" t="s">
        <v>4259</v>
      </c>
      <c r="D5" s="14"/>
      <c r="E5" s="43"/>
      <c r="G5" s="96"/>
    </row>
    <row r="6" spans="1:7" x14ac:dyDescent="0.25">
      <c r="A6" s="26" t="s">
        <v>4052</v>
      </c>
      <c r="B6" s="27" t="s">
        <v>71</v>
      </c>
      <c r="D6"/>
      <c r="G6" s="96"/>
    </row>
    <row r="7" spans="1:7" x14ac:dyDescent="0.25">
      <c r="A7" s="26" t="s">
        <v>4053</v>
      </c>
      <c r="B7" s="27" t="s">
        <v>68</v>
      </c>
      <c r="G7" s="96"/>
    </row>
    <row r="8" spans="1:7" x14ac:dyDescent="0.25">
      <c r="A8" s="26" t="s">
        <v>4054</v>
      </c>
      <c r="B8" s="27" t="s">
        <v>71</v>
      </c>
      <c r="G8" s="96"/>
    </row>
    <row r="9" spans="1:7" x14ac:dyDescent="0.25">
      <c r="A9" s="26" t="s">
        <v>4055</v>
      </c>
      <c r="B9" s="4" t="s">
        <v>71</v>
      </c>
      <c r="G9" s="96"/>
    </row>
    <row r="10" spans="1:7" x14ac:dyDescent="0.25">
      <c r="A10" s="26"/>
      <c r="B10" s="4"/>
      <c r="G10" s="96"/>
    </row>
    <row r="11" spans="1:7" x14ac:dyDescent="0.25">
      <c r="A11" s="26" t="s">
        <v>4056</v>
      </c>
      <c r="B11" s="14" t="s">
        <v>4253</v>
      </c>
      <c r="G11" s="96"/>
    </row>
    <row r="12" spans="1:7" x14ac:dyDescent="0.25">
      <c r="A12" s="101"/>
      <c r="B12"/>
      <c r="G12" s="96"/>
    </row>
    <row r="13" spans="1:7" x14ac:dyDescent="0.25">
      <c r="A13" s="101"/>
      <c r="B13"/>
      <c r="G13" s="96"/>
    </row>
    <row r="14" spans="1:7" x14ac:dyDescent="0.25">
      <c r="A14" s="26" t="s">
        <v>4057</v>
      </c>
      <c r="B14"/>
      <c r="G14" s="96"/>
    </row>
    <row r="15" spans="1:7" x14ac:dyDescent="0.25">
      <c r="A15" s="26"/>
      <c r="B15"/>
      <c r="D15" s="112" t="s">
        <v>4058</v>
      </c>
      <c r="E15" s="113"/>
      <c r="F15" s="114" t="s">
        <v>4059</v>
      </c>
      <c r="G15" s="113"/>
    </row>
    <row r="16" spans="1:7" ht="39.6" x14ac:dyDescent="0.25">
      <c r="B16" s="28" t="s">
        <v>2386</v>
      </c>
      <c r="C16" s="23" t="s">
        <v>23</v>
      </c>
      <c r="D16" s="24" t="s">
        <v>141</v>
      </c>
      <c r="E16" s="25" t="s">
        <v>148</v>
      </c>
      <c r="F16" s="24" t="s">
        <v>142</v>
      </c>
      <c r="G16" s="24" t="s">
        <v>149</v>
      </c>
    </row>
    <row r="17" spans="2:9" x14ac:dyDescent="0.25">
      <c r="B17" s="29"/>
      <c r="C17" s="30" t="s">
        <v>4060</v>
      </c>
      <c r="D17" s="118" t="str" cm="1">
        <f t="array" ref="D17">IF(AND(_xlfn.ANCHORARRAY(C23)=C23),C23,"Mixed")</f>
        <v>m²</v>
      </c>
      <c r="E17" s="118" t="s">
        <v>219</v>
      </c>
      <c r="F17" s="118" t="str" cm="1">
        <f t="array" ref="F17">IF(AND(_xlfn.ANCHORARRAY(C23)=C23),C23,"Mixed")</f>
        <v>m²</v>
      </c>
      <c r="G17" s="119" t="s">
        <v>219</v>
      </c>
    </row>
    <row r="18" spans="2:9" s="14" customFormat="1" x14ac:dyDescent="0.25">
      <c r="B18" s="31"/>
      <c r="C18" s="4" t="s">
        <v>4061</v>
      </c>
      <c r="D18" s="96">
        <f>MAX(_xlfn.ANCHORARRAY(D23))</f>
        <v>13.032</v>
      </c>
      <c r="E18" s="96">
        <f t="shared" ref="E18:G18" si="0">MAX(_xlfn.ANCHORARRAY(E23))</f>
        <v>1.5153488372093022</v>
      </c>
      <c r="F18" s="96">
        <f t="shared" si="0"/>
        <v>9.0933333333333337</v>
      </c>
      <c r="G18" s="121">
        <f t="shared" si="0"/>
        <v>1.0573643410852713</v>
      </c>
      <c r="H18"/>
      <c r="I18"/>
    </row>
    <row r="19" spans="2:9" x14ac:dyDescent="0.25">
      <c r="C19" s="4" t="s">
        <v>4062</v>
      </c>
      <c r="D19" s="96">
        <f>MIN(_xlfn.ANCHORARRAY(D23))</f>
        <v>13.032</v>
      </c>
      <c r="E19" s="96">
        <f t="shared" ref="E19:G19" si="1">MIN(_xlfn.ANCHORARRAY(E23))</f>
        <v>1.5153488372093022</v>
      </c>
      <c r="F19" s="96">
        <f t="shared" si="1"/>
        <v>9.0933333333333337</v>
      </c>
      <c r="G19" s="121">
        <f t="shared" si="1"/>
        <v>1.0573643410852713</v>
      </c>
    </row>
    <row r="20" spans="2:9" x14ac:dyDescent="0.25">
      <c r="C20" s="4" t="s">
        <v>4063</v>
      </c>
      <c r="D20" s="96">
        <f>AVERAGE(_xlfn.ANCHORARRAY(D23))</f>
        <v>13.032</v>
      </c>
      <c r="E20" s="96">
        <f t="shared" ref="E20:G20" si="2">AVERAGE(_xlfn.ANCHORARRAY(E23))</f>
        <v>1.5153488372093022</v>
      </c>
      <c r="F20" s="96">
        <f t="shared" si="2"/>
        <v>9.0933333333333337</v>
      </c>
      <c r="G20" s="121">
        <f t="shared" si="2"/>
        <v>1.0573643410852713</v>
      </c>
    </row>
    <row r="21" spans="2:9" x14ac:dyDescent="0.25">
      <c r="C21" s="4"/>
    </row>
    <row r="22" spans="2:9" x14ac:dyDescent="0.25">
      <c r="B22" s="32" t="s">
        <v>4064</v>
      </c>
      <c r="D22"/>
      <c r="E22"/>
      <c r="F22"/>
      <c r="G22" s="124"/>
    </row>
    <row r="23" spans="2:9" x14ac:dyDescent="0.25">
      <c r="B23" s="122" t="str" cm="1">
        <f t="array" ref="B23">_xlfn.UNIQUE(_xlfn._xlws.FILTER('EPD List'!D:D,ISNUMBER(SEARCH(B16,'EPD List'!C:C)),0))</f>
        <v>Hybrid floor, , Maxwear (Golvabia) (Sweden)</v>
      </c>
      <c r="C23" t="str" cm="1">
        <f t="array" ref="C23">_xlfn.IFNA(INDEX('EPD List'!$A:$AB,MATCH(_xlfn.ANCHORARRAY(B23),'EPD List'!$D:$D,0),MATCH(C$16,'EPD List'!$7:$7,0)),"")</f>
        <v>m²</v>
      </c>
      <c r="D23" s="96" cm="1">
        <f t="array" ref="D23">_xlfn.IFNA(VALUE((INDEX('EPD List'!$A:$AD,MATCH(_xlfn.ANCHORARRAY($B23),'EPD List'!$D:$D,0),MATCH(D$16,'EPD List'!$7:$7,0)))),"")</f>
        <v>13.032</v>
      </c>
      <c r="E23" s="96" cm="1">
        <f t="array" ref="E23">IFERROR(VALUE((INDEX('EPD List'!$A:$AD,MATCH(_xlfn.ANCHORARRAY($B23),'EPD List'!$D:$D,0),MATCH(E$16,'EPD List'!$7:$7,0)))),"")</f>
        <v>1.5153488372093022</v>
      </c>
      <c r="F23" s="96" cm="1">
        <f t="array" ref="F23">_xlfn.IFNA(VALUE((INDEX('EPD List'!$A:$AD,MATCH(_xlfn.ANCHORARRAY($B23),'EPD List'!$D:$D,0),MATCH(F$16,'EPD List'!$7:$7,0)))),"")</f>
        <v>9.0933333333333337</v>
      </c>
      <c r="G23" s="121" cm="1">
        <f t="array" ref="G23">IFERROR(VALUE((INDEX('EPD List'!$A:$AD,MATCH(_xlfn.ANCHORARRAY($B23),'EPD List'!$D:$D,0),MATCH(G$16,'EPD List'!$7:$7,0)))),"")</f>
        <v>1.0573643410852713</v>
      </c>
    </row>
    <row r="90" spans="9:9" x14ac:dyDescent="0.25">
      <c r="I90" s="96"/>
    </row>
    <row r="166" spans="2:7" x14ac:dyDescent="0.25">
      <c r="B166" s="125"/>
      <c r="C166" s="126"/>
      <c r="D166" s="127"/>
      <c r="E166" s="127"/>
      <c r="F166" s="127"/>
      <c r="G166" s="128"/>
    </row>
  </sheetData>
  <dataValidations count="1">
    <dataValidation type="list" allowBlank="1" showInputMessage="1" showErrorMessage="1" sqref="B6:B9" xr:uid="{5E30F37C-8A00-4406-B9BD-570A71020E41}">
      <formula1>"Tier 1,Tier 2,Tier 3,Tier 4"</formula1>
    </dataValidation>
  </dataValidations>
  <pageMargins left="0.7" right="0.7" top="0.75" bottom="0.75" header="0.3" footer="0.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9AF68D-B8AF-4FE0-9F90-988B26990EAF}">
  <sheetPr codeName="Sheet99">
    <tabColor rgb="FF00CCFF"/>
  </sheetPr>
  <dimension ref="A1:I166"/>
  <sheetViews>
    <sheetView showGridLines="0" zoomScale="80" zoomScaleNormal="80" workbookViewId="0"/>
  </sheetViews>
  <sheetFormatPr defaultRowHeight="13.2" x14ac:dyDescent="0.25"/>
  <cols>
    <col min="1" max="1" width="26.109375" customWidth="1"/>
    <col min="2" max="2" width="128.88671875" style="122" customWidth="1"/>
    <col min="3" max="3" width="21" customWidth="1"/>
    <col min="4" max="6" width="19.88671875" style="96" customWidth="1"/>
    <col min="7" max="7" width="23.5546875" style="121" customWidth="1"/>
    <col min="8" max="8" width="14.44140625" customWidth="1"/>
    <col min="9" max="9" width="13.109375" customWidth="1"/>
  </cols>
  <sheetData>
    <row r="1" spans="1:7" x14ac:dyDescent="0.25">
      <c r="A1" s="4" t="str" cm="1">
        <f t="array" aca="1" ref="A1" ca="1">MID(CELL("filename",A1),FIND("]",CELL("filename",A1))+1,255)</f>
        <v>Rubber_flooring</v>
      </c>
      <c r="B1"/>
      <c r="G1" s="96"/>
    </row>
    <row r="2" spans="1:7" x14ac:dyDescent="0.25">
      <c r="A2" s="4"/>
      <c r="B2"/>
      <c r="C2" s="4"/>
      <c r="G2" s="96"/>
    </row>
    <row r="3" spans="1:7" x14ac:dyDescent="0.25">
      <c r="A3" s="4" t="s">
        <v>4048</v>
      </c>
      <c r="B3" t="s">
        <v>2409</v>
      </c>
      <c r="G3" s="96"/>
    </row>
    <row r="4" spans="1:7" x14ac:dyDescent="0.25">
      <c r="A4" s="4"/>
      <c r="B4"/>
      <c r="G4" s="96"/>
    </row>
    <row r="5" spans="1:7" ht="92.25" customHeight="1" x14ac:dyDescent="0.25">
      <c r="A5" s="26" t="s">
        <v>4050</v>
      </c>
      <c r="B5" s="14" t="s">
        <v>4260</v>
      </c>
      <c r="D5" s="14"/>
      <c r="E5" s="43"/>
      <c r="G5" s="96"/>
    </row>
    <row r="6" spans="1:7" x14ac:dyDescent="0.25">
      <c r="A6" s="26" t="s">
        <v>4052</v>
      </c>
      <c r="B6" s="27" t="s">
        <v>71</v>
      </c>
      <c r="D6"/>
      <c r="G6" s="96"/>
    </row>
    <row r="7" spans="1:7" x14ac:dyDescent="0.25">
      <c r="A7" s="26" t="s">
        <v>4053</v>
      </c>
      <c r="B7" s="27" t="s">
        <v>68</v>
      </c>
      <c r="G7" s="96"/>
    </row>
    <row r="8" spans="1:7" x14ac:dyDescent="0.25">
      <c r="A8" s="26" t="s">
        <v>4054</v>
      </c>
      <c r="B8" s="27" t="s">
        <v>71</v>
      </c>
      <c r="G8" s="96"/>
    </row>
    <row r="9" spans="1:7" x14ac:dyDescent="0.25">
      <c r="A9" s="26" t="s">
        <v>4055</v>
      </c>
      <c r="B9" s="4" t="s">
        <v>71</v>
      </c>
      <c r="G9" s="96"/>
    </row>
    <row r="10" spans="1:7" x14ac:dyDescent="0.25">
      <c r="A10" s="26"/>
      <c r="B10" s="4"/>
      <c r="G10" s="96"/>
    </row>
    <row r="11" spans="1:7" x14ac:dyDescent="0.25">
      <c r="A11" s="26" t="s">
        <v>4056</v>
      </c>
      <c r="B11" s="14" t="s">
        <v>4253</v>
      </c>
      <c r="G11" s="96"/>
    </row>
    <row r="12" spans="1:7" x14ac:dyDescent="0.25">
      <c r="A12" s="101"/>
      <c r="B12"/>
      <c r="G12" s="96"/>
    </row>
    <row r="13" spans="1:7" x14ac:dyDescent="0.25">
      <c r="A13" s="101"/>
      <c r="B13"/>
      <c r="G13" s="96"/>
    </row>
    <row r="14" spans="1:7" x14ac:dyDescent="0.25">
      <c r="A14" s="26" t="s">
        <v>4057</v>
      </c>
      <c r="B14"/>
      <c r="G14" s="96"/>
    </row>
    <row r="15" spans="1:7" x14ac:dyDescent="0.25">
      <c r="A15" s="26"/>
      <c r="B15"/>
      <c r="D15" s="112" t="s">
        <v>4058</v>
      </c>
      <c r="E15" s="113"/>
      <c r="F15" s="114" t="s">
        <v>4059</v>
      </c>
      <c r="G15" s="113"/>
    </row>
    <row r="16" spans="1:7" ht="39.6" x14ac:dyDescent="0.25">
      <c r="B16" s="28" t="s">
        <v>2409</v>
      </c>
      <c r="C16" s="23" t="s">
        <v>23</v>
      </c>
      <c r="D16" s="24" t="s">
        <v>141</v>
      </c>
      <c r="E16" s="25" t="s">
        <v>148</v>
      </c>
      <c r="F16" s="24" t="s">
        <v>142</v>
      </c>
      <c r="G16" s="24" t="s">
        <v>149</v>
      </c>
    </row>
    <row r="17" spans="2:9" x14ac:dyDescent="0.25">
      <c r="B17" s="29"/>
      <c r="C17" s="30" t="s">
        <v>4060</v>
      </c>
      <c r="D17" s="118" t="str" cm="1">
        <f t="array" ref="D17">IF(AND(_xlfn.ANCHORARRAY(C23)=C23),C23,"Mixed")</f>
        <v>m²</v>
      </c>
      <c r="E17" s="118" t="s">
        <v>219</v>
      </c>
      <c r="F17" s="118" t="str" cm="1">
        <f t="array" ref="F17">IF(AND(_xlfn.ANCHORARRAY(C23)=C23),C23,"Mixed")</f>
        <v>m²</v>
      </c>
      <c r="G17" s="119" t="s">
        <v>219</v>
      </c>
    </row>
    <row r="18" spans="2:9" s="14" customFormat="1" x14ac:dyDescent="0.25">
      <c r="B18" s="31"/>
      <c r="C18" s="4" t="s">
        <v>4061</v>
      </c>
      <c r="D18" s="96">
        <f>MAX(_xlfn.ANCHORARRAY(D23))</f>
        <v>16.219000000000001</v>
      </c>
      <c r="E18" s="96">
        <f t="shared" ref="E18:G18" si="0">MAX(_xlfn.ANCHORARRAY(E23))</f>
        <v>8.5363157894736847</v>
      </c>
      <c r="F18" s="96">
        <f t="shared" si="0"/>
        <v>0</v>
      </c>
      <c r="G18" s="121">
        <f t="shared" si="0"/>
        <v>0</v>
      </c>
      <c r="H18"/>
      <c r="I18"/>
    </row>
    <row r="19" spans="2:9" x14ac:dyDescent="0.25">
      <c r="C19" s="4" t="s">
        <v>4062</v>
      </c>
      <c r="D19" s="96">
        <f>MIN(_xlfn.ANCHORARRAY(D23))</f>
        <v>16.219000000000001</v>
      </c>
      <c r="E19" s="96">
        <f t="shared" ref="E19:G19" si="1">MIN(_xlfn.ANCHORARRAY(E23))</f>
        <v>8.5363157894736847</v>
      </c>
      <c r="F19" s="96">
        <f t="shared" si="1"/>
        <v>0</v>
      </c>
      <c r="G19" s="121">
        <f t="shared" si="1"/>
        <v>0</v>
      </c>
    </row>
    <row r="20" spans="2:9" x14ac:dyDescent="0.25">
      <c r="C20" s="4" t="s">
        <v>4063</v>
      </c>
      <c r="D20" s="96">
        <f>AVERAGE(_xlfn.ANCHORARRAY(D23))</f>
        <v>16.219000000000001</v>
      </c>
      <c r="E20" s="96">
        <f t="shared" ref="E20:G20" si="2">AVERAGE(_xlfn.ANCHORARRAY(E23))</f>
        <v>8.5363157894736847</v>
      </c>
      <c r="F20" s="96">
        <f t="shared" si="2"/>
        <v>0</v>
      </c>
      <c r="G20" s="121">
        <f t="shared" si="2"/>
        <v>0</v>
      </c>
    </row>
    <row r="21" spans="2:9" x14ac:dyDescent="0.25">
      <c r="C21" s="4"/>
    </row>
    <row r="22" spans="2:9" x14ac:dyDescent="0.25">
      <c r="B22" s="32" t="s">
        <v>4064</v>
      </c>
      <c r="D22"/>
      <c r="E22"/>
      <c r="F22"/>
      <c r="G22" s="124"/>
    </row>
    <row r="23" spans="2:9" x14ac:dyDescent="0.25">
      <c r="B23" s="122" t="str" cm="1">
        <f t="array" ref="B23">_xlfn.UNIQUE(_xlfn._xlws.FILTER('EPD List'!D:D,ISNUMBER(SEARCH(B16,'EPD List'!C:C)),0))</f>
        <v>Rubber floor, , FLEXXER Resilient rubber flooring 2cm thick (NAR Kauçuk ve Zemin Sistemleri SAN. TİC. A.Ş.) (Turkey)</v>
      </c>
      <c r="C23" t="str" cm="1">
        <f t="array" ref="C23">_xlfn.IFNA(INDEX('EPD List'!$A:$AB,MATCH(_xlfn.ANCHORARRAY(B23),'EPD List'!$D:$D,0),MATCH(C$16,'EPD List'!$7:$7,0)),"")</f>
        <v>m²</v>
      </c>
      <c r="D23" s="96" cm="1">
        <f t="array" ref="D23">_xlfn.IFNA(VALUE((INDEX('EPD List'!$A:$AD,MATCH(_xlfn.ANCHORARRAY($B23),'EPD List'!$D:$D,0),MATCH(D$16,'EPD List'!$7:$7,0)))),"")</f>
        <v>16.219000000000001</v>
      </c>
      <c r="E23" s="96" cm="1">
        <f t="array" ref="E23">IFERROR(VALUE((INDEX('EPD List'!$A:$AD,MATCH(_xlfn.ANCHORARRAY($B23),'EPD List'!$D:$D,0),MATCH(E$16,'EPD List'!$7:$7,0)))),"")</f>
        <v>8.5363157894736847</v>
      </c>
      <c r="F23" s="96" cm="1">
        <f t="array" ref="F23">_xlfn.IFNA(VALUE((INDEX('EPD List'!$A:$AD,MATCH(_xlfn.ANCHORARRAY($B23),'EPD List'!$D:$D,0),MATCH(F$16,'EPD List'!$7:$7,0)))),"")</f>
        <v>0</v>
      </c>
      <c r="G23" s="121" cm="1">
        <f t="array" ref="G23">IFERROR(VALUE((INDEX('EPD List'!$A:$AD,MATCH(_xlfn.ANCHORARRAY($B23),'EPD List'!$D:$D,0),MATCH(G$16,'EPD List'!$7:$7,0)))),"")</f>
        <v>0</v>
      </c>
    </row>
    <row r="90" spans="9:9" x14ac:dyDescent="0.25">
      <c r="I90" s="96"/>
    </row>
    <row r="166" spans="2:7" x14ac:dyDescent="0.25">
      <c r="B166" s="125"/>
      <c r="C166" s="126"/>
      <c r="D166" s="127"/>
      <c r="E166" s="127"/>
      <c r="F166" s="127"/>
      <c r="G166" s="128"/>
    </row>
  </sheetData>
  <dataValidations count="1">
    <dataValidation type="list" allowBlank="1" showInputMessage="1" showErrorMessage="1" sqref="B6:B9" xr:uid="{10D5B2CC-F0CE-4A29-9B75-C476D5EB6312}">
      <formula1>"Tier 1,Tier 2,Tier 3,Tier 4"</formula1>
    </dataValidation>
  </dataValidations>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B67B2D-6D15-45F9-8FF1-14FB39F8A8DE}">
  <sheetPr codeName="Sheet100">
    <tabColor rgb="FF00CCFF"/>
  </sheetPr>
  <dimension ref="A1:I166"/>
  <sheetViews>
    <sheetView showGridLines="0" zoomScale="80" zoomScaleNormal="80" workbookViewId="0"/>
  </sheetViews>
  <sheetFormatPr defaultRowHeight="13.2" x14ac:dyDescent="0.25"/>
  <cols>
    <col min="1" max="1" width="26.109375" customWidth="1"/>
    <col min="2" max="2" width="128.88671875" style="122" customWidth="1"/>
    <col min="3" max="3" width="21" customWidth="1"/>
    <col min="4" max="6" width="19.88671875" style="96" customWidth="1"/>
    <col min="7" max="7" width="23.5546875" style="121" customWidth="1"/>
    <col min="8" max="8" width="14.44140625" customWidth="1"/>
    <col min="9" max="9" width="13.109375" customWidth="1"/>
  </cols>
  <sheetData>
    <row r="1" spans="1:7" x14ac:dyDescent="0.25">
      <c r="A1" s="4" t="str" cm="1">
        <f t="array" aca="1" ref="A1" ca="1">MID(CELL("filename",A1),FIND("]",CELL("filename",A1))+1,255)</f>
        <v>Roller_Door</v>
      </c>
      <c r="B1"/>
      <c r="G1" s="96"/>
    </row>
    <row r="2" spans="1:7" x14ac:dyDescent="0.25">
      <c r="A2" s="4"/>
      <c r="B2"/>
      <c r="C2" s="4"/>
      <c r="G2" s="96"/>
    </row>
    <row r="3" spans="1:7" x14ac:dyDescent="0.25">
      <c r="A3" s="4" t="s">
        <v>4048</v>
      </c>
      <c r="B3" t="s">
        <v>4261</v>
      </c>
      <c r="G3" s="96"/>
    </row>
    <row r="4" spans="1:7" x14ac:dyDescent="0.25">
      <c r="A4" s="4"/>
      <c r="B4"/>
      <c r="G4" s="96"/>
    </row>
    <row r="5" spans="1:7" ht="92.25" customHeight="1" x14ac:dyDescent="0.25">
      <c r="A5" s="26" t="s">
        <v>4050</v>
      </c>
      <c r="B5" s="14" t="s">
        <v>4262</v>
      </c>
      <c r="D5" s="14"/>
      <c r="E5" s="43"/>
      <c r="G5" s="96"/>
    </row>
    <row r="6" spans="1:7" x14ac:dyDescent="0.25">
      <c r="A6" s="26" t="s">
        <v>4052</v>
      </c>
      <c r="B6" s="27" t="s">
        <v>71</v>
      </c>
      <c r="D6"/>
      <c r="G6" s="96"/>
    </row>
    <row r="7" spans="1:7" x14ac:dyDescent="0.25">
      <c r="A7" s="26" t="s">
        <v>4053</v>
      </c>
      <c r="B7" s="27" t="s">
        <v>68</v>
      </c>
      <c r="G7" s="96"/>
    </row>
    <row r="8" spans="1:7" x14ac:dyDescent="0.25">
      <c r="A8" s="26" t="s">
        <v>4054</v>
      </c>
      <c r="B8" s="27" t="s">
        <v>71</v>
      </c>
      <c r="G8" s="96"/>
    </row>
    <row r="9" spans="1:7" x14ac:dyDescent="0.25">
      <c r="A9" s="26" t="s">
        <v>4055</v>
      </c>
      <c r="B9" s="4" t="s">
        <v>71</v>
      </c>
      <c r="G9" s="96"/>
    </row>
    <row r="10" spans="1:7" x14ac:dyDescent="0.25">
      <c r="A10" s="26"/>
      <c r="B10" s="4"/>
      <c r="G10" s="96"/>
    </row>
    <row r="11" spans="1:7" x14ac:dyDescent="0.25">
      <c r="A11" s="26" t="s">
        <v>4056</v>
      </c>
      <c r="B11" s="14" t="s">
        <v>4182</v>
      </c>
      <c r="G11" s="96"/>
    </row>
    <row r="12" spans="1:7" x14ac:dyDescent="0.25">
      <c r="A12" s="101"/>
      <c r="B12"/>
      <c r="G12" s="96"/>
    </row>
    <row r="13" spans="1:7" x14ac:dyDescent="0.25">
      <c r="A13" s="101"/>
      <c r="B13"/>
      <c r="G13" s="96"/>
    </row>
    <row r="14" spans="1:7" x14ac:dyDescent="0.25">
      <c r="A14" s="26" t="s">
        <v>4057</v>
      </c>
      <c r="B14" t="s">
        <v>4263</v>
      </c>
      <c r="G14" s="96"/>
    </row>
    <row r="15" spans="1:7" x14ac:dyDescent="0.25">
      <c r="A15" s="26"/>
      <c r="B15"/>
      <c r="D15" s="112" t="s">
        <v>4058</v>
      </c>
      <c r="E15" s="113"/>
      <c r="F15" s="114" t="s">
        <v>4059</v>
      </c>
      <c r="G15" s="113"/>
    </row>
    <row r="16" spans="1:7" ht="39.6" x14ac:dyDescent="0.25">
      <c r="B16" s="28" t="s">
        <v>4264</v>
      </c>
      <c r="C16" s="23" t="s">
        <v>23</v>
      </c>
      <c r="D16" s="24" t="s">
        <v>141</v>
      </c>
      <c r="E16" s="25" t="s">
        <v>148</v>
      </c>
      <c r="F16" s="24" t="s">
        <v>142</v>
      </c>
      <c r="G16" s="24" t="s">
        <v>149</v>
      </c>
    </row>
    <row r="17" spans="2:9" x14ac:dyDescent="0.25">
      <c r="B17" s="29"/>
      <c r="C17" s="30" t="s">
        <v>4060</v>
      </c>
      <c r="D17" s="118" t="str" cm="1">
        <f t="array" ref="D17">IF(AND(_xlfn.ANCHORARRAY(C23)=C23),C23,"Mixed")</f>
        <v>m²</v>
      </c>
      <c r="E17" s="118" t="s">
        <v>219</v>
      </c>
      <c r="F17" s="118" t="str" cm="1">
        <f t="array" ref="F17">IF(AND(_xlfn.ANCHORARRAY(C23)=C23),C23,"Mixed")</f>
        <v>m²</v>
      </c>
      <c r="G17" s="119" t="s">
        <v>219</v>
      </c>
    </row>
    <row r="18" spans="2:9" s="14" customFormat="1" x14ac:dyDescent="0.25">
      <c r="B18" s="31"/>
      <c r="C18" s="4" t="s">
        <v>4061</v>
      </c>
      <c r="D18" s="96">
        <f>MAX(_xlfn.ANCHORARRAY(D23))</f>
        <v>110</v>
      </c>
      <c r="E18" s="96">
        <f t="shared" ref="E18:G18" si="0">MAX(_xlfn.ANCHORARRAY(E23))</f>
        <v>4.7222460719498578</v>
      </c>
      <c r="F18" s="96">
        <f t="shared" si="0"/>
        <v>0</v>
      </c>
      <c r="G18" s="121">
        <f t="shared" si="0"/>
        <v>0</v>
      </c>
      <c r="H18"/>
      <c r="I18"/>
    </row>
    <row r="19" spans="2:9" x14ac:dyDescent="0.25">
      <c r="C19" s="4" t="s">
        <v>4062</v>
      </c>
      <c r="D19" s="96">
        <f>MIN(_xlfn.ANCHORARRAY(D23))</f>
        <v>96.7</v>
      </c>
      <c r="E19" s="96">
        <f t="shared" ref="E19:G19" si="1">MIN(_xlfn.ANCHORARRAY(E23))</f>
        <v>3.2565501448103995</v>
      </c>
      <c r="F19" s="96">
        <f t="shared" si="1"/>
        <v>0</v>
      </c>
      <c r="G19" s="121">
        <f t="shared" si="1"/>
        <v>0</v>
      </c>
    </row>
    <row r="20" spans="2:9" x14ac:dyDescent="0.25">
      <c r="C20" s="4" t="s">
        <v>4063</v>
      </c>
      <c r="D20" s="96">
        <f>AVERAGE(_xlfn.ANCHORARRAY(D23))</f>
        <v>103.35</v>
      </c>
      <c r="E20" s="96">
        <f t="shared" ref="E20:G20" si="2">AVERAGE(_xlfn.ANCHORARRAY(E23))</f>
        <v>3.9893981083801284</v>
      </c>
      <c r="F20" s="96">
        <f t="shared" si="2"/>
        <v>0</v>
      </c>
      <c r="G20" s="121">
        <f t="shared" si="2"/>
        <v>0</v>
      </c>
    </row>
    <row r="21" spans="2:9" x14ac:dyDescent="0.25">
      <c r="C21" s="4"/>
    </row>
    <row r="22" spans="2:9" x14ac:dyDescent="0.25">
      <c r="B22" s="32" t="s">
        <v>4064</v>
      </c>
      <c r="D22"/>
      <c r="E22"/>
      <c r="F22"/>
      <c r="G22" s="124"/>
    </row>
    <row r="23" spans="2:9" x14ac:dyDescent="0.25">
      <c r="B23" s="122" t="str" cm="1">
        <f t="array" ref="B23:B24">_xlfn.UNIQUE(_xlfn._xlws.FILTER('EPD List'!D:D,ISNUMBER(SEARCH(B16,'EPD List'!C:C)),0))</f>
        <v>Roller doors, , Sectional door 601 - full vision (Loading Systems) (Europe)</v>
      </c>
      <c r="C23" t="str" cm="1">
        <f t="array" ref="C23:C24">_xlfn.IFNA(INDEX('EPD List'!$A:$AB,MATCH(_xlfn.ANCHORARRAY(B23),'EPD List'!$D:$D,0),MATCH(C$16,'EPD List'!$7:$7,0)),"")</f>
        <v>m²</v>
      </c>
      <c r="D23" s="96" cm="1">
        <f t="array" ref="D23:D24">_xlfn.IFNA(VALUE((INDEX('EPD List'!$A:$AD,MATCH(_xlfn.ANCHORARRAY($B23),'EPD List'!$D:$D,0),MATCH(D$16,'EPD List'!$7:$7,0)))),"")</f>
        <v>110</v>
      </c>
      <c r="E23" s="96" cm="1">
        <f t="array" ref="E23:E24">IFERROR(VALUE((INDEX('EPD List'!$A:$AD,MATCH(_xlfn.ANCHORARRAY($B23),'EPD List'!$D:$D,0),MATCH(E$16,'EPD List'!$7:$7,0)))),"")</f>
        <v>4.7222460719498578</v>
      </c>
      <c r="F23" s="96" cm="1">
        <f t="array" ref="F23:F24">_xlfn.IFNA(VALUE((INDEX('EPD List'!$A:$AD,MATCH(_xlfn.ANCHORARRAY($B23),'EPD List'!$D:$D,0),MATCH(F$16,'EPD List'!$7:$7,0)))),"")</f>
        <v>0</v>
      </c>
      <c r="G23" s="121" cm="1">
        <f t="array" ref="G23:G24">IFERROR(VALUE((INDEX('EPD List'!$A:$AD,MATCH(_xlfn.ANCHORARRAY($B23),'EPD List'!$D:$D,0),MATCH(G$16,'EPD List'!$7:$7,0)))),"")</f>
        <v>0</v>
      </c>
    </row>
    <row r="24" spans="2:9" x14ac:dyDescent="0.25">
      <c r="B24" s="122" t="str">
        <v>Roller doors, , Sectional door 601 (Loading Systems) (Europe)</v>
      </c>
      <c r="C24" t="str">
        <v>m²</v>
      </c>
      <c r="D24" s="96">
        <v>96.7</v>
      </c>
      <c r="E24" s="96">
        <v>3.2565501448103995</v>
      </c>
      <c r="F24" s="96">
        <v>0</v>
      </c>
      <c r="G24" s="121">
        <v>0</v>
      </c>
    </row>
    <row r="90" spans="9:9" x14ac:dyDescent="0.25">
      <c r="I90" s="96"/>
    </row>
    <row r="166" spans="2:7" x14ac:dyDescent="0.25">
      <c r="B166" s="125"/>
      <c r="C166" s="126"/>
      <c r="D166" s="127"/>
      <c r="E166" s="127"/>
      <c r="F166" s="127"/>
      <c r="G166" s="128"/>
    </row>
  </sheetData>
  <dataValidations count="1">
    <dataValidation type="list" allowBlank="1" showInputMessage="1" showErrorMessage="1" sqref="B6:B9" xr:uid="{07AA7C56-D57A-480A-9CB4-CFCF61A3332D}">
      <formula1>"Tier 1,Tier 2,Tier 3,Tier 4"</formula1>
    </dataValidation>
  </dataValidations>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9CA19F-830C-49EE-AF30-E6A370D118D9}">
  <sheetPr codeName="Sheet101">
    <tabColor rgb="FF00CCFF"/>
  </sheetPr>
  <dimension ref="A1:P166"/>
  <sheetViews>
    <sheetView showGridLines="0" zoomScaleNormal="100" workbookViewId="0"/>
  </sheetViews>
  <sheetFormatPr defaultRowHeight="13.2" x14ac:dyDescent="0.25"/>
  <cols>
    <col min="1" max="1" width="26.109375" customWidth="1"/>
    <col min="2" max="2" width="128.88671875" style="122" customWidth="1"/>
    <col min="3" max="3" width="21" customWidth="1"/>
    <col min="4" max="6" width="19.88671875" style="96" customWidth="1"/>
    <col min="7" max="7" width="23.5546875" style="121" customWidth="1"/>
    <col min="8" max="8" width="14.44140625" customWidth="1"/>
    <col min="9" max="9" width="13.109375" customWidth="1"/>
    <col min="11" max="11" width="12.44140625" customWidth="1"/>
    <col min="12" max="13" width="14.109375" customWidth="1"/>
    <col min="14" max="14" width="39.88671875" bestFit="1" customWidth="1"/>
    <col min="15" max="15" width="39.88671875" customWidth="1"/>
    <col min="16" max="16" width="152" bestFit="1" customWidth="1"/>
  </cols>
  <sheetData>
    <row r="1" spans="1:16" x14ac:dyDescent="0.25">
      <c r="A1" s="4" t="str" cm="1">
        <f t="array" aca="1" ref="A1" ca="1">MID(CELL("filename",A1),FIND("]",CELL("filename",A1))+1,255)</f>
        <v>Aluminium_extruded</v>
      </c>
      <c r="B1"/>
      <c r="G1" s="96"/>
      <c r="K1" s="4" t="s">
        <v>4101</v>
      </c>
    </row>
    <row r="2" spans="1:16" x14ac:dyDescent="0.25">
      <c r="A2" s="4"/>
      <c r="B2"/>
      <c r="C2" s="4"/>
      <c r="G2" s="96"/>
      <c r="L2">
        <v>1.51</v>
      </c>
      <c r="M2" t="s">
        <v>4109</v>
      </c>
      <c r="N2" t="s">
        <v>4265</v>
      </c>
      <c r="O2" t="s">
        <v>4266</v>
      </c>
      <c r="P2" t="s">
        <v>4267</v>
      </c>
    </row>
    <row r="3" spans="1:16" x14ac:dyDescent="0.25">
      <c r="A3" s="4" t="s">
        <v>4048</v>
      </c>
      <c r="B3" t="s">
        <v>4268</v>
      </c>
      <c r="G3" s="96"/>
      <c r="L3">
        <v>1.42</v>
      </c>
      <c r="M3" t="s">
        <v>4109</v>
      </c>
      <c r="N3" t="s">
        <v>4269</v>
      </c>
      <c r="O3" t="s">
        <v>4266</v>
      </c>
      <c r="P3" t="s">
        <v>4267</v>
      </c>
    </row>
    <row r="4" spans="1:16" x14ac:dyDescent="0.25">
      <c r="A4" s="4"/>
      <c r="B4"/>
      <c r="G4" s="96"/>
      <c r="L4">
        <v>0.73799999999999999</v>
      </c>
      <c r="M4" t="s">
        <v>4109</v>
      </c>
      <c r="N4" t="s">
        <v>4270</v>
      </c>
      <c r="O4" t="s">
        <v>4266</v>
      </c>
      <c r="P4" t="s">
        <v>4267</v>
      </c>
    </row>
    <row r="5" spans="1:16" ht="92.25" customHeight="1" x14ac:dyDescent="0.25">
      <c r="A5" s="26" t="s">
        <v>4050</v>
      </c>
      <c r="B5" s="14" t="s">
        <v>4271</v>
      </c>
      <c r="D5" s="14"/>
      <c r="E5" s="43"/>
      <c r="G5" s="96"/>
    </row>
    <row r="6" spans="1:16" x14ac:dyDescent="0.25">
      <c r="A6" s="26" t="s">
        <v>4052</v>
      </c>
      <c r="B6" s="27" t="s">
        <v>69</v>
      </c>
      <c r="D6"/>
      <c r="G6" s="96"/>
      <c r="L6">
        <f>L2-L3</f>
        <v>9.000000000000008E-2</v>
      </c>
      <c r="M6" t="s">
        <v>4109</v>
      </c>
      <c r="N6" t="s">
        <v>4272</v>
      </c>
      <c r="P6" t="s">
        <v>4273</v>
      </c>
    </row>
    <row r="7" spans="1:16" x14ac:dyDescent="0.25">
      <c r="A7" s="26" t="s">
        <v>4053</v>
      </c>
      <c r="B7" s="27" t="s">
        <v>69</v>
      </c>
      <c r="G7" s="96"/>
      <c r="L7" s="208">
        <f>L4</f>
        <v>0.73799999999999999</v>
      </c>
      <c r="M7" t="s">
        <v>4109</v>
      </c>
      <c r="N7" s="208" t="s">
        <v>4274</v>
      </c>
      <c r="O7" s="208"/>
      <c r="P7" t="s">
        <v>4273</v>
      </c>
    </row>
    <row r="8" spans="1:16" x14ac:dyDescent="0.25">
      <c r="A8" s="26" t="s">
        <v>4054</v>
      </c>
      <c r="B8" s="27" t="s">
        <v>69</v>
      </c>
      <c r="G8" s="96"/>
      <c r="L8" s="207">
        <f>L6/(SUM($L$6:$L$7))</f>
        <v>0.10869565217391314</v>
      </c>
      <c r="N8" t="s">
        <v>4272</v>
      </c>
      <c r="P8" t="s">
        <v>4273</v>
      </c>
    </row>
    <row r="9" spans="1:16" x14ac:dyDescent="0.25">
      <c r="A9" s="26" t="s">
        <v>4055</v>
      </c>
      <c r="B9" s="4" t="s">
        <v>69</v>
      </c>
      <c r="G9" s="96"/>
      <c r="L9" s="207">
        <f>L7/(SUM($L$6:$L$7))*0.5</f>
        <v>0.44565217391304346</v>
      </c>
      <c r="N9" s="208" t="s">
        <v>4274</v>
      </c>
      <c r="O9" s="208" t="s">
        <v>4275</v>
      </c>
      <c r="P9" t="s">
        <v>4273</v>
      </c>
    </row>
    <row r="10" spans="1:16" x14ac:dyDescent="0.25">
      <c r="A10" s="26"/>
      <c r="B10" s="4"/>
      <c r="G10" s="96"/>
      <c r="L10" s="207">
        <f>L7/(SUM($L$6:$L$7))*0.5</f>
        <v>0.44565217391304346</v>
      </c>
      <c r="N10" t="s">
        <v>4276</v>
      </c>
      <c r="O10" s="208" t="s">
        <v>4275</v>
      </c>
    </row>
    <row r="11" spans="1:16" x14ac:dyDescent="0.25">
      <c r="A11" s="26" t="s">
        <v>4056</v>
      </c>
      <c r="B11" s="14"/>
      <c r="G11" s="96"/>
    </row>
    <row r="12" spans="1:16" ht="39.6" x14ac:dyDescent="0.25">
      <c r="A12" s="101"/>
      <c r="B12"/>
      <c r="G12" s="96"/>
      <c r="K12" s="14"/>
      <c r="L12" s="75" t="s">
        <v>4159</v>
      </c>
      <c r="M12" s="75" t="s">
        <v>148</v>
      </c>
      <c r="P12" s="14"/>
    </row>
    <row r="13" spans="1:16" x14ac:dyDescent="0.25">
      <c r="A13" s="101"/>
      <c r="B13"/>
      <c r="G13" s="96"/>
      <c r="L13">
        <f>$N18/$P18</f>
        <v>12741.300000000001</v>
      </c>
      <c r="M13">
        <f>$O18/$P18</f>
        <v>12.741300000000001</v>
      </c>
      <c r="N13" s="14" t="s">
        <v>4114</v>
      </c>
      <c r="O13" s="14"/>
      <c r="P13" s="14"/>
    </row>
    <row r="14" spans="1:16" x14ac:dyDescent="0.25">
      <c r="A14" s="26" t="s">
        <v>4057</v>
      </c>
      <c r="B14"/>
      <c r="G14" s="96"/>
      <c r="L14">
        <f>$N19/$P19</f>
        <v>11410.584999999999</v>
      </c>
      <c r="M14">
        <f>$O19/$P19</f>
        <v>11.410584999999998</v>
      </c>
      <c r="N14" s="208" t="s">
        <v>4277</v>
      </c>
      <c r="O14" t="s">
        <v>4278</v>
      </c>
      <c r="P14" t="s">
        <v>4279</v>
      </c>
    </row>
    <row r="15" spans="1:16" x14ac:dyDescent="0.25">
      <c r="A15" s="26"/>
      <c r="B15"/>
      <c r="D15" s="112" t="s">
        <v>4058</v>
      </c>
      <c r="E15" s="113"/>
      <c r="F15" s="114" t="s">
        <v>4059</v>
      </c>
      <c r="G15" s="113"/>
      <c r="L15">
        <f>$N20/$P20</f>
        <v>24524.959999999999</v>
      </c>
      <c r="M15">
        <f>$O20/$P20</f>
        <v>24.52496</v>
      </c>
      <c r="N15" t="s">
        <v>4280</v>
      </c>
      <c r="O15" t="s">
        <v>4281</v>
      </c>
      <c r="P15" t="s">
        <v>4279</v>
      </c>
    </row>
    <row r="16" spans="1:16" ht="39.6" x14ac:dyDescent="0.25">
      <c r="B16" s="28" t="s">
        <v>4282</v>
      </c>
      <c r="C16" s="23" t="s">
        <v>23</v>
      </c>
      <c r="D16" s="24" t="s">
        <v>141</v>
      </c>
      <c r="E16" s="25" t="s">
        <v>148</v>
      </c>
      <c r="F16" s="24" t="s">
        <v>142</v>
      </c>
      <c r="G16" s="24" t="s">
        <v>149</v>
      </c>
    </row>
    <row r="17" spans="2:16" x14ac:dyDescent="0.25">
      <c r="B17" s="29"/>
      <c r="C17" s="30" t="s">
        <v>4060</v>
      </c>
      <c r="D17" s="118" t="str" cm="1">
        <f t="array" ref="D17">IF(AND(_xlfn.ANCHORARRAY(C23)=C23),C23,"Mixed")</f>
        <v>tonne</v>
      </c>
      <c r="E17" s="118" t="s">
        <v>219</v>
      </c>
      <c r="F17" s="118" t="str" cm="1">
        <f t="array" ref="F17">IF(AND(_xlfn.ANCHORARRAY(C23)=C23),C23,"Mixed")</f>
        <v>tonne</v>
      </c>
      <c r="G17" s="119" t="s">
        <v>219</v>
      </c>
      <c r="N17" t="s">
        <v>4283</v>
      </c>
      <c r="O17" t="s">
        <v>4284</v>
      </c>
      <c r="P17" t="s">
        <v>4285</v>
      </c>
    </row>
    <row r="18" spans="2:16" s="14" customFormat="1" x14ac:dyDescent="0.25">
      <c r="B18" s="31"/>
      <c r="C18" s="4" t="s">
        <v>4061</v>
      </c>
      <c r="D18" s="96">
        <f>MAX(_xlfn.ANCHORARRAY(D23))</f>
        <v>28800</v>
      </c>
      <c r="E18" s="96">
        <f t="shared" ref="E18:G18" si="0">MAX(_xlfn.ANCHORARRAY(E23))</f>
        <v>28.8</v>
      </c>
      <c r="F18" s="96">
        <f t="shared" si="0"/>
        <v>0</v>
      </c>
      <c r="G18" s="121">
        <f t="shared" si="0"/>
        <v>0</v>
      </c>
      <c r="H18"/>
      <c r="I18"/>
      <c r="K18"/>
      <c r="L18"/>
      <c r="M18"/>
      <c r="N18">
        <f>SUMIFS(_xlfn.ANCHORARRAY(D$23),_xlfn.ANCHORARRAY($B$23),"*"&amp;"Australia"&amp;"*")</f>
        <v>12741.300000000001</v>
      </c>
      <c r="O18">
        <f>SUMIFS(_xlfn.ANCHORARRAY(E$23),_xlfn.ANCHORARRAY($B$23),"*"&amp;"Australia"&amp;"*")</f>
        <v>12.741300000000001</v>
      </c>
      <c r="P18">
        <f>COUNTIFS(_xlfn.ANCHORARRAY($B$23),"*"&amp;"Australia"&amp;"*")</f>
        <v>1</v>
      </c>
    </row>
    <row r="19" spans="2:16" x14ac:dyDescent="0.25">
      <c r="C19" s="4" t="s">
        <v>4062</v>
      </c>
      <c r="D19" s="96">
        <f>MIN(_xlfn.ANCHORARRAY(D23))</f>
        <v>3494.15</v>
      </c>
      <c r="E19" s="96">
        <f t="shared" ref="E19:G19" si="1">MIN(_xlfn.ANCHORARRAY(E23))</f>
        <v>3.4941500000000003</v>
      </c>
      <c r="F19" s="96">
        <f t="shared" si="1"/>
        <v>0</v>
      </c>
      <c r="G19" s="121">
        <f t="shared" si="1"/>
        <v>0</v>
      </c>
      <c r="N19" s="96">
        <f>SUM(_xlfn.ANCHORARRAY(D$23))-N18-N20</f>
        <v>182569.36</v>
      </c>
      <c r="O19" s="96">
        <f>SUM(_xlfn.ANCHORARRAY(E$23))-O18-O20</f>
        <v>182.56935999999996</v>
      </c>
      <c r="P19" s="96">
        <f>COUNT(_xlfn.ANCHORARRAY(D23))-P18-P20</f>
        <v>16</v>
      </c>
    </row>
    <row r="20" spans="2:16" x14ac:dyDescent="0.25">
      <c r="C20" s="35" t="s">
        <v>4117</v>
      </c>
      <c r="D20" s="162">
        <f>SUMPRODUCT($L$8:$L$10,L13:L15)</f>
        <v>17399.67766304348</v>
      </c>
      <c r="E20" s="162">
        <f>SUMPRODUCT($L$8:$L$10,M13:M15)</f>
        <v>17.399677663043477</v>
      </c>
      <c r="F20" s="162">
        <f>SUMPRODUCT($L$8:$L$10,N13:N15)</f>
        <v>0</v>
      </c>
      <c r="G20" s="168">
        <f>SUMPRODUCT($L$8:$L$10,O13:O15)</f>
        <v>0</v>
      </c>
      <c r="N20">
        <f>SUMIFS(_xlfn.ANCHORARRAY(D$23),_xlfn.ANCHORARRAY($B$23),"*"&amp;"China"&amp;"*")</f>
        <v>122624.8</v>
      </c>
      <c r="O20">
        <f>SUMIFS(_xlfn.ANCHORARRAY(E$23),_xlfn.ANCHORARRAY($B$23),"*"&amp;"China"&amp;"*")</f>
        <v>122.62480000000001</v>
      </c>
      <c r="P20">
        <f>COUNTIFS(_xlfn.ANCHORARRAY($B$23),"*"&amp;"China"&amp;"*")</f>
        <v>5</v>
      </c>
    </row>
    <row r="21" spans="2:16" x14ac:dyDescent="0.25">
      <c r="C21" s="4" t="s">
        <v>4063</v>
      </c>
      <c r="D21" s="96">
        <f>AVERAGE(_xlfn.ANCHORARRAY(D23))</f>
        <v>14451.611818181816</v>
      </c>
      <c r="E21" s="96">
        <f t="shared" ref="E21:G21" si="2">AVERAGE(_xlfn.ANCHORARRAY(E23))</f>
        <v>14.451611818181817</v>
      </c>
      <c r="F21" s="96">
        <f t="shared" si="2"/>
        <v>0</v>
      </c>
      <c r="G21" s="121">
        <f t="shared" si="2"/>
        <v>0</v>
      </c>
    </row>
    <row r="22" spans="2:16" x14ac:dyDescent="0.25">
      <c r="B22" s="32" t="s">
        <v>4064</v>
      </c>
      <c r="D22"/>
      <c r="E22"/>
      <c r="F22"/>
      <c r="G22" s="124"/>
    </row>
    <row r="23" spans="2:16" x14ac:dyDescent="0.25">
      <c r="B23" s="122" t="str" cm="1">
        <f t="array" ref="B23:B44">_xlfn.UNIQUE(_xlfn._xlws.FILTER('EPD List'!D:D,ISNUMBER(SEARCH(B16,'EPD List'!C:C)),0))</f>
        <v>Aluminium, China, Hyperion Aluminium Profiles manufactured in China  (Envirobuild) (China)</v>
      </c>
      <c r="C23" t="str" cm="1">
        <f t="array" ref="C23:C44">_xlfn.IFNA(INDEX('EPD List'!$A:$AB,MATCH(_xlfn.ANCHORARRAY(B23),'EPD List'!$D:$D,0),MATCH(C$16,'EPD List'!$7:$7,0)),"")</f>
        <v>tonne</v>
      </c>
      <c r="D23" s="96" cm="1">
        <f t="array" ref="D23:D44">_xlfn.IFNA(VALUE((INDEX('EPD List'!$A:$AD,MATCH(_xlfn.ANCHORARRAY($B23),'EPD List'!$D:$D,0),MATCH(D$16,'EPD List'!$7:$7,0)))),"")</f>
        <v>22462</v>
      </c>
      <c r="E23" s="96" cm="1">
        <f t="array" ref="E23:E44">IFERROR(VALUE((INDEX('EPD List'!$A:$AD,MATCH(_xlfn.ANCHORARRAY($B23),'EPD List'!$D:$D,0),MATCH(E$16,'EPD List'!$7:$7,0)))),"")</f>
        <v>22.462</v>
      </c>
      <c r="F23" s="96" cm="1">
        <f t="array" ref="F23:F44">_xlfn.IFNA(VALUE((INDEX('EPD List'!$A:$AD,MATCH(_xlfn.ANCHORARRAY($B23),'EPD List'!$D:$D,0),MATCH(F$16,'EPD List'!$7:$7,0)))),"")</f>
        <v>0</v>
      </c>
      <c r="G23" s="121" cm="1">
        <f t="array" ref="G23:G44">IFERROR(VALUE((INDEX('EPD List'!$A:$AD,MATCH(_xlfn.ANCHORARRAY($B23),'EPD List'!$D:$D,0),MATCH(G$16,'EPD List'!$7:$7,0)))),"")</f>
        <v>0</v>
      </c>
    </row>
    <row r="24" spans="2:16" x14ac:dyDescent="0.25">
      <c r="B24" s="122" t="str">
        <v>Aluminium, China, Extruded aluminium out of China (Jiangyin Jianbang) (China)</v>
      </c>
      <c r="C24" t="str">
        <v>tonne</v>
      </c>
      <c r="D24" s="96">
        <v>24661.3</v>
      </c>
      <c r="E24" s="96">
        <v>24.661300000000001</v>
      </c>
      <c r="F24" s="96">
        <v>0</v>
      </c>
      <c r="G24" s="121">
        <v>0</v>
      </c>
    </row>
    <row r="25" spans="2:16" x14ac:dyDescent="0.25">
      <c r="B25" s="122" t="str">
        <v>Aluminium, China, Thermal break aluminium profile out of China (Jiangyin Jianbang) (China)</v>
      </c>
      <c r="C25" t="str">
        <v>tonne</v>
      </c>
      <c r="D25" s="96">
        <v>24960.2</v>
      </c>
      <c r="E25" s="96">
        <v>24.960199999999997</v>
      </c>
      <c r="F25" s="96">
        <v>0</v>
      </c>
      <c r="G25" s="121">
        <v>0</v>
      </c>
    </row>
    <row r="26" spans="2:16" x14ac:dyDescent="0.25">
      <c r="B26" s="122" t="str">
        <v>Aluminium, Global, Hydro recycled low carbon aluminium profiles (Hydro) (Europe)</v>
      </c>
      <c r="C26" t="str">
        <v>tonne</v>
      </c>
      <c r="D26" s="96">
        <v>3667.54</v>
      </c>
      <c r="E26" s="96">
        <v>3.6675400000000002</v>
      </c>
      <c r="F26" s="96">
        <v>0</v>
      </c>
      <c r="G26" s="121">
        <v>0</v>
      </c>
    </row>
    <row r="27" spans="2:16" x14ac:dyDescent="0.25">
      <c r="B27" s="122" t="str">
        <v>Aluminium, Global, Extruded aluminium profile 70% recycled aluminium out of Greece (Sanlev) (Greece)</v>
      </c>
      <c r="C27" t="str">
        <v>tonne</v>
      </c>
      <c r="D27" s="96">
        <v>9036.2000000000007</v>
      </c>
      <c r="E27" s="96">
        <v>9.0361999999999991</v>
      </c>
      <c r="F27" s="96">
        <v>0</v>
      </c>
      <c r="G27" s="121">
        <v>0</v>
      </c>
    </row>
    <row r="28" spans="2:16" x14ac:dyDescent="0.25">
      <c r="B28" s="122" t="str">
        <v>Aluminium, Global, Primary aluminium out of India (Vedanta) (India)</v>
      </c>
      <c r="C28" t="str">
        <v>tonne</v>
      </c>
      <c r="D28" s="96">
        <v>24607.57</v>
      </c>
      <c r="E28" s="96">
        <v>24.607570000000003</v>
      </c>
      <c r="F28" s="96">
        <v>0</v>
      </c>
      <c r="G28" s="121">
        <v>0</v>
      </c>
    </row>
    <row r="29" spans="2:16" x14ac:dyDescent="0.25">
      <c r="B29" s="122" t="str">
        <v>Aluminium, China, CNA-CNA-CNA (China) extruded aluminium (Industry wide) (China)</v>
      </c>
      <c r="C29" t="str">
        <v>tonne</v>
      </c>
      <c r="D29" s="96">
        <v>21741.300000000003</v>
      </c>
      <c r="E29" s="96">
        <v>21.741300000000003</v>
      </c>
      <c r="F29" s="96">
        <v>0</v>
      </c>
      <c r="G29" s="121">
        <v>0</v>
      </c>
    </row>
    <row r="30" spans="2:16" x14ac:dyDescent="0.25">
      <c r="B30" s="122" t="str">
        <v>Aluminium, Global, OCA-OCA-GCC scenario (Oceania &gt; Gulf cooperation council) extruded aluminium (Industry wide) (Oceania)</v>
      </c>
      <c r="C30" t="str">
        <v>tonne</v>
      </c>
      <c r="D30" s="96">
        <v>12741.300000000001</v>
      </c>
      <c r="E30" s="96">
        <v>12.741300000000001</v>
      </c>
      <c r="F30" s="96">
        <v>0</v>
      </c>
      <c r="G30" s="121">
        <v>0</v>
      </c>
    </row>
    <row r="31" spans="2:16" x14ac:dyDescent="0.25">
      <c r="B31" s="122" t="str">
        <v>Aluminium, Global, AFR-EUR-EUR scenario (Africa &gt; Europe) extruded aluminium (Industry wide) (Africa)</v>
      </c>
      <c r="C31" t="str">
        <v>tonne</v>
      </c>
      <c r="D31" s="96">
        <v>8841.3000000000011</v>
      </c>
      <c r="E31" s="96">
        <v>8.8413000000000004</v>
      </c>
      <c r="F31" s="96">
        <v>0</v>
      </c>
      <c r="G31" s="121">
        <v>0</v>
      </c>
    </row>
    <row r="32" spans="2:16" x14ac:dyDescent="0.25">
      <c r="B32" s="122" t="str">
        <v>Aluminium, Global, SAM-SAM-CAN scenario (South America &gt; Canada) extruded aluminium (Industry wide) (South America)</v>
      </c>
      <c r="C32" t="str">
        <v>tonne</v>
      </c>
      <c r="D32" s="96">
        <v>6841.3</v>
      </c>
      <c r="E32" s="96">
        <v>6.8413000000000004</v>
      </c>
      <c r="F32" s="96">
        <v>0</v>
      </c>
      <c r="G32" s="121">
        <v>0</v>
      </c>
    </row>
    <row r="33" spans="2:7" x14ac:dyDescent="0.25">
      <c r="B33" s="122" t="str">
        <v>Aluminium, Australia, Proxy for Australia using oceania value extruded aluminium (Industry wide) (Australia)</v>
      </c>
      <c r="C33" t="str">
        <v>tonne</v>
      </c>
      <c r="D33" s="96">
        <v>12741.300000000001</v>
      </c>
      <c r="E33" s="96">
        <v>12.741300000000001</v>
      </c>
      <c r="F33" s="96">
        <v>0</v>
      </c>
      <c r="G33" s="121">
        <v>0</v>
      </c>
    </row>
    <row r="34" spans="2:7" x14ac:dyDescent="0.25">
      <c r="B34" s="122" t="str">
        <v>Aluminium, Extruded, Extruded aluminium and extruded thermal break extruded aluminium (Galuminium) (China)</v>
      </c>
      <c r="C34" t="str">
        <v>tonne</v>
      </c>
      <c r="D34" s="96">
        <v>28800</v>
      </c>
      <c r="E34" s="96">
        <v>28.8</v>
      </c>
      <c r="F34" s="96">
        <v>0</v>
      </c>
      <c r="G34" s="121">
        <v>0</v>
      </c>
    </row>
    <row r="35" spans="2:7" x14ac:dyDescent="0.25">
      <c r="B35" s="122" t="str">
        <v>Aluminium, Global, Hydro recycled low carbon aluminium profiles - UK (Hydro) (UK)</v>
      </c>
      <c r="C35" t="str">
        <v>tonne</v>
      </c>
      <c r="D35" s="96">
        <v>3494.15</v>
      </c>
      <c r="E35" s="96">
        <v>3.4941500000000003</v>
      </c>
      <c r="F35" s="96">
        <v>0</v>
      </c>
      <c r="G35" s="121">
        <v>0</v>
      </c>
    </row>
    <row r="36" spans="2:7" x14ac:dyDescent="0.25">
      <c r="B36" s="122" t="str">
        <v>Aluminium, Extruded, Extruded aluminium (uncoated) (Sistem) (Turkey)</v>
      </c>
      <c r="C36" t="str">
        <v>tonne</v>
      </c>
      <c r="D36" s="96">
        <v>12900</v>
      </c>
      <c r="E36" s="96">
        <v>12.9</v>
      </c>
      <c r="F36" s="96">
        <v>0</v>
      </c>
      <c r="G36" s="121">
        <v>0</v>
      </c>
    </row>
    <row r="37" spans="2:7" x14ac:dyDescent="0.25">
      <c r="B37" s="122" t="str">
        <v>Aluminium, Extruded, Extruded aluminium (uncoated) (Kurtoglu) (Turkey)</v>
      </c>
      <c r="C37" t="str">
        <v>tonne</v>
      </c>
      <c r="D37" s="96">
        <v>5170</v>
      </c>
      <c r="E37" s="96">
        <v>5.17</v>
      </c>
      <c r="F37" s="96">
        <v>0</v>
      </c>
      <c r="G37" s="121">
        <v>0</v>
      </c>
    </row>
    <row r="38" spans="2:7" x14ac:dyDescent="0.25">
      <c r="B38" s="122" t="str">
        <v>Aluminium, Extruded, Extruded aluminium (uncoated) (Muskita) (Global)</v>
      </c>
      <c r="C38" t="str">
        <v>tonne</v>
      </c>
      <c r="D38" s="96">
        <v>17670</v>
      </c>
      <c r="E38" s="96">
        <v>17.670000000000002</v>
      </c>
      <c r="F38" s="96">
        <v>0</v>
      </c>
      <c r="G38" s="121">
        <v>0</v>
      </c>
    </row>
    <row r="39" spans="2:7" x14ac:dyDescent="0.25">
      <c r="B39" s="122" t="str">
        <v>Aluminium, Extruded, Extruded aluminium (uncoated) (Burak) (Turkey)</v>
      </c>
      <c r="C39" t="str">
        <v>tonne</v>
      </c>
      <c r="D39" s="96">
        <v>11700</v>
      </c>
      <c r="E39" s="96">
        <v>11.7</v>
      </c>
      <c r="F39" s="96">
        <v>0</v>
      </c>
      <c r="G39" s="121">
        <v>0</v>
      </c>
    </row>
    <row r="40" spans="2:7" x14ac:dyDescent="0.25">
      <c r="B40" s="122" t="str">
        <v>Aluminium, Extruded, Extruded aluminium (uncoated) (ASAS) (Turkey)</v>
      </c>
      <c r="C40" t="str">
        <v>tonne</v>
      </c>
      <c r="D40" s="96">
        <v>13900</v>
      </c>
      <c r="E40" s="96">
        <v>13.9</v>
      </c>
      <c r="F40" s="96">
        <v>0</v>
      </c>
      <c r="G40" s="121">
        <v>0</v>
      </c>
    </row>
    <row r="41" spans="2:7" x14ac:dyDescent="0.25">
      <c r="B41" s="122" t="str">
        <v>Aluminium, Extruded, Extruded aluminium (uncoated) (Tuna Aluminium) (Global)</v>
      </c>
      <c r="C41" t="str">
        <v>tonne</v>
      </c>
      <c r="D41" s="96">
        <v>19100</v>
      </c>
      <c r="E41" s="96">
        <v>19.100000000000001</v>
      </c>
      <c r="F41" s="96">
        <v>0</v>
      </c>
      <c r="G41" s="121">
        <v>0</v>
      </c>
    </row>
    <row r="42" spans="2:7" x14ac:dyDescent="0.25">
      <c r="B42" s="122" t="str">
        <v>Aluminium, Extruded, Extruded aluminium (uncoated) (Spanish Aluminium Association) (Spanish)</v>
      </c>
      <c r="C42" t="str">
        <v>tonne</v>
      </c>
      <c r="D42" s="96">
        <v>7430</v>
      </c>
      <c r="E42" s="96">
        <v>7.43</v>
      </c>
      <c r="F42" s="96">
        <v>0</v>
      </c>
      <c r="G42" s="121">
        <v>0</v>
      </c>
    </row>
    <row r="43" spans="2:7" x14ac:dyDescent="0.25">
      <c r="B43" s="122" t="str">
        <v>Aluminium, Extruded, Extruded aluminium (uncoated) (Saray) (Turkey)</v>
      </c>
      <c r="C43" t="str">
        <v>tonne</v>
      </c>
      <c r="D43" s="96">
        <v>9870</v>
      </c>
      <c r="E43" s="96">
        <v>9.8699999999999992</v>
      </c>
      <c r="F43" s="96">
        <v>0</v>
      </c>
      <c r="G43" s="121">
        <v>0</v>
      </c>
    </row>
    <row r="44" spans="2:7" x14ac:dyDescent="0.25">
      <c r="B44" s="122" t="str">
        <v>Aluminium, Extruded, Extruded aluminium (uncoated) (Al Taiseer) (Saudi Arabia)</v>
      </c>
      <c r="C44" t="str">
        <v>tonne</v>
      </c>
      <c r="D44" s="96">
        <v>15600</v>
      </c>
      <c r="E44" s="96">
        <v>15.6</v>
      </c>
      <c r="F44" s="96">
        <v>0</v>
      </c>
      <c r="G44" s="121">
        <v>0</v>
      </c>
    </row>
    <row r="90" spans="9:9" x14ac:dyDescent="0.25">
      <c r="I90" s="96"/>
    </row>
    <row r="166" spans="2:7" x14ac:dyDescent="0.25">
      <c r="B166" s="125"/>
      <c r="C166" s="126"/>
      <c r="D166" s="127"/>
      <c r="E166" s="127"/>
      <c r="F166" s="127"/>
      <c r="G166" s="128"/>
    </row>
  </sheetData>
  <dataValidations disablePrompts="1" count="1">
    <dataValidation type="list" allowBlank="1" showInputMessage="1" showErrorMessage="1" sqref="B6:B9" xr:uid="{F6B4B510-3DDB-465E-8CAF-D933312A721F}">
      <formula1>"Tier 1,Tier 2,Tier 3,Tier 4"</formula1>
    </dataValidation>
  </dataValidations>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490107-A4A5-4345-BFD2-9C744741695A}">
  <sheetPr codeName="Sheet103">
    <tabColor rgb="FF00CCFF"/>
  </sheetPr>
  <dimension ref="A1:R166"/>
  <sheetViews>
    <sheetView showGridLines="0" zoomScale="80" zoomScaleNormal="80" workbookViewId="0"/>
  </sheetViews>
  <sheetFormatPr defaultRowHeight="13.2" x14ac:dyDescent="0.25"/>
  <cols>
    <col min="1" max="1" width="26.109375" customWidth="1"/>
    <col min="2" max="2" width="128.88671875" style="122" customWidth="1"/>
    <col min="3" max="3" width="21" customWidth="1"/>
    <col min="4" max="6" width="19.88671875" style="96" customWidth="1"/>
    <col min="7" max="7" width="23.5546875" style="121" customWidth="1"/>
    <col min="8" max="8" width="14.44140625" customWidth="1"/>
    <col min="9" max="9" width="13.109375" customWidth="1"/>
    <col min="11" max="11" width="31.109375" customWidth="1"/>
    <col min="12" max="12" width="53.44140625" customWidth="1"/>
    <col min="13" max="13" width="42.5546875" customWidth="1"/>
    <col min="14" max="14" width="13.109375" customWidth="1"/>
    <col min="18" max="18" width="68.5546875" customWidth="1"/>
  </cols>
  <sheetData>
    <row r="1" spans="1:18" x14ac:dyDescent="0.25">
      <c r="A1" s="4" t="str" cm="1">
        <f t="array" aca="1" ref="A1" ca="1">MID(CELL("filename",A1),FIND("]",CELL("filename",A1))+1,255)</f>
        <v>Aluminium_extru_powdercoat</v>
      </c>
      <c r="B1"/>
      <c r="G1" s="96"/>
    </row>
    <row r="2" spans="1:18" x14ac:dyDescent="0.25">
      <c r="A2" s="4"/>
      <c r="B2"/>
      <c r="C2" s="4"/>
      <c r="G2" s="96"/>
    </row>
    <row r="3" spans="1:18" x14ac:dyDescent="0.25">
      <c r="A3" s="4" t="s">
        <v>4048</v>
      </c>
      <c r="B3" t="s">
        <v>4286</v>
      </c>
      <c r="G3" s="96"/>
    </row>
    <row r="4" spans="1:18" x14ac:dyDescent="0.25">
      <c r="A4" s="4"/>
      <c r="B4"/>
      <c r="G4" s="96"/>
    </row>
    <row r="5" spans="1:18" ht="92.25" customHeight="1" x14ac:dyDescent="0.25">
      <c r="A5" s="26" t="s">
        <v>4050</v>
      </c>
      <c r="B5" s="14" t="s">
        <v>4287</v>
      </c>
      <c r="D5" s="14"/>
      <c r="E5" s="43"/>
      <c r="G5" s="96"/>
    </row>
    <row r="6" spans="1:18" x14ac:dyDescent="0.25">
      <c r="A6" s="26" t="s">
        <v>4052</v>
      </c>
      <c r="B6" s="27" t="s">
        <v>69</v>
      </c>
      <c r="D6"/>
      <c r="G6" s="96"/>
      <c r="K6" s="129" t="s">
        <v>4288</v>
      </c>
      <c r="L6" s="67">
        <f>MAX(P10,P15,P19,P23,P27,P31,P35,P39,P43)</f>
        <v>1.9000000000000004</v>
      </c>
      <c r="M6" s="67"/>
      <c r="N6" s="67"/>
      <c r="O6" s="67"/>
      <c r="P6" s="67"/>
      <c r="Q6" s="67"/>
      <c r="R6" s="130"/>
    </row>
    <row r="7" spans="1:18" x14ac:dyDescent="0.25">
      <c r="A7" s="26" t="s">
        <v>4053</v>
      </c>
      <c r="B7" s="27" t="s">
        <v>69</v>
      </c>
      <c r="G7" s="96"/>
      <c r="K7" s="122" t="s">
        <v>4289</v>
      </c>
      <c r="L7">
        <f>MAX(P11,P16,P20,P24,P28,P32,P36,P40,P44)</f>
        <v>0.83000000000000007</v>
      </c>
      <c r="R7" s="124"/>
    </row>
    <row r="8" spans="1:18" x14ac:dyDescent="0.25">
      <c r="A8" s="26" t="s">
        <v>4054</v>
      </c>
      <c r="B8" s="27" t="s">
        <v>69</v>
      </c>
      <c r="G8" s="96"/>
      <c r="K8" s="122"/>
      <c r="N8" t="s">
        <v>4290</v>
      </c>
      <c r="R8" s="124"/>
    </row>
    <row r="9" spans="1:18" x14ac:dyDescent="0.25">
      <c r="A9" s="26" t="s">
        <v>4055</v>
      </c>
      <c r="B9" s="4" t="s">
        <v>69</v>
      </c>
      <c r="G9" s="96"/>
      <c r="K9" s="122" t="s">
        <v>4291</v>
      </c>
      <c r="L9" t="s">
        <v>4292</v>
      </c>
      <c r="M9" t="s">
        <v>191</v>
      </c>
      <c r="N9">
        <v>12.9</v>
      </c>
      <c r="R9" s="124"/>
    </row>
    <row r="10" spans="1:18" x14ac:dyDescent="0.25">
      <c r="A10" s="26"/>
      <c r="B10" s="4"/>
      <c r="G10" s="96"/>
      <c r="K10" s="122" t="s">
        <v>4291</v>
      </c>
      <c r="L10" t="s">
        <v>4293</v>
      </c>
      <c r="M10" t="s">
        <v>191</v>
      </c>
      <c r="N10">
        <v>13.7</v>
      </c>
      <c r="O10" s="13">
        <f>N10/$N$9</f>
        <v>1.0620155038759689</v>
      </c>
      <c r="P10">
        <f>N10-$N$9</f>
        <v>0.79999999999999893</v>
      </c>
      <c r="R10" s="124"/>
    </row>
    <row r="11" spans="1:18" ht="26.4" x14ac:dyDescent="0.25">
      <c r="A11" s="26" t="s">
        <v>4056</v>
      </c>
      <c r="B11" s="14" t="s">
        <v>4294</v>
      </c>
      <c r="G11" s="96"/>
      <c r="K11" s="122" t="s">
        <v>4291</v>
      </c>
      <c r="L11" t="s">
        <v>4295</v>
      </c>
      <c r="M11" t="s">
        <v>191</v>
      </c>
      <c r="N11">
        <v>13.2</v>
      </c>
      <c r="O11" s="13">
        <f>N11/$N$9</f>
        <v>1.0232558139534882</v>
      </c>
      <c r="P11">
        <f>N11-$N$9</f>
        <v>0.29999999999999893</v>
      </c>
      <c r="R11" s="124"/>
    </row>
    <row r="12" spans="1:18" x14ac:dyDescent="0.25">
      <c r="A12" s="101"/>
      <c r="B12"/>
      <c r="G12" s="96"/>
      <c r="K12" s="122"/>
      <c r="R12" s="124"/>
    </row>
    <row r="13" spans="1:18" x14ac:dyDescent="0.25">
      <c r="A13" s="101"/>
      <c r="B13"/>
      <c r="G13" s="96"/>
      <c r="K13" s="122"/>
      <c r="R13" s="124"/>
    </row>
    <row r="14" spans="1:18" x14ac:dyDescent="0.25">
      <c r="A14" s="26" t="s">
        <v>4057</v>
      </c>
      <c r="B14"/>
      <c r="G14" s="96"/>
      <c r="K14" s="122" t="s">
        <v>4296</v>
      </c>
      <c r="L14" t="s">
        <v>4292</v>
      </c>
      <c r="M14" t="s">
        <v>4297</v>
      </c>
      <c r="N14">
        <v>5.17</v>
      </c>
      <c r="R14" s="124"/>
    </row>
    <row r="15" spans="1:18" x14ac:dyDescent="0.25">
      <c r="A15" s="26"/>
      <c r="B15"/>
      <c r="D15" s="112" t="s">
        <v>4058</v>
      </c>
      <c r="E15" s="113"/>
      <c r="F15" s="114" t="s">
        <v>4059</v>
      </c>
      <c r="G15" s="113"/>
      <c r="K15" s="122" t="s">
        <v>4296</v>
      </c>
      <c r="L15" t="s">
        <v>4293</v>
      </c>
      <c r="M15" t="s">
        <v>4298</v>
      </c>
      <c r="N15">
        <v>6.54</v>
      </c>
      <c r="O15" s="13">
        <f>N15/$N$14</f>
        <v>1.2649903288201161</v>
      </c>
      <c r="P15">
        <f>N15-$N$14</f>
        <v>1.37</v>
      </c>
      <c r="R15" s="124"/>
    </row>
    <row r="16" spans="1:18" ht="39.6" x14ac:dyDescent="0.25">
      <c r="B16" s="28" t="s">
        <v>4282</v>
      </c>
      <c r="C16" s="23" t="s">
        <v>23</v>
      </c>
      <c r="D16" s="24" t="s">
        <v>141</v>
      </c>
      <c r="E16" s="25" t="s">
        <v>148</v>
      </c>
      <c r="F16" s="24" t="s">
        <v>142</v>
      </c>
      <c r="G16" s="24" t="s">
        <v>149</v>
      </c>
      <c r="K16" s="122" t="s">
        <v>4296</v>
      </c>
      <c r="L16" t="s">
        <v>4295</v>
      </c>
      <c r="M16" t="s">
        <v>4299</v>
      </c>
      <c r="N16">
        <v>6</v>
      </c>
      <c r="O16" s="13">
        <f>N16/$N$14</f>
        <v>1.1605415860735009</v>
      </c>
      <c r="P16">
        <f>N16-$N$14</f>
        <v>0.83000000000000007</v>
      </c>
      <c r="R16" s="124"/>
    </row>
    <row r="17" spans="2:18" x14ac:dyDescent="0.25">
      <c r="B17" s="29"/>
      <c r="C17" s="30" t="s">
        <v>4060</v>
      </c>
      <c r="D17" s="118" t="str" cm="1">
        <f t="array" ref="D17">IF(AND(_xlfn.ANCHORARRAY(C23)=C23),C23,"Mixed")</f>
        <v>tonne</v>
      </c>
      <c r="E17" s="118" t="s">
        <v>219</v>
      </c>
      <c r="F17" s="118" t="str" cm="1">
        <f t="array" ref="F17">IF(AND(_xlfn.ANCHORARRAY(C23)=C23),C23,"Mixed")</f>
        <v>tonne</v>
      </c>
      <c r="G17" s="119" t="s">
        <v>219</v>
      </c>
      <c r="K17" s="122"/>
      <c r="R17" s="124"/>
    </row>
    <row r="18" spans="2:18" s="14" customFormat="1" x14ac:dyDescent="0.25">
      <c r="B18" s="31"/>
      <c r="C18" s="4" t="s">
        <v>4061</v>
      </c>
      <c r="D18" s="96">
        <f>MAX(_xlfn.ANCHORARRAY(D23))+($L$7*1000)</f>
        <v>30460</v>
      </c>
      <c r="E18" s="96">
        <f>MAX(_xlfn.ANCHORARRAY(E23))+$L$7</f>
        <v>30.46</v>
      </c>
      <c r="F18" s="96">
        <f t="shared" ref="F18:G18" si="0">MAX(_xlfn.ANCHORARRAY(F23))</f>
        <v>0</v>
      </c>
      <c r="G18" s="121">
        <f t="shared" si="0"/>
        <v>0</v>
      </c>
      <c r="H18"/>
      <c r="I18"/>
      <c r="K18" s="133" t="s">
        <v>4300</v>
      </c>
      <c r="L18" s="14" t="s">
        <v>4292</v>
      </c>
      <c r="M18" s="14" t="s">
        <v>4301</v>
      </c>
      <c r="N18" s="14">
        <v>17.670000000000002</v>
      </c>
      <c r="O18"/>
      <c r="P18"/>
      <c r="R18" s="132"/>
    </row>
    <row r="19" spans="2:18" x14ac:dyDescent="0.25">
      <c r="C19" s="4" t="s">
        <v>4062</v>
      </c>
      <c r="D19" s="96">
        <f>MIN(_xlfn.ANCHORARRAY(D23))+($L$7*1000)</f>
        <v>5154.1500000000005</v>
      </c>
      <c r="E19" s="96">
        <f>MIN(_xlfn.ANCHORARRAY(E23))+$L$7</f>
        <v>5.1541500000000005</v>
      </c>
      <c r="F19" s="96">
        <f t="shared" ref="F19:G19" si="1">MIN(_xlfn.ANCHORARRAY(F23))</f>
        <v>0</v>
      </c>
      <c r="G19" s="121">
        <f t="shared" si="1"/>
        <v>0</v>
      </c>
      <c r="K19" s="122" t="s">
        <v>4300</v>
      </c>
      <c r="L19" t="s">
        <v>4293</v>
      </c>
      <c r="M19" t="s">
        <v>191</v>
      </c>
      <c r="N19">
        <v>18.600000000000001</v>
      </c>
      <c r="O19" s="13">
        <f>N19/$N$18</f>
        <v>1.0526315789473684</v>
      </c>
      <c r="P19">
        <f>N19-$N$18</f>
        <v>0.92999999999999972</v>
      </c>
      <c r="R19" s="124" t="s">
        <v>4302</v>
      </c>
    </row>
    <row r="20" spans="2:18" x14ac:dyDescent="0.25">
      <c r="C20" s="35" t="s">
        <v>4117</v>
      </c>
      <c r="D20" s="162">
        <f>SUMPRODUCT($K$52:$K$54,K57:K59)</f>
        <v>18229.677663043476</v>
      </c>
      <c r="E20" s="162">
        <f>SUMPRODUCT($K$52:$K$54,L57:L59)</f>
        <v>18.229677663043478</v>
      </c>
      <c r="F20" s="162">
        <v>0</v>
      </c>
      <c r="G20" s="168">
        <v>0</v>
      </c>
      <c r="K20" s="122" t="s">
        <v>4300</v>
      </c>
      <c r="L20" t="s">
        <v>4295</v>
      </c>
      <c r="M20" t="s">
        <v>191</v>
      </c>
      <c r="N20">
        <v>18.5</v>
      </c>
      <c r="O20" s="13">
        <f>N20/$N$18</f>
        <v>1.0469722693831351</v>
      </c>
      <c r="P20">
        <f>N20-$N$18</f>
        <v>0.82999999999999829</v>
      </c>
      <c r="R20" s="124" t="s">
        <v>4303</v>
      </c>
    </row>
    <row r="21" spans="2:18" x14ac:dyDescent="0.25">
      <c r="C21" s="4" t="s">
        <v>4063</v>
      </c>
      <c r="D21" s="162">
        <f>AVERAGE(_xlfn.ANCHORARRAY(D23))</f>
        <v>15281.611818181816</v>
      </c>
      <c r="E21" s="162">
        <f t="shared" ref="E21:G21" si="2">AVERAGE(_xlfn.ANCHORARRAY(E23))</f>
        <v>15.281611818181819</v>
      </c>
      <c r="F21" s="162">
        <f t="shared" si="2"/>
        <v>0</v>
      </c>
      <c r="G21" s="168">
        <f t="shared" si="2"/>
        <v>0</v>
      </c>
      <c r="K21" s="122"/>
      <c r="R21" s="124"/>
    </row>
    <row r="22" spans="2:18" x14ac:dyDescent="0.25">
      <c r="B22" s="32" t="s">
        <v>4064</v>
      </c>
      <c r="D22"/>
      <c r="E22"/>
      <c r="F22"/>
      <c r="G22" s="124"/>
      <c r="K22" s="122" t="s">
        <v>4304</v>
      </c>
      <c r="L22" t="s">
        <v>4292</v>
      </c>
      <c r="M22" t="s">
        <v>191</v>
      </c>
      <c r="N22">
        <v>11.7</v>
      </c>
      <c r="R22" s="124"/>
    </row>
    <row r="23" spans="2:18" x14ac:dyDescent="0.25">
      <c r="B23" s="122" t="str" cm="1">
        <f t="array" ref="B23:B44">_xlfn.UNIQUE(_xlfn._xlws.FILTER('EPD List'!D:D,ISNUMBER(SEARCH(B16,'EPD List'!C:C)),0))</f>
        <v>Aluminium, China, Hyperion Aluminium Profiles manufactured in China  (Envirobuild) (China)</v>
      </c>
      <c r="C23" t="str" cm="1">
        <f t="array" ref="C23:C44">_xlfn.IFNA(INDEX('EPD List'!$A:$AB,MATCH(_xlfn.ANCHORARRAY(B23),'EPD List'!$D:$D,0),MATCH(C$16,'EPD List'!$7:$7,0)),"")</f>
        <v>tonne</v>
      </c>
      <c r="D23" s="96" cm="1">
        <f t="array" ref="D23:D44">_xlfn.IFNA(VALUE((INDEX('EPD List'!$A:$AD,MATCH(_xlfn.ANCHORARRAY($B23),'EPD List'!$D:$D,0),MATCH(D$16,'EPD List'!$7:$7,0)))),"")+($L$7*1000)</f>
        <v>23292</v>
      </c>
      <c r="E23" s="96" cm="1">
        <f t="array" ref="E23:E44">IFERROR(VALUE((INDEX('EPD List'!$A:$AD,MATCH(_xlfn.ANCHORARRAY($B23),'EPD List'!$D:$D,0),MATCH(E$16,'EPD List'!$7:$7,0)))),"")+$L$7</f>
        <v>23.292000000000002</v>
      </c>
      <c r="F23" s="96" cm="1">
        <f t="array" ref="F23:F44">_xlfn.IFNA(VALUE((INDEX('EPD List'!$A:$AD,MATCH(_xlfn.ANCHORARRAY($B23),'EPD List'!$D:$D,0),MATCH(F$16,'EPD List'!$7:$7,0)))),"")</f>
        <v>0</v>
      </c>
      <c r="G23" s="121" cm="1">
        <f t="array" ref="G23:G44">IFERROR(VALUE((INDEX('EPD List'!$A:$AD,MATCH(_xlfn.ANCHORARRAY($B23),'EPD List'!$D:$D,0),MATCH(G$16,'EPD List'!$7:$7,0)))),"")</f>
        <v>0</v>
      </c>
      <c r="K23" s="122" t="s">
        <v>4304</v>
      </c>
      <c r="L23" t="s">
        <v>4293</v>
      </c>
      <c r="M23" t="s">
        <v>191</v>
      </c>
      <c r="N23">
        <v>13.6</v>
      </c>
      <c r="O23" s="13">
        <f>N23/$N$22</f>
        <v>1.1623931623931625</v>
      </c>
      <c r="P23">
        <f>N23-$N$22</f>
        <v>1.9000000000000004</v>
      </c>
      <c r="R23" s="124"/>
    </row>
    <row r="24" spans="2:18" x14ac:dyDescent="0.25">
      <c r="B24" s="122" t="str">
        <v>Aluminium, China, Extruded aluminium out of China (Jiangyin Jianbang) (China)</v>
      </c>
      <c r="C24" t="str">
        <v>tonne</v>
      </c>
      <c r="D24" s="96">
        <v>25491.3</v>
      </c>
      <c r="E24" s="96">
        <v>25.491300000000003</v>
      </c>
      <c r="F24" s="96">
        <v>0</v>
      </c>
      <c r="G24" s="121">
        <v>0</v>
      </c>
      <c r="K24" s="122" t="s">
        <v>4304</v>
      </c>
      <c r="L24" t="s">
        <v>4295</v>
      </c>
      <c r="M24" t="s">
        <v>191</v>
      </c>
      <c r="N24">
        <v>12.1</v>
      </c>
      <c r="O24" s="13">
        <f>N24/$N$22</f>
        <v>1.0341880341880343</v>
      </c>
      <c r="P24">
        <f>N24-$N$22</f>
        <v>0.40000000000000036</v>
      </c>
      <c r="R24" s="124"/>
    </row>
    <row r="25" spans="2:18" x14ac:dyDescent="0.25">
      <c r="B25" s="122" t="str">
        <v>Aluminium, China, Thermal break aluminium profile out of China (Jiangyin Jianbang) (China)</v>
      </c>
      <c r="C25" t="str">
        <v>tonne</v>
      </c>
      <c r="D25" s="96">
        <v>25790.2</v>
      </c>
      <c r="E25" s="96">
        <v>25.790199999999999</v>
      </c>
      <c r="F25" s="96">
        <v>0</v>
      </c>
      <c r="G25" s="121">
        <v>0</v>
      </c>
      <c r="K25" s="122"/>
      <c r="R25" s="124"/>
    </row>
    <row r="26" spans="2:18" x14ac:dyDescent="0.25">
      <c r="B26" s="122" t="str">
        <v>Aluminium, Global, Hydro recycled low carbon aluminium profiles (Hydro) (Europe)</v>
      </c>
      <c r="C26" t="str">
        <v>tonne</v>
      </c>
      <c r="D26" s="96">
        <v>4497.54</v>
      </c>
      <c r="E26" s="96">
        <v>4.4975400000000008</v>
      </c>
      <c r="F26" s="96">
        <v>0</v>
      </c>
      <c r="G26" s="121">
        <v>0</v>
      </c>
      <c r="K26" s="122" t="s">
        <v>4305</v>
      </c>
      <c r="L26" t="s">
        <v>4292</v>
      </c>
      <c r="M26" t="s">
        <v>191</v>
      </c>
      <c r="N26">
        <v>13.9</v>
      </c>
      <c r="R26" s="124"/>
    </row>
    <row r="27" spans="2:18" x14ac:dyDescent="0.25">
      <c r="B27" s="122" t="str">
        <v>Aluminium, Global, Extruded aluminium profile 70% recycled aluminium out of Greece (Sanlev) (Greece)</v>
      </c>
      <c r="C27" t="str">
        <v>tonne</v>
      </c>
      <c r="D27" s="96">
        <v>9866.2000000000007</v>
      </c>
      <c r="E27" s="96">
        <v>9.8661999999999992</v>
      </c>
      <c r="F27" s="96">
        <v>0</v>
      </c>
      <c r="G27" s="121">
        <v>0</v>
      </c>
      <c r="K27" s="122" t="s">
        <v>4305</v>
      </c>
      <c r="L27" t="s">
        <v>4293</v>
      </c>
      <c r="M27" t="s">
        <v>191</v>
      </c>
      <c r="N27">
        <v>15.2</v>
      </c>
      <c r="O27" s="13">
        <f>N27/$N$26</f>
        <v>1.093525179856115</v>
      </c>
      <c r="P27">
        <f>N27-$N$26</f>
        <v>1.2999999999999989</v>
      </c>
      <c r="R27" s="124"/>
    </row>
    <row r="28" spans="2:18" x14ac:dyDescent="0.25">
      <c r="B28" s="122" t="str">
        <v>Aluminium, Global, Primary aluminium out of India (Vedanta) (India)</v>
      </c>
      <c r="C28" t="str">
        <v>tonne</v>
      </c>
      <c r="D28" s="96">
        <v>25437.57</v>
      </c>
      <c r="E28" s="96">
        <v>25.437570000000001</v>
      </c>
      <c r="F28" s="96">
        <v>0</v>
      </c>
      <c r="G28" s="121">
        <v>0</v>
      </c>
      <c r="K28" s="122" t="s">
        <v>4305</v>
      </c>
      <c r="L28" t="s">
        <v>4295</v>
      </c>
      <c r="M28" t="s">
        <v>191</v>
      </c>
      <c r="N28">
        <v>14.3</v>
      </c>
      <c r="O28" s="13">
        <f>N28/$N$26</f>
        <v>1.0287769784172662</v>
      </c>
      <c r="P28">
        <f>N28-$N$26</f>
        <v>0.40000000000000036</v>
      </c>
      <c r="R28" s="124"/>
    </row>
    <row r="29" spans="2:18" x14ac:dyDescent="0.25">
      <c r="B29" s="122" t="str">
        <v>Aluminium, China, CNA-CNA-CNA (China) extruded aluminium (Industry wide) (China)</v>
      </c>
      <c r="C29" t="str">
        <v>tonne</v>
      </c>
      <c r="D29" s="96">
        <v>22571.300000000003</v>
      </c>
      <c r="E29" s="96">
        <v>22.571300000000001</v>
      </c>
      <c r="F29" s="96">
        <v>0</v>
      </c>
      <c r="G29" s="121">
        <v>0</v>
      </c>
      <c r="K29" s="122"/>
      <c r="R29" s="124"/>
    </row>
    <row r="30" spans="2:18" x14ac:dyDescent="0.25">
      <c r="B30" s="122" t="str">
        <v>Aluminium, Global, OCA-OCA-GCC scenario (Oceania &gt; Gulf cooperation council) extruded aluminium (Industry wide) (Oceania)</v>
      </c>
      <c r="C30" t="str">
        <v>tonne</v>
      </c>
      <c r="D30" s="96">
        <v>13571.300000000001</v>
      </c>
      <c r="E30" s="96">
        <v>13.571300000000001</v>
      </c>
      <c r="F30" s="96">
        <v>0</v>
      </c>
      <c r="G30" s="121">
        <v>0</v>
      </c>
      <c r="K30" s="122" t="s">
        <v>4306</v>
      </c>
      <c r="L30" t="s">
        <v>4292</v>
      </c>
      <c r="M30" t="s">
        <v>191</v>
      </c>
      <c r="N30">
        <v>19.100000000000001</v>
      </c>
      <c r="R30" s="124"/>
    </row>
    <row r="31" spans="2:18" x14ac:dyDescent="0.25">
      <c r="B31" s="122" t="str">
        <v>Aluminium, Global, AFR-EUR-EUR scenario (Africa &gt; Europe) extruded aluminium (Industry wide) (Africa)</v>
      </c>
      <c r="C31" t="str">
        <v>tonne</v>
      </c>
      <c r="D31" s="96">
        <v>9671.3000000000011</v>
      </c>
      <c r="E31" s="96">
        <v>9.6713000000000005</v>
      </c>
      <c r="F31" s="96">
        <v>0</v>
      </c>
      <c r="G31" s="121">
        <v>0</v>
      </c>
      <c r="K31" s="122" t="s">
        <v>4306</v>
      </c>
      <c r="L31" t="s">
        <v>4293</v>
      </c>
      <c r="M31" t="s">
        <v>191</v>
      </c>
      <c r="N31">
        <v>20.100000000000001</v>
      </c>
      <c r="O31" s="13">
        <f>N31/$N$30</f>
        <v>1.0523560209424083</v>
      </c>
      <c r="P31">
        <f>N31-$N$30</f>
        <v>1</v>
      </c>
      <c r="R31" s="124"/>
    </row>
    <row r="32" spans="2:18" x14ac:dyDescent="0.25">
      <c r="B32" s="122" t="str">
        <v>Aluminium, Global, SAM-SAM-CAN scenario (South America &gt; Canada) extruded aluminium (Industry wide) (South America)</v>
      </c>
      <c r="C32" t="str">
        <v>tonne</v>
      </c>
      <c r="D32" s="96">
        <v>7671.3</v>
      </c>
      <c r="E32" s="96">
        <v>7.6713000000000005</v>
      </c>
      <c r="F32" s="96">
        <v>0</v>
      </c>
      <c r="G32" s="121">
        <v>0</v>
      </c>
      <c r="K32" s="122" t="s">
        <v>4306</v>
      </c>
      <c r="L32" t="s">
        <v>4295</v>
      </c>
      <c r="M32" t="s">
        <v>191</v>
      </c>
      <c r="N32">
        <v>19.7</v>
      </c>
      <c r="O32" s="13">
        <f>N32/$N$30</f>
        <v>1.0314136125654449</v>
      </c>
      <c r="P32">
        <f>N32-$N$30</f>
        <v>0.59999999999999787</v>
      </c>
      <c r="R32" s="124"/>
    </row>
    <row r="33" spans="2:18" x14ac:dyDescent="0.25">
      <c r="B33" s="122" t="str">
        <v>Aluminium, Australia, Proxy for Australia using oceania value extruded aluminium (Industry wide) (Australia)</v>
      </c>
      <c r="C33" t="str">
        <v>tonne</v>
      </c>
      <c r="D33" s="96">
        <v>13571.300000000001</v>
      </c>
      <c r="E33" s="96">
        <v>13.571300000000001</v>
      </c>
      <c r="F33" s="96">
        <v>0</v>
      </c>
      <c r="G33" s="121">
        <v>0</v>
      </c>
      <c r="K33" s="122"/>
      <c r="R33" s="124"/>
    </row>
    <row r="34" spans="2:18" x14ac:dyDescent="0.25">
      <c r="B34" s="122" t="str">
        <v>Aluminium, Extruded, Extruded aluminium and extruded thermal break extruded aluminium (Galuminium) (China)</v>
      </c>
      <c r="C34" t="str">
        <v>tonne</v>
      </c>
      <c r="D34" s="96">
        <v>29630</v>
      </c>
      <c r="E34" s="96">
        <v>29.630000000000003</v>
      </c>
      <c r="F34" s="96">
        <v>0</v>
      </c>
      <c r="G34" s="121">
        <v>0</v>
      </c>
      <c r="K34" s="122" t="s">
        <v>4307</v>
      </c>
      <c r="L34" t="s">
        <v>4308</v>
      </c>
      <c r="M34" t="s">
        <v>4301</v>
      </c>
      <c r="N34">
        <v>7.4304000000000006</v>
      </c>
      <c r="R34" s="124"/>
    </row>
    <row r="35" spans="2:18" x14ac:dyDescent="0.25">
      <c r="B35" s="122" t="str">
        <v>Aluminium, Global, Hydro recycled low carbon aluminium profiles - UK (Hydro) (UK)</v>
      </c>
      <c r="C35" t="str">
        <v>tonne</v>
      </c>
      <c r="D35" s="96">
        <v>4324.1500000000005</v>
      </c>
      <c r="E35" s="96">
        <v>4.3241500000000004</v>
      </c>
      <c r="F35" s="96">
        <v>0</v>
      </c>
      <c r="G35" s="121">
        <v>0</v>
      </c>
      <c r="K35" s="122" t="s">
        <v>4307</v>
      </c>
      <c r="L35" t="s">
        <v>4309</v>
      </c>
      <c r="M35" t="s">
        <v>191</v>
      </c>
      <c r="N35">
        <v>8.64</v>
      </c>
      <c r="O35" s="13">
        <f>N35/$N$34</f>
        <v>1.1627906976744187</v>
      </c>
      <c r="P35">
        <f>N35-$N$34</f>
        <v>1.2096</v>
      </c>
      <c r="R35" s="124" t="s">
        <v>4310</v>
      </c>
    </row>
    <row r="36" spans="2:18" x14ac:dyDescent="0.25">
      <c r="B36" s="122" t="str">
        <v>Aluminium, Extruded, Extruded aluminium (uncoated) (Sistem) (Turkey)</v>
      </c>
      <c r="C36" t="str">
        <v>tonne</v>
      </c>
      <c r="D36" s="96">
        <v>13730</v>
      </c>
      <c r="E36" s="96">
        <v>13.73</v>
      </c>
      <c r="F36" s="96">
        <v>0</v>
      </c>
      <c r="G36" s="121">
        <v>0</v>
      </c>
      <c r="K36" s="122" t="s">
        <v>4307</v>
      </c>
      <c r="L36" t="s">
        <v>4311</v>
      </c>
      <c r="M36" t="s">
        <v>191</v>
      </c>
      <c r="N36">
        <v>7.84</v>
      </c>
      <c r="O36" s="13">
        <f>N36/$N$34</f>
        <v>1.0551248923341945</v>
      </c>
      <c r="P36">
        <f>N36-$N$34</f>
        <v>0.4095999999999993</v>
      </c>
      <c r="R36" s="124" t="s">
        <v>4312</v>
      </c>
    </row>
    <row r="37" spans="2:18" x14ac:dyDescent="0.25">
      <c r="B37" s="122" t="str">
        <v>Aluminium, Extruded, Extruded aluminium (uncoated) (Kurtoglu) (Turkey)</v>
      </c>
      <c r="C37" t="str">
        <v>tonne</v>
      </c>
      <c r="D37" s="96">
        <v>6000</v>
      </c>
      <c r="E37" s="96">
        <v>6</v>
      </c>
      <c r="F37" s="96">
        <v>0</v>
      </c>
      <c r="G37" s="121">
        <v>0</v>
      </c>
      <c r="K37" s="122"/>
      <c r="R37" s="124"/>
    </row>
    <row r="38" spans="2:18" x14ac:dyDescent="0.25">
      <c r="B38" s="122" t="str">
        <v>Aluminium, Extruded, Extruded aluminium (uncoated) (Muskita) (Global)</v>
      </c>
      <c r="C38" t="str">
        <v>tonne</v>
      </c>
      <c r="D38" s="96">
        <v>18500</v>
      </c>
      <c r="E38" s="96">
        <v>18.5</v>
      </c>
      <c r="F38" s="96">
        <v>0</v>
      </c>
      <c r="G38" s="121">
        <v>0</v>
      </c>
      <c r="K38" s="122" t="s">
        <v>4313</v>
      </c>
      <c r="L38" t="s">
        <v>4292</v>
      </c>
      <c r="M38" t="s">
        <v>191</v>
      </c>
      <c r="N38">
        <v>9.8699999999999992</v>
      </c>
      <c r="R38" s="124"/>
    </row>
    <row r="39" spans="2:18" x14ac:dyDescent="0.25">
      <c r="B39" s="122" t="str">
        <v>Aluminium, Extruded, Extruded aluminium (uncoated) (Burak) (Turkey)</v>
      </c>
      <c r="C39" t="str">
        <v>tonne</v>
      </c>
      <c r="D39" s="96">
        <v>12530</v>
      </c>
      <c r="E39" s="96">
        <v>12.53</v>
      </c>
      <c r="F39" s="96">
        <v>0</v>
      </c>
      <c r="G39" s="121">
        <v>0</v>
      </c>
      <c r="K39" s="122" t="s">
        <v>4313</v>
      </c>
      <c r="L39" t="s">
        <v>4293</v>
      </c>
      <c r="M39" t="s">
        <v>191</v>
      </c>
      <c r="N39">
        <v>9.91</v>
      </c>
      <c r="O39" s="13">
        <f>N39/$N$38</f>
        <v>1.0040526849037488</v>
      </c>
      <c r="P39">
        <f>N39-$N$38</f>
        <v>4.0000000000000924E-2</v>
      </c>
      <c r="R39" s="124"/>
    </row>
    <row r="40" spans="2:18" x14ac:dyDescent="0.25">
      <c r="B40" s="122" t="str">
        <v>Aluminium, Extruded, Extruded aluminium (uncoated) (ASAS) (Turkey)</v>
      </c>
      <c r="C40" t="str">
        <v>tonne</v>
      </c>
      <c r="D40" s="96">
        <v>14730</v>
      </c>
      <c r="E40" s="96">
        <v>14.73</v>
      </c>
      <c r="F40" s="96">
        <v>0</v>
      </c>
      <c r="G40" s="121">
        <v>0</v>
      </c>
      <c r="K40" s="122" t="s">
        <v>4313</v>
      </c>
      <c r="L40" t="s">
        <v>4295</v>
      </c>
      <c r="M40" t="s">
        <v>191</v>
      </c>
      <c r="N40">
        <v>10</v>
      </c>
      <c r="O40" s="13">
        <f>N40/$N$38</f>
        <v>1.0131712259371835</v>
      </c>
      <c r="P40">
        <f>N40-$N$38</f>
        <v>0.13000000000000078</v>
      </c>
      <c r="R40" s="124"/>
    </row>
    <row r="41" spans="2:18" x14ac:dyDescent="0.25">
      <c r="B41" s="122" t="str">
        <v>Aluminium, Extruded, Extruded aluminium (uncoated) (Tuna Aluminium) (Global)</v>
      </c>
      <c r="C41" t="str">
        <v>tonne</v>
      </c>
      <c r="D41" s="96">
        <v>19930</v>
      </c>
      <c r="E41" s="96">
        <v>19.93</v>
      </c>
      <c r="F41" s="96">
        <v>0</v>
      </c>
      <c r="G41" s="121">
        <v>0</v>
      </c>
      <c r="K41" s="122"/>
      <c r="R41" s="124"/>
    </row>
    <row r="42" spans="2:18" x14ac:dyDescent="0.25">
      <c r="B42" s="122" t="str">
        <v>Aluminium, Extruded, Extruded aluminium (uncoated) (Spanish Aluminium Association) (Spanish)</v>
      </c>
      <c r="C42" t="str">
        <v>tonne</v>
      </c>
      <c r="D42" s="96">
        <v>8260</v>
      </c>
      <c r="E42" s="96">
        <v>8.26</v>
      </c>
      <c r="F42" s="96">
        <v>0</v>
      </c>
      <c r="G42" s="121">
        <v>0</v>
      </c>
      <c r="K42" s="122" t="s">
        <v>4314</v>
      </c>
      <c r="L42" t="s">
        <v>4292</v>
      </c>
      <c r="M42" t="s">
        <v>191</v>
      </c>
      <c r="N42">
        <v>15.6</v>
      </c>
      <c r="R42" s="124"/>
    </row>
    <row r="43" spans="2:18" x14ac:dyDescent="0.25">
      <c r="B43" s="122" t="str">
        <v>Aluminium, Extruded, Extruded aluminium (uncoated) (Saray) (Turkey)</v>
      </c>
      <c r="C43" t="str">
        <v>tonne</v>
      </c>
      <c r="D43" s="96">
        <v>10700</v>
      </c>
      <c r="E43" s="96">
        <v>10.7</v>
      </c>
      <c r="F43" s="96">
        <v>0</v>
      </c>
      <c r="G43" s="121">
        <v>0</v>
      </c>
      <c r="K43" s="122" t="s">
        <v>4314</v>
      </c>
      <c r="L43" t="s">
        <v>4293</v>
      </c>
      <c r="M43" t="s">
        <v>191</v>
      </c>
      <c r="N43">
        <v>17.399999999999999</v>
      </c>
      <c r="O43" s="13">
        <f>N43/$N$42</f>
        <v>1.1153846153846154</v>
      </c>
      <c r="P43">
        <f>N43-$N$42</f>
        <v>1.7999999999999989</v>
      </c>
      <c r="R43" s="124"/>
    </row>
    <row r="44" spans="2:18" x14ac:dyDescent="0.25">
      <c r="B44" s="122" t="str">
        <v>Aluminium, Extruded, Extruded aluminium (uncoated) (Al Taiseer) (Saudi Arabia)</v>
      </c>
      <c r="C44" t="str">
        <v>tonne</v>
      </c>
      <c r="D44" s="96">
        <v>16430</v>
      </c>
      <c r="E44" s="96">
        <v>16.43</v>
      </c>
      <c r="F44" s="96">
        <v>0</v>
      </c>
      <c r="G44" s="121">
        <v>0</v>
      </c>
      <c r="K44" s="125" t="s">
        <v>4314</v>
      </c>
      <c r="L44" s="126" t="s">
        <v>4295</v>
      </c>
      <c r="M44" s="126" t="s">
        <v>191</v>
      </c>
      <c r="N44" s="126">
        <v>16.3</v>
      </c>
      <c r="O44" s="13">
        <f>N44/$N$42</f>
        <v>1.0448717948717949</v>
      </c>
      <c r="P44">
        <f>N44-$N$42</f>
        <v>0.70000000000000107</v>
      </c>
      <c r="Q44" s="126"/>
      <c r="R44" s="142"/>
    </row>
    <row r="46" spans="2:18" x14ac:dyDescent="0.25">
      <c r="K46">
        <v>1.51</v>
      </c>
      <c r="L46" t="s">
        <v>4109</v>
      </c>
      <c r="M46" t="s">
        <v>4265</v>
      </c>
      <c r="N46" t="s">
        <v>4266</v>
      </c>
      <c r="O46" t="s">
        <v>4267</v>
      </c>
    </row>
    <row r="47" spans="2:18" x14ac:dyDescent="0.25">
      <c r="K47">
        <v>1.42</v>
      </c>
      <c r="L47" t="s">
        <v>4109</v>
      </c>
      <c r="M47" t="s">
        <v>4269</v>
      </c>
      <c r="N47" t="s">
        <v>4266</v>
      </c>
      <c r="O47" t="s">
        <v>4267</v>
      </c>
    </row>
    <row r="48" spans="2:18" x14ac:dyDescent="0.25">
      <c r="K48">
        <v>0.73799999999999999</v>
      </c>
      <c r="L48" t="s">
        <v>4109</v>
      </c>
      <c r="M48" t="s">
        <v>4270</v>
      </c>
      <c r="N48" t="s">
        <v>4266</v>
      </c>
      <c r="O48" t="s">
        <v>4267</v>
      </c>
    </row>
    <row r="50" spans="11:15" x14ac:dyDescent="0.25">
      <c r="K50">
        <f>K46-K47</f>
        <v>9.000000000000008E-2</v>
      </c>
      <c r="L50" t="s">
        <v>4109</v>
      </c>
      <c r="M50" t="s">
        <v>4272</v>
      </c>
      <c r="O50" t="s">
        <v>4273</v>
      </c>
    </row>
    <row r="51" spans="11:15" x14ac:dyDescent="0.25">
      <c r="K51" s="208">
        <f>K48</f>
        <v>0.73799999999999999</v>
      </c>
      <c r="L51" t="s">
        <v>4109</v>
      </c>
      <c r="M51" s="208" t="s">
        <v>4274</v>
      </c>
      <c r="N51" s="208"/>
      <c r="O51" t="s">
        <v>4273</v>
      </c>
    </row>
    <row r="52" spans="11:15" x14ac:dyDescent="0.25">
      <c r="K52" s="207">
        <f>K50/(SUM($K$50:$K$51))</f>
        <v>0.10869565217391314</v>
      </c>
      <c r="M52" t="s">
        <v>4272</v>
      </c>
      <c r="O52" t="s">
        <v>4273</v>
      </c>
    </row>
    <row r="53" spans="11:15" x14ac:dyDescent="0.25">
      <c r="K53" s="207">
        <f>K51/(SUM($K$50:$K$51))*0.5</f>
        <v>0.44565217391304346</v>
      </c>
      <c r="M53" s="208" t="s">
        <v>4274</v>
      </c>
      <c r="N53" s="208" t="s">
        <v>4275</v>
      </c>
      <c r="O53" t="s">
        <v>4273</v>
      </c>
    </row>
    <row r="54" spans="11:15" x14ac:dyDescent="0.25">
      <c r="K54" s="207">
        <f>K51/(SUM($K$50:$K$51))*0.5</f>
        <v>0.44565217391304346</v>
      </c>
      <c r="M54" t="s">
        <v>4276</v>
      </c>
      <c r="N54" s="208" t="s">
        <v>4275</v>
      </c>
    </row>
    <row r="56" spans="11:15" ht="26.4" x14ac:dyDescent="0.25">
      <c r="K56" s="75" t="s">
        <v>4159</v>
      </c>
      <c r="L56" s="75" t="s">
        <v>148</v>
      </c>
      <c r="O56" s="14"/>
    </row>
    <row r="57" spans="11:15" x14ac:dyDescent="0.25">
      <c r="K57">
        <f>$M62/$O62</f>
        <v>13571.300000000001</v>
      </c>
      <c r="L57">
        <f>$N62/$O62</f>
        <v>13.571300000000001</v>
      </c>
      <c r="M57" s="14" t="s">
        <v>4114</v>
      </c>
      <c r="N57" s="14"/>
      <c r="O57" s="14"/>
    </row>
    <row r="58" spans="11:15" x14ac:dyDescent="0.25">
      <c r="K58">
        <f>$M63/$O63</f>
        <v>12240.584999999999</v>
      </c>
      <c r="L58">
        <f t="shared" ref="L58:L59" si="3">$N63/$O63</f>
        <v>12.240585000000001</v>
      </c>
      <c r="M58" s="208" t="s">
        <v>4277</v>
      </c>
      <c r="N58" t="s">
        <v>4278</v>
      </c>
      <c r="O58" t="s">
        <v>4279</v>
      </c>
    </row>
    <row r="59" spans="11:15" x14ac:dyDescent="0.25">
      <c r="K59">
        <f>$M64/$O64</f>
        <v>25354.959999999999</v>
      </c>
      <c r="L59">
        <f t="shared" si="3"/>
        <v>25.354959999999998</v>
      </c>
      <c r="M59" t="s">
        <v>4280</v>
      </c>
      <c r="N59" t="s">
        <v>4281</v>
      </c>
      <c r="O59" t="s">
        <v>4279</v>
      </c>
    </row>
    <row r="61" spans="11:15" x14ac:dyDescent="0.25">
      <c r="M61" t="s">
        <v>4283</v>
      </c>
      <c r="N61" t="s">
        <v>4284</v>
      </c>
      <c r="O61" t="s">
        <v>4285</v>
      </c>
    </row>
    <row r="62" spans="11:15" x14ac:dyDescent="0.25">
      <c r="M62">
        <f>SUMIFS(_xlfn.ANCHORARRAY($D$23),_xlfn.ANCHORARRAY($B$23),"*"&amp;"Australia"&amp;"*")</f>
        <v>13571.300000000001</v>
      </c>
      <c r="N62">
        <f>SUMIFS(_xlfn.ANCHORARRAY(E$23),_xlfn.ANCHORARRAY($B$23),"*"&amp;"Australia"&amp;"*")</f>
        <v>13.571300000000001</v>
      </c>
      <c r="O62">
        <f>COUNTIFS(_xlfn.ANCHORARRAY($B$23),"*"&amp;"Australia"&amp;"*")</f>
        <v>1</v>
      </c>
    </row>
    <row r="63" spans="11:15" x14ac:dyDescent="0.25">
      <c r="M63" s="96">
        <f>SUM(_xlfn.ANCHORARRAY(D23))-M62-M64</f>
        <v>195849.36</v>
      </c>
      <c r="N63" s="96">
        <f>SUM(_xlfn.ANCHORARRAY(E$23))-N62-N64</f>
        <v>195.84936000000002</v>
      </c>
      <c r="O63">
        <f>COUNT(_xlfn.ANCHORARRAY(E23))-O62-O64</f>
        <v>16</v>
      </c>
    </row>
    <row r="64" spans="11:15" x14ac:dyDescent="0.25">
      <c r="M64">
        <f>SUMIFS(_xlfn.ANCHORARRAY($D$23),_xlfn.ANCHORARRAY($B$23),"*"&amp;"China"&amp;"*")</f>
        <v>126774.8</v>
      </c>
      <c r="N64">
        <f>SUMIFS(_xlfn.ANCHORARRAY(E$23),_xlfn.ANCHORARRAY($B$23),"*"&amp;"China"&amp;"*")</f>
        <v>126.7748</v>
      </c>
      <c r="O64">
        <f>COUNTIFS(_xlfn.ANCHORARRAY($B$23),"*"&amp;"China"&amp;"*")</f>
        <v>5</v>
      </c>
    </row>
    <row r="90" spans="9:9" x14ac:dyDescent="0.25">
      <c r="I90" s="96"/>
    </row>
    <row r="166" spans="2:7" x14ac:dyDescent="0.25">
      <c r="B166" s="125"/>
      <c r="C166" s="126"/>
      <c r="D166" s="127"/>
      <c r="E166" s="127"/>
      <c r="F166" s="127"/>
      <c r="G166" s="128"/>
    </row>
  </sheetData>
  <dataValidations count="1">
    <dataValidation type="list" allowBlank="1" showInputMessage="1" showErrorMessage="1" sqref="B6:B9" xr:uid="{E5EF5932-F5EB-4D8D-A0AA-9290B8097AED}">
      <formula1>"Tier 1,Tier 2,Tier 3,Tier 4"</formula1>
    </dataValidation>
  </dataValidations>
  <pageMargins left="0.7" right="0.7" top="0.75" bottom="0.75" header="0.3" footer="0.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19E098-2B56-44BD-A77C-598205CE3F0E}">
  <sheetPr codeName="Sheet104">
    <tabColor rgb="FF00CCFF"/>
  </sheetPr>
  <dimension ref="A1:R166"/>
  <sheetViews>
    <sheetView showGridLines="0" zoomScale="80" zoomScaleNormal="80" workbookViewId="0"/>
  </sheetViews>
  <sheetFormatPr defaultRowHeight="13.2" x14ac:dyDescent="0.25"/>
  <cols>
    <col min="1" max="1" width="26.109375" customWidth="1"/>
    <col min="2" max="2" width="128.88671875" style="122" customWidth="1"/>
    <col min="3" max="3" width="21" customWidth="1"/>
    <col min="4" max="6" width="19.88671875" style="96" customWidth="1"/>
    <col min="7" max="7" width="23.5546875" style="121" customWidth="1"/>
    <col min="8" max="8" width="14.44140625" customWidth="1"/>
    <col min="9" max="9" width="13.109375" customWidth="1"/>
    <col min="11" max="11" width="31.109375" customWidth="1"/>
    <col min="12" max="12" width="53.44140625" customWidth="1"/>
    <col min="13" max="13" width="42.5546875" customWidth="1"/>
    <col min="18" max="18" width="68.5546875" customWidth="1"/>
  </cols>
  <sheetData>
    <row r="1" spans="1:18" x14ac:dyDescent="0.25">
      <c r="A1" s="4" t="str" cm="1">
        <f t="array" aca="1" ref="A1" ca="1">MID(CELL("filename",A1),FIND("]",CELL("filename",A1))+1,255)</f>
        <v>Aluminium_extru_anodised</v>
      </c>
      <c r="B1"/>
      <c r="G1" s="96"/>
    </row>
    <row r="2" spans="1:18" x14ac:dyDescent="0.25">
      <c r="A2" s="4"/>
      <c r="B2"/>
      <c r="C2" s="4"/>
      <c r="G2" s="96"/>
    </row>
    <row r="3" spans="1:18" x14ac:dyDescent="0.25">
      <c r="A3" s="4" t="s">
        <v>4048</v>
      </c>
      <c r="B3" t="s">
        <v>4315</v>
      </c>
      <c r="G3" s="96"/>
    </row>
    <row r="4" spans="1:18" x14ac:dyDescent="0.25">
      <c r="A4" s="4"/>
      <c r="B4"/>
      <c r="G4" s="96"/>
    </row>
    <row r="5" spans="1:18" ht="92.25" customHeight="1" x14ac:dyDescent="0.25">
      <c r="A5" s="26" t="s">
        <v>4050</v>
      </c>
      <c r="B5" s="14" t="s">
        <v>4287</v>
      </c>
      <c r="D5" s="14"/>
      <c r="E5" s="43"/>
      <c r="G5" s="96"/>
    </row>
    <row r="6" spans="1:18" x14ac:dyDescent="0.25">
      <c r="A6" s="26" t="s">
        <v>4052</v>
      </c>
      <c r="B6" s="27" t="s">
        <v>69</v>
      </c>
      <c r="D6"/>
      <c r="G6" s="96"/>
      <c r="K6" s="129" t="s">
        <v>4288</v>
      </c>
      <c r="L6" s="67">
        <f>MAX(P10,P15,P19,P23,P27,P31,P35,P39,P43)</f>
        <v>1.9000000000000004</v>
      </c>
      <c r="M6" s="67"/>
      <c r="N6" s="67"/>
      <c r="O6" s="67"/>
      <c r="P6" s="67"/>
      <c r="Q6" s="67"/>
      <c r="R6" s="130"/>
    </row>
    <row r="7" spans="1:18" x14ac:dyDescent="0.25">
      <c r="A7" s="26" t="s">
        <v>4053</v>
      </c>
      <c r="B7" s="27" t="s">
        <v>69</v>
      </c>
      <c r="G7" s="96"/>
      <c r="K7" s="122" t="s">
        <v>4289</v>
      </c>
      <c r="L7">
        <f>MAX(P11,P16,P20,P24,P28,P32,P36,P40,P44)</f>
        <v>0.83000000000000007</v>
      </c>
      <c r="R7" s="124"/>
    </row>
    <row r="8" spans="1:18" x14ac:dyDescent="0.25">
      <c r="A8" s="26" t="s">
        <v>4054</v>
      </c>
      <c r="B8" s="27" t="s">
        <v>69</v>
      </c>
      <c r="G8" s="96"/>
      <c r="K8" s="122"/>
      <c r="N8" t="s">
        <v>4290</v>
      </c>
      <c r="R8" s="124"/>
    </row>
    <row r="9" spans="1:18" x14ac:dyDescent="0.25">
      <c r="A9" s="26" t="s">
        <v>4055</v>
      </c>
      <c r="B9" s="4" t="s">
        <v>69</v>
      </c>
      <c r="G9" s="96"/>
      <c r="K9" s="122" t="s">
        <v>4291</v>
      </c>
      <c r="L9" t="s">
        <v>4292</v>
      </c>
      <c r="M9" t="s">
        <v>191</v>
      </c>
      <c r="N9">
        <v>12.9</v>
      </c>
      <c r="R9" s="124"/>
    </row>
    <row r="10" spans="1:18" x14ac:dyDescent="0.25">
      <c r="A10" s="26"/>
      <c r="B10" s="4"/>
      <c r="G10" s="96"/>
      <c r="K10" s="122" t="s">
        <v>4291</v>
      </c>
      <c r="L10" t="s">
        <v>4293</v>
      </c>
      <c r="M10" t="s">
        <v>191</v>
      </c>
      <c r="N10">
        <v>13.7</v>
      </c>
      <c r="O10" s="13">
        <f>N10/$N$9</f>
        <v>1.0620155038759689</v>
      </c>
      <c r="P10">
        <f>N10-$N$9</f>
        <v>0.79999999999999893</v>
      </c>
      <c r="R10" s="124"/>
    </row>
    <row r="11" spans="1:18" x14ac:dyDescent="0.25">
      <c r="A11" s="26" t="s">
        <v>4056</v>
      </c>
      <c r="B11" s="14" t="s">
        <v>4316</v>
      </c>
      <c r="G11" s="96"/>
      <c r="K11" s="122" t="s">
        <v>4291</v>
      </c>
      <c r="L11" t="s">
        <v>4295</v>
      </c>
      <c r="M11" t="s">
        <v>191</v>
      </c>
      <c r="N11">
        <v>13.2</v>
      </c>
      <c r="O11" s="13">
        <f>N11/$N$9</f>
        <v>1.0232558139534882</v>
      </c>
      <c r="P11">
        <f>N11-$N$9</f>
        <v>0.29999999999999893</v>
      </c>
      <c r="R11" s="124"/>
    </row>
    <row r="12" spans="1:18" x14ac:dyDescent="0.25">
      <c r="A12" s="101"/>
      <c r="B12"/>
      <c r="G12" s="96"/>
      <c r="K12" s="122"/>
      <c r="R12" s="124"/>
    </row>
    <row r="13" spans="1:18" x14ac:dyDescent="0.25">
      <c r="A13" s="101"/>
      <c r="B13"/>
      <c r="G13" s="96"/>
      <c r="K13" s="122"/>
      <c r="R13" s="124"/>
    </row>
    <row r="14" spans="1:18" x14ac:dyDescent="0.25">
      <c r="A14" s="26" t="s">
        <v>4057</v>
      </c>
      <c r="B14"/>
      <c r="G14" s="96"/>
      <c r="K14" s="122" t="s">
        <v>4296</v>
      </c>
      <c r="L14" t="s">
        <v>4292</v>
      </c>
      <c r="M14" t="s">
        <v>4297</v>
      </c>
      <c r="N14">
        <v>5.17</v>
      </c>
      <c r="R14" s="124"/>
    </row>
    <row r="15" spans="1:18" x14ac:dyDescent="0.25">
      <c r="A15" s="26"/>
      <c r="B15"/>
      <c r="D15" s="112" t="s">
        <v>4058</v>
      </c>
      <c r="E15" s="113"/>
      <c r="F15" s="114" t="s">
        <v>4059</v>
      </c>
      <c r="G15" s="113"/>
      <c r="K15" s="122" t="s">
        <v>4296</v>
      </c>
      <c r="L15" t="s">
        <v>4293</v>
      </c>
      <c r="M15" t="s">
        <v>4298</v>
      </c>
      <c r="N15">
        <v>6.54</v>
      </c>
      <c r="O15" s="13">
        <f>N15/$N$14</f>
        <v>1.2649903288201161</v>
      </c>
      <c r="P15">
        <f>N15-$N$14</f>
        <v>1.37</v>
      </c>
      <c r="R15" s="124"/>
    </row>
    <row r="16" spans="1:18" ht="39.6" x14ac:dyDescent="0.25">
      <c r="B16" s="28" t="s">
        <v>4282</v>
      </c>
      <c r="C16" s="23" t="s">
        <v>23</v>
      </c>
      <c r="D16" s="24" t="s">
        <v>141</v>
      </c>
      <c r="E16" s="25" t="s">
        <v>148</v>
      </c>
      <c r="F16" s="24" t="s">
        <v>142</v>
      </c>
      <c r="G16" s="24" t="s">
        <v>149</v>
      </c>
      <c r="K16" s="122" t="s">
        <v>4296</v>
      </c>
      <c r="L16" t="s">
        <v>4295</v>
      </c>
      <c r="M16" t="s">
        <v>4299</v>
      </c>
      <c r="N16">
        <v>6</v>
      </c>
      <c r="O16" s="13">
        <f>N16/$N$14</f>
        <v>1.1605415860735009</v>
      </c>
      <c r="P16">
        <f>N16-$N$14</f>
        <v>0.83000000000000007</v>
      </c>
      <c r="R16" s="124"/>
    </row>
    <row r="17" spans="2:18" x14ac:dyDescent="0.25">
      <c r="B17" s="29"/>
      <c r="C17" s="30" t="s">
        <v>4060</v>
      </c>
      <c r="D17" s="118" t="str" cm="1">
        <f t="array" ref="D17">IF(AND(_xlfn.ANCHORARRAY(C23)=C23),C23,"Mixed")</f>
        <v>tonne</v>
      </c>
      <c r="E17" s="118" t="s">
        <v>219</v>
      </c>
      <c r="F17" s="118" t="str" cm="1">
        <f t="array" ref="F17">IF(AND(_xlfn.ANCHORARRAY(C23)=C23),C23,"Mixed")</f>
        <v>tonne</v>
      </c>
      <c r="G17" s="119" t="s">
        <v>219</v>
      </c>
      <c r="K17" s="122"/>
      <c r="R17" s="124"/>
    </row>
    <row r="18" spans="2:18" s="14" customFormat="1" x14ac:dyDescent="0.25">
      <c r="B18" s="31"/>
      <c r="C18" s="4" t="s">
        <v>4061</v>
      </c>
      <c r="D18" s="96">
        <f>MAX(_xlfn.ANCHORARRAY(D23))+($L$6*1000)</f>
        <v>32600</v>
      </c>
      <c r="E18" s="96">
        <f>MAX(_xlfn.ANCHORARRAY(E23))+$L$6</f>
        <v>32.6</v>
      </c>
      <c r="F18" s="96">
        <f t="shared" ref="F18:G18" si="0">MAX(_xlfn.ANCHORARRAY(F23))</f>
        <v>0</v>
      </c>
      <c r="G18" s="121">
        <f t="shared" si="0"/>
        <v>0</v>
      </c>
      <c r="H18"/>
      <c r="I18"/>
      <c r="K18" s="133" t="s">
        <v>4300</v>
      </c>
      <c r="L18" s="14" t="s">
        <v>4292</v>
      </c>
      <c r="M18" s="14" t="s">
        <v>4301</v>
      </c>
      <c r="N18" s="14">
        <v>17.670000000000002</v>
      </c>
      <c r="O18"/>
      <c r="P18"/>
      <c r="R18" s="132"/>
    </row>
    <row r="19" spans="2:18" x14ac:dyDescent="0.25">
      <c r="C19" s="4" t="s">
        <v>4062</v>
      </c>
      <c r="D19" s="96">
        <f>MIN(_xlfn.ANCHORARRAY(D23))+($L$6*1000)</f>
        <v>7294.1500000000015</v>
      </c>
      <c r="E19" s="96">
        <f>MIN(_xlfn.ANCHORARRAY(E23))+$L$6</f>
        <v>7.294150000000001</v>
      </c>
      <c r="F19" s="96">
        <f t="shared" ref="F19:G19" si="1">MIN(_xlfn.ANCHORARRAY(F23))</f>
        <v>0</v>
      </c>
      <c r="G19" s="121">
        <f t="shared" si="1"/>
        <v>0</v>
      </c>
      <c r="K19" s="122" t="s">
        <v>4300</v>
      </c>
      <c r="L19" t="s">
        <v>4293</v>
      </c>
      <c r="M19" t="s">
        <v>191</v>
      </c>
      <c r="N19">
        <v>18.600000000000001</v>
      </c>
      <c r="O19" s="13">
        <f>N19/$N$18</f>
        <v>1.0526315789473684</v>
      </c>
      <c r="P19">
        <f>N19-$N$18</f>
        <v>0.92999999999999972</v>
      </c>
      <c r="R19" s="124" t="s">
        <v>4302</v>
      </c>
    </row>
    <row r="20" spans="2:18" x14ac:dyDescent="0.25">
      <c r="C20" s="35" t="s">
        <v>4117</v>
      </c>
      <c r="D20" s="162">
        <f>SUMPRODUCT($K$52:$K$54,K57:K59)</f>
        <v>19299.677663043476</v>
      </c>
      <c r="E20" s="162">
        <f>SUMPRODUCT($K$52:$K$54,L57:L59)</f>
        <v>19.299677663043479</v>
      </c>
      <c r="F20" s="162">
        <f t="shared" ref="F20:G20" si="2">AVERAGE(_xlfn.ANCHORARRAY(F23))</f>
        <v>0</v>
      </c>
      <c r="G20" s="168">
        <f t="shared" si="2"/>
        <v>0</v>
      </c>
      <c r="K20" s="122" t="s">
        <v>4300</v>
      </c>
      <c r="L20" t="s">
        <v>4295</v>
      </c>
      <c r="M20" t="s">
        <v>191</v>
      </c>
      <c r="N20">
        <v>18.5</v>
      </c>
      <c r="O20" s="13">
        <f>N20/$N$18</f>
        <v>1.0469722693831351</v>
      </c>
      <c r="P20">
        <f>N20-$N$18</f>
        <v>0.82999999999999829</v>
      </c>
      <c r="R20" s="124" t="s">
        <v>4303</v>
      </c>
    </row>
    <row r="21" spans="2:18" x14ac:dyDescent="0.25">
      <c r="C21" s="4" t="s">
        <v>4063</v>
      </c>
      <c r="D21" s="96">
        <f>AVERAGE(_xlfn.ANCHORARRAY(D23))</f>
        <v>16351.611818181816</v>
      </c>
      <c r="E21" s="96">
        <f t="shared" ref="E21:G21" si="3">AVERAGE(_xlfn.ANCHORARRAY(E23))</f>
        <v>16.351611818181819</v>
      </c>
      <c r="F21" s="96">
        <f t="shared" si="3"/>
        <v>0</v>
      </c>
      <c r="G21" s="121">
        <f t="shared" si="3"/>
        <v>0</v>
      </c>
      <c r="K21" s="122"/>
      <c r="R21" s="124"/>
    </row>
    <row r="22" spans="2:18" x14ac:dyDescent="0.25">
      <c r="B22" s="32" t="s">
        <v>4064</v>
      </c>
      <c r="D22"/>
      <c r="E22"/>
      <c r="F22"/>
      <c r="G22" s="124"/>
      <c r="K22" s="122" t="s">
        <v>4304</v>
      </c>
      <c r="L22" t="s">
        <v>4292</v>
      </c>
      <c r="M22" t="s">
        <v>191</v>
      </c>
      <c r="N22">
        <v>11.7</v>
      </c>
      <c r="R22" s="124"/>
    </row>
    <row r="23" spans="2:18" x14ac:dyDescent="0.25">
      <c r="B23" s="122" t="str" cm="1">
        <f t="array" ref="B23:B44">_xlfn.UNIQUE(_xlfn._xlws.FILTER('EPD List'!D:D,ISNUMBER(SEARCH(B16,'EPD List'!C:C)),0))</f>
        <v>Aluminium, China, Hyperion Aluminium Profiles manufactured in China  (Envirobuild) (China)</v>
      </c>
      <c r="C23" t="str" cm="1">
        <f t="array" ref="C23:C44">_xlfn.IFNA(INDEX('EPD List'!$A:$AB,MATCH(_xlfn.ANCHORARRAY(B23),'EPD List'!$D:$D,0),MATCH(C$16,'EPD List'!$7:$7,0)),"")</f>
        <v>tonne</v>
      </c>
      <c r="D23" s="96" cm="1">
        <f t="array" ref="D23:D44">_xlfn.IFNA(VALUE((INDEX('EPD List'!$A:$AD,MATCH(_xlfn.ANCHORARRAY($B23),'EPD List'!$D:$D,0),MATCH(D$16,'EPD List'!$7:$7,0)))),"")+($L$6*1000)</f>
        <v>24362</v>
      </c>
      <c r="E23" s="96" cm="1">
        <f t="array" ref="E23:E44">IFERROR(VALUE((INDEX('EPD List'!$A:$AD,MATCH(_xlfn.ANCHORARRAY($B23),'EPD List'!$D:$D,0),MATCH(E$16,'EPD List'!$7:$7,0)))),"")+$L$6</f>
        <v>24.362000000000002</v>
      </c>
      <c r="F23" s="96" cm="1">
        <f t="array" ref="F23:F44">_xlfn.IFNA(VALUE((INDEX('EPD List'!$A:$AD,MATCH(_xlfn.ANCHORARRAY($B23),'EPD List'!$D:$D,0),MATCH(F$16,'EPD List'!$7:$7,0)))),"")</f>
        <v>0</v>
      </c>
      <c r="G23" s="121" cm="1">
        <f t="array" ref="G23:G44">IFERROR(VALUE((INDEX('EPD List'!$A:$AD,MATCH(_xlfn.ANCHORARRAY($B23),'EPD List'!$D:$D,0),MATCH(G$16,'EPD List'!$7:$7,0)))),"")</f>
        <v>0</v>
      </c>
      <c r="K23" s="122" t="s">
        <v>4304</v>
      </c>
      <c r="L23" t="s">
        <v>4293</v>
      </c>
      <c r="M23" t="s">
        <v>191</v>
      </c>
      <c r="N23">
        <v>13.6</v>
      </c>
      <c r="O23" s="13">
        <f>N23/$N$22</f>
        <v>1.1623931623931625</v>
      </c>
      <c r="P23">
        <f>N23-$N$22</f>
        <v>1.9000000000000004</v>
      </c>
      <c r="R23" s="124"/>
    </row>
    <row r="24" spans="2:18" x14ac:dyDescent="0.25">
      <c r="B24" s="122" t="str">
        <v>Aluminium, China, Extruded aluminium out of China (Jiangyin Jianbang) (China)</v>
      </c>
      <c r="C24" t="str">
        <v>tonne</v>
      </c>
      <c r="D24" s="96">
        <v>26561.3</v>
      </c>
      <c r="E24" s="96">
        <v>26.561300000000003</v>
      </c>
      <c r="F24" s="96">
        <v>0</v>
      </c>
      <c r="G24" s="121">
        <v>0</v>
      </c>
      <c r="K24" s="122" t="s">
        <v>4304</v>
      </c>
      <c r="L24" t="s">
        <v>4295</v>
      </c>
      <c r="M24" t="s">
        <v>191</v>
      </c>
      <c r="N24">
        <v>12.1</v>
      </c>
      <c r="O24" s="13">
        <f>N24/$N$22</f>
        <v>1.0341880341880343</v>
      </c>
      <c r="P24">
        <f>N24-$N$22</f>
        <v>0.40000000000000036</v>
      </c>
      <c r="R24" s="124"/>
    </row>
    <row r="25" spans="2:18" x14ac:dyDescent="0.25">
      <c r="B25" s="122" t="str">
        <v>Aluminium, China, Thermal break aluminium profile out of China (Jiangyin Jianbang) (China)</v>
      </c>
      <c r="C25" t="str">
        <v>tonne</v>
      </c>
      <c r="D25" s="96">
        <v>26860.2</v>
      </c>
      <c r="E25" s="96">
        <v>26.860199999999999</v>
      </c>
      <c r="F25" s="96">
        <v>0</v>
      </c>
      <c r="G25" s="121">
        <v>0</v>
      </c>
      <c r="K25" s="122"/>
      <c r="R25" s="124"/>
    </row>
    <row r="26" spans="2:18" x14ac:dyDescent="0.25">
      <c r="B26" s="122" t="str">
        <v>Aluminium, Global, Hydro recycled low carbon aluminium profiles (Hydro) (Europe)</v>
      </c>
      <c r="C26" t="str">
        <v>tonne</v>
      </c>
      <c r="D26" s="96">
        <v>5567.5400000000009</v>
      </c>
      <c r="E26" s="96">
        <v>5.567540000000001</v>
      </c>
      <c r="F26" s="96">
        <v>0</v>
      </c>
      <c r="G26" s="121">
        <v>0</v>
      </c>
      <c r="K26" s="122" t="s">
        <v>4305</v>
      </c>
      <c r="L26" t="s">
        <v>4292</v>
      </c>
      <c r="M26" t="s">
        <v>191</v>
      </c>
      <c r="N26">
        <v>13.9</v>
      </c>
      <c r="R26" s="124"/>
    </row>
    <row r="27" spans="2:18" x14ac:dyDescent="0.25">
      <c r="B27" s="122" t="str">
        <v>Aluminium, Global, Extruded aluminium profile 70% recycled aluminium out of Greece (Sanlev) (Greece)</v>
      </c>
      <c r="C27" t="str">
        <v>tonne</v>
      </c>
      <c r="D27" s="96">
        <v>10936.2</v>
      </c>
      <c r="E27" s="96">
        <v>10.936199999999999</v>
      </c>
      <c r="F27" s="96">
        <v>0</v>
      </c>
      <c r="G27" s="121">
        <v>0</v>
      </c>
      <c r="K27" s="122" t="s">
        <v>4305</v>
      </c>
      <c r="L27" t="s">
        <v>4293</v>
      </c>
      <c r="M27" t="s">
        <v>191</v>
      </c>
      <c r="N27">
        <v>15.2</v>
      </c>
      <c r="O27" s="13">
        <f>N27/$N$26</f>
        <v>1.093525179856115</v>
      </c>
      <c r="P27">
        <f>N27-$N$26</f>
        <v>1.2999999999999989</v>
      </c>
      <c r="R27" s="124"/>
    </row>
    <row r="28" spans="2:18" x14ac:dyDescent="0.25">
      <c r="B28" s="122" t="str">
        <v>Aluminium, Global, Primary aluminium out of India (Vedanta) (India)</v>
      </c>
      <c r="C28" t="str">
        <v>tonne</v>
      </c>
      <c r="D28" s="96">
        <v>26507.57</v>
      </c>
      <c r="E28" s="96">
        <v>26.507570000000001</v>
      </c>
      <c r="F28" s="96">
        <v>0</v>
      </c>
      <c r="G28" s="121">
        <v>0</v>
      </c>
      <c r="K28" s="122" t="s">
        <v>4305</v>
      </c>
      <c r="L28" t="s">
        <v>4295</v>
      </c>
      <c r="M28" t="s">
        <v>191</v>
      </c>
      <c r="N28">
        <v>14.3</v>
      </c>
      <c r="O28" s="13">
        <f>N28/$N$26</f>
        <v>1.0287769784172662</v>
      </c>
      <c r="P28">
        <f>N28-$N$26</f>
        <v>0.40000000000000036</v>
      </c>
      <c r="R28" s="124"/>
    </row>
    <row r="29" spans="2:18" x14ac:dyDescent="0.25">
      <c r="B29" s="122" t="str">
        <v>Aluminium, China, CNA-CNA-CNA (China) extruded aluminium (Industry wide) (China)</v>
      </c>
      <c r="C29" t="str">
        <v>tonne</v>
      </c>
      <c r="D29" s="96">
        <v>23641.300000000003</v>
      </c>
      <c r="E29" s="96">
        <v>23.641300000000001</v>
      </c>
      <c r="F29" s="96">
        <v>0</v>
      </c>
      <c r="G29" s="121">
        <v>0</v>
      </c>
      <c r="K29" s="122"/>
      <c r="R29" s="124"/>
    </row>
    <row r="30" spans="2:18" x14ac:dyDescent="0.25">
      <c r="B30" s="122" t="str">
        <v>Aluminium, Global, OCA-OCA-GCC scenario (Oceania &gt; Gulf cooperation council) extruded aluminium (Industry wide) (Oceania)</v>
      </c>
      <c r="C30" t="str">
        <v>tonne</v>
      </c>
      <c r="D30" s="96">
        <v>14641.300000000001</v>
      </c>
      <c r="E30" s="96">
        <v>14.641300000000001</v>
      </c>
      <c r="F30" s="96">
        <v>0</v>
      </c>
      <c r="G30" s="121">
        <v>0</v>
      </c>
      <c r="K30" s="122" t="s">
        <v>4306</v>
      </c>
      <c r="L30" t="s">
        <v>4292</v>
      </c>
      <c r="M30" t="s">
        <v>191</v>
      </c>
      <c r="N30">
        <v>19.100000000000001</v>
      </c>
      <c r="R30" s="124"/>
    </row>
    <row r="31" spans="2:18" x14ac:dyDescent="0.25">
      <c r="B31" s="122" t="str">
        <v>Aluminium, Global, AFR-EUR-EUR scenario (Africa &gt; Europe) extruded aluminium (Industry wide) (Africa)</v>
      </c>
      <c r="C31" t="str">
        <v>tonne</v>
      </c>
      <c r="D31" s="96">
        <v>10741.300000000001</v>
      </c>
      <c r="E31" s="96">
        <v>10.741300000000001</v>
      </c>
      <c r="F31" s="96">
        <v>0</v>
      </c>
      <c r="G31" s="121">
        <v>0</v>
      </c>
      <c r="K31" s="122" t="s">
        <v>4306</v>
      </c>
      <c r="L31" t="s">
        <v>4293</v>
      </c>
      <c r="M31" t="s">
        <v>191</v>
      </c>
      <c r="N31">
        <v>20.100000000000001</v>
      </c>
      <c r="O31" s="13">
        <f>N31/$N$30</f>
        <v>1.0523560209424083</v>
      </c>
      <c r="P31">
        <f>N31-$N$30</f>
        <v>1</v>
      </c>
      <c r="R31" s="124"/>
    </row>
    <row r="32" spans="2:18" x14ac:dyDescent="0.25">
      <c r="B32" s="122" t="str">
        <v>Aluminium, Global, SAM-SAM-CAN scenario (South America &gt; Canada) extruded aluminium (Industry wide) (South America)</v>
      </c>
      <c r="C32" t="str">
        <v>tonne</v>
      </c>
      <c r="D32" s="96">
        <v>8741.3000000000011</v>
      </c>
      <c r="E32" s="96">
        <v>8.7413000000000007</v>
      </c>
      <c r="F32" s="96">
        <v>0</v>
      </c>
      <c r="G32" s="121">
        <v>0</v>
      </c>
      <c r="K32" s="122" t="s">
        <v>4306</v>
      </c>
      <c r="L32" t="s">
        <v>4295</v>
      </c>
      <c r="M32" t="s">
        <v>191</v>
      </c>
      <c r="N32">
        <v>19.7</v>
      </c>
      <c r="O32" s="13">
        <f>N32/$N$30</f>
        <v>1.0314136125654449</v>
      </c>
      <c r="P32">
        <f>N32-$N$30</f>
        <v>0.59999999999999787</v>
      </c>
      <c r="R32" s="124"/>
    </row>
    <row r="33" spans="2:18" x14ac:dyDescent="0.25">
      <c r="B33" s="122" t="str">
        <v>Aluminium, Australia, Proxy for Australia using oceania value extruded aluminium (Industry wide) (Australia)</v>
      </c>
      <c r="C33" t="str">
        <v>tonne</v>
      </c>
      <c r="D33" s="96">
        <v>14641.300000000001</v>
      </c>
      <c r="E33" s="96">
        <v>14.641300000000001</v>
      </c>
      <c r="F33" s="96">
        <v>0</v>
      </c>
      <c r="G33" s="121">
        <v>0</v>
      </c>
      <c r="K33" s="122"/>
      <c r="R33" s="124"/>
    </row>
    <row r="34" spans="2:18" x14ac:dyDescent="0.25">
      <c r="B34" s="122" t="str">
        <v>Aluminium, Extruded, Extruded aluminium and extruded thermal break extruded aluminium (Galuminium) (China)</v>
      </c>
      <c r="C34" t="str">
        <v>tonne</v>
      </c>
      <c r="D34" s="96">
        <v>30700</v>
      </c>
      <c r="E34" s="96">
        <v>30.700000000000003</v>
      </c>
      <c r="F34" s="96">
        <v>0</v>
      </c>
      <c r="G34" s="121">
        <v>0</v>
      </c>
      <c r="K34" s="122" t="s">
        <v>4307</v>
      </c>
      <c r="L34" t="s">
        <v>4308</v>
      </c>
      <c r="M34" t="s">
        <v>4301</v>
      </c>
      <c r="N34">
        <v>7.4304000000000006</v>
      </c>
      <c r="R34" s="124"/>
    </row>
    <row r="35" spans="2:18" x14ac:dyDescent="0.25">
      <c r="B35" s="122" t="str">
        <v>Aluminium, Global, Hydro recycled low carbon aluminium profiles - UK (Hydro) (UK)</v>
      </c>
      <c r="C35" t="str">
        <v>tonne</v>
      </c>
      <c r="D35" s="96">
        <v>5394.1500000000005</v>
      </c>
      <c r="E35" s="96">
        <v>5.3941500000000007</v>
      </c>
      <c r="F35" s="96">
        <v>0</v>
      </c>
      <c r="G35" s="121">
        <v>0</v>
      </c>
      <c r="K35" s="122" t="s">
        <v>4307</v>
      </c>
      <c r="L35" t="s">
        <v>4309</v>
      </c>
      <c r="M35" t="s">
        <v>191</v>
      </c>
      <c r="N35">
        <v>8.64</v>
      </c>
      <c r="O35" s="13">
        <f>N35/$N$34</f>
        <v>1.1627906976744187</v>
      </c>
      <c r="P35">
        <f>N35-$N$34</f>
        <v>1.2096</v>
      </c>
      <c r="R35" s="124" t="s">
        <v>4310</v>
      </c>
    </row>
    <row r="36" spans="2:18" x14ac:dyDescent="0.25">
      <c r="B36" s="122" t="str">
        <v>Aluminium, Extruded, Extruded aluminium (uncoated) (Sistem) (Turkey)</v>
      </c>
      <c r="C36" t="str">
        <v>tonne</v>
      </c>
      <c r="D36" s="96">
        <v>14800</v>
      </c>
      <c r="E36" s="96">
        <v>14.8</v>
      </c>
      <c r="F36" s="96">
        <v>0</v>
      </c>
      <c r="G36" s="121">
        <v>0</v>
      </c>
      <c r="K36" s="122" t="s">
        <v>4307</v>
      </c>
      <c r="L36" t="s">
        <v>4311</v>
      </c>
      <c r="M36" t="s">
        <v>191</v>
      </c>
      <c r="N36">
        <v>7.84</v>
      </c>
      <c r="O36" s="13">
        <f>N36/$N$34</f>
        <v>1.0551248923341945</v>
      </c>
      <c r="P36">
        <f>N36-$N$34</f>
        <v>0.4095999999999993</v>
      </c>
      <c r="R36" s="124" t="s">
        <v>4312</v>
      </c>
    </row>
    <row r="37" spans="2:18" x14ac:dyDescent="0.25">
      <c r="B37" s="122" t="str">
        <v>Aluminium, Extruded, Extruded aluminium (uncoated) (Kurtoglu) (Turkey)</v>
      </c>
      <c r="C37" t="str">
        <v>tonne</v>
      </c>
      <c r="D37" s="96">
        <v>7070</v>
      </c>
      <c r="E37" s="96">
        <v>7.07</v>
      </c>
      <c r="F37" s="96">
        <v>0</v>
      </c>
      <c r="G37" s="121">
        <v>0</v>
      </c>
      <c r="K37" s="122"/>
      <c r="R37" s="124"/>
    </row>
    <row r="38" spans="2:18" x14ac:dyDescent="0.25">
      <c r="B38" s="122" t="str">
        <v>Aluminium, Extruded, Extruded aluminium (uncoated) (Muskita) (Global)</v>
      </c>
      <c r="C38" t="str">
        <v>tonne</v>
      </c>
      <c r="D38" s="96">
        <v>19570</v>
      </c>
      <c r="E38" s="96">
        <v>19.57</v>
      </c>
      <c r="F38" s="96">
        <v>0</v>
      </c>
      <c r="G38" s="121">
        <v>0</v>
      </c>
      <c r="K38" s="122" t="s">
        <v>4313</v>
      </c>
      <c r="L38" t="s">
        <v>4292</v>
      </c>
      <c r="M38" t="s">
        <v>191</v>
      </c>
      <c r="N38">
        <v>9.8699999999999992</v>
      </c>
      <c r="R38" s="124"/>
    </row>
    <row r="39" spans="2:18" x14ac:dyDescent="0.25">
      <c r="B39" s="122" t="str">
        <v>Aluminium, Extruded, Extruded aluminium (uncoated) (Burak) (Turkey)</v>
      </c>
      <c r="C39" t="str">
        <v>tonne</v>
      </c>
      <c r="D39" s="96">
        <v>13600</v>
      </c>
      <c r="E39" s="96">
        <v>13.6</v>
      </c>
      <c r="F39" s="96">
        <v>0</v>
      </c>
      <c r="G39" s="121">
        <v>0</v>
      </c>
      <c r="K39" s="122" t="s">
        <v>4313</v>
      </c>
      <c r="L39" t="s">
        <v>4293</v>
      </c>
      <c r="M39" t="s">
        <v>191</v>
      </c>
      <c r="N39">
        <v>9.91</v>
      </c>
      <c r="O39" s="13">
        <f>N39/$N$38</f>
        <v>1.0040526849037488</v>
      </c>
      <c r="P39">
        <f>N39-$N$38</f>
        <v>4.0000000000000924E-2</v>
      </c>
      <c r="R39" s="124"/>
    </row>
    <row r="40" spans="2:18" x14ac:dyDescent="0.25">
      <c r="B40" s="122" t="str">
        <v>Aluminium, Extruded, Extruded aluminium (uncoated) (ASAS) (Turkey)</v>
      </c>
      <c r="C40" t="str">
        <v>tonne</v>
      </c>
      <c r="D40" s="96">
        <v>15800</v>
      </c>
      <c r="E40" s="96">
        <v>15.8</v>
      </c>
      <c r="F40" s="96">
        <v>0</v>
      </c>
      <c r="G40" s="121">
        <v>0</v>
      </c>
      <c r="K40" s="122" t="s">
        <v>4313</v>
      </c>
      <c r="L40" t="s">
        <v>4295</v>
      </c>
      <c r="M40" t="s">
        <v>191</v>
      </c>
      <c r="N40">
        <v>10</v>
      </c>
      <c r="O40" s="13">
        <f>N40/$N$38</f>
        <v>1.0131712259371835</v>
      </c>
      <c r="P40">
        <f>N40-$N$38</f>
        <v>0.13000000000000078</v>
      </c>
      <c r="R40" s="124"/>
    </row>
    <row r="41" spans="2:18" x14ac:dyDescent="0.25">
      <c r="B41" s="122" t="str">
        <v>Aluminium, Extruded, Extruded aluminium (uncoated) (Tuna Aluminium) (Global)</v>
      </c>
      <c r="C41" t="str">
        <v>tonne</v>
      </c>
      <c r="D41" s="96">
        <v>21000</v>
      </c>
      <c r="E41" s="96">
        <v>21</v>
      </c>
      <c r="F41" s="96">
        <v>0</v>
      </c>
      <c r="G41" s="121">
        <v>0</v>
      </c>
      <c r="K41" s="122"/>
      <c r="R41" s="124"/>
    </row>
    <row r="42" spans="2:18" x14ac:dyDescent="0.25">
      <c r="B42" s="122" t="str">
        <v>Aluminium, Extruded, Extruded aluminium (uncoated) (Spanish Aluminium Association) (Spanish)</v>
      </c>
      <c r="C42" t="str">
        <v>tonne</v>
      </c>
      <c r="D42" s="96">
        <v>9330</v>
      </c>
      <c r="E42" s="96">
        <v>9.33</v>
      </c>
      <c r="F42" s="96">
        <v>0</v>
      </c>
      <c r="G42" s="121">
        <v>0</v>
      </c>
      <c r="K42" s="122" t="s">
        <v>4314</v>
      </c>
      <c r="L42" t="s">
        <v>4292</v>
      </c>
      <c r="M42" t="s">
        <v>191</v>
      </c>
      <c r="N42">
        <v>15.6</v>
      </c>
      <c r="R42" s="124"/>
    </row>
    <row r="43" spans="2:18" x14ac:dyDescent="0.25">
      <c r="B43" s="122" t="str">
        <v>Aluminium, Extruded, Extruded aluminium (uncoated) (Saray) (Turkey)</v>
      </c>
      <c r="C43" t="str">
        <v>tonne</v>
      </c>
      <c r="D43" s="96">
        <v>11770</v>
      </c>
      <c r="E43" s="96">
        <v>11.77</v>
      </c>
      <c r="F43" s="96">
        <v>0</v>
      </c>
      <c r="G43" s="121">
        <v>0</v>
      </c>
      <c r="K43" s="122" t="s">
        <v>4314</v>
      </c>
      <c r="L43" t="s">
        <v>4293</v>
      </c>
      <c r="M43" t="s">
        <v>191</v>
      </c>
      <c r="N43">
        <v>17.399999999999999</v>
      </c>
      <c r="O43" s="13">
        <f>N43/$N$42</f>
        <v>1.1153846153846154</v>
      </c>
      <c r="P43">
        <f>N43-$N$42</f>
        <v>1.7999999999999989</v>
      </c>
      <c r="R43" s="124"/>
    </row>
    <row r="44" spans="2:18" x14ac:dyDescent="0.25">
      <c r="B44" s="122" t="str">
        <v>Aluminium, Extruded, Extruded aluminium (uncoated) (Al Taiseer) (Saudi Arabia)</v>
      </c>
      <c r="C44" t="str">
        <v>tonne</v>
      </c>
      <c r="D44" s="96">
        <v>17500</v>
      </c>
      <c r="E44" s="96">
        <v>17.5</v>
      </c>
      <c r="F44" s="96">
        <v>0</v>
      </c>
      <c r="G44" s="121">
        <v>0</v>
      </c>
      <c r="K44" s="125" t="s">
        <v>4314</v>
      </c>
      <c r="L44" s="126" t="s">
        <v>4295</v>
      </c>
      <c r="M44" s="126" t="s">
        <v>191</v>
      </c>
      <c r="N44" s="126">
        <v>16.3</v>
      </c>
      <c r="O44" s="13">
        <f>N44/$N$42</f>
        <v>1.0448717948717949</v>
      </c>
      <c r="P44">
        <f>N44-$N$42</f>
        <v>0.70000000000000107</v>
      </c>
      <c r="Q44" s="126"/>
      <c r="R44" s="142"/>
    </row>
    <row r="46" spans="2:18" x14ac:dyDescent="0.25">
      <c r="K46">
        <v>1.51</v>
      </c>
      <c r="L46" t="s">
        <v>4109</v>
      </c>
      <c r="M46" t="s">
        <v>4265</v>
      </c>
      <c r="N46" t="s">
        <v>4266</v>
      </c>
      <c r="O46" t="s">
        <v>4267</v>
      </c>
    </row>
    <row r="47" spans="2:18" x14ac:dyDescent="0.25">
      <c r="K47">
        <v>1.42</v>
      </c>
      <c r="L47" t="s">
        <v>4109</v>
      </c>
      <c r="M47" t="s">
        <v>4269</v>
      </c>
      <c r="N47" t="s">
        <v>4266</v>
      </c>
      <c r="O47" t="s">
        <v>4267</v>
      </c>
    </row>
    <row r="48" spans="2:18" x14ac:dyDescent="0.25">
      <c r="K48">
        <v>0.73799999999999999</v>
      </c>
      <c r="L48" t="s">
        <v>4109</v>
      </c>
      <c r="M48" t="s">
        <v>4270</v>
      </c>
      <c r="N48" t="s">
        <v>4266</v>
      </c>
      <c r="O48" t="s">
        <v>4267</v>
      </c>
    </row>
    <row r="50" spans="11:15" x14ac:dyDescent="0.25">
      <c r="K50">
        <f>K46-K47</f>
        <v>9.000000000000008E-2</v>
      </c>
      <c r="L50" t="s">
        <v>4109</v>
      </c>
      <c r="M50" t="s">
        <v>4272</v>
      </c>
      <c r="O50" t="s">
        <v>4273</v>
      </c>
    </row>
    <row r="51" spans="11:15" x14ac:dyDescent="0.25">
      <c r="K51" s="208">
        <f>K48</f>
        <v>0.73799999999999999</v>
      </c>
      <c r="L51" t="s">
        <v>4109</v>
      </c>
      <c r="M51" s="208" t="s">
        <v>4274</v>
      </c>
      <c r="N51" s="208"/>
      <c r="O51" t="s">
        <v>4273</v>
      </c>
    </row>
    <row r="52" spans="11:15" x14ac:dyDescent="0.25">
      <c r="K52" s="207">
        <f>K50/(SUM($K$50:$K$51))</f>
        <v>0.10869565217391314</v>
      </c>
      <c r="M52" t="s">
        <v>4272</v>
      </c>
      <c r="O52" t="s">
        <v>4273</v>
      </c>
    </row>
    <row r="53" spans="11:15" x14ac:dyDescent="0.25">
      <c r="K53" s="207">
        <f>K51/(SUM($K$50:$K$51))*0.5</f>
        <v>0.44565217391304346</v>
      </c>
      <c r="M53" s="208" t="s">
        <v>4274</v>
      </c>
      <c r="N53" s="208" t="s">
        <v>4275</v>
      </c>
      <c r="O53" t="s">
        <v>4273</v>
      </c>
    </row>
    <row r="54" spans="11:15" x14ac:dyDescent="0.25">
      <c r="K54" s="207">
        <f>K51/(SUM($K$50:$K$51))*0.5</f>
        <v>0.44565217391304346</v>
      </c>
      <c r="M54" t="s">
        <v>4276</v>
      </c>
      <c r="N54" s="208" t="s">
        <v>4275</v>
      </c>
    </row>
    <row r="56" spans="11:15" ht="26.4" x14ac:dyDescent="0.25">
      <c r="K56" s="75" t="s">
        <v>4159</v>
      </c>
      <c r="L56" s="75" t="s">
        <v>148</v>
      </c>
      <c r="O56" s="14"/>
    </row>
    <row r="57" spans="11:15" x14ac:dyDescent="0.25">
      <c r="K57">
        <f>$M62/$O62</f>
        <v>14641.300000000001</v>
      </c>
      <c r="L57">
        <f>$N62/$O62</f>
        <v>14.641300000000001</v>
      </c>
      <c r="M57" s="14" t="s">
        <v>4114</v>
      </c>
      <c r="N57" s="14"/>
      <c r="O57" s="14"/>
    </row>
    <row r="58" spans="11:15" x14ac:dyDescent="0.25">
      <c r="K58">
        <f>$M63/$O63</f>
        <v>13310.584999999999</v>
      </c>
      <c r="L58">
        <f t="shared" ref="L58:L59" si="4">$N63/$O63</f>
        <v>13.310585000000003</v>
      </c>
      <c r="M58" s="208" t="s">
        <v>4277</v>
      </c>
      <c r="N58" t="s">
        <v>4278</v>
      </c>
      <c r="O58" t="s">
        <v>4279</v>
      </c>
    </row>
    <row r="59" spans="11:15" x14ac:dyDescent="0.25">
      <c r="K59">
        <f>$M64/$O64</f>
        <v>26424.959999999999</v>
      </c>
      <c r="L59">
        <f t="shared" si="4"/>
        <v>26.424959999999999</v>
      </c>
      <c r="M59" t="s">
        <v>4280</v>
      </c>
      <c r="N59" t="s">
        <v>4281</v>
      </c>
      <c r="O59" t="s">
        <v>4279</v>
      </c>
    </row>
    <row r="61" spans="11:15" x14ac:dyDescent="0.25">
      <c r="M61" t="s">
        <v>4283</v>
      </c>
      <c r="N61" t="s">
        <v>4284</v>
      </c>
      <c r="O61" t="s">
        <v>4285</v>
      </c>
    </row>
    <row r="62" spans="11:15" x14ac:dyDescent="0.25">
      <c r="M62">
        <f>SUMIFS(_xlfn.ANCHORARRAY($D$23),_xlfn.ANCHORARRAY($B$23),"*"&amp;"Australia"&amp;"*")</f>
        <v>14641.300000000001</v>
      </c>
      <c r="N62">
        <f>SUMIFS(_xlfn.ANCHORARRAY(E$23),_xlfn.ANCHORARRAY($B$23),"*"&amp;"Australia"&amp;"*")</f>
        <v>14.641300000000001</v>
      </c>
      <c r="O62">
        <f>COUNTIFS(_xlfn.ANCHORARRAY($B$23),"*"&amp;"Australia"&amp;"*")</f>
        <v>1</v>
      </c>
    </row>
    <row r="63" spans="11:15" x14ac:dyDescent="0.25">
      <c r="M63" s="96">
        <f>SUM(_xlfn.ANCHORARRAY(D23))-M62-M64</f>
        <v>212969.36</v>
      </c>
      <c r="N63" s="96">
        <f>SUM(_xlfn.ANCHORARRAY(E$23))-N62-N64</f>
        <v>212.96936000000005</v>
      </c>
      <c r="O63">
        <f>COUNT(_xlfn.ANCHORARRAY(E23))-O62-O64</f>
        <v>16</v>
      </c>
    </row>
    <row r="64" spans="11:15" x14ac:dyDescent="0.25">
      <c r="M64">
        <f>SUMIFS(_xlfn.ANCHORARRAY($D$23),_xlfn.ANCHORARRAY($B$23),"*"&amp;"China"&amp;"*")</f>
        <v>132124.79999999999</v>
      </c>
      <c r="N64">
        <f>SUMIFS(_xlfn.ANCHORARRAY(E$23),_xlfn.ANCHORARRAY($B$23),"*"&amp;"China"&amp;"*")</f>
        <v>132.12479999999999</v>
      </c>
      <c r="O64">
        <f>COUNTIFS(_xlfn.ANCHORARRAY($B$23),"*"&amp;"China"&amp;"*")</f>
        <v>5</v>
      </c>
    </row>
    <row r="90" spans="9:9" x14ac:dyDescent="0.25">
      <c r="I90" s="96"/>
    </row>
    <row r="166" spans="2:7" x14ac:dyDescent="0.25">
      <c r="B166" s="125"/>
      <c r="C166" s="126"/>
      <c r="D166" s="127"/>
      <c r="E166" s="127"/>
      <c r="F166" s="127"/>
      <c r="G166" s="128"/>
    </row>
  </sheetData>
  <dataValidations count="1">
    <dataValidation type="list" allowBlank="1" showInputMessage="1" showErrorMessage="1" sqref="B6:B9" xr:uid="{B8A52654-A341-4F6C-BA36-D3D27F2C5F82}">
      <formula1>"Tier 1,Tier 2,Tier 3,Tier 4"</formula1>
    </dataValidation>
  </dataValidation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98952A-B724-4D51-B2BC-3CC1A2184D8B}">
  <sheetPr codeName="Sheet5">
    <tabColor rgb="FF00CCFF"/>
  </sheetPr>
  <dimension ref="A1:G166"/>
  <sheetViews>
    <sheetView showGridLines="0" zoomScale="80" zoomScaleNormal="80" workbookViewId="0"/>
  </sheetViews>
  <sheetFormatPr defaultRowHeight="13.2" x14ac:dyDescent="0.25"/>
  <cols>
    <col min="1" max="1" width="26.109375" customWidth="1"/>
    <col min="2" max="2" width="103.5546875" customWidth="1"/>
    <col min="3" max="3" width="21" customWidth="1"/>
    <col min="4" max="6" width="19.88671875" style="96" customWidth="1"/>
    <col min="7" max="7" width="23.5546875" style="96" customWidth="1"/>
  </cols>
  <sheetData>
    <row r="1" spans="1:7" x14ac:dyDescent="0.25">
      <c r="A1" s="4" t="str" cm="1">
        <f t="array" aca="1" ref="A1" ca="1">MID(CELL("filename",A1),FIND("]",CELL("filename",A1))+1,255)</f>
        <v>Concrete_10MPa</v>
      </c>
    </row>
    <row r="2" spans="1:7" x14ac:dyDescent="0.25">
      <c r="A2" s="4"/>
    </row>
    <row r="3" spans="1:7" x14ac:dyDescent="0.25">
      <c r="A3" s="4" t="s">
        <v>4048</v>
      </c>
      <c r="B3" t="s">
        <v>4049</v>
      </c>
    </row>
    <row r="4" spans="1:7" x14ac:dyDescent="0.25">
      <c r="A4" s="4"/>
    </row>
    <row r="5" spans="1:7" ht="69.75" customHeight="1" x14ac:dyDescent="0.25">
      <c r="A5" s="26" t="s">
        <v>4050</v>
      </c>
      <c r="B5" s="14" t="s">
        <v>4051</v>
      </c>
    </row>
    <row r="6" spans="1:7" x14ac:dyDescent="0.25">
      <c r="A6" s="26" t="s">
        <v>4052</v>
      </c>
      <c r="B6" s="27" t="s">
        <v>68</v>
      </c>
    </row>
    <row r="7" spans="1:7" x14ac:dyDescent="0.25">
      <c r="A7" s="26" t="s">
        <v>4053</v>
      </c>
      <c r="B7" s="27" t="s">
        <v>68</v>
      </c>
    </row>
    <row r="8" spans="1:7" x14ac:dyDescent="0.25">
      <c r="A8" s="26" t="s">
        <v>4054</v>
      </c>
      <c r="B8" s="27" t="s">
        <v>70</v>
      </c>
    </row>
    <row r="9" spans="1:7" x14ac:dyDescent="0.25">
      <c r="A9" s="26" t="s">
        <v>4055</v>
      </c>
      <c r="B9" s="4" t="s">
        <v>70</v>
      </c>
    </row>
    <row r="10" spans="1:7" x14ac:dyDescent="0.25">
      <c r="A10" s="26"/>
      <c r="B10" s="4"/>
    </row>
    <row r="11" spans="1:7" x14ac:dyDescent="0.25">
      <c r="A11" s="26" t="s">
        <v>4056</v>
      </c>
    </row>
    <row r="12" spans="1:7" x14ac:dyDescent="0.25">
      <c r="A12" s="101"/>
    </row>
    <row r="13" spans="1:7" x14ac:dyDescent="0.25">
      <c r="A13" s="101"/>
    </row>
    <row r="14" spans="1:7" x14ac:dyDescent="0.25">
      <c r="A14" s="26" t="s">
        <v>4057</v>
      </c>
    </row>
    <row r="15" spans="1:7" x14ac:dyDescent="0.25">
      <c r="A15" s="26"/>
      <c r="D15" s="112" t="s">
        <v>4058</v>
      </c>
      <c r="E15" s="113"/>
      <c r="F15" s="114" t="s">
        <v>4059</v>
      </c>
      <c r="G15" s="113"/>
    </row>
    <row r="16" spans="1:7" ht="39.6" x14ac:dyDescent="0.25">
      <c r="B16" s="28" t="s">
        <v>1237</v>
      </c>
      <c r="C16" s="23" t="s">
        <v>23</v>
      </c>
      <c r="D16" s="24" t="s">
        <v>141</v>
      </c>
      <c r="E16" s="25" t="s">
        <v>148</v>
      </c>
      <c r="F16" s="24" t="s">
        <v>142</v>
      </c>
      <c r="G16" s="24" t="s">
        <v>149</v>
      </c>
    </row>
    <row r="17" spans="2:7" x14ac:dyDescent="0.25">
      <c r="B17" s="29"/>
      <c r="C17" s="30" t="s">
        <v>4060</v>
      </c>
      <c r="D17" s="118" t="str" cm="1">
        <f t="array" ref="D17">IF(AND(_xlfn.ANCHORARRAY(C23)=C23),C23,"Mixed")</f>
        <v>m³</v>
      </c>
      <c r="E17" s="118" t="s">
        <v>219</v>
      </c>
      <c r="F17" s="118" t="str" cm="1">
        <f t="array" ref="F17">IF(AND(_xlfn.ANCHORARRAY(C23)=C23),C23,"Mixed")</f>
        <v>m³</v>
      </c>
      <c r="G17" s="119" t="s">
        <v>219</v>
      </c>
    </row>
    <row r="18" spans="2:7" s="14" customFormat="1" x14ac:dyDescent="0.25">
      <c r="B18" s="31"/>
      <c r="C18" s="4" t="s">
        <v>4061</v>
      </c>
      <c r="D18" s="96">
        <f>MAX(_xlfn.ANCHORARRAY(D23))</f>
        <v>248.18700000000001</v>
      </c>
      <c r="E18" s="96">
        <f t="shared" ref="E18:G18" si="0">MAX(_xlfn.ANCHORARRAY(E23))</f>
        <v>0.10341125</v>
      </c>
      <c r="F18" s="96">
        <f t="shared" si="0"/>
        <v>0</v>
      </c>
      <c r="G18" s="121">
        <f t="shared" si="0"/>
        <v>0</v>
      </c>
    </row>
    <row r="19" spans="2:7" x14ac:dyDescent="0.25">
      <c r="B19" s="122"/>
      <c r="C19" s="4" t="s">
        <v>4062</v>
      </c>
      <c r="D19" s="96">
        <f>MIN(_xlfn.ANCHORARRAY(D23))</f>
        <v>141.56505999999999</v>
      </c>
      <c r="E19" s="96">
        <f t="shared" ref="E19:G19" si="1">MIN(_xlfn.ANCHORARRAY(E23))</f>
        <v>5.8985441666666666E-2</v>
      </c>
      <c r="F19" s="96">
        <f t="shared" si="1"/>
        <v>0</v>
      </c>
      <c r="G19" s="121">
        <f t="shared" si="1"/>
        <v>0</v>
      </c>
    </row>
    <row r="20" spans="2:7" x14ac:dyDescent="0.25">
      <c r="B20" s="122"/>
      <c r="C20" s="4" t="s">
        <v>4063</v>
      </c>
      <c r="D20" s="96">
        <f>AVERAGE(_xlfn.ANCHORARRAY(D23))</f>
        <v>181.26921999999999</v>
      </c>
      <c r="E20" s="96">
        <f t="shared" ref="E20:G20" si="2">AVERAGE(_xlfn.ANCHORARRAY(E23))</f>
        <v>7.5528841666666666E-2</v>
      </c>
      <c r="F20" s="96">
        <f t="shared" si="2"/>
        <v>0</v>
      </c>
      <c r="G20" s="121">
        <f t="shared" si="2"/>
        <v>0</v>
      </c>
    </row>
    <row r="21" spans="2:7" x14ac:dyDescent="0.25">
      <c r="B21" s="122"/>
      <c r="C21" s="4"/>
      <c r="G21" s="121"/>
    </row>
    <row r="22" spans="2:7" x14ac:dyDescent="0.25">
      <c r="B22" s="32" t="s">
        <v>4064</v>
      </c>
      <c r="D22"/>
      <c r="E22"/>
      <c r="F22"/>
      <c r="G22" s="124"/>
    </row>
    <row r="23" spans="2:7" x14ac:dyDescent="0.25">
      <c r="B23" s="122" t="str" cm="1">
        <f t="array" ref="B23:B25">_xlfn.UNIQUE(_xlfn._xlws.FILTER('EPD List'!D:D,ISNUMBER(SEARCH(B16,'EPD List'!C:C)),0))</f>
        <v>Concrete, 5 MPa, in-situ, no reinforcement, (S5MPA R82 20MM LEAN MIX HAND PLACED AEA) (Adbri) (NSW)</v>
      </c>
      <c r="C23" t="str" cm="1">
        <f t="array" ref="C23:C25">_xlfn.IFNA(INDEX('EPD List'!$A:$AB,MATCH(_xlfn.ANCHORARRAY(B23),'EPD List'!$D:$D,0),MATCH(C$16,'EPD List'!$7:$7,0)),"")</f>
        <v>m³</v>
      </c>
      <c r="D23" s="96" cm="1">
        <f t="array" ref="D23:D25">_xlfn.IFNA(VALUE((INDEX('EPD List'!$A:$AD,MATCH(_xlfn.ANCHORARRAY($B23),'EPD List'!$D:$D,0),MATCH(D$16,'EPD List'!$7:$7,0)))),"")</f>
        <v>141.56505999999999</v>
      </c>
      <c r="E23" s="96" cm="1">
        <f t="array" ref="E23:E25">_xlfn.IFNA(VALUE((INDEX('EPD List'!$A:$AD,MATCH(_xlfn.ANCHORARRAY($B23),'EPD List'!$D:$D,0),MATCH(E$16,'EPD List'!$7:$7,0)))),"")</f>
        <v>5.8985441666666666E-2</v>
      </c>
      <c r="F23" s="96" cm="1">
        <f t="array" ref="F23:F25">_xlfn.IFNA(VALUE((INDEX('EPD List'!$A:$AD,MATCH(_xlfn.ANCHORARRAY($B23),'EPD List'!$D:$D,0),MATCH(F$16,'EPD List'!$7:$7,0)))),"")</f>
        <v>0</v>
      </c>
      <c r="G23" s="121" cm="1">
        <f t="array" ref="G23:G25">_xlfn.IFNA(VALUE((INDEX('EPD List'!$A:$AD,MATCH(_xlfn.ANCHORARRAY($B23),'EPD List'!$D:$D,0),MATCH(G$16,'EPD List'!$7:$7,0)))),"")</f>
        <v>0</v>
      </c>
    </row>
    <row r="24" spans="2:7" x14ac:dyDescent="0.25">
      <c r="B24" s="122" t="str">
        <v>Concrete, 7 MPa, in-situ, no reinforcement, (Futurecrete®  Ultra S7MPA LEAN HAND PLACED 20MM) (Adbri) (NSW)</v>
      </c>
      <c r="C24" t="str">
        <v>m³</v>
      </c>
      <c r="D24" s="96">
        <v>154.0556</v>
      </c>
      <c r="E24" s="96">
        <v>6.4189833333333335E-2</v>
      </c>
      <c r="F24" s="96">
        <v>0</v>
      </c>
      <c r="G24" s="121">
        <v>0</v>
      </c>
    </row>
    <row r="25" spans="2:7" x14ac:dyDescent="0.25">
      <c r="B25" s="122" t="str">
        <v>Concrete, 10 MPa, in-situ, no reinforcement, (Futurecrete®  Special
Class GP 10 MPa
- Winnellie) (Adbri) (NT)</v>
      </c>
      <c r="C25" t="str">
        <v>m³</v>
      </c>
      <c r="D25" s="96">
        <v>248.18700000000001</v>
      </c>
      <c r="E25" s="96">
        <v>0.10341125</v>
      </c>
      <c r="F25" s="96">
        <v>0</v>
      </c>
      <c r="G25" s="121">
        <v>0</v>
      </c>
    </row>
    <row r="26" spans="2:7" x14ac:dyDescent="0.25">
      <c r="B26" s="122"/>
      <c r="G26" s="121"/>
    </row>
    <row r="27" spans="2:7" x14ac:dyDescent="0.25">
      <c r="B27" s="122"/>
      <c r="G27" s="121"/>
    </row>
    <row r="28" spans="2:7" x14ac:dyDescent="0.25">
      <c r="B28" s="122"/>
      <c r="G28" s="121"/>
    </row>
    <row r="29" spans="2:7" x14ac:dyDescent="0.25">
      <c r="B29" s="122"/>
      <c r="G29" s="121"/>
    </row>
    <row r="30" spans="2:7" x14ac:dyDescent="0.25">
      <c r="B30" s="122"/>
      <c r="G30" s="121"/>
    </row>
    <row r="31" spans="2:7" x14ac:dyDescent="0.25">
      <c r="B31" s="122"/>
      <c r="G31" s="121"/>
    </row>
    <row r="32" spans="2:7" x14ac:dyDescent="0.25">
      <c r="B32" s="122"/>
      <c r="G32" s="121"/>
    </row>
    <row r="33" spans="2:7" x14ac:dyDescent="0.25">
      <c r="B33" s="122"/>
      <c r="G33" s="121"/>
    </row>
    <row r="34" spans="2:7" x14ac:dyDescent="0.25">
      <c r="B34" s="122"/>
      <c r="G34" s="121"/>
    </row>
    <row r="35" spans="2:7" x14ac:dyDescent="0.25">
      <c r="B35" s="122"/>
      <c r="G35" s="121"/>
    </row>
    <row r="36" spans="2:7" x14ac:dyDescent="0.25">
      <c r="B36" s="122"/>
      <c r="G36" s="121"/>
    </row>
    <row r="37" spans="2:7" x14ac:dyDescent="0.25">
      <c r="B37" s="122"/>
      <c r="G37" s="121"/>
    </row>
    <row r="38" spans="2:7" x14ac:dyDescent="0.25">
      <c r="B38" s="122"/>
      <c r="G38" s="121"/>
    </row>
    <row r="39" spans="2:7" x14ac:dyDescent="0.25">
      <c r="B39" s="122"/>
      <c r="G39" s="121"/>
    </row>
    <row r="40" spans="2:7" x14ac:dyDescent="0.25">
      <c r="B40" s="122"/>
      <c r="G40" s="121"/>
    </row>
    <row r="41" spans="2:7" x14ac:dyDescent="0.25">
      <c r="B41" s="122"/>
      <c r="G41" s="121"/>
    </row>
    <row r="42" spans="2:7" x14ac:dyDescent="0.25">
      <c r="B42" s="122"/>
      <c r="G42" s="121"/>
    </row>
    <row r="43" spans="2:7" x14ac:dyDescent="0.25">
      <c r="B43" s="122"/>
      <c r="G43" s="121"/>
    </row>
    <row r="44" spans="2:7" x14ac:dyDescent="0.25">
      <c r="B44" s="122"/>
      <c r="G44" s="121"/>
    </row>
    <row r="45" spans="2:7" x14ac:dyDescent="0.25">
      <c r="B45" s="122"/>
      <c r="G45" s="121"/>
    </row>
    <row r="46" spans="2:7" x14ac:dyDescent="0.25">
      <c r="B46" s="122"/>
      <c r="G46" s="121"/>
    </row>
    <row r="47" spans="2:7" x14ac:dyDescent="0.25">
      <c r="B47" s="122"/>
      <c r="G47" s="121"/>
    </row>
    <row r="48" spans="2:7" x14ac:dyDescent="0.25">
      <c r="B48" s="122"/>
      <c r="G48" s="121"/>
    </row>
    <row r="49" spans="2:7" x14ac:dyDescent="0.25">
      <c r="B49" s="122"/>
      <c r="G49" s="121"/>
    </row>
    <row r="50" spans="2:7" x14ac:dyDescent="0.25">
      <c r="B50" s="122"/>
      <c r="G50" s="121"/>
    </row>
    <row r="51" spans="2:7" x14ac:dyDescent="0.25">
      <c r="B51" s="122"/>
      <c r="G51" s="121"/>
    </row>
    <row r="52" spans="2:7" x14ac:dyDescent="0.25">
      <c r="B52" s="122"/>
      <c r="G52" s="121"/>
    </row>
    <row r="53" spans="2:7" x14ac:dyDescent="0.25">
      <c r="B53" s="122"/>
      <c r="G53" s="121"/>
    </row>
    <row r="54" spans="2:7" x14ac:dyDescent="0.25">
      <c r="B54" s="122"/>
      <c r="G54" s="121"/>
    </row>
    <row r="55" spans="2:7" x14ac:dyDescent="0.25">
      <c r="B55" s="122"/>
      <c r="G55" s="121"/>
    </row>
    <row r="56" spans="2:7" x14ac:dyDescent="0.25">
      <c r="B56" s="122"/>
      <c r="G56" s="121"/>
    </row>
    <row r="57" spans="2:7" x14ac:dyDescent="0.25">
      <c r="B57" s="122"/>
      <c r="G57" s="121"/>
    </row>
    <row r="58" spans="2:7" x14ac:dyDescent="0.25">
      <c r="B58" s="122"/>
      <c r="G58" s="121"/>
    </row>
    <row r="59" spans="2:7" x14ac:dyDescent="0.25">
      <c r="B59" s="122"/>
      <c r="G59" s="121"/>
    </row>
    <row r="60" spans="2:7" x14ac:dyDescent="0.25">
      <c r="B60" s="122"/>
      <c r="G60" s="121"/>
    </row>
    <row r="61" spans="2:7" x14ac:dyDescent="0.25">
      <c r="B61" s="122"/>
      <c r="G61" s="121"/>
    </row>
    <row r="62" spans="2:7" x14ac:dyDescent="0.25">
      <c r="B62" s="122"/>
      <c r="G62" s="121"/>
    </row>
    <row r="63" spans="2:7" x14ac:dyDescent="0.25">
      <c r="B63" s="122"/>
      <c r="G63" s="121"/>
    </row>
    <row r="64" spans="2:7" x14ac:dyDescent="0.25">
      <c r="B64" s="122"/>
      <c r="G64" s="121"/>
    </row>
    <row r="65" spans="2:7" x14ac:dyDescent="0.25">
      <c r="B65" s="122"/>
      <c r="G65" s="121"/>
    </row>
    <row r="66" spans="2:7" x14ac:dyDescent="0.25">
      <c r="B66" s="122"/>
      <c r="G66" s="121"/>
    </row>
    <row r="67" spans="2:7" x14ac:dyDescent="0.25">
      <c r="B67" s="122"/>
      <c r="G67" s="121"/>
    </row>
    <row r="68" spans="2:7" x14ac:dyDescent="0.25">
      <c r="B68" s="122"/>
      <c r="G68" s="121"/>
    </row>
    <row r="69" spans="2:7" x14ac:dyDescent="0.25">
      <c r="B69" s="122"/>
      <c r="G69" s="121"/>
    </row>
    <row r="70" spans="2:7" x14ac:dyDescent="0.25">
      <c r="B70" s="122"/>
      <c r="G70" s="121"/>
    </row>
    <row r="71" spans="2:7" x14ac:dyDescent="0.25">
      <c r="B71" s="122"/>
      <c r="G71" s="121"/>
    </row>
    <row r="72" spans="2:7" x14ac:dyDescent="0.25">
      <c r="B72" s="122"/>
      <c r="G72" s="121"/>
    </row>
    <row r="73" spans="2:7" x14ac:dyDescent="0.25">
      <c r="B73" s="122"/>
      <c r="G73" s="121"/>
    </row>
    <row r="74" spans="2:7" x14ac:dyDescent="0.25">
      <c r="B74" s="122"/>
      <c r="G74" s="121"/>
    </row>
    <row r="75" spans="2:7" x14ac:dyDescent="0.25">
      <c r="B75" s="122"/>
      <c r="G75" s="121"/>
    </row>
    <row r="76" spans="2:7" x14ac:dyDescent="0.25">
      <c r="B76" s="122"/>
      <c r="G76" s="121"/>
    </row>
    <row r="77" spans="2:7" x14ac:dyDescent="0.25">
      <c r="B77" s="122"/>
      <c r="G77" s="121"/>
    </row>
    <row r="78" spans="2:7" x14ac:dyDescent="0.25">
      <c r="B78" s="122"/>
      <c r="G78" s="121"/>
    </row>
    <row r="79" spans="2:7" x14ac:dyDescent="0.25">
      <c r="B79" s="122"/>
      <c r="G79" s="121"/>
    </row>
    <row r="80" spans="2:7" x14ac:dyDescent="0.25">
      <c r="B80" s="122"/>
      <c r="G80" s="121"/>
    </row>
    <row r="81" spans="2:7" x14ac:dyDescent="0.25">
      <c r="B81" s="122"/>
      <c r="G81" s="121"/>
    </row>
    <row r="82" spans="2:7" x14ac:dyDescent="0.25">
      <c r="B82" s="122"/>
      <c r="G82" s="121"/>
    </row>
    <row r="83" spans="2:7" x14ac:dyDescent="0.25">
      <c r="B83" s="122"/>
      <c r="G83" s="121"/>
    </row>
    <row r="84" spans="2:7" x14ac:dyDescent="0.25">
      <c r="B84" s="122"/>
      <c r="G84" s="121"/>
    </row>
    <row r="85" spans="2:7" x14ac:dyDescent="0.25">
      <c r="B85" s="122"/>
      <c r="G85" s="121"/>
    </row>
    <row r="86" spans="2:7" x14ac:dyDescent="0.25">
      <c r="B86" s="122"/>
      <c r="G86" s="121"/>
    </row>
    <row r="87" spans="2:7" x14ac:dyDescent="0.25">
      <c r="B87" s="122"/>
      <c r="G87" s="121"/>
    </row>
    <row r="88" spans="2:7" x14ac:dyDescent="0.25">
      <c r="B88" s="122"/>
      <c r="G88" s="121"/>
    </row>
    <row r="89" spans="2:7" x14ac:dyDescent="0.25">
      <c r="B89" s="122"/>
      <c r="G89" s="121"/>
    </row>
    <row r="90" spans="2:7" x14ac:dyDescent="0.25">
      <c r="B90" s="122"/>
      <c r="G90" s="121"/>
    </row>
    <row r="91" spans="2:7" x14ac:dyDescent="0.25">
      <c r="B91" s="122"/>
      <c r="G91" s="121"/>
    </row>
    <row r="92" spans="2:7" x14ac:dyDescent="0.25">
      <c r="B92" s="122"/>
      <c r="G92" s="121"/>
    </row>
    <row r="93" spans="2:7" x14ac:dyDescent="0.25">
      <c r="B93" s="122"/>
      <c r="G93" s="121"/>
    </row>
    <row r="94" spans="2:7" x14ac:dyDescent="0.25">
      <c r="B94" s="122"/>
      <c r="G94" s="121"/>
    </row>
    <row r="95" spans="2:7" x14ac:dyDescent="0.25">
      <c r="B95" s="122"/>
      <c r="G95" s="121"/>
    </row>
    <row r="96" spans="2:7" x14ac:dyDescent="0.25">
      <c r="B96" s="122"/>
      <c r="G96" s="121"/>
    </row>
    <row r="97" spans="2:7" x14ac:dyDescent="0.25">
      <c r="B97" s="122"/>
      <c r="G97" s="121"/>
    </row>
    <row r="98" spans="2:7" x14ac:dyDescent="0.25">
      <c r="B98" s="122"/>
      <c r="G98" s="121"/>
    </row>
    <row r="99" spans="2:7" x14ac:dyDescent="0.25">
      <c r="B99" s="122"/>
      <c r="G99" s="121"/>
    </row>
    <row r="100" spans="2:7" x14ac:dyDescent="0.25">
      <c r="B100" s="122"/>
      <c r="G100" s="121"/>
    </row>
    <row r="101" spans="2:7" x14ac:dyDescent="0.25">
      <c r="B101" s="122"/>
      <c r="G101" s="121"/>
    </row>
    <row r="102" spans="2:7" x14ac:dyDescent="0.25">
      <c r="B102" s="122"/>
      <c r="G102" s="121"/>
    </row>
    <row r="103" spans="2:7" x14ac:dyDescent="0.25">
      <c r="B103" s="122"/>
      <c r="G103" s="121"/>
    </row>
    <row r="104" spans="2:7" x14ac:dyDescent="0.25">
      <c r="B104" s="122"/>
      <c r="G104" s="121"/>
    </row>
    <row r="105" spans="2:7" x14ac:dyDescent="0.25">
      <c r="B105" s="122"/>
      <c r="G105" s="121"/>
    </row>
    <row r="106" spans="2:7" x14ac:dyDescent="0.25">
      <c r="B106" s="122"/>
      <c r="G106" s="121"/>
    </row>
    <row r="107" spans="2:7" x14ac:dyDescent="0.25">
      <c r="B107" s="122"/>
      <c r="G107" s="121"/>
    </row>
    <row r="108" spans="2:7" x14ac:dyDescent="0.25">
      <c r="B108" s="122"/>
      <c r="G108" s="121"/>
    </row>
    <row r="109" spans="2:7" x14ac:dyDescent="0.25">
      <c r="B109" s="122"/>
      <c r="G109" s="121"/>
    </row>
    <row r="110" spans="2:7" x14ac:dyDescent="0.25">
      <c r="B110" s="122"/>
      <c r="G110" s="121"/>
    </row>
    <row r="111" spans="2:7" x14ac:dyDescent="0.25">
      <c r="B111" s="122"/>
      <c r="G111" s="121"/>
    </row>
    <row r="112" spans="2:7" x14ac:dyDescent="0.25">
      <c r="B112" s="122"/>
      <c r="G112" s="121"/>
    </row>
    <row r="113" spans="2:7" x14ac:dyDescent="0.25">
      <c r="B113" s="122"/>
      <c r="G113" s="121"/>
    </row>
    <row r="114" spans="2:7" x14ac:dyDescent="0.25">
      <c r="B114" s="122"/>
      <c r="G114" s="121"/>
    </row>
    <row r="115" spans="2:7" x14ac:dyDescent="0.25">
      <c r="B115" s="122"/>
      <c r="G115" s="121"/>
    </row>
    <row r="116" spans="2:7" x14ac:dyDescent="0.25">
      <c r="B116" s="122"/>
      <c r="G116" s="121"/>
    </row>
    <row r="117" spans="2:7" x14ac:dyDescent="0.25">
      <c r="B117" s="122"/>
      <c r="G117" s="121"/>
    </row>
    <row r="118" spans="2:7" x14ac:dyDescent="0.25">
      <c r="B118" s="122"/>
      <c r="G118" s="121"/>
    </row>
    <row r="119" spans="2:7" x14ac:dyDescent="0.25">
      <c r="B119" s="122"/>
      <c r="G119" s="121"/>
    </row>
    <row r="120" spans="2:7" x14ac:dyDescent="0.25">
      <c r="B120" s="122"/>
      <c r="G120" s="121"/>
    </row>
    <row r="121" spans="2:7" x14ac:dyDescent="0.25">
      <c r="B121" s="122"/>
      <c r="G121" s="121"/>
    </row>
    <row r="122" spans="2:7" x14ac:dyDescent="0.25">
      <c r="B122" s="122"/>
      <c r="G122" s="121"/>
    </row>
    <row r="123" spans="2:7" x14ac:dyDescent="0.25">
      <c r="B123" s="122"/>
      <c r="G123" s="121"/>
    </row>
    <row r="124" spans="2:7" x14ac:dyDescent="0.25">
      <c r="B124" s="122"/>
      <c r="G124" s="121"/>
    </row>
    <row r="125" spans="2:7" x14ac:dyDescent="0.25">
      <c r="B125" s="122"/>
      <c r="G125" s="121"/>
    </row>
    <row r="126" spans="2:7" x14ac:dyDescent="0.25">
      <c r="B126" s="122"/>
      <c r="G126" s="121"/>
    </row>
    <row r="127" spans="2:7" x14ac:dyDescent="0.25">
      <c r="B127" s="122"/>
      <c r="G127" s="121"/>
    </row>
    <row r="128" spans="2:7" x14ac:dyDescent="0.25">
      <c r="B128" s="122"/>
      <c r="G128" s="121"/>
    </row>
    <row r="129" spans="2:7" x14ac:dyDescent="0.25">
      <c r="B129" s="122"/>
      <c r="G129" s="121"/>
    </row>
    <row r="130" spans="2:7" x14ac:dyDescent="0.25">
      <c r="B130" s="122"/>
      <c r="G130" s="121"/>
    </row>
    <row r="131" spans="2:7" x14ac:dyDescent="0.25">
      <c r="B131" s="122"/>
      <c r="G131" s="121"/>
    </row>
    <row r="132" spans="2:7" x14ac:dyDescent="0.25">
      <c r="B132" s="122"/>
      <c r="G132" s="121"/>
    </row>
    <row r="133" spans="2:7" x14ac:dyDescent="0.25">
      <c r="B133" s="122"/>
      <c r="G133" s="121"/>
    </row>
    <row r="134" spans="2:7" x14ac:dyDescent="0.25">
      <c r="B134" s="122"/>
      <c r="G134" s="121"/>
    </row>
    <row r="135" spans="2:7" x14ac:dyDescent="0.25">
      <c r="B135" s="122"/>
      <c r="G135" s="121"/>
    </row>
    <row r="136" spans="2:7" x14ac:dyDescent="0.25">
      <c r="B136" s="122"/>
      <c r="G136" s="121"/>
    </row>
    <row r="137" spans="2:7" x14ac:dyDescent="0.25">
      <c r="B137" s="122"/>
      <c r="G137" s="121"/>
    </row>
    <row r="138" spans="2:7" x14ac:dyDescent="0.25">
      <c r="B138" s="122"/>
      <c r="G138" s="121"/>
    </row>
    <row r="139" spans="2:7" x14ac:dyDescent="0.25">
      <c r="B139" s="122"/>
      <c r="G139" s="121"/>
    </row>
    <row r="140" spans="2:7" x14ac:dyDescent="0.25">
      <c r="B140" s="122"/>
      <c r="G140" s="121"/>
    </row>
    <row r="141" spans="2:7" x14ac:dyDescent="0.25">
      <c r="B141" s="122"/>
      <c r="G141" s="121"/>
    </row>
    <row r="142" spans="2:7" x14ac:dyDescent="0.25">
      <c r="B142" s="122"/>
      <c r="G142" s="121"/>
    </row>
    <row r="143" spans="2:7" x14ac:dyDescent="0.25">
      <c r="B143" s="122"/>
      <c r="G143" s="121"/>
    </row>
    <row r="144" spans="2:7" x14ac:dyDescent="0.25">
      <c r="B144" s="122"/>
      <c r="G144" s="121"/>
    </row>
    <row r="145" spans="2:7" x14ac:dyDescent="0.25">
      <c r="B145" s="122"/>
      <c r="G145" s="121"/>
    </row>
    <row r="146" spans="2:7" x14ac:dyDescent="0.25">
      <c r="B146" s="122"/>
      <c r="G146" s="121"/>
    </row>
    <row r="147" spans="2:7" x14ac:dyDescent="0.25">
      <c r="B147" s="122"/>
      <c r="G147" s="121"/>
    </row>
    <row r="148" spans="2:7" x14ac:dyDescent="0.25">
      <c r="B148" s="122"/>
      <c r="G148" s="121"/>
    </row>
    <row r="149" spans="2:7" x14ac:dyDescent="0.25">
      <c r="B149" s="122"/>
      <c r="G149" s="121"/>
    </row>
    <row r="150" spans="2:7" x14ac:dyDescent="0.25">
      <c r="B150" s="122"/>
      <c r="G150" s="121"/>
    </row>
    <row r="151" spans="2:7" x14ac:dyDescent="0.25">
      <c r="B151" s="122"/>
      <c r="G151" s="121"/>
    </row>
    <row r="152" spans="2:7" x14ac:dyDescent="0.25">
      <c r="B152" s="122"/>
      <c r="G152" s="121"/>
    </row>
    <row r="153" spans="2:7" x14ac:dyDescent="0.25">
      <c r="B153" s="122"/>
      <c r="G153" s="121"/>
    </row>
    <row r="154" spans="2:7" x14ac:dyDescent="0.25">
      <c r="B154" s="122"/>
      <c r="G154" s="121"/>
    </row>
    <row r="155" spans="2:7" x14ac:dyDescent="0.25">
      <c r="B155" s="122"/>
      <c r="G155" s="121"/>
    </row>
    <row r="156" spans="2:7" x14ac:dyDescent="0.25">
      <c r="B156" s="122"/>
      <c r="G156" s="121"/>
    </row>
    <row r="157" spans="2:7" x14ac:dyDescent="0.25">
      <c r="B157" s="122"/>
      <c r="G157" s="121"/>
    </row>
    <row r="158" spans="2:7" x14ac:dyDescent="0.25">
      <c r="B158" s="122"/>
      <c r="G158" s="121"/>
    </row>
    <row r="159" spans="2:7" x14ac:dyDescent="0.25">
      <c r="B159" s="122"/>
      <c r="G159" s="121"/>
    </row>
    <row r="160" spans="2:7" x14ac:dyDescent="0.25">
      <c r="B160" s="122"/>
      <c r="G160" s="121"/>
    </row>
    <row r="161" spans="2:7" x14ac:dyDescent="0.25">
      <c r="B161" s="122"/>
      <c r="G161" s="121"/>
    </row>
    <row r="162" spans="2:7" x14ac:dyDescent="0.25">
      <c r="B162" s="122"/>
      <c r="G162" s="121"/>
    </row>
    <row r="163" spans="2:7" x14ac:dyDescent="0.25">
      <c r="B163" s="122"/>
      <c r="G163" s="121"/>
    </row>
    <row r="164" spans="2:7" x14ac:dyDescent="0.25">
      <c r="B164" s="122"/>
      <c r="G164" s="121"/>
    </row>
    <row r="165" spans="2:7" x14ac:dyDescent="0.25">
      <c r="B165" s="122"/>
      <c r="G165" s="121"/>
    </row>
    <row r="166" spans="2:7" x14ac:dyDescent="0.25">
      <c r="B166" s="125"/>
      <c r="C166" s="126"/>
      <c r="D166" s="127"/>
      <c r="E166" s="127"/>
      <c r="F166" s="127"/>
      <c r="G166" s="128"/>
    </row>
  </sheetData>
  <conditionalFormatting sqref="D23:G23 D24:F163">
    <cfRule type="cellIs" dxfId="1" priority="1" operator="greaterThan">
      <formula>301</formula>
    </cfRule>
  </conditionalFormatting>
  <dataValidations disablePrompts="1" count="1">
    <dataValidation type="list" allowBlank="1" showInputMessage="1" showErrorMessage="1" sqref="B6:B9" xr:uid="{73D11E9B-B509-4F7B-8980-20E82616E8D7}">
      <formula1>"Tier 1,Tier 2,Tier 3,Tier 4"</formula1>
    </dataValidation>
  </dataValidations>
  <pageMargins left="0.7" right="0.7" top="0.75" bottom="0.75" header="0.3" footer="0.3"/>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BE1B49-9D99-4333-8F43-24CB94D19F9C}">
  <sheetPr codeName="Sheet90">
    <tabColor rgb="FF00CCFF"/>
  </sheetPr>
  <dimension ref="A1:W105"/>
  <sheetViews>
    <sheetView showGridLines="0" zoomScale="80" zoomScaleNormal="80" workbookViewId="0"/>
  </sheetViews>
  <sheetFormatPr defaultRowHeight="13.2" x14ac:dyDescent="0.25"/>
  <cols>
    <col min="1" max="1" width="38.88671875" customWidth="1"/>
    <col min="2" max="2" width="82.44140625" customWidth="1"/>
    <col min="3" max="3" width="60.44140625" customWidth="1"/>
    <col min="4" max="4" width="18" customWidth="1"/>
    <col min="5" max="5" width="19" customWidth="1"/>
    <col min="6" max="6" width="20" customWidth="1"/>
    <col min="7" max="7" width="15.5546875" customWidth="1"/>
    <col min="8" max="8" width="17.109375" customWidth="1"/>
    <col min="9" max="18" width="15.109375" customWidth="1"/>
    <col min="19" max="19" width="76.109375" customWidth="1"/>
  </cols>
  <sheetData>
    <row r="1" spans="1:15" x14ac:dyDescent="0.25">
      <c r="A1" s="4" t="str" cm="1">
        <f t="array" aca="1" ref="A1" ca="1">MID(CELL("filename",A1),FIND("]",CELL("filename",A1))+1,255)</f>
        <v>Curtain_wall</v>
      </c>
    </row>
    <row r="2" spans="1:15" x14ac:dyDescent="0.25">
      <c r="A2" s="4"/>
    </row>
    <row r="3" spans="1:15" x14ac:dyDescent="0.25">
      <c r="A3" s="4" t="s">
        <v>4048</v>
      </c>
      <c r="B3" t="s">
        <v>4317</v>
      </c>
    </row>
    <row r="4" spans="1:15" x14ac:dyDescent="0.25">
      <c r="A4" s="4"/>
    </row>
    <row r="5" spans="1:15" ht="159.75" customHeight="1" x14ac:dyDescent="0.25">
      <c r="A5" s="26" t="s">
        <v>4050</v>
      </c>
      <c r="B5" s="14" t="s">
        <v>4318</v>
      </c>
    </row>
    <row r="6" spans="1:15" x14ac:dyDescent="0.25">
      <c r="A6" s="26" t="s">
        <v>4052</v>
      </c>
    </row>
    <row r="7" spans="1:15" x14ac:dyDescent="0.25">
      <c r="A7" s="26" t="s">
        <v>4053</v>
      </c>
    </row>
    <row r="8" spans="1:15" x14ac:dyDescent="0.25">
      <c r="A8" s="26" t="s">
        <v>4054</v>
      </c>
    </row>
    <row r="9" spans="1:15" x14ac:dyDescent="0.25">
      <c r="A9" s="26" t="s">
        <v>4055</v>
      </c>
      <c r="B9" s="4" t="s">
        <v>4319</v>
      </c>
    </row>
    <row r="10" spans="1:15" x14ac:dyDescent="0.25">
      <c r="A10" s="26"/>
    </row>
    <row r="11" spans="1:15" ht="66" x14ac:dyDescent="0.25">
      <c r="A11" s="26" t="s">
        <v>4056</v>
      </c>
      <c r="B11" s="315" t="s">
        <v>4320</v>
      </c>
    </row>
    <row r="12" spans="1:15" x14ac:dyDescent="0.25">
      <c r="A12" s="101"/>
    </row>
    <row r="13" spans="1:15" x14ac:dyDescent="0.25">
      <c r="A13" s="101"/>
      <c r="C13" s="154" t="s">
        <v>4321</v>
      </c>
    </row>
    <row r="14" spans="1:15" x14ac:dyDescent="0.25">
      <c r="A14" s="26" t="s">
        <v>4057</v>
      </c>
      <c r="L14" s="361" t="s">
        <v>4322</v>
      </c>
      <c r="M14" s="362"/>
      <c r="N14" s="362"/>
      <c r="O14" s="363"/>
    </row>
    <row r="15" spans="1:15" ht="38.25" customHeight="1" x14ac:dyDescent="0.25">
      <c r="B15" s="504" t="s">
        <v>4323</v>
      </c>
      <c r="C15" s="505"/>
      <c r="E15" s="504" t="s">
        <v>74</v>
      </c>
      <c r="F15" s="507"/>
      <c r="G15" s="507"/>
      <c r="I15" s="502" t="s">
        <v>4324</v>
      </c>
      <c r="J15" s="503"/>
      <c r="L15" s="502" t="s">
        <v>4325</v>
      </c>
      <c r="M15" s="506"/>
      <c r="N15" s="502" t="s">
        <v>4326</v>
      </c>
      <c r="O15" s="506"/>
    </row>
    <row r="16" spans="1:15" s="14" customFormat="1" ht="26.4" x14ac:dyDescent="0.25">
      <c r="B16" s="19" t="s">
        <v>4327</v>
      </c>
      <c r="C16" s="19" t="s">
        <v>4328</v>
      </c>
      <c r="D16"/>
      <c r="E16" s="19" t="s">
        <v>4329</v>
      </c>
      <c r="F16" s="19" t="s">
        <v>4330</v>
      </c>
      <c r="G16" s="19" t="s">
        <v>4331</v>
      </c>
      <c r="H16"/>
      <c r="I16" s="19" t="s">
        <v>4329</v>
      </c>
      <c r="J16" s="19" t="s">
        <v>4330</v>
      </c>
      <c r="K16"/>
      <c r="L16" s="19" t="s">
        <v>4332</v>
      </c>
      <c r="M16" s="19" t="s">
        <v>4333</v>
      </c>
      <c r="N16" s="19" t="s">
        <v>4332</v>
      </c>
      <c r="O16" s="19" t="s">
        <v>4333</v>
      </c>
    </row>
    <row r="17" spans="2:16" s="14" customFormat="1" ht="79.2" x14ac:dyDescent="0.25">
      <c r="B17" s="19"/>
      <c r="C17" s="46"/>
      <c r="D17"/>
      <c r="E17" s="451" t="s">
        <v>3873</v>
      </c>
      <c r="F17" s="46" t="s">
        <v>3871</v>
      </c>
      <c r="G17" s="46" t="s">
        <v>3870</v>
      </c>
      <c r="H17"/>
      <c r="I17" s="203" t="s">
        <v>3881</v>
      </c>
      <c r="J17" s="203" t="s">
        <v>3879</v>
      </c>
      <c r="K17"/>
      <c r="L17" s="19"/>
      <c r="M17" s="19"/>
      <c r="N17" s="19"/>
      <c r="O17" s="19"/>
    </row>
    <row r="18" spans="2:16" x14ac:dyDescent="0.25">
      <c r="B18" s="98" t="s">
        <v>180</v>
      </c>
      <c r="C18" s="47"/>
      <c r="E18" s="155">
        <f ca="1">INDEX('EF Table_detail'!$B$6:$Z$134,MATCH($B18,'EF Table_detail'!$B$6:$B$134,0),MATCH(E$17,'EF Table_detail'!$B$6:$Z$6,0))</f>
        <v>30.240000000000002</v>
      </c>
      <c r="F18" s="155">
        <f ca="1">INDEX('EF Table_detail'!$B$6:$Z$134,MATCH($B18,'EF Table_detail'!$B$6:$B$134,0),MATCH(F$17,'EF Table_detail'!$B$6:$Z$6,0))</f>
        <v>17.399677663043477</v>
      </c>
      <c r="G18" s="155">
        <f ca="1">INDEX('EF Table_detail'!$B$6:$Z$134,MATCH($B18,'EF Table_detail'!$B$6:$B$134,0),MATCH(G$17,'EF Table_detail'!$B$6:$Z$6,0))</f>
        <v>3.4941500000000003</v>
      </c>
      <c r="I18" s="155">
        <f ca="1">INDEX('EF Table_detail'!$B$6:$Z$134,MATCH($B18,'EF Table_detail'!$B$6:$B$134,0),MATCH(I$17,'EF Table_detail'!$B$6:$Z$6,0))</f>
        <v>0</v>
      </c>
      <c r="J18" s="155">
        <f ca="1">INDEX('EF Table_detail'!$B$6:$Z$134,MATCH($B18,'EF Table_detail'!$B$6:$B$134,0),MATCH(J$17,'EF Table_detail'!$B$6:$Z$6,0))</f>
        <v>0</v>
      </c>
      <c r="L18" s="98">
        <f t="shared" ref="L18:L35" ca="1" si="0">$C18*(1+$C$38)*E18</f>
        <v>0</v>
      </c>
      <c r="M18" s="98">
        <f t="shared" ref="M18:M29" ca="1" si="1">$C18*(1+$C$38)*F18</f>
        <v>0</v>
      </c>
      <c r="N18" s="98">
        <f t="shared" ref="N18:O29" ca="1" si="2">$C18*(1+$C$38)*I18</f>
        <v>0</v>
      </c>
      <c r="O18" s="98">
        <f t="shared" ca="1" si="2"/>
        <v>0</v>
      </c>
      <c r="P18" s="156"/>
    </row>
    <row r="19" spans="2:16" x14ac:dyDescent="0.25">
      <c r="B19" s="98" t="s">
        <v>3991</v>
      </c>
      <c r="C19" s="461"/>
      <c r="E19" s="155">
        <f ca="1">INDEX('EF Table_detail'!$B$6:$Z$134,MATCH($B19,'EF Table_detail'!$B$6:$B$134,0),MATCH(E$17,'EF Table_detail'!$B$6:$Z$6,0))</f>
        <v>31.983000000000001</v>
      </c>
      <c r="F19" s="155">
        <f ca="1">INDEX('EF Table_detail'!$B$6:$Z$134,MATCH($B19,'EF Table_detail'!$B$6:$B$134,0),MATCH(F$17,'EF Table_detail'!$B$6:$Z$6,0))</f>
        <v>18.229677663043478</v>
      </c>
      <c r="G19" s="155">
        <f ca="1">INDEX('EF Table_detail'!$B$6:$Z$134,MATCH($B19,'EF Table_detail'!$B$6:$B$134,0),MATCH(G$17,'EF Table_detail'!$B$6:$Z$6,0))</f>
        <v>5.1541500000000005</v>
      </c>
      <c r="I19" s="155">
        <f ca="1">INDEX('EF Table_detail'!$B$6:$Z$134,MATCH($B19,'EF Table_detail'!$B$6:$B$134,0),MATCH(I$17,'EF Table_detail'!$B$6:$Z$6,0))</f>
        <v>0</v>
      </c>
      <c r="J19" s="155">
        <f ca="1">INDEX('EF Table_detail'!$B$6:$Z$134,MATCH($B19,'EF Table_detail'!$B$6:$B$134,0),MATCH(J$17,'EF Table_detail'!$B$6:$Z$6,0))</f>
        <v>0</v>
      </c>
      <c r="L19" s="98">
        <f t="shared" ca="1" si="0"/>
        <v>0</v>
      </c>
      <c r="M19" s="98">
        <f t="shared" ca="1" si="1"/>
        <v>0</v>
      </c>
      <c r="N19" s="98">
        <f t="shared" ca="1" si="2"/>
        <v>0</v>
      </c>
      <c r="O19" s="98">
        <f t="shared" ca="1" si="2"/>
        <v>0</v>
      </c>
      <c r="P19" s="156"/>
    </row>
    <row r="20" spans="2:16" x14ac:dyDescent="0.25">
      <c r="B20" s="98" t="s">
        <v>3992</v>
      </c>
      <c r="C20" s="47"/>
      <c r="E20" s="155">
        <f ca="1">INDEX('EF Table_detail'!$B$6:$Z$134,MATCH($B20,'EF Table_detail'!$B$6:$B$134,0),MATCH(E$17,'EF Table_detail'!$B$6:$Z$6,0))</f>
        <v>34.230000000000004</v>
      </c>
      <c r="F20" s="155">
        <f ca="1">INDEX('EF Table_detail'!$B$6:$Z$134,MATCH($B20,'EF Table_detail'!$B$6:$B$134,0),MATCH(F$17,'EF Table_detail'!$B$6:$Z$6,0))</f>
        <v>19.299677663043479</v>
      </c>
      <c r="G20" s="155">
        <f ca="1">INDEX('EF Table_detail'!$B$6:$Z$134,MATCH($B20,'EF Table_detail'!$B$6:$B$134,0),MATCH(G$17,'EF Table_detail'!$B$6:$Z$6,0))</f>
        <v>7.294150000000001</v>
      </c>
      <c r="I20" s="155">
        <f ca="1">INDEX('EF Table_detail'!$B$6:$Z$134,MATCH($B20,'EF Table_detail'!$B$6:$B$134,0),MATCH(I$17,'EF Table_detail'!$B$6:$Z$6,0))</f>
        <v>0</v>
      </c>
      <c r="J20" s="155">
        <f ca="1">INDEX('EF Table_detail'!$B$6:$Z$134,MATCH($B20,'EF Table_detail'!$B$6:$B$134,0),MATCH(J$17,'EF Table_detail'!$B$6:$Z$6,0))</f>
        <v>0</v>
      </c>
      <c r="L20" s="98">
        <f t="shared" ca="1" si="0"/>
        <v>0</v>
      </c>
      <c r="M20" s="98">
        <f t="shared" ca="1" si="1"/>
        <v>0</v>
      </c>
      <c r="N20" s="98">
        <f t="shared" ca="1" si="2"/>
        <v>0</v>
      </c>
      <c r="O20" s="98">
        <f t="shared" ca="1" si="2"/>
        <v>0</v>
      </c>
      <c r="P20" s="156"/>
    </row>
    <row r="21" spans="2:16" x14ac:dyDescent="0.25">
      <c r="B21" s="98" t="s">
        <v>2512</v>
      </c>
      <c r="C21" s="47"/>
      <c r="E21" s="155">
        <f ca="1">INDEX('EF Table_detail'!$B$6:$Z$134,MATCH($B21,'EF Table_detail'!$B$6:$B$134,0),MATCH(E$17,'EF Table_detail'!$B$6:$Z$6,0))</f>
        <v>2.3769230769230769</v>
      </c>
      <c r="F21" s="155">
        <f ca="1">INDEX('EF Table_detail'!$B$6:$Z$134,MATCH($B21,'EF Table_detail'!$B$6:$B$134,0),MATCH(F$17,'EF Table_detail'!$B$6:$Z$6,0))</f>
        <v>1.6658576059412267</v>
      </c>
      <c r="G21" s="155">
        <f ca="1">INDEX('EF Table_detail'!$B$6:$Z$134,MATCH($B21,'EF Table_detail'!$B$6:$B$134,0),MATCH(G$17,'EF Table_detail'!$B$6:$Z$6,0))</f>
        <v>1.1000000000000001</v>
      </c>
      <c r="I21" s="155">
        <f ca="1">INDEX('EF Table_detail'!$B$6:$Z$134,MATCH($B21,'EF Table_detail'!$B$6:$B$134,0),MATCH(I$17,'EF Table_detail'!$B$6:$Z$6,0))</f>
        <v>0</v>
      </c>
      <c r="J21" s="155">
        <f ca="1">INDEX('EF Table_detail'!$B$6:$Z$134,MATCH($B21,'EF Table_detail'!$B$6:$B$134,0),MATCH(J$17,'EF Table_detail'!$B$6:$Z$6,0))</f>
        <v>0</v>
      </c>
      <c r="L21" s="98">
        <f t="shared" ca="1" si="0"/>
        <v>0</v>
      </c>
      <c r="M21" s="98">
        <f t="shared" ca="1" si="1"/>
        <v>0</v>
      </c>
      <c r="N21" s="98">
        <f t="shared" ca="1" si="2"/>
        <v>0</v>
      </c>
      <c r="O21" s="98">
        <f t="shared" ca="1" si="2"/>
        <v>0</v>
      </c>
      <c r="P21" s="156"/>
    </row>
    <row r="22" spans="2:16" x14ac:dyDescent="0.25">
      <c r="B22" s="98" t="s">
        <v>4334</v>
      </c>
      <c r="C22" s="47"/>
      <c r="E22" s="155">
        <f ca="1">E21</f>
        <v>2.3769230769230769</v>
      </c>
      <c r="F22" s="155">
        <f t="shared" ref="F22:J22" ca="1" si="3">F21</f>
        <v>1.6658576059412267</v>
      </c>
      <c r="G22" s="155">
        <f t="shared" ref="G22" ca="1" si="4">G21</f>
        <v>1.1000000000000001</v>
      </c>
      <c r="I22" s="155">
        <f t="shared" ca="1" si="3"/>
        <v>0</v>
      </c>
      <c r="J22" s="155">
        <f t="shared" ca="1" si="3"/>
        <v>0</v>
      </c>
      <c r="L22" s="98">
        <f t="shared" ca="1" si="0"/>
        <v>0</v>
      </c>
      <c r="M22" s="98">
        <f t="shared" ca="1" si="1"/>
        <v>0</v>
      </c>
      <c r="N22" s="98">
        <f t="shared" ca="1" si="2"/>
        <v>0</v>
      </c>
      <c r="O22" s="98">
        <f t="shared" ca="1" si="2"/>
        <v>0</v>
      </c>
      <c r="P22" s="156"/>
    </row>
    <row r="23" spans="2:16" x14ac:dyDescent="0.25">
      <c r="B23" s="98" t="s">
        <v>4335</v>
      </c>
      <c r="C23" s="47"/>
      <c r="E23" s="155">
        <f ca="1">E22</f>
        <v>2.3769230769230769</v>
      </c>
      <c r="F23" s="155">
        <f t="shared" ref="F23:G23" ca="1" si="5">F22</f>
        <v>1.6658576059412267</v>
      </c>
      <c r="G23" s="155">
        <f t="shared" ca="1" si="5"/>
        <v>1.1000000000000001</v>
      </c>
      <c r="I23" s="155">
        <f t="shared" ref="I23" ca="1" si="6">I22</f>
        <v>0</v>
      </c>
      <c r="J23" s="155">
        <f t="shared" ref="J23" ca="1" si="7">J22</f>
        <v>0</v>
      </c>
      <c r="L23" s="98">
        <f t="shared" ca="1" si="0"/>
        <v>0</v>
      </c>
      <c r="M23" s="98">
        <f t="shared" ca="1" si="1"/>
        <v>0</v>
      </c>
      <c r="N23" s="98">
        <f t="shared" ca="1" si="2"/>
        <v>0</v>
      </c>
      <c r="O23" s="98">
        <f t="shared" ca="1" si="2"/>
        <v>0</v>
      </c>
      <c r="P23" s="156"/>
    </row>
    <row r="24" spans="2:16" x14ac:dyDescent="0.25">
      <c r="B24" s="98" t="s">
        <v>3509</v>
      </c>
      <c r="C24" s="47"/>
      <c r="E24" s="155">
        <f ca="1">INDEX('EF Table_detail'!$B$6:$Z$134,MATCH($B24,'EF Table_detail'!$B$6:$B$134,0),MATCH(E$17,'EF Table_detail'!$B$6:$Z$6,0))</f>
        <v>0.8035768571428572</v>
      </c>
      <c r="F24" s="155">
        <f ca="1">INDEX('EF Table_detail'!$B$6:$Z$134,MATCH($B24,'EF Table_detail'!$B$6:$B$134,0),MATCH(F$17,'EF Table_detail'!$B$6:$Z$6,0))</f>
        <v>0.46607131305283916</v>
      </c>
      <c r="G24" s="155">
        <f ca="1">INDEX('EF Table_detail'!$B$6:$Z$134,MATCH($B24,'EF Table_detail'!$B$6:$B$134,0),MATCH(G$17,'EF Table_detail'!$B$6:$Z$6,0))</f>
        <v>0.12561445783132519</v>
      </c>
      <c r="I24" s="155">
        <f ca="1">INDEX('EF Table_detail'!$B$6:$Z$134,MATCH($B24,'EF Table_detail'!$B$6:$B$134,0),MATCH(I$17,'EF Table_detail'!$B$6:$Z$6,0))</f>
        <v>1.65</v>
      </c>
      <c r="J24" s="155">
        <f ca="1">INDEX('EF Table_detail'!$B$6:$Z$134,MATCH($B24,'EF Table_detail'!$B$6:$B$134,0),MATCH(J$17,'EF Table_detail'!$B$6:$Z$6,0))</f>
        <v>1.5428205128205132</v>
      </c>
      <c r="L24" s="98">
        <f t="shared" ca="1" si="0"/>
        <v>0</v>
      </c>
      <c r="M24" s="98">
        <f t="shared" ca="1" si="1"/>
        <v>0</v>
      </c>
      <c r="N24" s="98">
        <f t="shared" ca="1" si="2"/>
        <v>0</v>
      </c>
      <c r="O24" s="98">
        <f t="shared" ca="1" si="2"/>
        <v>0</v>
      </c>
      <c r="P24" s="156"/>
    </row>
    <row r="25" spans="2:16" x14ac:dyDescent="0.25">
      <c r="B25" s="98" t="s">
        <v>3913</v>
      </c>
      <c r="C25" s="47"/>
      <c r="E25" s="155">
        <f ca="1">INDEX('EF Table_detail'!$B$6:$Z$134,MATCH($B25,'EF Table_detail'!$B$6:$B$134,0),MATCH(E$17,'EF Table_detail'!$B$6:$Z$6,0))</f>
        <v>4.0529999999999999</v>
      </c>
      <c r="F25" s="155">
        <f ca="1">INDEX('EF Table_detail'!$B$6:$Z$134,MATCH($B25,'EF Table_detail'!$B$6:$B$134,0),MATCH(F$17,'EF Table_detail'!$B$6:$Z$6,0))</f>
        <v>2.4324630047525653</v>
      </c>
      <c r="G25" s="155">
        <f ca="1">INDEX('EF Table_detail'!$B$6:$Z$134,MATCH($B25,'EF Table_detail'!$B$6:$B$134,0),MATCH(G$17,'EF Table_detail'!$B$6:$Z$6,0))</f>
        <v>1.24</v>
      </c>
      <c r="I25" s="155">
        <f ca="1">INDEX('EF Table_detail'!$B$6:$Z$134,MATCH($B25,'EF Table_detail'!$B$6:$B$134,0),MATCH(I$17,'EF Table_detail'!$B$6:$Z$6,0))</f>
        <v>0</v>
      </c>
      <c r="J25" s="155">
        <f ca="1">INDEX('EF Table_detail'!$B$6:$Z$134,MATCH($B25,'EF Table_detail'!$B$6:$B$134,0),MATCH(J$17,'EF Table_detail'!$B$6:$Z$6,0))</f>
        <v>0</v>
      </c>
      <c r="L25" s="98">
        <f t="shared" ca="1" si="0"/>
        <v>0</v>
      </c>
      <c r="M25" s="98">
        <f t="shared" ca="1" si="1"/>
        <v>0</v>
      </c>
      <c r="N25" s="98">
        <f t="shared" ca="1" si="2"/>
        <v>0</v>
      </c>
      <c r="O25" s="98">
        <f t="shared" ca="1" si="2"/>
        <v>0</v>
      </c>
      <c r="P25" s="156"/>
    </row>
    <row r="26" spans="2:16" x14ac:dyDescent="0.25">
      <c r="B26" s="98" t="s">
        <v>2967</v>
      </c>
      <c r="C26" s="47"/>
      <c r="E26" s="155">
        <f ca="1">INDEX('EF Table_detail'!$B$6:$Z$134,MATCH($B26,'EF Table_detail'!$B$6:$B$134,0),MATCH(E$17,'EF Table_detail'!$B$6:$Z$6,0))</f>
        <v>5.9880000000000004</v>
      </c>
      <c r="F26" s="155">
        <f ca="1">INDEX('EF Table_detail'!$B$6:$Z$134,MATCH($B26,'EF Table_detail'!$B$6:$B$134,0),MATCH(F$17,'EF Table_detail'!$B$6:$Z$6,0))</f>
        <v>3.5215008333333331</v>
      </c>
      <c r="G26" s="155">
        <f ca="1">INDEX('EF Table_detail'!$B$6:$Z$134,MATCH($B26,'EF Table_detail'!$B$6:$B$134,0),MATCH(G$17,'EF Table_detail'!$B$6:$Z$6,0))</f>
        <v>2.74</v>
      </c>
      <c r="I26" s="155">
        <f ca="1">INDEX('EF Table_detail'!$B$6:$Z$134,MATCH($B26,'EF Table_detail'!$B$6:$B$134,0),MATCH(I$17,'EF Table_detail'!$B$6:$Z$6,0))</f>
        <v>0</v>
      </c>
      <c r="J26" s="155">
        <f ca="1">INDEX('EF Table_detail'!$B$6:$Z$134,MATCH($B26,'EF Table_detail'!$B$6:$B$134,0),MATCH(J$17,'EF Table_detail'!$B$6:$Z$6,0))</f>
        <v>0</v>
      </c>
      <c r="L26" s="98">
        <f t="shared" ca="1" si="0"/>
        <v>0</v>
      </c>
      <c r="M26" s="98">
        <f t="shared" ca="1" si="1"/>
        <v>0</v>
      </c>
      <c r="N26" s="98">
        <f t="shared" ca="1" si="2"/>
        <v>0</v>
      </c>
      <c r="O26" s="98">
        <f t="shared" ca="1" si="2"/>
        <v>0</v>
      </c>
      <c r="P26" s="156"/>
    </row>
    <row r="27" spans="2:16" x14ac:dyDescent="0.25">
      <c r="B27" s="98" t="s">
        <v>2318</v>
      </c>
      <c r="C27" s="47"/>
      <c r="E27" s="155">
        <f>EPDM!$E$18</f>
        <v>4.3928571428571423</v>
      </c>
      <c r="F27" s="155">
        <f>EPDM!$E$20</f>
        <v>3.4678210678210681</v>
      </c>
      <c r="G27" s="155">
        <f>EPDM!$E$19</f>
        <v>2.2651515151515151</v>
      </c>
      <c r="I27" s="155">
        <f>EPDM!$G$18</f>
        <v>0</v>
      </c>
      <c r="J27" s="155">
        <f>EPDM!$G$20</f>
        <v>0</v>
      </c>
      <c r="L27" s="98">
        <f t="shared" si="0"/>
        <v>0</v>
      </c>
      <c r="M27" s="98">
        <f t="shared" si="1"/>
        <v>0</v>
      </c>
      <c r="N27" s="98">
        <f t="shared" si="2"/>
        <v>0</v>
      </c>
      <c r="O27" s="98">
        <f t="shared" si="2"/>
        <v>0</v>
      </c>
      <c r="P27" s="156"/>
    </row>
    <row r="28" spans="2:16" x14ac:dyDescent="0.25">
      <c r="B28" s="98" t="s">
        <v>4336</v>
      </c>
      <c r="C28" s="47"/>
      <c r="E28" s="155">
        <f>Thermal_break!$E$18</f>
        <v>9.5041533999999997E-3</v>
      </c>
      <c r="F28" s="155">
        <f>Thermal_break!$E$20</f>
        <v>9.5041533999999997E-3</v>
      </c>
      <c r="G28" s="155">
        <f>Thermal_break!$E$19</f>
        <v>9.5041533999999997E-3</v>
      </c>
      <c r="I28" s="155">
        <f>Thermal_break!$G$18</f>
        <v>0</v>
      </c>
      <c r="J28" s="155">
        <f>Thermal_break!$G$20</f>
        <v>0</v>
      </c>
      <c r="L28" s="98">
        <f t="shared" si="0"/>
        <v>0</v>
      </c>
      <c r="M28" s="98">
        <f t="shared" si="1"/>
        <v>0</v>
      </c>
      <c r="N28" s="98">
        <f t="shared" si="2"/>
        <v>0</v>
      </c>
      <c r="O28" s="98">
        <f t="shared" si="2"/>
        <v>0</v>
      </c>
      <c r="P28" s="156"/>
    </row>
    <row r="29" spans="2:16" x14ac:dyDescent="0.25">
      <c r="B29" s="98" t="s">
        <v>4337</v>
      </c>
      <c r="C29" s="48"/>
      <c r="E29" s="155">
        <f>Insulation!$E$18</f>
        <v>4.74</v>
      </c>
      <c r="F29" s="155">
        <f>Insulation!$E$19</f>
        <v>2.4300000000000002</v>
      </c>
      <c r="G29" s="155">
        <f>Insulation!$E$19</f>
        <v>2.4300000000000002</v>
      </c>
      <c r="I29" s="155">
        <f>Insulation!$G$18</f>
        <v>0</v>
      </c>
      <c r="J29" s="155">
        <f>Insulation!$G$20</f>
        <v>0</v>
      </c>
      <c r="L29" s="98">
        <f t="shared" si="0"/>
        <v>0</v>
      </c>
      <c r="M29" s="98">
        <f t="shared" si="1"/>
        <v>0</v>
      </c>
      <c r="N29" s="98">
        <f t="shared" si="2"/>
        <v>0</v>
      </c>
      <c r="O29" s="98">
        <f t="shared" si="2"/>
        <v>0</v>
      </c>
      <c r="P29" s="156"/>
    </row>
    <row r="30" spans="2:16" x14ac:dyDescent="0.25">
      <c r="B30" s="98" t="s">
        <v>2710</v>
      </c>
      <c r="C30" s="320"/>
      <c r="E30" s="155">
        <f ca="1">INDEX('EF Table_detail'!$B$6:$Z$134,MATCH($B30,'EF Table_detail'!$B$6:$B$134,0),MATCH(E$17,'EF Table_detail'!$B$6:$Z$6,0))</f>
        <v>0.44924000000000003</v>
      </c>
      <c r="F30" s="155">
        <f ca="1">INDEX('EF Table_detail'!$B$6:$Z$134,MATCH($B30,'EF Table_detail'!$B$6:$B$134,0),MATCH(F$17,'EF Table_detail'!$B$6:$Z$6,0))</f>
        <v>0.18615808708333337</v>
      </c>
      <c r="G30" s="155">
        <f ca="1">INDEX('EF Table_detail'!$B$6:$Z$134,MATCH($B30,'EF Table_detail'!$B$6:$B$134,0),MATCH(G$17,'EF Table_detail'!$B$6:$Z$6,0))</f>
        <v>4.7832090000000001E-2</v>
      </c>
      <c r="I30" s="155">
        <f ca="1">INDEX('EF Table_detail'!$B$6:$Z$134,MATCH($B30,'EF Table_detail'!$B$6:$B$134,0),MATCH(I$17,'EF Table_detail'!$B$6:$Z$6,0))</f>
        <v>0</v>
      </c>
      <c r="J30" s="155">
        <f ca="1">INDEX('EF Table_detail'!$B$6:$Z$134,MATCH($B30,'EF Table_detail'!$B$6:$B$134,0),MATCH(J$17,'EF Table_detail'!$B$6:$Z$6,0))</f>
        <v>0</v>
      </c>
      <c r="L30" s="98">
        <f t="shared" ca="1" si="0"/>
        <v>0</v>
      </c>
      <c r="M30" s="98">
        <f t="shared" ref="M30:M35" ca="1" si="8">$C30*(1+$C$38)*F30</f>
        <v>0</v>
      </c>
      <c r="N30" s="98">
        <f t="shared" ref="N30:O35" ca="1" si="9">$C30*(1+$C$38)*I30</f>
        <v>0</v>
      </c>
      <c r="O30" s="98">
        <f t="shared" ca="1" si="9"/>
        <v>0</v>
      </c>
      <c r="P30" s="156"/>
    </row>
    <row r="31" spans="2:16" x14ac:dyDescent="0.25">
      <c r="B31" s="98" t="s">
        <v>3551</v>
      </c>
      <c r="C31" s="320"/>
      <c r="E31" s="155">
        <f ca="1">INDEX('EF Table_detail'!$B$6:$Z$134,MATCH($B31,'EF Table_detail'!$B$6:$B$134,0),MATCH(E$17,'EF Table_detail'!$B$6:$Z$6,0))</f>
        <v>1.2481257171117701</v>
      </c>
      <c r="F31" s="155">
        <f ca="1">INDEX('EF Table_detail'!$B$6:$Z$134,MATCH($B31,'EF Table_detail'!$B$6:$B$134,0),MATCH(F$17,'EF Table_detail'!$B$6:$Z$6,0))</f>
        <v>1.0241513353115723</v>
      </c>
      <c r="G31" s="155">
        <f ca="1">INDEX('EF Table_detail'!$B$6:$Z$134,MATCH($B31,'EF Table_detail'!$B$6:$B$134,0),MATCH(G$17,'EF Table_detail'!$B$6:$Z$6,0))</f>
        <v>0.92980217606330329</v>
      </c>
      <c r="I31" s="155">
        <f ca="1">INDEX('EF Table_detail'!$B$6:$Z$134,MATCH($B31,'EF Table_detail'!$B$6:$B$134,0),MATCH(I$17,'EF Table_detail'!$B$6:$Z$6,0))</f>
        <v>1.6133333333333331</v>
      </c>
      <c r="J31" s="155">
        <f ca="1">INDEX('EF Table_detail'!$B$6:$Z$134,MATCH($B31,'EF Table_detail'!$B$6:$B$134,0),MATCH(J$17,'EF Table_detail'!$B$6:$Z$6,0))</f>
        <v>1.6133333333333331</v>
      </c>
      <c r="L31" s="98">
        <f t="shared" ca="1" si="0"/>
        <v>0</v>
      </c>
      <c r="M31" s="98">
        <f t="shared" ca="1" si="8"/>
        <v>0</v>
      </c>
      <c r="N31" s="98">
        <f t="shared" ca="1" si="9"/>
        <v>0</v>
      </c>
      <c r="O31" s="98">
        <f t="shared" ca="1" si="9"/>
        <v>0</v>
      </c>
      <c r="P31" s="156"/>
    </row>
    <row r="32" spans="2:16" x14ac:dyDescent="0.25">
      <c r="B32" s="98" t="s">
        <v>2897</v>
      </c>
      <c r="C32" s="320"/>
      <c r="E32" s="155">
        <f ca="1">INDEX('EF Table_detail'!$B$6:$Z$134,MATCH($B32,'EF Table_detail'!$B$6:$B$134,0),MATCH(E$17,'EF Table_detail'!$B$6:$Z$6,0))</f>
        <v>0.47249999999999998</v>
      </c>
      <c r="F32" s="155">
        <f ca="1">INDEX('EF Table_detail'!$B$6:$Z$134,MATCH($B32,'EF Table_detail'!$B$6:$B$134,0),MATCH(F$17,'EF Table_detail'!$B$6:$Z$6,0))</f>
        <v>0.29826078812332296</v>
      </c>
      <c r="G32" s="155">
        <f ca="1">INDEX('EF Table_detail'!$B$6:$Z$134,MATCH($B32,'EF Table_detail'!$B$6:$B$134,0),MATCH(G$17,'EF Table_detail'!$B$6:$Z$6,0))</f>
        <v>0.17519999999999999</v>
      </c>
      <c r="I32" s="155">
        <f ca="1">INDEX('EF Table_detail'!$B$6:$Z$134,MATCH($B32,'EF Table_detail'!$B$6:$B$134,0),MATCH(I$17,'EF Table_detail'!$B$6:$Z$6,0))</f>
        <v>0.20395833333333335</v>
      </c>
      <c r="J32" s="155">
        <f ca="1">INDEX('EF Table_detail'!$B$6:$Z$134,MATCH($B32,'EF Table_detail'!$B$6:$B$134,0),MATCH(J$17,'EF Table_detail'!$B$6:$Z$6,0))</f>
        <v>6.0758025026185471E-2</v>
      </c>
      <c r="L32" s="98">
        <f t="shared" ca="1" si="0"/>
        <v>0</v>
      </c>
      <c r="M32" s="98">
        <f t="shared" ca="1" si="8"/>
        <v>0</v>
      </c>
      <c r="N32" s="98">
        <f t="shared" ca="1" si="9"/>
        <v>0</v>
      </c>
      <c r="O32" s="98">
        <f t="shared" ca="1" si="9"/>
        <v>0</v>
      </c>
      <c r="P32" s="156"/>
    </row>
    <row r="33" spans="1:23" x14ac:dyDescent="0.25">
      <c r="B33" s="98" t="s">
        <v>2329</v>
      </c>
      <c r="C33" s="320"/>
      <c r="E33" s="155">
        <f ca="1">INDEX('EF Table_detail'!$B$6:$Z$134,MATCH($B33,'EF Table_detail'!$B$6:$B$134,0),MATCH(E$17,'EF Table_detail'!$B$6:$Z$6,0))</f>
        <v>1.3899686915593283</v>
      </c>
      <c r="F33" s="155">
        <f ca="1">INDEX('EF Table_detail'!$B$6:$Z$134,MATCH($B33,'EF Table_detail'!$B$6:$B$134,0),MATCH(F$17,'EF Table_detail'!$B$6:$Z$6,0))</f>
        <v>0.852979655994341</v>
      </c>
      <c r="G33" s="155">
        <f ca="1">INDEX('EF Table_detail'!$B$6:$Z$134,MATCH($B33,'EF Table_detail'!$B$6:$B$134,0),MATCH(G$17,'EF Table_detail'!$B$6:$Z$6,0))</f>
        <v>0.30722992282728107</v>
      </c>
      <c r="I33" s="155">
        <f ca="1">INDEX('EF Table_detail'!$B$6:$Z$134,MATCH($B33,'EF Table_detail'!$B$6:$B$134,0),MATCH(I$17,'EF Table_detail'!$B$6:$Z$6,0))</f>
        <v>8.3333333333333332E-3</v>
      </c>
      <c r="J33" s="155">
        <f ca="1">INDEX('EF Table_detail'!$B$6:$Z$134,MATCH($B33,'EF Table_detail'!$B$6:$B$134,0),MATCH(J$17,'EF Table_detail'!$B$6:$Z$6,0))</f>
        <v>3.2122689436936249E-3</v>
      </c>
      <c r="L33" s="98">
        <f t="shared" ca="1" si="0"/>
        <v>0</v>
      </c>
      <c r="M33" s="98">
        <f t="shared" ca="1" si="8"/>
        <v>0</v>
      </c>
      <c r="N33" s="98">
        <f t="shared" ca="1" si="9"/>
        <v>0</v>
      </c>
      <c r="O33" s="98">
        <f t="shared" ca="1" si="9"/>
        <v>0</v>
      </c>
      <c r="P33" s="156"/>
    </row>
    <row r="34" spans="1:23" x14ac:dyDescent="0.25">
      <c r="B34" s="321" t="s">
        <v>2611</v>
      </c>
      <c r="C34" s="320"/>
      <c r="E34" s="155">
        <f ca="1">INDEX('EF Table_detail'!$B$6:$Z$134,MATCH($B34,'EF Table_detail'!$B$6:$B$134,0),MATCH(E$17,'EF Table_detail'!$B$6:$Z$6,0))</f>
        <v>0.86868000000000001</v>
      </c>
      <c r="F34" s="155">
        <f ca="1">INDEX('EF Table_detail'!$B$6:$Z$134,MATCH($B34,'EF Table_detail'!$B$6:$B$134,0),MATCH(F$17,'EF Table_detail'!$B$6:$Z$6,0))</f>
        <v>0.54447016317016317</v>
      </c>
      <c r="G34" s="155">
        <f ca="1">INDEX('EF Table_detail'!$B$6:$Z$134,MATCH($B34,'EF Table_detail'!$B$6:$B$134,0),MATCH(G$17,'EF Table_detail'!$B$6:$Z$6,0))</f>
        <v>0.40769230769230769</v>
      </c>
      <c r="I34" s="155">
        <f ca="1">INDEX('EF Table_detail'!$B$6:$Z$134,MATCH($B34,'EF Table_detail'!$B$6:$B$134,0),MATCH(I$17,'EF Table_detail'!$B$6:$Z$6,0))</f>
        <v>0</v>
      </c>
      <c r="J34" s="155">
        <f ca="1">INDEX('EF Table_detail'!$B$6:$Z$134,MATCH($B34,'EF Table_detail'!$B$6:$B$134,0),MATCH(J$17,'EF Table_detail'!$B$6:$Z$6,0))</f>
        <v>0</v>
      </c>
      <c r="L34" s="98">
        <f t="shared" ca="1" si="0"/>
        <v>0</v>
      </c>
      <c r="M34" s="98">
        <f t="shared" ca="1" si="8"/>
        <v>0</v>
      </c>
      <c r="N34" s="98">
        <f t="shared" ca="1" si="9"/>
        <v>0</v>
      </c>
      <c r="O34" s="98">
        <f t="shared" ca="1" si="9"/>
        <v>0</v>
      </c>
      <c r="P34" s="156"/>
    </row>
    <row r="35" spans="1:23" x14ac:dyDescent="0.25">
      <c r="B35" s="321" t="s">
        <v>3895</v>
      </c>
      <c r="C35" s="320"/>
      <c r="E35" s="155">
        <f ca="1">INDEX('EF Table_detail'!$B$6:$Z$134,MATCH($B35,'EF Table_detail'!$B$6:$B$134,0),MATCH(E$17,'EF Table_detail'!$B$6:$Z$6,0))</f>
        <v>0.26142566519999993</v>
      </c>
      <c r="F35" s="155">
        <f ca="1">INDEX('EF Table_detail'!$B$6:$Z$134,MATCH($B35,'EF Table_detail'!$B$6:$B$134,0),MATCH(F$17,'EF Table_detail'!$B$6:$Z$6,0))</f>
        <v>0.2076727743</v>
      </c>
      <c r="G35" s="155">
        <f ca="1">INDEX('EF Table_detail'!$B$6:$Z$134,MATCH($B35,'EF Table_detail'!$B$6:$B$134,0),MATCH(G$17,'EF Table_detail'!$B$6:$Z$6,0))</f>
        <v>0.18309399999999998</v>
      </c>
      <c r="I35" s="155">
        <f ca="1">INDEX('EF Table_detail'!$B$6:$Z$134,MATCH($B35,'EF Table_detail'!$B$6:$B$134,0),MATCH(I$17,'EF Table_detail'!$B$6:$Z$6,0))</f>
        <v>0</v>
      </c>
      <c r="J35" s="155">
        <f ca="1">INDEX('EF Table_detail'!$B$6:$Z$134,MATCH($B35,'EF Table_detail'!$B$6:$B$134,0),MATCH(J$17,'EF Table_detail'!$B$6:$Z$6,0))</f>
        <v>0</v>
      </c>
      <c r="L35" s="98">
        <f t="shared" ca="1" si="0"/>
        <v>0</v>
      </c>
      <c r="M35" s="98">
        <f t="shared" ca="1" si="8"/>
        <v>0</v>
      </c>
      <c r="N35" s="98">
        <f t="shared" ca="1" si="9"/>
        <v>0</v>
      </c>
      <c r="O35" s="98">
        <f t="shared" ca="1" si="9"/>
        <v>0</v>
      </c>
      <c r="P35" s="156"/>
    </row>
    <row r="36" spans="1:23" x14ac:dyDescent="0.25">
      <c r="B36" s="18" t="s">
        <v>4338</v>
      </c>
      <c r="C36" s="18">
        <f>SUM(C18:C29)</f>
        <v>0</v>
      </c>
      <c r="P36" s="156"/>
    </row>
    <row r="37" spans="1:23" ht="13.8" thickBot="1" x14ac:dyDescent="0.3">
      <c r="B37" s="98" t="s">
        <v>4339</v>
      </c>
      <c r="C37" s="158">
        <v>0.1</v>
      </c>
      <c r="E37" s="155">
        <v>0.81</v>
      </c>
      <c r="F37" s="155">
        <v>0.81</v>
      </c>
      <c r="G37" s="155">
        <v>0.8</v>
      </c>
      <c r="I37" s="157">
        <v>0</v>
      </c>
      <c r="J37" s="155">
        <v>0</v>
      </c>
      <c r="L37" s="98">
        <f>$C37*$C$36*(1+$C$38)*E$37</f>
        <v>0</v>
      </c>
      <c r="M37" s="98">
        <f>$C37*$C$36*(1+$C$38)*F$37</f>
        <v>0</v>
      </c>
      <c r="N37" s="98">
        <f t="shared" ref="N37:O37" si="10">$C37*$C$36*(1+$C$38)*I$37</f>
        <v>0</v>
      </c>
      <c r="O37" s="98">
        <f t="shared" si="10"/>
        <v>0</v>
      </c>
      <c r="P37" s="156"/>
    </row>
    <row r="38" spans="1:23" ht="13.8" thickBot="1" x14ac:dyDescent="0.3">
      <c r="B38" s="98" t="s">
        <v>4340</v>
      </c>
      <c r="C38" s="159">
        <v>0.05</v>
      </c>
      <c r="L38" s="49">
        <f ca="1">SUM(L18:L37)</f>
        <v>0</v>
      </c>
      <c r="M38" s="49">
        <f t="shared" ref="M38:O38" ca="1" si="11">SUM(M18:M37)</f>
        <v>0</v>
      </c>
      <c r="N38" s="49">
        <f t="shared" ca="1" si="11"/>
        <v>0</v>
      </c>
      <c r="O38" s="50">
        <f t="shared" ca="1" si="11"/>
        <v>0</v>
      </c>
      <c r="P38" s="156"/>
    </row>
    <row r="39" spans="1:23" x14ac:dyDescent="0.25">
      <c r="O39" s="13"/>
      <c r="P39" s="156"/>
    </row>
    <row r="40" spans="1:23" x14ac:dyDescent="0.25">
      <c r="D40" s="4"/>
    </row>
    <row r="41" spans="1:23" x14ac:dyDescent="0.25">
      <c r="A41" s="4" t="s">
        <v>4341</v>
      </c>
    </row>
    <row r="42" spans="1:23" ht="14.4" x14ac:dyDescent="0.25">
      <c r="C42" s="317" t="s">
        <v>4342</v>
      </c>
      <c r="D42" s="316" t="s">
        <v>4343</v>
      </c>
      <c r="E42" s="316" t="s">
        <v>4344</v>
      </c>
      <c r="F42" s="316" t="s">
        <v>4345</v>
      </c>
      <c r="G42" s="316" t="s">
        <v>4346</v>
      </c>
      <c r="H42" s="316" t="s">
        <v>4347</v>
      </c>
      <c r="I42" s="316" t="s">
        <v>4348</v>
      </c>
      <c r="J42" s="316" t="s">
        <v>4349</v>
      </c>
      <c r="K42" s="316" t="s">
        <v>4350</v>
      </c>
      <c r="L42" s="316" t="s">
        <v>4351</v>
      </c>
      <c r="M42" s="316" t="s">
        <v>4352</v>
      </c>
      <c r="N42" s="316" t="s">
        <v>4353</v>
      </c>
      <c r="O42" s="316" t="s">
        <v>4354</v>
      </c>
      <c r="P42" s="316" t="s">
        <v>4355</v>
      </c>
      <c r="Q42" s="316" t="s">
        <v>4356</v>
      </c>
      <c r="R42" s="318" t="s">
        <v>4357</v>
      </c>
    </row>
    <row r="43" spans="1:23" s="14" customFormat="1" ht="132" x14ac:dyDescent="0.25">
      <c r="B43" s="160"/>
      <c r="C43" s="319" t="s">
        <v>4020</v>
      </c>
      <c r="D43" s="319" t="s">
        <v>4022</v>
      </c>
      <c r="E43" s="319" t="s">
        <v>4023</v>
      </c>
      <c r="F43" s="319" t="s">
        <v>4024</v>
      </c>
      <c r="G43" s="319" t="s">
        <v>4025</v>
      </c>
      <c r="H43" s="319" t="s">
        <v>4026</v>
      </c>
      <c r="I43" s="319" t="s">
        <v>4027</v>
      </c>
      <c r="J43" s="319" t="s">
        <v>4028</v>
      </c>
      <c r="K43" s="319" t="s">
        <v>4029</v>
      </c>
      <c r="L43" s="319" t="s">
        <v>4030</v>
      </c>
      <c r="M43" s="319" t="s">
        <v>4031</v>
      </c>
      <c r="N43" s="319" t="s">
        <v>4032</v>
      </c>
      <c r="O43" s="319" t="s">
        <v>4033</v>
      </c>
      <c r="P43" s="319" t="s">
        <v>4034</v>
      </c>
      <c r="Q43" s="319" t="s">
        <v>4035</v>
      </c>
      <c r="R43" s="319" t="s">
        <v>4036</v>
      </c>
      <c r="S43" s="20"/>
      <c r="T43" s="20"/>
      <c r="U43" s="20"/>
      <c r="V43" s="20"/>
      <c r="W43" s="20"/>
    </row>
    <row r="44" spans="1:23" x14ac:dyDescent="0.25">
      <c r="B44" s="18" t="s">
        <v>4327</v>
      </c>
      <c r="C44" s="18" t="s">
        <v>4358</v>
      </c>
      <c r="D44" s="18" t="s">
        <v>4358</v>
      </c>
      <c r="E44" s="18" t="s">
        <v>4358</v>
      </c>
      <c r="F44" s="18" t="s">
        <v>4358</v>
      </c>
      <c r="G44" s="18" t="s">
        <v>4358</v>
      </c>
      <c r="H44" s="18" t="s">
        <v>4358</v>
      </c>
      <c r="I44" s="18" t="s">
        <v>4358</v>
      </c>
      <c r="J44" s="18" t="s">
        <v>4358</v>
      </c>
      <c r="K44" s="18" t="s">
        <v>4358</v>
      </c>
      <c r="L44" s="18" t="s">
        <v>4358</v>
      </c>
      <c r="M44" s="18" t="s">
        <v>4358</v>
      </c>
      <c r="N44" s="18" t="s">
        <v>4358</v>
      </c>
      <c r="O44" s="18" t="s">
        <v>4358</v>
      </c>
      <c r="P44" s="18" t="s">
        <v>4358</v>
      </c>
      <c r="Q44" s="18" t="s">
        <v>4358</v>
      </c>
      <c r="R44" s="18" t="s">
        <v>4358</v>
      </c>
    </row>
    <row r="45" spans="1:23" ht="14.4" x14ac:dyDescent="0.25">
      <c r="B45" s="333" t="s">
        <v>4359</v>
      </c>
      <c r="C45" s="334">
        <v>0</v>
      </c>
      <c r="D45" s="335">
        <v>0</v>
      </c>
      <c r="E45" s="335">
        <v>0</v>
      </c>
      <c r="F45" s="335">
        <v>0</v>
      </c>
      <c r="G45" s="335">
        <v>0</v>
      </c>
      <c r="H45" s="335">
        <v>0</v>
      </c>
      <c r="I45" s="335">
        <v>0</v>
      </c>
      <c r="J45" s="335">
        <v>0</v>
      </c>
      <c r="K45" s="335">
        <v>0</v>
      </c>
      <c r="L45" s="335">
        <v>0</v>
      </c>
      <c r="M45" s="335">
        <v>0</v>
      </c>
      <c r="N45" s="335">
        <v>0</v>
      </c>
      <c r="O45" s="335">
        <v>0</v>
      </c>
      <c r="P45" s="335">
        <v>0</v>
      </c>
      <c r="Q45" s="335">
        <v>0</v>
      </c>
      <c r="R45" s="336">
        <v>0</v>
      </c>
      <c r="S45" s="337" t="s">
        <v>4360</v>
      </c>
    </row>
    <row r="46" spans="1:23" ht="14.4" x14ac:dyDescent="0.25">
      <c r="B46" s="98" t="s">
        <v>4295</v>
      </c>
      <c r="C46" s="322">
        <v>8.8595392919999991</v>
      </c>
      <c r="D46" s="323">
        <v>16.64980491</v>
      </c>
      <c r="E46" s="323">
        <v>22.72621968</v>
      </c>
      <c r="F46" s="323">
        <v>16.191437270000002</v>
      </c>
      <c r="G46" s="323">
        <v>12.72935751</v>
      </c>
      <c r="H46" s="323">
        <v>18.931258750000001</v>
      </c>
      <c r="I46" s="323">
        <v>11.62744382</v>
      </c>
      <c r="J46" s="323">
        <v>4.7645886710000003</v>
      </c>
      <c r="K46" s="323">
        <v>7.5098378859999997</v>
      </c>
      <c r="L46" s="323">
        <v>26.71628694</v>
      </c>
      <c r="M46" s="323">
        <v>12.97122903</v>
      </c>
      <c r="N46" s="323">
        <v>4.4503081330000001</v>
      </c>
      <c r="O46" s="323">
        <v>7.9247770209999997</v>
      </c>
      <c r="P46" s="323">
        <v>3.9345467580000002</v>
      </c>
      <c r="Q46" s="323">
        <v>4.0361451050000001</v>
      </c>
      <c r="R46" s="323">
        <v>3.9626591310000001</v>
      </c>
    </row>
    <row r="47" spans="1:23" ht="14.4" x14ac:dyDescent="0.25">
      <c r="B47" s="333" t="s">
        <v>4293</v>
      </c>
      <c r="C47" s="331">
        <v>0</v>
      </c>
      <c r="D47" s="332">
        <v>0</v>
      </c>
      <c r="E47" s="332">
        <v>0</v>
      </c>
      <c r="F47" s="332">
        <v>0</v>
      </c>
      <c r="G47" s="332">
        <v>0</v>
      </c>
      <c r="H47" s="332">
        <v>0</v>
      </c>
      <c r="I47" s="332">
        <v>0</v>
      </c>
      <c r="J47" s="332">
        <v>0</v>
      </c>
      <c r="K47" s="332">
        <v>0</v>
      </c>
      <c r="L47" s="332">
        <v>0</v>
      </c>
      <c r="M47" s="332">
        <v>0</v>
      </c>
      <c r="N47" s="332">
        <v>0</v>
      </c>
      <c r="O47" s="332">
        <v>0</v>
      </c>
      <c r="P47" s="332">
        <v>0</v>
      </c>
      <c r="Q47" s="332">
        <v>0</v>
      </c>
      <c r="R47" s="332">
        <v>0</v>
      </c>
      <c r="S47" s="337" t="s">
        <v>4360</v>
      </c>
    </row>
    <row r="48" spans="1:23" ht="14.4" x14ac:dyDescent="0.25">
      <c r="B48" s="98" t="s">
        <v>2510</v>
      </c>
      <c r="C48" s="322">
        <v>39.887640449999999</v>
      </c>
      <c r="D48" s="323">
        <v>19.943820219999999</v>
      </c>
      <c r="E48" s="323">
        <v>19.943820219999999</v>
      </c>
      <c r="F48" s="323">
        <v>27.586206900000001</v>
      </c>
      <c r="G48" s="323">
        <v>39.479028390000003</v>
      </c>
      <c r="H48" s="323">
        <v>19.943820219999999</v>
      </c>
      <c r="I48" s="323">
        <v>19.943820219999999</v>
      </c>
      <c r="J48" s="323">
        <v>19.943820219999999</v>
      </c>
      <c r="K48" s="323">
        <v>19.943820219999999</v>
      </c>
      <c r="L48" s="323">
        <v>70.303030300000003</v>
      </c>
      <c r="M48" s="323">
        <v>70.303030300000003</v>
      </c>
      <c r="N48" s="323">
        <v>19.943820219999999</v>
      </c>
      <c r="O48" s="323">
        <v>19.943820219999999</v>
      </c>
      <c r="P48" s="323">
        <v>19.943820219999999</v>
      </c>
      <c r="Q48" s="323">
        <v>19.943820219999999</v>
      </c>
      <c r="R48" s="323">
        <v>19.943820219999999</v>
      </c>
    </row>
    <row r="49" spans="2:19" ht="14.4" x14ac:dyDescent="0.25">
      <c r="B49" s="333" t="s">
        <v>4334</v>
      </c>
      <c r="C49" s="331">
        <v>0</v>
      </c>
      <c r="D49" s="332">
        <v>0</v>
      </c>
      <c r="E49" s="332">
        <v>0</v>
      </c>
      <c r="F49" s="332">
        <v>0</v>
      </c>
      <c r="G49" s="332">
        <v>0</v>
      </c>
      <c r="H49" s="332">
        <v>0</v>
      </c>
      <c r="I49" s="332">
        <v>0</v>
      </c>
      <c r="J49" s="332">
        <v>0</v>
      </c>
      <c r="K49" s="332">
        <v>0</v>
      </c>
      <c r="L49" s="332">
        <v>0</v>
      </c>
      <c r="M49" s="332">
        <v>0</v>
      </c>
      <c r="N49" s="332">
        <v>0</v>
      </c>
      <c r="O49" s="332">
        <v>0</v>
      </c>
      <c r="P49" s="332">
        <v>0</v>
      </c>
      <c r="Q49" s="332">
        <v>0</v>
      </c>
      <c r="R49" s="332">
        <v>0</v>
      </c>
      <c r="S49" s="337" t="s">
        <v>4361</v>
      </c>
    </row>
    <row r="50" spans="2:19" ht="14.4" x14ac:dyDescent="0.25">
      <c r="B50" s="333" t="s">
        <v>4335</v>
      </c>
      <c r="C50" s="331">
        <v>0</v>
      </c>
      <c r="D50" s="332">
        <v>0</v>
      </c>
      <c r="E50" s="332">
        <v>0</v>
      </c>
      <c r="F50" s="332">
        <v>0</v>
      </c>
      <c r="G50" s="332">
        <v>0</v>
      </c>
      <c r="H50" s="332">
        <v>0</v>
      </c>
      <c r="I50" s="332">
        <v>0</v>
      </c>
      <c r="J50" s="332">
        <v>0</v>
      </c>
      <c r="K50" s="332">
        <v>0</v>
      </c>
      <c r="L50" s="332">
        <v>0</v>
      </c>
      <c r="M50" s="332">
        <v>0</v>
      </c>
      <c r="N50" s="332">
        <v>0</v>
      </c>
      <c r="O50" s="332">
        <v>0</v>
      </c>
      <c r="P50" s="332">
        <v>0</v>
      </c>
      <c r="Q50" s="332">
        <v>0</v>
      </c>
      <c r="R50" s="332">
        <v>0</v>
      </c>
      <c r="S50" s="337" t="s">
        <v>4361</v>
      </c>
    </row>
    <row r="51" spans="2:19" ht="14.4" x14ac:dyDescent="0.25">
      <c r="B51" s="98" t="s">
        <v>3931</v>
      </c>
      <c r="C51" s="322">
        <v>0</v>
      </c>
      <c r="D51" s="323">
        <v>0</v>
      </c>
      <c r="E51" s="323">
        <v>0</v>
      </c>
      <c r="F51" s="323">
        <v>0</v>
      </c>
      <c r="G51" s="323">
        <v>0</v>
      </c>
      <c r="H51" s="323">
        <v>0</v>
      </c>
      <c r="I51" s="323">
        <v>0</v>
      </c>
      <c r="J51" s="323">
        <v>0</v>
      </c>
      <c r="K51" s="323">
        <v>11.58857809</v>
      </c>
      <c r="L51" s="323">
        <v>0</v>
      </c>
      <c r="M51" s="323">
        <v>0</v>
      </c>
      <c r="N51" s="323">
        <v>0</v>
      </c>
      <c r="O51" s="323">
        <v>0</v>
      </c>
      <c r="P51" s="323">
        <v>0</v>
      </c>
      <c r="Q51" s="323">
        <v>0</v>
      </c>
      <c r="R51" s="323">
        <v>0</v>
      </c>
    </row>
    <row r="52" spans="2:19" ht="14.4" x14ac:dyDescent="0.25">
      <c r="B52" s="98" t="s">
        <v>2996</v>
      </c>
      <c r="C52" s="322">
        <v>0</v>
      </c>
      <c r="D52" s="323">
        <v>0</v>
      </c>
      <c r="E52" s="323">
        <v>0</v>
      </c>
      <c r="F52" s="323">
        <v>0</v>
      </c>
      <c r="G52" s="323">
        <v>0</v>
      </c>
      <c r="H52" s="323">
        <v>0</v>
      </c>
      <c r="I52" s="323">
        <v>0</v>
      </c>
      <c r="J52" s="323">
        <v>36.020942079999998</v>
      </c>
      <c r="K52" s="323">
        <v>0</v>
      </c>
      <c r="L52" s="323">
        <v>37.484482759999999</v>
      </c>
      <c r="M52" s="323">
        <v>0</v>
      </c>
      <c r="N52" s="323">
        <v>3.6288013139999999</v>
      </c>
      <c r="O52" s="323">
        <v>6.707159045</v>
      </c>
      <c r="P52" s="323">
        <v>4.7713382590000002</v>
      </c>
      <c r="Q52" s="323">
        <v>2.8708045979999999</v>
      </c>
      <c r="R52" s="323">
        <v>0.24699859299999999</v>
      </c>
    </row>
    <row r="53" spans="2:19" ht="14.4" x14ac:dyDescent="0.25">
      <c r="B53" s="98" t="s">
        <v>2966</v>
      </c>
      <c r="C53" s="322">
        <v>2.0584993699999998</v>
      </c>
      <c r="D53" s="323">
        <v>2.1244311100000002</v>
      </c>
      <c r="E53" s="323">
        <v>3.175918856</v>
      </c>
      <c r="F53" s="323">
        <v>2.610312312</v>
      </c>
      <c r="G53" s="323">
        <v>2.3131322989999998</v>
      </c>
      <c r="H53" s="323">
        <v>2.3647734159999998</v>
      </c>
      <c r="I53" s="323">
        <v>2.2579185260000001</v>
      </c>
      <c r="J53" s="323">
        <v>1.959764152</v>
      </c>
      <c r="K53" s="323">
        <v>2.189063703</v>
      </c>
      <c r="L53" s="323">
        <v>0</v>
      </c>
      <c r="M53" s="323">
        <v>3.754049379</v>
      </c>
      <c r="N53" s="323">
        <v>6.0478568580000003</v>
      </c>
      <c r="O53" s="323">
        <v>0</v>
      </c>
      <c r="P53" s="323">
        <v>3.808532381</v>
      </c>
      <c r="Q53" s="323">
        <v>4.1871527100000003</v>
      </c>
      <c r="R53" s="323">
        <v>4.3685461930000002</v>
      </c>
    </row>
    <row r="54" spans="2:19" ht="14.4" x14ac:dyDescent="0.25">
      <c r="B54" s="98" t="s">
        <v>2318</v>
      </c>
      <c r="C54" s="322">
        <v>4.298683102</v>
      </c>
      <c r="D54" s="323">
        <v>4.8905871769999996</v>
      </c>
      <c r="E54" s="323">
        <v>4.6342046269999999</v>
      </c>
      <c r="F54" s="323">
        <v>5.278570223</v>
      </c>
      <c r="G54" s="323">
        <v>5.4366421899999997</v>
      </c>
      <c r="H54" s="323">
        <v>5.6345019020000002</v>
      </c>
      <c r="I54" s="323">
        <v>2.8823357629999999</v>
      </c>
      <c r="J54" s="323">
        <v>3.3349986829999998</v>
      </c>
      <c r="K54" s="323">
        <v>3.4107305659999998</v>
      </c>
      <c r="L54" s="323">
        <v>2.960529975</v>
      </c>
      <c r="M54" s="323">
        <v>4.4364518820000001</v>
      </c>
      <c r="N54" s="323">
        <v>0.63561210899999998</v>
      </c>
      <c r="O54" s="323">
        <v>0.98037481699999995</v>
      </c>
      <c r="P54" s="323">
        <v>0.95531305499999997</v>
      </c>
      <c r="Q54" s="323">
        <v>1.031559227</v>
      </c>
      <c r="R54" s="323">
        <v>0.96213877599999997</v>
      </c>
    </row>
    <row r="55" spans="2:19" ht="14.4" x14ac:dyDescent="0.25">
      <c r="B55" s="98" t="s">
        <v>3468</v>
      </c>
      <c r="C55" s="322">
        <v>0.30745526899999998</v>
      </c>
      <c r="D55" s="323">
        <v>0.59015954599999998</v>
      </c>
      <c r="E55" s="323">
        <v>0.535913152</v>
      </c>
      <c r="F55" s="323">
        <v>0.66103786499999995</v>
      </c>
      <c r="G55" s="323">
        <v>0.83740556799999999</v>
      </c>
      <c r="H55" s="323">
        <v>0.69606274400000001</v>
      </c>
      <c r="I55" s="323">
        <v>1.632068665</v>
      </c>
      <c r="J55" s="323">
        <v>4.560841216</v>
      </c>
      <c r="K55" s="323">
        <v>1.2909326080000001</v>
      </c>
      <c r="L55" s="323">
        <v>0.31096877000000001</v>
      </c>
      <c r="M55" s="323">
        <v>0.69446850199999999</v>
      </c>
      <c r="N55" s="323">
        <v>0.54329950800000004</v>
      </c>
      <c r="O55" s="323">
        <v>0.41899544399999999</v>
      </c>
      <c r="P55" s="323">
        <v>0.52047864600000004</v>
      </c>
      <c r="Q55" s="323">
        <v>0.44087078600000001</v>
      </c>
      <c r="R55" s="323">
        <v>0.41120167099999999</v>
      </c>
    </row>
    <row r="56" spans="2:19" ht="14.4" x14ac:dyDescent="0.25">
      <c r="B56" s="98" t="s">
        <v>4337</v>
      </c>
      <c r="C56" s="322">
        <v>0</v>
      </c>
      <c r="D56" s="323">
        <v>1.2533622740000001</v>
      </c>
      <c r="E56" s="323">
        <v>1.463160011</v>
      </c>
      <c r="F56" s="323">
        <v>1.36205314</v>
      </c>
      <c r="G56" s="323">
        <v>0.89444857799999999</v>
      </c>
      <c r="H56" s="323">
        <v>1.4224658059999999</v>
      </c>
      <c r="I56" s="323">
        <v>1.0587201049999999</v>
      </c>
      <c r="J56" s="323">
        <v>1.5374776800000001</v>
      </c>
      <c r="K56" s="323">
        <v>0.91005011000000002</v>
      </c>
      <c r="L56" s="323">
        <v>0</v>
      </c>
      <c r="M56" s="323">
        <v>0.90266718999999995</v>
      </c>
      <c r="N56" s="323">
        <v>1.888439389</v>
      </c>
      <c r="O56" s="323">
        <v>3.2146305580000001</v>
      </c>
      <c r="P56" s="323">
        <v>3.194805342</v>
      </c>
      <c r="Q56" s="323">
        <v>2.8326951380000001</v>
      </c>
      <c r="R56" s="323">
        <v>1.8703142779999999</v>
      </c>
    </row>
    <row r="57" spans="2:19" ht="14.4" x14ac:dyDescent="0.25">
      <c r="B57" s="98" t="s">
        <v>2710</v>
      </c>
      <c r="C57" s="322">
        <v>0</v>
      </c>
      <c r="D57" s="323">
        <v>0</v>
      </c>
      <c r="E57" s="323">
        <v>0</v>
      </c>
      <c r="F57" s="323">
        <v>0</v>
      </c>
      <c r="G57" s="323">
        <v>0</v>
      </c>
      <c r="H57" s="323">
        <v>0</v>
      </c>
      <c r="I57" s="323">
        <v>0</v>
      </c>
      <c r="J57" s="323">
        <v>0</v>
      </c>
      <c r="K57" s="323">
        <v>0</v>
      </c>
      <c r="L57" s="323">
        <v>0</v>
      </c>
      <c r="M57" s="323">
        <v>0</v>
      </c>
      <c r="N57" s="323">
        <v>0</v>
      </c>
      <c r="O57" s="323">
        <v>0</v>
      </c>
      <c r="P57" s="323">
        <v>0</v>
      </c>
      <c r="Q57" s="323">
        <v>98.707692309999999</v>
      </c>
      <c r="R57" s="323">
        <v>103.09908419999999</v>
      </c>
    </row>
    <row r="58" spans="2:19" ht="14.4" x14ac:dyDescent="0.25">
      <c r="B58" s="98" t="s">
        <v>3551</v>
      </c>
      <c r="C58" s="322">
        <v>0</v>
      </c>
      <c r="D58" s="323">
        <v>0</v>
      </c>
      <c r="E58" s="323">
        <v>0</v>
      </c>
      <c r="F58" s="323">
        <v>0</v>
      </c>
      <c r="G58" s="323">
        <v>0</v>
      </c>
      <c r="H58" s="323">
        <v>0</v>
      </c>
      <c r="I58" s="323">
        <v>0</v>
      </c>
      <c r="J58" s="323">
        <v>0</v>
      </c>
      <c r="K58" s="323">
        <v>0</v>
      </c>
      <c r="L58" s="323">
        <v>0</v>
      </c>
      <c r="M58" s="323">
        <v>0</v>
      </c>
      <c r="N58" s="323">
        <v>0</v>
      </c>
      <c r="O58" s="323">
        <v>0</v>
      </c>
      <c r="P58" s="323">
        <v>0</v>
      </c>
      <c r="Q58" s="323">
        <v>0</v>
      </c>
      <c r="R58" s="323">
        <v>5.9773109240000002</v>
      </c>
    </row>
    <row r="59" spans="2:19" ht="14.4" x14ac:dyDescent="0.25">
      <c r="B59" s="98" t="s">
        <v>2897</v>
      </c>
      <c r="C59" s="322">
        <v>0</v>
      </c>
      <c r="D59" s="323">
        <v>0</v>
      </c>
      <c r="E59" s="323">
        <v>0</v>
      </c>
      <c r="F59" s="323">
        <v>0</v>
      </c>
      <c r="G59" s="323">
        <v>0</v>
      </c>
      <c r="H59" s="323">
        <v>0</v>
      </c>
      <c r="I59" s="323">
        <v>0</v>
      </c>
      <c r="J59" s="323">
        <v>0</v>
      </c>
      <c r="K59" s="323">
        <v>0</v>
      </c>
      <c r="L59" s="323">
        <v>0</v>
      </c>
      <c r="M59" s="323">
        <v>0</v>
      </c>
      <c r="N59" s="323">
        <v>6.9045714289999998</v>
      </c>
      <c r="O59" s="323">
        <v>5.8239999999999998</v>
      </c>
      <c r="P59" s="323">
        <v>5.8336296299999999</v>
      </c>
      <c r="Q59" s="323">
        <v>4.1626666669999999</v>
      </c>
      <c r="R59" s="323">
        <v>0</v>
      </c>
    </row>
    <row r="60" spans="2:19" ht="14.4" x14ac:dyDescent="0.25">
      <c r="B60" s="98" t="s">
        <v>2329</v>
      </c>
      <c r="C60" s="322">
        <v>0</v>
      </c>
      <c r="D60" s="323">
        <v>0</v>
      </c>
      <c r="E60" s="323">
        <v>0</v>
      </c>
      <c r="F60" s="323">
        <v>0</v>
      </c>
      <c r="G60" s="323">
        <v>0</v>
      </c>
      <c r="H60" s="323">
        <v>0</v>
      </c>
      <c r="I60" s="323">
        <v>0</v>
      </c>
      <c r="J60" s="323">
        <v>0</v>
      </c>
      <c r="K60" s="323">
        <v>0</v>
      </c>
      <c r="L60" s="323">
        <v>0</v>
      </c>
      <c r="M60" s="323">
        <v>0</v>
      </c>
      <c r="N60" s="323">
        <v>0</v>
      </c>
      <c r="O60" s="323">
        <v>4.8533333330000001</v>
      </c>
      <c r="P60" s="323">
        <v>7.2920370370000001</v>
      </c>
      <c r="Q60" s="323">
        <v>3.468888889</v>
      </c>
      <c r="R60" s="323">
        <v>0</v>
      </c>
    </row>
    <row r="61" spans="2:19" ht="14.4" x14ac:dyDescent="0.25">
      <c r="B61" s="321" t="s">
        <v>2611</v>
      </c>
      <c r="C61" s="322">
        <v>0</v>
      </c>
      <c r="D61" s="323">
        <v>0</v>
      </c>
      <c r="E61" s="323">
        <v>0</v>
      </c>
      <c r="F61" s="323">
        <v>0</v>
      </c>
      <c r="G61" s="323">
        <v>0</v>
      </c>
      <c r="H61" s="323">
        <v>26.957016119999999</v>
      </c>
      <c r="I61" s="323">
        <v>0</v>
      </c>
      <c r="J61" s="323">
        <v>0</v>
      </c>
      <c r="K61" s="323">
        <v>0</v>
      </c>
      <c r="L61" s="323">
        <v>0</v>
      </c>
      <c r="M61" s="323">
        <v>0</v>
      </c>
      <c r="N61" s="323">
        <v>0</v>
      </c>
      <c r="O61" s="323">
        <v>0</v>
      </c>
      <c r="P61" s="323">
        <v>0</v>
      </c>
      <c r="Q61" s="323">
        <v>0</v>
      </c>
      <c r="R61" s="323">
        <v>0</v>
      </c>
    </row>
    <row r="62" spans="2:19" ht="14.4" x14ac:dyDescent="0.25">
      <c r="B62" s="321" t="s">
        <v>3895</v>
      </c>
      <c r="C62" s="322">
        <v>0</v>
      </c>
      <c r="D62" s="323">
        <v>0</v>
      </c>
      <c r="E62" s="323">
        <v>0</v>
      </c>
      <c r="F62" s="323">
        <v>0</v>
      </c>
      <c r="G62" s="323">
        <v>0</v>
      </c>
      <c r="H62" s="323">
        <v>0</v>
      </c>
      <c r="I62" s="323">
        <v>0</v>
      </c>
      <c r="J62" s="323">
        <v>0</v>
      </c>
      <c r="K62" s="323">
        <v>0</v>
      </c>
      <c r="L62" s="323">
        <v>0</v>
      </c>
      <c r="M62" s="323">
        <v>0</v>
      </c>
      <c r="N62" s="323">
        <v>284.68338940000001</v>
      </c>
      <c r="O62" s="323">
        <v>0</v>
      </c>
      <c r="P62" s="323">
        <v>0</v>
      </c>
      <c r="Q62" s="323">
        <v>0</v>
      </c>
      <c r="R62" s="323">
        <v>0</v>
      </c>
    </row>
    <row r="63" spans="2:19" x14ac:dyDescent="0.25">
      <c r="B63" s="18" t="s">
        <v>4362</v>
      </c>
      <c r="C63" s="18">
        <f t="shared" ref="C63:R63" si="12">SUM(C45:C53,C54:C62)</f>
        <v>55.411817483</v>
      </c>
      <c r="D63" s="18">
        <f t="shared" si="12"/>
        <v>45.452165237000003</v>
      </c>
      <c r="E63" s="18">
        <f t="shared" si="12"/>
        <v>52.479236546000003</v>
      </c>
      <c r="F63" s="18">
        <f t="shared" si="12"/>
        <v>53.68961771</v>
      </c>
      <c r="G63" s="18">
        <f t="shared" si="12"/>
        <v>61.69001453500001</v>
      </c>
      <c r="H63" s="18">
        <f t="shared" si="12"/>
        <v>75.949898958000006</v>
      </c>
      <c r="I63" s="18">
        <f t="shared" si="12"/>
        <v>39.402307098999998</v>
      </c>
      <c r="J63" s="18">
        <f t="shared" si="12"/>
        <v>72.122432701999983</v>
      </c>
      <c r="K63" s="18">
        <f t="shared" si="12"/>
        <v>46.843013182999997</v>
      </c>
      <c r="L63" s="18">
        <f t="shared" si="12"/>
        <v>137.77529874499999</v>
      </c>
      <c r="M63" s="18">
        <f t="shared" si="12"/>
        <v>93.06189628300001</v>
      </c>
      <c r="N63" s="18">
        <f t="shared" si="12"/>
        <v>328.72609836000004</v>
      </c>
      <c r="O63" s="18">
        <f t="shared" si="12"/>
        <v>49.867090437999998</v>
      </c>
      <c r="P63" s="18">
        <f t="shared" si="12"/>
        <v>50.254501327999996</v>
      </c>
      <c r="Q63" s="18">
        <f t="shared" si="12"/>
        <v>141.68229564999999</v>
      </c>
      <c r="R63" s="18">
        <f t="shared" si="12"/>
        <v>140.84207398599997</v>
      </c>
    </row>
    <row r="64" spans="2:19" x14ac:dyDescent="0.25">
      <c r="B64" s="18"/>
      <c r="C64" s="18"/>
      <c r="D64" s="18"/>
      <c r="E64" s="18"/>
      <c r="F64" s="18"/>
      <c r="G64" s="18"/>
      <c r="H64" s="18"/>
      <c r="I64" s="18"/>
      <c r="J64" s="18"/>
      <c r="K64" s="18"/>
      <c r="L64" s="18"/>
      <c r="M64" s="18"/>
      <c r="N64" s="18"/>
      <c r="O64" s="18"/>
      <c r="P64" s="18"/>
      <c r="Q64" s="18"/>
      <c r="R64" s="18"/>
    </row>
    <row r="65" spans="2:18" x14ac:dyDescent="0.25">
      <c r="B65" s="18" t="s">
        <v>4363</v>
      </c>
      <c r="C65" s="18"/>
      <c r="D65" s="18"/>
      <c r="E65" s="18"/>
      <c r="F65" s="18"/>
      <c r="G65" s="18"/>
      <c r="H65" s="18"/>
      <c r="I65" s="18"/>
      <c r="J65" s="18"/>
      <c r="K65" s="18"/>
      <c r="L65" s="18"/>
      <c r="M65" s="18"/>
      <c r="N65" s="18"/>
      <c r="O65" s="18"/>
      <c r="P65" s="18"/>
      <c r="Q65" s="18"/>
      <c r="R65" s="18"/>
    </row>
    <row r="66" spans="2:18" x14ac:dyDescent="0.25">
      <c r="B66" s="98" t="s">
        <v>4359</v>
      </c>
      <c r="C66" s="98">
        <f t="shared" ref="C66:R81" si="13">C45*(1+$C$38)</f>
        <v>0</v>
      </c>
      <c r="D66" s="98">
        <f t="shared" ref="D66:R66" si="14">D45*(1+$C$38)</f>
        <v>0</v>
      </c>
      <c r="E66" s="98">
        <f t="shared" si="14"/>
        <v>0</v>
      </c>
      <c r="F66" s="98">
        <f t="shared" si="14"/>
        <v>0</v>
      </c>
      <c r="G66" s="98">
        <f t="shared" si="14"/>
        <v>0</v>
      </c>
      <c r="H66" s="98">
        <f t="shared" si="14"/>
        <v>0</v>
      </c>
      <c r="I66" s="98">
        <f t="shared" si="14"/>
        <v>0</v>
      </c>
      <c r="J66" s="98">
        <f t="shared" si="14"/>
        <v>0</v>
      </c>
      <c r="K66" s="98">
        <f t="shared" si="14"/>
        <v>0</v>
      </c>
      <c r="L66" s="98">
        <f t="shared" si="14"/>
        <v>0</v>
      </c>
      <c r="M66" s="98">
        <f t="shared" si="14"/>
        <v>0</v>
      </c>
      <c r="N66" s="98">
        <f t="shared" si="14"/>
        <v>0</v>
      </c>
      <c r="O66" s="98">
        <f t="shared" si="14"/>
        <v>0</v>
      </c>
      <c r="P66" s="98">
        <f t="shared" si="14"/>
        <v>0</v>
      </c>
      <c r="Q66" s="98">
        <f t="shared" si="14"/>
        <v>0</v>
      </c>
      <c r="R66" s="98">
        <f t="shared" si="14"/>
        <v>0</v>
      </c>
    </row>
    <row r="67" spans="2:18" x14ac:dyDescent="0.25">
      <c r="B67" s="98" t="s">
        <v>4295</v>
      </c>
      <c r="C67" s="98">
        <f t="shared" si="13"/>
        <v>9.3025162565999988</v>
      </c>
      <c r="D67" s="98">
        <f t="shared" ref="D67:R67" si="15">D46*(1+$C$38)</f>
        <v>17.482295155500001</v>
      </c>
      <c r="E67" s="98">
        <f t="shared" si="15"/>
        <v>23.862530664000001</v>
      </c>
      <c r="F67" s="98">
        <f t="shared" si="15"/>
        <v>17.001009133500002</v>
      </c>
      <c r="G67" s="98">
        <f t="shared" si="15"/>
        <v>13.365825385500001</v>
      </c>
      <c r="H67" s="98">
        <f t="shared" si="15"/>
        <v>19.877821687500003</v>
      </c>
      <c r="I67" s="98">
        <f t="shared" si="15"/>
        <v>12.208816011</v>
      </c>
      <c r="J67" s="98">
        <f t="shared" si="15"/>
        <v>5.0028181045500002</v>
      </c>
      <c r="K67" s="98">
        <f t="shared" si="15"/>
        <v>7.8853297803000002</v>
      </c>
      <c r="L67" s="98">
        <f t="shared" si="15"/>
        <v>28.052101286999999</v>
      </c>
      <c r="M67" s="98">
        <f t="shared" si="15"/>
        <v>13.619790481500001</v>
      </c>
      <c r="N67" s="98">
        <f t="shared" si="15"/>
        <v>4.6728235396500004</v>
      </c>
      <c r="O67" s="98">
        <f t="shared" si="15"/>
        <v>8.3210158720499994</v>
      </c>
      <c r="P67" s="98">
        <f t="shared" si="15"/>
        <v>4.1312740959000003</v>
      </c>
      <c r="Q67" s="98">
        <f t="shared" si="15"/>
        <v>4.2379523602500004</v>
      </c>
      <c r="R67" s="98">
        <f t="shared" si="15"/>
        <v>4.16079208755</v>
      </c>
    </row>
    <row r="68" spans="2:18" x14ac:dyDescent="0.25">
      <c r="B68" s="98" t="s">
        <v>4293</v>
      </c>
      <c r="C68" s="98">
        <f t="shared" si="13"/>
        <v>0</v>
      </c>
      <c r="D68" s="98">
        <f t="shared" ref="D68:R68" si="16">D47*(1+$C$38)</f>
        <v>0</v>
      </c>
      <c r="E68" s="98">
        <f t="shared" si="16"/>
        <v>0</v>
      </c>
      <c r="F68" s="98">
        <f t="shared" si="16"/>
        <v>0</v>
      </c>
      <c r="G68" s="98">
        <f t="shared" si="16"/>
        <v>0</v>
      </c>
      <c r="H68" s="98">
        <f t="shared" si="16"/>
        <v>0</v>
      </c>
      <c r="I68" s="98">
        <f t="shared" si="16"/>
        <v>0</v>
      </c>
      <c r="J68" s="98">
        <f t="shared" si="16"/>
        <v>0</v>
      </c>
      <c r="K68" s="98">
        <f t="shared" si="16"/>
        <v>0</v>
      </c>
      <c r="L68" s="98">
        <f t="shared" si="16"/>
        <v>0</v>
      </c>
      <c r="M68" s="98">
        <f t="shared" si="16"/>
        <v>0</v>
      </c>
      <c r="N68" s="98">
        <f t="shared" si="16"/>
        <v>0</v>
      </c>
      <c r="O68" s="98">
        <f t="shared" si="16"/>
        <v>0</v>
      </c>
      <c r="P68" s="98">
        <f t="shared" si="16"/>
        <v>0</v>
      </c>
      <c r="Q68" s="98">
        <f t="shared" si="16"/>
        <v>0</v>
      </c>
      <c r="R68" s="98">
        <f t="shared" si="16"/>
        <v>0</v>
      </c>
    </row>
    <row r="69" spans="2:18" x14ac:dyDescent="0.25">
      <c r="B69" s="98" t="s">
        <v>2510</v>
      </c>
      <c r="C69" s="98">
        <f t="shared" si="13"/>
        <v>41.882022472499997</v>
      </c>
      <c r="D69" s="98">
        <f t="shared" ref="D69:R69" si="17">D48*(1+$C$38)</f>
        <v>20.941011231000001</v>
      </c>
      <c r="E69" s="98">
        <f t="shared" si="17"/>
        <v>20.941011231000001</v>
      </c>
      <c r="F69" s="98">
        <f t="shared" si="17"/>
        <v>28.965517245000001</v>
      </c>
      <c r="G69" s="98">
        <f t="shared" si="17"/>
        <v>41.452979809500007</v>
      </c>
      <c r="H69" s="98">
        <f t="shared" si="17"/>
        <v>20.941011231000001</v>
      </c>
      <c r="I69" s="98">
        <f t="shared" si="17"/>
        <v>20.941011231000001</v>
      </c>
      <c r="J69" s="98">
        <f t="shared" si="17"/>
        <v>20.941011231000001</v>
      </c>
      <c r="K69" s="98">
        <f t="shared" si="17"/>
        <v>20.941011231000001</v>
      </c>
      <c r="L69" s="98">
        <f t="shared" si="17"/>
        <v>73.818181815000003</v>
      </c>
      <c r="M69" s="98">
        <f t="shared" si="17"/>
        <v>73.818181815000003</v>
      </c>
      <c r="N69" s="98">
        <f t="shared" si="17"/>
        <v>20.941011231000001</v>
      </c>
      <c r="O69" s="98">
        <f t="shared" si="17"/>
        <v>20.941011231000001</v>
      </c>
      <c r="P69" s="98">
        <f t="shared" si="17"/>
        <v>20.941011231000001</v>
      </c>
      <c r="Q69" s="98">
        <f t="shared" si="17"/>
        <v>20.941011231000001</v>
      </c>
      <c r="R69" s="98">
        <f t="shared" si="17"/>
        <v>20.941011231000001</v>
      </c>
    </row>
    <row r="70" spans="2:18" x14ac:dyDescent="0.25">
      <c r="B70" s="98" t="s">
        <v>4334</v>
      </c>
      <c r="C70" s="98">
        <f t="shared" si="13"/>
        <v>0</v>
      </c>
      <c r="D70" s="98">
        <f t="shared" ref="D70:R70" si="18">D49*(1+$C$38)</f>
        <v>0</v>
      </c>
      <c r="E70" s="98">
        <f t="shared" si="18"/>
        <v>0</v>
      </c>
      <c r="F70" s="98">
        <f t="shared" si="18"/>
        <v>0</v>
      </c>
      <c r="G70" s="98">
        <f t="shared" si="18"/>
        <v>0</v>
      </c>
      <c r="H70" s="98">
        <f t="shared" si="18"/>
        <v>0</v>
      </c>
      <c r="I70" s="98">
        <f t="shared" si="18"/>
        <v>0</v>
      </c>
      <c r="J70" s="98">
        <f t="shared" si="18"/>
        <v>0</v>
      </c>
      <c r="K70" s="98">
        <f t="shared" si="18"/>
        <v>0</v>
      </c>
      <c r="L70" s="98">
        <f t="shared" si="18"/>
        <v>0</v>
      </c>
      <c r="M70" s="98">
        <f t="shared" si="18"/>
        <v>0</v>
      </c>
      <c r="N70" s="98">
        <f t="shared" si="18"/>
        <v>0</v>
      </c>
      <c r="O70" s="98">
        <f t="shared" si="18"/>
        <v>0</v>
      </c>
      <c r="P70" s="98">
        <f t="shared" si="18"/>
        <v>0</v>
      </c>
      <c r="Q70" s="98">
        <f t="shared" si="18"/>
        <v>0</v>
      </c>
      <c r="R70" s="98">
        <f t="shared" si="18"/>
        <v>0</v>
      </c>
    </row>
    <row r="71" spans="2:18" x14ac:dyDescent="0.25">
      <c r="B71" s="98" t="s">
        <v>4335</v>
      </c>
      <c r="C71" s="98">
        <f t="shared" si="13"/>
        <v>0</v>
      </c>
      <c r="D71" s="98">
        <f t="shared" ref="D71:R71" si="19">D50*(1+$C$38)</f>
        <v>0</v>
      </c>
      <c r="E71" s="98">
        <f t="shared" si="19"/>
        <v>0</v>
      </c>
      <c r="F71" s="98">
        <f t="shared" si="19"/>
        <v>0</v>
      </c>
      <c r="G71" s="98">
        <f t="shared" si="19"/>
        <v>0</v>
      </c>
      <c r="H71" s="98">
        <f t="shared" si="19"/>
        <v>0</v>
      </c>
      <c r="I71" s="98">
        <f t="shared" si="19"/>
        <v>0</v>
      </c>
      <c r="J71" s="98">
        <f t="shared" si="19"/>
        <v>0</v>
      </c>
      <c r="K71" s="98">
        <f t="shared" si="19"/>
        <v>0</v>
      </c>
      <c r="L71" s="98">
        <f t="shared" si="19"/>
        <v>0</v>
      </c>
      <c r="M71" s="98">
        <f t="shared" si="19"/>
        <v>0</v>
      </c>
      <c r="N71" s="98">
        <f t="shared" si="19"/>
        <v>0</v>
      </c>
      <c r="O71" s="98">
        <f t="shared" si="19"/>
        <v>0</v>
      </c>
      <c r="P71" s="98">
        <f t="shared" si="19"/>
        <v>0</v>
      </c>
      <c r="Q71" s="98">
        <f t="shared" si="19"/>
        <v>0</v>
      </c>
      <c r="R71" s="98">
        <f t="shared" si="19"/>
        <v>0</v>
      </c>
    </row>
    <row r="72" spans="2:18" x14ac:dyDescent="0.25">
      <c r="B72" s="98" t="s">
        <v>3931</v>
      </c>
      <c r="C72" s="98">
        <f t="shared" si="13"/>
        <v>0</v>
      </c>
      <c r="D72" s="98">
        <f t="shared" ref="D72:R72" si="20">D51*(1+$C$38)</f>
        <v>0</v>
      </c>
      <c r="E72" s="98">
        <f t="shared" si="20"/>
        <v>0</v>
      </c>
      <c r="F72" s="98">
        <f t="shared" si="20"/>
        <v>0</v>
      </c>
      <c r="G72" s="98">
        <f t="shared" si="20"/>
        <v>0</v>
      </c>
      <c r="H72" s="98">
        <f t="shared" si="20"/>
        <v>0</v>
      </c>
      <c r="I72" s="98">
        <f t="shared" si="20"/>
        <v>0</v>
      </c>
      <c r="J72" s="98">
        <f t="shared" si="20"/>
        <v>0</v>
      </c>
      <c r="K72" s="98">
        <f t="shared" si="20"/>
        <v>12.168006994500001</v>
      </c>
      <c r="L72" s="98">
        <f t="shared" si="20"/>
        <v>0</v>
      </c>
      <c r="M72" s="98">
        <f t="shared" si="20"/>
        <v>0</v>
      </c>
      <c r="N72" s="98">
        <f t="shared" si="20"/>
        <v>0</v>
      </c>
      <c r="O72" s="98">
        <f t="shared" si="20"/>
        <v>0</v>
      </c>
      <c r="P72" s="98">
        <f t="shared" si="20"/>
        <v>0</v>
      </c>
      <c r="Q72" s="98">
        <f t="shared" si="20"/>
        <v>0</v>
      </c>
      <c r="R72" s="98">
        <f t="shared" si="20"/>
        <v>0</v>
      </c>
    </row>
    <row r="73" spans="2:18" x14ac:dyDescent="0.25">
      <c r="B73" s="98" t="s">
        <v>2996</v>
      </c>
      <c r="C73" s="98">
        <f t="shared" si="13"/>
        <v>0</v>
      </c>
      <c r="D73" s="98">
        <f t="shared" ref="D73:R73" si="21">D52*(1+$C$38)</f>
        <v>0</v>
      </c>
      <c r="E73" s="98">
        <f t="shared" si="21"/>
        <v>0</v>
      </c>
      <c r="F73" s="98">
        <f t="shared" si="21"/>
        <v>0</v>
      </c>
      <c r="G73" s="98">
        <f t="shared" si="21"/>
        <v>0</v>
      </c>
      <c r="H73" s="98">
        <f t="shared" si="21"/>
        <v>0</v>
      </c>
      <c r="I73" s="98">
        <f t="shared" si="21"/>
        <v>0</v>
      </c>
      <c r="J73" s="98">
        <f t="shared" si="21"/>
        <v>37.821989183999996</v>
      </c>
      <c r="K73" s="98">
        <f t="shared" si="21"/>
        <v>0</v>
      </c>
      <c r="L73" s="98">
        <f t="shared" si="21"/>
        <v>39.358706898000001</v>
      </c>
      <c r="M73" s="98">
        <f t="shared" si="21"/>
        <v>0</v>
      </c>
      <c r="N73" s="98">
        <f t="shared" si="21"/>
        <v>3.8102413797000003</v>
      </c>
      <c r="O73" s="98">
        <f t="shared" si="21"/>
        <v>7.0425169972499999</v>
      </c>
      <c r="P73" s="98">
        <f t="shared" si="21"/>
        <v>5.0099051719500007</v>
      </c>
      <c r="Q73" s="98">
        <f t="shared" si="21"/>
        <v>3.0143448279</v>
      </c>
      <c r="R73" s="98">
        <f t="shared" si="21"/>
        <v>0.25934852265000002</v>
      </c>
    </row>
    <row r="74" spans="2:18" x14ac:dyDescent="0.25">
      <c r="B74" s="98" t="s">
        <v>2966</v>
      </c>
      <c r="C74" s="98">
        <f t="shared" si="13"/>
        <v>2.1614243384999998</v>
      </c>
      <c r="D74" s="98">
        <f t="shared" ref="D74:R74" si="22">D53*(1+$C$38)</f>
        <v>2.2306526655000001</v>
      </c>
      <c r="E74" s="98">
        <f t="shared" si="22"/>
        <v>3.3347147988000003</v>
      </c>
      <c r="F74" s="98">
        <f t="shared" si="22"/>
        <v>2.7408279276000003</v>
      </c>
      <c r="G74" s="98">
        <f t="shared" si="22"/>
        <v>2.4287889139500001</v>
      </c>
      <c r="H74" s="98">
        <f t="shared" si="22"/>
        <v>2.4830120868000001</v>
      </c>
      <c r="I74" s="98">
        <f t="shared" si="22"/>
        <v>2.3708144523000003</v>
      </c>
      <c r="J74" s="98">
        <f t="shared" si="22"/>
        <v>2.0577523596000002</v>
      </c>
      <c r="K74" s="98">
        <f t="shared" si="22"/>
        <v>2.29851688815</v>
      </c>
      <c r="L74" s="98">
        <f t="shared" si="22"/>
        <v>0</v>
      </c>
      <c r="M74" s="98">
        <f t="shared" si="22"/>
        <v>3.94175184795</v>
      </c>
      <c r="N74" s="98">
        <f t="shared" si="22"/>
        <v>6.350249700900001</v>
      </c>
      <c r="O74" s="98">
        <f t="shared" si="22"/>
        <v>0</v>
      </c>
      <c r="P74" s="98">
        <f t="shared" si="22"/>
        <v>3.9989590000500002</v>
      </c>
      <c r="Q74" s="98">
        <f t="shared" si="22"/>
        <v>4.3965103455000003</v>
      </c>
      <c r="R74" s="98">
        <f t="shared" si="22"/>
        <v>4.5869735026500003</v>
      </c>
    </row>
    <row r="75" spans="2:18" x14ac:dyDescent="0.25">
      <c r="B75" s="98" t="s">
        <v>2318</v>
      </c>
      <c r="C75" s="98">
        <f t="shared" si="13"/>
        <v>4.5136172570999999</v>
      </c>
      <c r="D75" s="98">
        <f t="shared" ref="D75:R75" si="23">D54*(1+$C$38)</f>
        <v>5.1351165358499999</v>
      </c>
      <c r="E75" s="98">
        <f t="shared" si="23"/>
        <v>4.86591485835</v>
      </c>
      <c r="F75" s="98">
        <f t="shared" si="23"/>
        <v>5.5424987341500005</v>
      </c>
      <c r="G75" s="98">
        <f t="shared" si="23"/>
        <v>5.7084742994999997</v>
      </c>
      <c r="H75" s="98">
        <f t="shared" si="23"/>
        <v>5.9162269971000008</v>
      </c>
      <c r="I75" s="98">
        <f t="shared" si="23"/>
        <v>3.0264525511500002</v>
      </c>
      <c r="J75" s="98">
        <f t="shared" si="23"/>
        <v>3.5017486171500001</v>
      </c>
      <c r="K75" s="98">
        <f t="shared" si="23"/>
        <v>3.5812670942999998</v>
      </c>
      <c r="L75" s="98">
        <f t="shared" si="23"/>
        <v>3.1085564737500002</v>
      </c>
      <c r="M75" s="98">
        <f t="shared" si="23"/>
        <v>4.6582744760999999</v>
      </c>
      <c r="N75" s="98">
        <f t="shared" si="23"/>
        <v>0.66739271445000004</v>
      </c>
      <c r="O75" s="98">
        <f t="shared" si="23"/>
        <v>1.02939355785</v>
      </c>
      <c r="P75" s="98">
        <f t="shared" si="23"/>
        <v>1.0030787077500001</v>
      </c>
      <c r="Q75" s="98">
        <f t="shared" si="23"/>
        <v>1.0831371883500001</v>
      </c>
      <c r="R75" s="98">
        <f t="shared" si="23"/>
        <v>1.0102457147999999</v>
      </c>
    </row>
    <row r="76" spans="2:18" x14ac:dyDescent="0.25">
      <c r="B76" s="98" t="s">
        <v>3468</v>
      </c>
      <c r="C76" s="98">
        <f t="shared" si="13"/>
        <v>0.32282803244999997</v>
      </c>
      <c r="D76" s="98">
        <f t="shared" ref="D76:R76" si="24">D55*(1+$C$38)</f>
        <v>0.61966752329999997</v>
      </c>
      <c r="E76" s="98">
        <f t="shared" si="24"/>
        <v>0.56270880960000003</v>
      </c>
      <c r="F76" s="98">
        <f t="shared" si="24"/>
        <v>0.69408975824999997</v>
      </c>
      <c r="G76" s="98">
        <f t="shared" si="24"/>
        <v>0.87927584640000001</v>
      </c>
      <c r="H76" s="98">
        <f t="shared" si="24"/>
        <v>0.73086588120000007</v>
      </c>
      <c r="I76" s="98">
        <f t="shared" si="24"/>
        <v>1.71367209825</v>
      </c>
      <c r="J76" s="98">
        <f t="shared" si="24"/>
        <v>4.7888832768</v>
      </c>
      <c r="K76" s="98">
        <f t="shared" si="24"/>
        <v>1.3554792384000001</v>
      </c>
      <c r="L76" s="98">
        <f t="shared" si="24"/>
        <v>0.32651720850000004</v>
      </c>
      <c r="M76" s="98">
        <f t="shared" si="24"/>
        <v>0.72919192710000003</v>
      </c>
      <c r="N76" s="98">
        <f t="shared" si="24"/>
        <v>0.57046448340000011</v>
      </c>
      <c r="O76" s="98">
        <f t="shared" si="24"/>
        <v>0.43994521619999999</v>
      </c>
      <c r="P76" s="98">
        <f t="shared" si="24"/>
        <v>0.54650257830000004</v>
      </c>
      <c r="Q76" s="98">
        <f t="shared" si="24"/>
        <v>0.46291432530000004</v>
      </c>
      <c r="R76" s="98">
        <f t="shared" si="24"/>
        <v>0.43176175454999999</v>
      </c>
    </row>
    <row r="77" spans="2:18" x14ac:dyDescent="0.25">
      <c r="B77" s="98" t="s">
        <v>4337</v>
      </c>
      <c r="C77" s="98">
        <f t="shared" si="13"/>
        <v>0</v>
      </c>
      <c r="D77" s="98">
        <f t="shared" ref="D77:R77" si="25">D56*(1+$C$38)</f>
        <v>1.3160303877000001</v>
      </c>
      <c r="E77" s="98">
        <f t="shared" si="25"/>
        <v>1.5363180115500001</v>
      </c>
      <c r="F77" s="98">
        <f t="shared" si="25"/>
        <v>1.4301557970000001</v>
      </c>
      <c r="G77" s="98">
        <f t="shared" si="25"/>
        <v>0.93917100689999999</v>
      </c>
      <c r="H77" s="98">
        <f t="shared" si="25"/>
        <v>1.4935890963</v>
      </c>
      <c r="I77" s="98">
        <f t="shared" si="25"/>
        <v>1.11165611025</v>
      </c>
      <c r="J77" s="98">
        <f t="shared" si="25"/>
        <v>1.6143515640000001</v>
      </c>
      <c r="K77" s="98">
        <f t="shared" si="25"/>
        <v>0.95555261550000004</v>
      </c>
      <c r="L77" s="98">
        <f t="shared" si="25"/>
        <v>0</v>
      </c>
      <c r="M77" s="98">
        <f t="shared" si="25"/>
        <v>0.94780054950000003</v>
      </c>
      <c r="N77" s="98">
        <f t="shared" si="25"/>
        <v>1.9828613584500001</v>
      </c>
      <c r="O77" s="98">
        <f t="shared" si="25"/>
        <v>3.3753620859000004</v>
      </c>
      <c r="P77" s="98">
        <f t="shared" si="25"/>
        <v>3.3545456091000001</v>
      </c>
      <c r="Q77" s="98">
        <f t="shared" si="25"/>
        <v>2.9743298949000003</v>
      </c>
      <c r="R77" s="98">
        <f t="shared" si="25"/>
        <v>1.9638299919</v>
      </c>
    </row>
    <row r="78" spans="2:18" x14ac:dyDescent="0.25">
      <c r="B78" s="98" t="s">
        <v>2710</v>
      </c>
      <c r="C78" s="98">
        <f t="shared" si="13"/>
        <v>0</v>
      </c>
      <c r="D78" s="98">
        <f t="shared" si="13"/>
        <v>0</v>
      </c>
      <c r="E78" s="98">
        <f t="shared" si="13"/>
        <v>0</v>
      </c>
      <c r="F78" s="98">
        <f t="shared" si="13"/>
        <v>0</v>
      </c>
      <c r="G78" s="98">
        <f t="shared" si="13"/>
        <v>0</v>
      </c>
      <c r="H78" s="98">
        <f t="shared" si="13"/>
        <v>0</v>
      </c>
      <c r="I78" s="98">
        <f t="shared" si="13"/>
        <v>0</v>
      </c>
      <c r="J78" s="98">
        <f t="shared" si="13"/>
        <v>0</v>
      </c>
      <c r="K78" s="98">
        <f t="shared" si="13"/>
        <v>0</v>
      </c>
      <c r="L78" s="98">
        <f t="shared" si="13"/>
        <v>0</v>
      </c>
      <c r="M78" s="98">
        <f t="shared" si="13"/>
        <v>0</v>
      </c>
      <c r="N78" s="98">
        <f t="shared" si="13"/>
        <v>0</v>
      </c>
      <c r="O78" s="98">
        <f t="shared" si="13"/>
        <v>0</v>
      </c>
      <c r="P78" s="98">
        <f t="shared" si="13"/>
        <v>0</v>
      </c>
      <c r="Q78" s="98">
        <f t="shared" si="13"/>
        <v>103.6430769255</v>
      </c>
      <c r="R78" s="98">
        <f t="shared" si="13"/>
        <v>108.25403840999999</v>
      </c>
    </row>
    <row r="79" spans="2:18" x14ac:dyDescent="0.25">
      <c r="B79" s="98" t="s">
        <v>3551</v>
      </c>
      <c r="C79" s="98">
        <f t="shared" si="13"/>
        <v>0</v>
      </c>
      <c r="D79" s="98">
        <f t="shared" si="13"/>
        <v>0</v>
      </c>
      <c r="E79" s="98">
        <f t="shared" si="13"/>
        <v>0</v>
      </c>
      <c r="F79" s="98">
        <f t="shared" si="13"/>
        <v>0</v>
      </c>
      <c r="G79" s="98">
        <f t="shared" si="13"/>
        <v>0</v>
      </c>
      <c r="H79" s="98">
        <f t="shared" si="13"/>
        <v>0</v>
      </c>
      <c r="I79" s="98">
        <f t="shared" si="13"/>
        <v>0</v>
      </c>
      <c r="J79" s="98">
        <f t="shared" si="13"/>
        <v>0</v>
      </c>
      <c r="K79" s="98">
        <f t="shared" si="13"/>
        <v>0</v>
      </c>
      <c r="L79" s="98">
        <f t="shared" si="13"/>
        <v>0</v>
      </c>
      <c r="M79" s="98">
        <f t="shared" si="13"/>
        <v>0</v>
      </c>
      <c r="N79" s="98">
        <f t="shared" si="13"/>
        <v>0</v>
      </c>
      <c r="O79" s="98">
        <f t="shared" si="13"/>
        <v>0</v>
      </c>
      <c r="P79" s="98">
        <f t="shared" si="13"/>
        <v>0</v>
      </c>
      <c r="Q79" s="98">
        <f t="shared" si="13"/>
        <v>0</v>
      </c>
      <c r="R79" s="98">
        <f t="shared" si="13"/>
        <v>6.2761764702000002</v>
      </c>
    </row>
    <row r="80" spans="2:18" x14ac:dyDescent="0.25">
      <c r="B80" s="98" t="s">
        <v>2897</v>
      </c>
      <c r="C80" s="98">
        <f t="shared" si="13"/>
        <v>0</v>
      </c>
      <c r="D80" s="98">
        <f t="shared" si="13"/>
        <v>0</v>
      </c>
      <c r="E80" s="98">
        <f t="shared" si="13"/>
        <v>0</v>
      </c>
      <c r="F80" s="98">
        <f t="shared" si="13"/>
        <v>0</v>
      </c>
      <c r="G80" s="98">
        <f t="shared" si="13"/>
        <v>0</v>
      </c>
      <c r="H80" s="98">
        <f t="shared" si="13"/>
        <v>0</v>
      </c>
      <c r="I80" s="98">
        <f t="shared" si="13"/>
        <v>0</v>
      </c>
      <c r="J80" s="98">
        <f t="shared" si="13"/>
        <v>0</v>
      </c>
      <c r="K80" s="98">
        <f t="shared" si="13"/>
        <v>0</v>
      </c>
      <c r="L80" s="98">
        <f t="shared" si="13"/>
        <v>0</v>
      </c>
      <c r="M80" s="98">
        <f t="shared" si="13"/>
        <v>0</v>
      </c>
      <c r="N80" s="98">
        <f t="shared" si="13"/>
        <v>7.2498000004499996</v>
      </c>
      <c r="O80" s="98">
        <f t="shared" si="13"/>
        <v>6.1151999999999997</v>
      </c>
      <c r="P80" s="98">
        <f t="shared" si="13"/>
        <v>6.1253111115000003</v>
      </c>
      <c r="Q80" s="98">
        <f t="shared" si="13"/>
        <v>4.37080000035</v>
      </c>
      <c r="R80" s="98">
        <f t="shared" si="13"/>
        <v>0</v>
      </c>
    </row>
    <row r="81" spans="2:18" x14ac:dyDescent="0.25">
      <c r="B81" s="98" t="s">
        <v>2329</v>
      </c>
      <c r="C81" s="98">
        <f t="shared" si="13"/>
        <v>0</v>
      </c>
      <c r="D81" s="98">
        <f t="shared" si="13"/>
        <v>0</v>
      </c>
      <c r="E81" s="98">
        <f t="shared" si="13"/>
        <v>0</v>
      </c>
      <c r="F81" s="98">
        <f t="shared" si="13"/>
        <v>0</v>
      </c>
      <c r="G81" s="98">
        <f t="shared" si="13"/>
        <v>0</v>
      </c>
      <c r="H81" s="98">
        <f t="shared" si="13"/>
        <v>0</v>
      </c>
      <c r="I81" s="98">
        <f t="shared" si="13"/>
        <v>0</v>
      </c>
      <c r="J81" s="98">
        <f t="shared" si="13"/>
        <v>0</v>
      </c>
      <c r="K81" s="98">
        <f t="shared" si="13"/>
        <v>0</v>
      </c>
      <c r="L81" s="98">
        <f t="shared" si="13"/>
        <v>0</v>
      </c>
      <c r="M81" s="98">
        <f t="shared" si="13"/>
        <v>0</v>
      </c>
      <c r="N81" s="98">
        <f t="shared" si="13"/>
        <v>0</v>
      </c>
      <c r="O81" s="98">
        <f t="shared" si="13"/>
        <v>5.0959999996500001</v>
      </c>
      <c r="P81" s="98">
        <f t="shared" si="13"/>
        <v>7.6566388888500008</v>
      </c>
      <c r="Q81" s="98">
        <f t="shared" si="13"/>
        <v>3.6423333334500003</v>
      </c>
      <c r="R81" s="98">
        <f t="shared" si="13"/>
        <v>0</v>
      </c>
    </row>
    <row r="82" spans="2:18" x14ac:dyDescent="0.25">
      <c r="B82" s="321" t="s">
        <v>2611</v>
      </c>
      <c r="C82" s="98">
        <f t="shared" ref="C82:R83" si="26">C61*(1+$C$38)</f>
        <v>0</v>
      </c>
      <c r="D82" s="98">
        <f t="shared" si="26"/>
        <v>0</v>
      </c>
      <c r="E82" s="98">
        <f t="shared" si="26"/>
        <v>0</v>
      </c>
      <c r="F82" s="98">
        <f t="shared" si="26"/>
        <v>0</v>
      </c>
      <c r="G82" s="98">
        <f t="shared" si="26"/>
        <v>0</v>
      </c>
      <c r="H82" s="98">
        <f t="shared" si="26"/>
        <v>28.304866925999999</v>
      </c>
      <c r="I82" s="98">
        <f t="shared" si="26"/>
        <v>0</v>
      </c>
      <c r="J82" s="98">
        <f t="shared" si="26"/>
        <v>0</v>
      </c>
      <c r="K82" s="98">
        <f t="shared" si="26"/>
        <v>0</v>
      </c>
      <c r="L82" s="98">
        <f t="shared" si="26"/>
        <v>0</v>
      </c>
      <c r="M82" s="98">
        <f t="shared" si="26"/>
        <v>0</v>
      </c>
      <c r="N82" s="98">
        <f t="shared" si="26"/>
        <v>0</v>
      </c>
      <c r="O82" s="98">
        <f t="shared" si="26"/>
        <v>0</v>
      </c>
      <c r="P82" s="98">
        <f t="shared" si="26"/>
        <v>0</v>
      </c>
      <c r="Q82" s="98">
        <f t="shared" si="26"/>
        <v>0</v>
      </c>
      <c r="R82" s="98">
        <f t="shared" si="26"/>
        <v>0</v>
      </c>
    </row>
    <row r="83" spans="2:18" x14ac:dyDescent="0.25">
      <c r="B83" s="321" t="s">
        <v>3895</v>
      </c>
      <c r="C83" s="98">
        <f t="shared" si="26"/>
        <v>0</v>
      </c>
      <c r="D83" s="98">
        <f t="shared" si="26"/>
        <v>0</v>
      </c>
      <c r="E83" s="98">
        <f t="shared" si="26"/>
        <v>0</v>
      </c>
      <c r="F83" s="98">
        <f t="shared" si="26"/>
        <v>0</v>
      </c>
      <c r="G83" s="98">
        <f t="shared" si="26"/>
        <v>0</v>
      </c>
      <c r="H83" s="98">
        <f t="shared" si="26"/>
        <v>0</v>
      </c>
      <c r="I83" s="98">
        <f t="shared" si="26"/>
        <v>0</v>
      </c>
      <c r="J83" s="98">
        <f t="shared" si="26"/>
        <v>0</v>
      </c>
      <c r="K83" s="98">
        <f t="shared" si="26"/>
        <v>0</v>
      </c>
      <c r="L83" s="98">
        <f t="shared" si="26"/>
        <v>0</v>
      </c>
      <c r="M83" s="98">
        <f t="shared" si="26"/>
        <v>0</v>
      </c>
      <c r="N83" s="98">
        <f t="shared" si="26"/>
        <v>298.91755887000005</v>
      </c>
      <c r="O83" s="98">
        <f t="shared" si="26"/>
        <v>0</v>
      </c>
      <c r="P83" s="98">
        <f t="shared" si="26"/>
        <v>0</v>
      </c>
      <c r="Q83" s="98">
        <f t="shared" si="26"/>
        <v>0</v>
      </c>
      <c r="R83" s="98">
        <f t="shared" si="26"/>
        <v>0</v>
      </c>
    </row>
    <row r="84" spans="2:18" x14ac:dyDescent="0.25">
      <c r="B84" s="18" t="s">
        <v>4364</v>
      </c>
      <c r="C84" s="18">
        <f t="shared" ref="C84:R84" si="27">SUM(C66:C83)</f>
        <v>58.182408357149995</v>
      </c>
      <c r="D84" s="18">
        <f t="shared" si="27"/>
        <v>47.724773498850013</v>
      </c>
      <c r="E84" s="18">
        <f t="shared" si="27"/>
        <v>55.103198373300003</v>
      </c>
      <c r="F84" s="18">
        <f t="shared" si="27"/>
        <v>56.374098595500008</v>
      </c>
      <c r="G84" s="18">
        <f t="shared" si="27"/>
        <v>64.774515261750011</v>
      </c>
      <c r="H84" s="18">
        <f t="shared" si="27"/>
        <v>79.747393905900012</v>
      </c>
      <c r="I84" s="18">
        <f t="shared" si="27"/>
        <v>41.372422453950009</v>
      </c>
      <c r="J84" s="18">
        <f t="shared" si="27"/>
        <v>75.728554337100007</v>
      </c>
      <c r="K84" s="18">
        <f t="shared" si="27"/>
        <v>49.185163842150004</v>
      </c>
      <c r="L84" s="18">
        <f t="shared" si="27"/>
        <v>144.66406368225003</v>
      </c>
      <c r="M84" s="18">
        <f t="shared" si="27"/>
        <v>97.714991097150019</v>
      </c>
      <c r="N84" s="18">
        <f t="shared" si="27"/>
        <v>345.16240327800006</v>
      </c>
      <c r="O84" s="18">
        <f t="shared" si="27"/>
        <v>52.360444959900001</v>
      </c>
      <c r="P84" s="18">
        <f t="shared" si="27"/>
        <v>52.767226394399998</v>
      </c>
      <c r="Q84" s="18">
        <f t="shared" si="27"/>
        <v>148.76641043250001</v>
      </c>
      <c r="R84" s="18">
        <f t="shared" si="27"/>
        <v>147.88417768529999</v>
      </c>
    </row>
    <row r="85" spans="2:18" x14ac:dyDescent="0.25">
      <c r="B85" s="98" t="s">
        <v>4365</v>
      </c>
      <c r="C85" s="98">
        <f t="shared" ref="C85:R85" si="28">$C$37*C84</f>
        <v>5.8182408357149997</v>
      </c>
      <c r="D85" s="98">
        <f t="shared" si="28"/>
        <v>4.7724773498850013</v>
      </c>
      <c r="E85" s="98">
        <f t="shared" si="28"/>
        <v>5.5103198373300009</v>
      </c>
      <c r="F85" s="98">
        <f t="shared" si="28"/>
        <v>5.6374098595500008</v>
      </c>
      <c r="G85" s="98">
        <f t="shared" si="28"/>
        <v>6.4774515261750016</v>
      </c>
      <c r="H85" s="98">
        <f t="shared" si="28"/>
        <v>7.9747393905900017</v>
      </c>
      <c r="I85" s="98">
        <f t="shared" si="28"/>
        <v>4.1372422453950009</v>
      </c>
      <c r="J85" s="98">
        <f t="shared" si="28"/>
        <v>7.5728554337100009</v>
      </c>
      <c r="K85" s="98">
        <f t="shared" si="28"/>
        <v>4.9185163842150006</v>
      </c>
      <c r="L85" s="98">
        <f t="shared" si="28"/>
        <v>14.466406368225003</v>
      </c>
      <c r="M85" s="98">
        <f t="shared" si="28"/>
        <v>9.7714991097150019</v>
      </c>
      <c r="N85" s="98">
        <f t="shared" si="28"/>
        <v>34.516240327800006</v>
      </c>
      <c r="O85" s="98">
        <f t="shared" si="28"/>
        <v>5.2360444959900008</v>
      </c>
      <c r="P85" s="98">
        <f t="shared" si="28"/>
        <v>5.27672263944</v>
      </c>
      <c r="Q85" s="98">
        <f t="shared" si="28"/>
        <v>14.876641043250002</v>
      </c>
      <c r="R85" s="98">
        <f t="shared" si="28"/>
        <v>14.78841776853</v>
      </c>
    </row>
    <row r="87" spans="2:18" x14ac:dyDescent="0.25">
      <c r="B87" s="338" t="s">
        <v>4366</v>
      </c>
    </row>
    <row r="88" spans="2:18" x14ac:dyDescent="0.25">
      <c r="B88" s="18" t="s">
        <v>3868</v>
      </c>
      <c r="C88" s="18">
        <f t="shared" ref="C88:R88" ca="1" si="29">SUMPRODUCT(C$66:C$83,$E$18:$E$35)+(C$85*$E$37)</f>
        <v>434.55885118891831</v>
      </c>
      <c r="D88" s="18">
        <f t="shared" ca="1" si="29"/>
        <v>654.93598042865563</v>
      </c>
      <c r="E88" s="18">
        <f t="shared" ca="1" si="29"/>
        <v>866.06488664686344</v>
      </c>
      <c r="F88" s="18">
        <f t="shared" ca="1" si="29"/>
        <v>664.70340147499212</v>
      </c>
      <c r="G88" s="18">
        <f t="shared" ca="1" si="29"/>
        <v>575.33660082041399</v>
      </c>
      <c r="H88" s="18">
        <f t="shared" ca="1" si="29"/>
        <v>764.51892956468259</v>
      </c>
      <c r="I88" s="18">
        <f t="shared" ca="1" si="29"/>
        <v>476.37764915994609</v>
      </c>
      <c r="J88" s="18">
        <f t="shared" ca="1" si="29"/>
        <v>404.60888260020869</v>
      </c>
      <c r="K88" s="18">
        <f t="shared" ca="1" si="29"/>
        <v>349.77131824395036</v>
      </c>
      <c r="L88" s="18">
        <f t="shared" ca="1" si="29"/>
        <v>1257.547671309879</v>
      </c>
      <c r="M88" s="18">
        <f t="shared" ca="1" si="29"/>
        <v>667.5426624290734</v>
      </c>
      <c r="N88" s="18">
        <f t="shared" ca="1" si="29"/>
        <v>374.55864394566402</v>
      </c>
      <c r="O88" s="18">
        <f t="shared" ca="1" si="29"/>
        <v>379.18882980555128</v>
      </c>
      <c r="P88" s="18">
        <f t="shared" ca="1" si="29"/>
        <v>264.27958928631813</v>
      </c>
      <c r="Q88" s="18">
        <f t="shared" ca="1" si="29"/>
        <v>308.46046438932785</v>
      </c>
      <c r="R88" s="18">
        <f t="shared" ca="1" si="29"/>
        <v>293.56236574260913</v>
      </c>
    </row>
    <row r="89" spans="2:18" x14ac:dyDescent="0.25">
      <c r="B89" s="18" t="s">
        <v>3865</v>
      </c>
      <c r="C89" s="18">
        <f t="shared" ref="C89:R89" ca="1" si="30">SUMPRODUCT(C$66:C$83,$G$18:$G$35)+(C$85*$G$37)</f>
        <v>114.8207794156432</v>
      </c>
      <c r="D89" s="18">
        <f t="shared" ca="1" si="30"/>
        <v>137.907114372168</v>
      </c>
      <c r="E89" s="18">
        <f t="shared" ca="1" si="30"/>
        <v>174.33218444743389</v>
      </c>
      <c r="F89" s="18">
        <f t="shared" ca="1" si="30"/>
        <v>147.54409133182403</v>
      </c>
      <c r="G89" s="18">
        <f t="shared" ca="1" si="30"/>
        <v>141.54569107429586</v>
      </c>
      <c r="H89" s="18">
        <f t="shared" ca="1" si="30"/>
        <v>167.24882646293688</v>
      </c>
      <c r="I89" s="18">
        <f t="shared" ca="1" si="30"/>
        <v>105.33999172499182</v>
      </c>
      <c r="J89" s="18">
        <f t="shared" ca="1" si="30"/>
        <v>119.31655945571285</v>
      </c>
      <c r="K89" s="18">
        <f t="shared" ca="1" si="30"/>
        <v>85.885499946731315</v>
      </c>
      <c r="L89" s="18">
        <f t="shared" ca="1" si="30"/>
        <v>293.20711416907733</v>
      </c>
      <c r="M89" s="18">
        <f t="shared" ca="1" si="30"/>
        <v>182.87782563262599</v>
      </c>
      <c r="N89" s="18">
        <f t="shared" ca="1" si="30"/>
        <v>159.19261853967416</v>
      </c>
      <c r="O89" s="18">
        <f t="shared" ca="1" si="30"/>
        <v>92.019503263839312</v>
      </c>
      <c r="P89" s="18">
        <f t="shared" ca="1" si="30"/>
        <v>79.573495131189333</v>
      </c>
      <c r="Q89" s="18">
        <f t="shared" ca="1" si="30"/>
        <v>89.091447308608053</v>
      </c>
      <c r="R89" s="18">
        <f t="shared" ca="1" si="30"/>
        <v>87.27928214157572</v>
      </c>
    </row>
    <row r="90" spans="2:18" x14ac:dyDescent="0.25">
      <c r="B90" s="18" t="s">
        <v>3866</v>
      </c>
      <c r="C90" s="18">
        <f t="shared" ref="C90:R90" ca="1" si="31">SUMPRODUCT(C$66:C$83,$F$18:$F$35)+(C$85*$F$37)</f>
        <v>267.3310764105936</v>
      </c>
      <c r="D90" s="18">
        <f t="shared" ca="1" si="31"/>
        <v>386.31380877010236</v>
      </c>
      <c r="E90" s="18">
        <f t="shared" ca="1" si="31"/>
        <v>506.71026797453555</v>
      </c>
      <c r="F90" s="18">
        <f t="shared" ca="1" si="31"/>
        <v>395.09574268097305</v>
      </c>
      <c r="G90" s="18">
        <f t="shared" ca="1" si="31"/>
        <v>348.59567786365329</v>
      </c>
      <c r="H90" s="18">
        <f t="shared" ca="1" si="31"/>
        <v>452.01843278278574</v>
      </c>
      <c r="I90" s="18">
        <f t="shared" ca="1" si="31"/>
        <v>282.3603219194647</v>
      </c>
      <c r="J90" s="18">
        <f t="shared" ca="1" si="31"/>
        <v>247.57730950527193</v>
      </c>
      <c r="K90" s="18">
        <f t="shared" ca="1" si="31"/>
        <v>211.13521841974145</v>
      </c>
      <c r="L90" s="18">
        <f t="shared" ca="1" si="31"/>
        <v>752.59075236869319</v>
      </c>
      <c r="M90" s="18">
        <f t="shared" ca="1" si="31"/>
        <v>411.51491470055208</v>
      </c>
      <c r="N90" s="18">
        <f t="shared" ca="1" si="31"/>
        <v>251.03518841183327</v>
      </c>
      <c r="O90" s="18">
        <f t="shared" ca="1" si="31"/>
        <v>225.89281065043701</v>
      </c>
      <c r="P90" s="18">
        <f t="shared" ca="1" si="31"/>
        <v>160.73256439334511</v>
      </c>
      <c r="Q90" s="18">
        <f t="shared" ca="1" si="31"/>
        <v>181.69854332282208</v>
      </c>
      <c r="R90" s="18">
        <f t="shared" ca="1" si="31"/>
        <v>174.35682751127445</v>
      </c>
    </row>
    <row r="91" spans="2:18" x14ac:dyDescent="0.25">
      <c r="B91" s="18"/>
      <c r="C91" s="18"/>
      <c r="D91" s="18"/>
      <c r="E91" s="18"/>
      <c r="F91" s="18"/>
      <c r="G91" s="18"/>
      <c r="H91" s="18"/>
      <c r="I91" s="18"/>
      <c r="J91" s="18"/>
      <c r="K91" s="18"/>
      <c r="L91" s="18"/>
      <c r="M91" s="18"/>
      <c r="N91" s="18"/>
      <c r="O91" s="18"/>
      <c r="P91" s="18"/>
      <c r="Q91" s="18"/>
      <c r="R91" s="18"/>
    </row>
    <row r="92" spans="2:18" x14ac:dyDescent="0.25">
      <c r="B92" s="18" t="s">
        <v>3877</v>
      </c>
      <c r="C92" s="18">
        <f t="shared" ref="C92:R92" ca="1" si="32">SUMPRODUCT(C$66:C$83,$I$18:$I$35)+(C$85*$I$37)</f>
        <v>0</v>
      </c>
      <c r="D92" s="18">
        <f t="shared" ca="1" si="32"/>
        <v>0</v>
      </c>
      <c r="E92" s="18">
        <f t="shared" ca="1" si="32"/>
        <v>0</v>
      </c>
      <c r="F92" s="18">
        <f t="shared" ca="1" si="32"/>
        <v>0</v>
      </c>
      <c r="G92" s="18">
        <f t="shared" ca="1" si="32"/>
        <v>0</v>
      </c>
      <c r="H92" s="18">
        <f t="shared" ca="1" si="32"/>
        <v>0</v>
      </c>
      <c r="I92" s="18">
        <f t="shared" ca="1" si="32"/>
        <v>0</v>
      </c>
      <c r="J92" s="18">
        <f t="shared" ca="1" si="32"/>
        <v>0</v>
      </c>
      <c r="K92" s="18">
        <f t="shared" ca="1" si="32"/>
        <v>20.077211540924999</v>
      </c>
      <c r="L92" s="18">
        <f t="shared" ca="1" si="32"/>
        <v>0</v>
      </c>
      <c r="M92" s="18">
        <f t="shared" ca="1" si="32"/>
        <v>0</v>
      </c>
      <c r="N92" s="18">
        <f t="shared" ca="1" si="32"/>
        <v>1.4786571250917813</v>
      </c>
      <c r="O92" s="18">
        <f t="shared" ca="1" si="32"/>
        <v>1.2897126666637502</v>
      </c>
      <c r="P92" s="18">
        <f t="shared" ca="1" si="32"/>
        <v>1.3131135695234377</v>
      </c>
      <c r="Q92" s="18">
        <f t="shared" ca="1" si="32"/>
        <v>0.92181386118346886</v>
      </c>
      <c r="R92" s="18">
        <f t="shared" ca="1" si="32"/>
        <v>10.125564705255998</v>
      </c>
    </row>
    <row r="93" spans="2:18" x14ac:dyDescent="0.25">
      <c r="B93" s="18" t="s">
        <v>3875</v>
      </c>
      <c r="C93" s="18">
        <f t="shared" ref="C93:R93" ca="1" si="33">SUMPRODUCT(C$66:C$83,$J$18:$J$35)+(C$85*$J$37)</f>
        <v>0</v>
      </c>
      <c r="D93" s="18">
        <f t="shared" ca="1" si="33"/>
        <v>0</v>
      </c>
      <c r="E93" s="18">
        <f t="shared" ca="1" si="33"/>
        <v>0</v>
      </c>
      <c r="F93" s="18">
        <f t="shared" ca="1" si="33"/>
        <v>0</v>
      </c>
      <c r="G93" s="18">
        <f t="shared" ca="1" si="33"/>
        <v>0</v>
      </c>
      <c r="H93" s="18">
        <f t="shared" ca="1" si="33"/>
        <v>0</v>
      </c>
      <c r="I93" s="18">
        <f t="shared" ca="1" si="33"/>
        <v>0</v>
      </c>
      <c r="J93" s="18">
        <f t="shared" ca="1" si="33"/>
        <v>0</v>
      </c>
      <c r="K93" s="18">
        <f t="shared" ca="1" si="33"/>
        <v>18.773050791258083</v>
      </c>
      <c r="L93" s="18">
        <f t="shared" ca="1" si="33"/>
        <v>0</v>
      </c>
      <c r="M93" s="18">
        <f t="shared" ca="1" si="33"/>
        <v>0</v>
      </c>
      <c r="N93" s="18">
        <f t="shared" ca="1" si="33"/>
        <v>0.44048352986218053</v>
      </c>
      <c r="O93" s="18">
        <f t="shared" ca="1" si="33"/>
        <v>0.38791719717606782</v>
      </c>
      <c r="P93" s="18">
        <f t="shared" ca="1" si="33"/>
        <v>0.39675698912141871</v>
      </c>
      <c r="Q93" s="18">
        <f t="shared" ca="1" si="33"/>
        <v>0.27726133005533826</v>
      </c>
      <c r="R93" s="18">
        <f t="shared" ca="1" si="33"/>
        <v>10.125564705255998</v>
      </c>
    </row>
    <row r="95" spans="2:18" x14ac:dyDescent="0.25">
      <c r="B95" s="18"/>
    </row>
    <row r="96" spans="2:18" x14ac:dyDescent="0.25">
      <c r="B96" s="18" t="s">
        <v>3873</v>
      </c>
      <c r="C96" s="98">
        <f ca="1">C88/C$63</f>
        <v>7.8423497175893617</v>
      </c>
      <c r="D96" s="98">
        <f t="shared" ref="D96:R96" ca="1" si="34">D88/D$63</f>
        <v>14.409346111755966</v>
      </c>
      <c r="E96" s="98">
        <f t="shared" ca="1" si="34"/>
        <v>16.503000875169466</v>
      </c>
      <c r="F96" s="98">
        <f t="shared" ca="1" si="34"/>
        <v>12.380483039855717</v>
      </c>
      <c r="G96" s="98">
        <f t="shared" ca="1" si="34"/>
        <v>9.3262516658023333</v>
      </c>
      <c r="H96" s="98">
        <f t="shared" ca="1" si="34"/>
        <v>10.066095413602309</v>
      </c>
      <c r="I96" s="98">
        <f t="shared" ca="1" si="34"/>
        <v>12.090095332819642</v>
      </c>
      <c r="J96" s="98">
        <f t="shared" ca="1" si="34"/>
        <v>5.6100282178777467</v>
      </c>
      <c r="K96" s="98">
        <f t="shared" ca="1" si="34"/>
        <v>7.4668834149825232</v>
      </c>
      <c r="L96" s="98">
        <f t="shared" ca="1" si="34"/>
        <v>9.1275263618727358</v>
      </c>
      <c r="M96" s="98">
        <f t="shared" ca="1" si="34"/>
        <v>7.1731040209957131</v>
      </c>
      <c r="N96" s="98">
        <f t="shared" ca="1" si="34"/>
        <v>1.1394247241527842</v>
      </c>
      <c r="O96" s="98">
        <f t="shared" ca="1" si="34"/>
        <v>7.6039894542674116</v>
      </c>
      <c r="P96" s="98">
        <f t="shared" ca="1" si="34"/>
        <v>5.2588242307176385</v>
      </c>
      <c r="Q96" s="98">
        <f t="shared" ca="1" si="34"/>
        <v>2.1771277983194359</v>
      </c>
      <c r="R96" s="98">
        <f t="shared" ca="1" si="34"/>
        <v>2.0843371404186359</v>
      </c>
    </row>
    <row r="97" spans="1:18" x14ac:dyDescent="0.25">
      <c r="B97" s="18" t="s">
        <v>3870</v>
      </c>
      <c r="C97" s="98">
        <f t="shared" ref="C97:R97" ca="1" si="35">C89/C$63</f>
        <v>2.0721352345259114</v>
      </c>
      <c r="D97" s="98">
        <f t="shared" ca="1" si="35"/>
        <v>3.0341153969911585</v>
      </c>
      <c r="E97" s="98">
        <f t="shared" ca="1" si="35"/>
        <v>3.3219268404300286</v>
      </c>
      <c r="F97" s="98">
        <f t="shared" ca="1" si="35"/>
        <v>2.7480935351183007</v>
      </c>
      <c r="G97" s="98">
        <f t="shared" ca="1" si="35"/>
        <v>2.2944668134903665</v>
      </c>
      <c r="H97" s="98">
        <f t="shared" ca="1" si="35"/>
        <v>2.2020941272802061</v>
      </c>
      <c r="I97" s="98">
        <f t="shared" ca="1" si="35"/>
        <v>2.6734473050098448</v>
      </c>
      <c r="J97" s="98">
        <f t="shared" ca="1" si="35"/>
        <v>1.6543612713219551</v>
      </c>
      <c r="K97" s="98">
        <f t="shared" ca="1" si="35"/>
        <v>1.8334751355811671</v>
      </c>
      <c r="L97" s="98">
        <f t="shared" ca="1" si="35"/>
        <v>2.1281544430671619</v>
      </c>
      <c r="M97" s="98">
        <f t="shared" ca="1" si="35"/>
        <v>1.9651203439536296</v>
      </c>
      <c r="N97" s="98">
        <f t="shared" ca="1" si="35"/>
        <v>0.48427131077781499</v>
      </c>
      <c r="O97" s="98">
        <f t="shared" ca="1" si="35"/>
        <v>1.8452952128467897</v>
      </c>
      <c r="P97" s="98">
        <f t="shared" ca="1" si="35"/>
        <v>1.5834103021305646</v>
      </c>
      <c r="Q97" s="98">
        <f t="shared" ca="1" si="35"/>
        <v>0.62881143264852279</v>
      </c>
      <c r="R97" s="98">
        <f t="shared" ca="1" si="35"/>
        <v>0.61969608705315915</v>
      </c>
    </row>
    <row r="98" spans="1:18" x14ac:dyDescent="0.25">
      <c r="B98" s="18" t="s">
        <v>3871</v>
      </c>
      <c r="C98" s="98">
        <f ca="1">C90/C$63</f>
        <v>4.8244415822059814</v>
      </c>
      <c r="D98" s="98">
        <f t="shared" ref="D98:R98" ca="1" si="36">D90/D$63</f>
        <v>8.4993488595264193</v>
      </c>
      <c r="E98" s="98">
        <f t="shared" ca="1" si="36"/>
        <v>9.6554428250949336</v>
      </c>
      <c r="F98" s="98">
        <f t="shared" ca="1" si="36"/>
        <v>7.3588853773377529</v>
      </c>
      <c r="G98" s="98">
        <f t="shared" ca="1" si="36"/>
        <v>5.6507634256736399</v>
      </c>
      <c r="H98" s="98">
        <f t="shared" ca="1" si="36"/>
        <v>5.9515343533603664</v>
      </c>
      <c r="I98" s="98">
        <f t="shared" ca="1" si="36"/>
        <v>7.1660860164868572</v>
      </c>
      <c r="J98" s="98">
        <f t="shared" ca="1" si="36"/>
        <v>3.4327365318946947</v>
      </c>
      <c r="K98" s="98">
        <f t="shared" ca="1" si="36"/>
        <v>4.5072937045041641</v>
      </c>
      <c r="L98" s="98">
        <f t="shared" ca="1" si="36"/>
        <v>5.4624505206961524</v>
      </c>
      <c r="M98" s="98">
        <f t="shared" ca="1" si="36"/>
        <v>4.4219485217573968</v>
      </c>
      <c r="N98" s="98">
        <f t="shared" ca="1" si="36"/>
        <v>0.76366065750251266</v>
      </c>
      <c r="O98" s="98">
        <f t="shared" ca="1" si="36"/>
        <v>4.5298975469862368</v>
      </c>
      <c r="P98" s="98">
        <f t="shared" ca="1" si="36"/>
        <v>3.1983714920237549</v>
      </c>
      <c r="Q98" s="98">
        <f t="shared" ca="1" si="36"/>
        <v>1.2824364716088088</v>
      </c>
      <c r="R98" s="98">
        <f t="shared" ca="1" si="36"/>
        <v>1.2379598125529301</v>
      </c>
    </row>
    <row r="99" spans="1:18" x14ac:dyDescent="0.25">
      <c r="B99" s="18"/>
      <c r="C99" s="98"/>
      <c r="D99" s="98"/>
      <c r="E99" s="98"/>
      <c r="F99" s="98"/>
      <c r="G99" s="98"/>
      <c r="H99" s="98"/>
      <c r="I99" s="98"/>
      <c r="J99" s="98"/>
      <c r="K99" s="98"/>
      <c r="L99" s="98"/>
      <c r="M99" s="98"/>
      <c r="N99" s="98"/>
      <c r="O99" s="98"/>
      <c r="P99" s="98"/>
      <c r="Q99" s="98"/>
      <c r="R99" s="98"/>
    </row>
    <row r="100" spans="1:18" x14ac:dyDescent="0.25">
      <c r="B100" s="18" t="s">
        <v>3881</v>
      </c>
      <c r="C100" s="98">
        <f t="shared" ref="C100:R100" ca="1" si="37">C92/C$63</f>
        <v>0</v>
      </c>
      <c r="D100" s="98">
        <f t="shared" ca="1" si="37"/>
        <v>0</v>
      </c>
      <c r="E100" s="98">
        <f t="shared" ca="1" si="37"/>
        <v>0</v>
      </c>
      <c r="F100" s="98">
        <f t="shared" ca="1" si="37"/>
        <v>0</v>
      </c>
      <c r="G100" s="98">
        <f t="shared" ca="1" si="37"/>
        <v>0</v>
      </c>
      <c r="H100" s="98">
        <f t="shared" ca="1" si="37"/>
        <v>0</v>
      </c>
      <c r="I100" s="98">
        <f t="shared" ca="1" si="37"/>
        <v>0</v>
      </c>
      <c r="J100" s="98">
        <f t="shared" ca="1" si="37"/>
        <v>0</v>
      </c>
      <c r="K100" s="98">
        <f t="shared" ca="1" si="37"/>
        <v>0.4286063209147124</v>
      </c>
      <c r="L100" s="98">
        <f t="shared" ca="1" si="37"/>
        <v>0</v>
      </c>
      <c r="M100" s="98">
        <f t="shared" ca="1" si="37"/>
        <v>0</v>
      </c>
      <c r="N100" s="98">
        <f t="shared" ca="1" si="37"/>
        <v>4.4981433858423056E-3</v>
      </c>
      <c r="O100" s="98">
        <f t="shared" ca="1" si="37"/>
        <v>2.5863002139000998E-2</v>
      </c>
      <c r="P100" s="98">
        <f t="shared" ca="1" si="37"/>
        <v>2.6129272698440214E-2</v>
      </c>
      <c r="Q100" s="98">
        <f t="shared" ca="1" si="37"/>
        <v>6.5062035941359968E-3</v>
      </c>
      <c r="R100" s="98">
        <f t="shared" ca="1" si="37"/>
        <v>7.1893038910109369E-2</v>
      </c>
    </row>
    <row r="101" spans="1:18" x14ac:dyDescent="0.25">
      <c r="B101" s="18" t="s">
        <v>3879</v>
      </c>
      <c r="C101" s="98">
        <f t="shared" ref="C101:R101" ca="1" si="38">C93/C$63</f>
        <v>0</v>
      </c>
      <c r="D101" s="98">
        <f t="shared" ca="1" si="38"/>
        <v>0</v>
      </c>
      <c r="E101" s="98">
        <f t="shared" ca="1" si="38"/>
        <v>0</v>
      </c>
      <c r="F101" s="98">
        <f t="shared" ca="1" si="38"/>
        <v>0</v>
      </c>
      <c r="G101" s="98">
        <f t="shared" ca="1" si="38"/>
        <v>0</v>
      </c>
      <c r="H101" s="98">
        <f t="shared" ca="1" si="38"/>
        <v>0</v>
      </c>
      <c r="I101" s="98">
        <f t="shared" ca="1" si="38"/>
        <v>0</v>
      </c>
      <c r="J101" s="98">
        <f t="shared" ca="1" si="38"/>
        <v>0</v>
      </c>
      <c r="K101" s="98">
        <f t="shared" ca="1" si="38"/>
        <v>0.40076522656469704</v>
      </c>
      <c r="L101" s="98">
        <f t="shared" ca="1" si="38"/>
        <v>0</v>
      </c>
      <c r="M101" s="98">
        <f t="shared" ca="1" si="38"/>
        <v>0</v>
      </c>
      <c r="N101" s="98">
        <f t="shared" ca="1" si="38"/>
        <v>1.3399712771810129E-3</v>
      </c>
      <c r="O101" s="98">
        <f t="shared" ca="1" si="38"/>
        <v>7.7790220718485107E-3</v>
      </c>
      <c r="P101" s="98">
        <f t="shared" ca="1" si="38"/>
        <v>7.894954255577501E-3</v>
      </c>
      <c r="Q101" s="98">
        <f t="shared" ca="1" si="38"/>
        <v>1.9569229082810834E-3</v>
      </c>
      <c r="R101" s="98">
        <f t="shared" ca="1" si="38"/>
        <v>7.1893038910109369E-2</v>
      </c>
    </row>
    <row r="104" spans="1:18" x14ac:dyDescent="0.25">
      <c r="B104" s="326"/>
    </row>
    <row r="105" spans="1:18" ht="14.4" x14ac:dyDescent="0.25">
      <c r="A105" s="4" t="s">
        <v>4367</v>
      </c>
      <c r="B105" s="398" t="s">
        <v>4368</v>
      </c>
    </row>
  </sheetData>
  <mergeCells count="5">
    <mergeCell ref="I15:J15"/>
    <mergeCell ref="B15:C15"/>
    <mergeCell ref="L15:M15"/>
    <mergeCell ref="N15:O15"/>
    <mergeCell ref="E15:G15"/>
  </mergeCells>
  <pageMargins left="0.7" right="0.7" top="0.75" bottom="0.75" header="0.3" footer="0.3"/>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8C265B-57D7-46BC-8F0B-8832819CC670}">
  <sheetPr codeName="Sheet41">
    <tabColor rgb="FF00CCFF"/>
  </sheetPr>
  <dimension ref="A1:AF52"/>
  <sheetViews>
    <sheetView showGridLines="0" zoomScale="80" zoomScaleNormal="80" workbookViewId="0"/>
  </sheetViews>
  <sheetFormatPr defaultRowHeight="13.2" x14ac:dyDescent="0.25"/>
  <cols>
    <col min="1" max="1" width="26.88671875" customWidth="1"/>
    <col min="2" max="2" width="70.5546875" customWidth="1"/>
    <col min="3" max="3" width="36.44140625" customWidth="1"/>
    <col min="4" max="6" width="24.109375" customWidth="1"/>
    <col min="7" max="7" width="26.88671875" customWidth="1"/>
    <col min="8" max="8" width="22.109375" customWidth="1"/>
    <col min="9" max="10" width="21.109375" customWidth="1"/>
    <col min="11" max="16" width="20.5546875" customWidth="1"/>
    <col min="17" max="17" width="24.5546875" bestFit="1" customWidth="1"/>
    <col min="18" max="18" width="24.5546875" customWidth="1"/>
    <col min="25" max="25" width="19.88671875" customWidth="1"/>
    <col min="26" max="26" width="25.88671875" customWidth="1"/>
    <col min="27" max="27" width="14.109375" customWidth="1"/>
    <col min="28" max="28" width="15.88671875" customWidth="1"/>
    <col min="29" max="29" width="10.44140625" customWidth="1"/>
    <col min="30" max="30" width="11.88671875" customWidth="1"/>
    <col min="31" max="31" width="17.109375" customWidth="1"/>
  </cols>
  <sheetData>
    <row r="1" spans="1:32" x14ac:dyDescent="0.25">
      <c r="A1" s="4" t="str" cm="1">
        <f t="array" aca="1" ref="A1" ca="1">MID(CELL("filename",A1),FIND("]",CELL("filename",A1))+1,255)</f>
        <v>Building_services</v>
      </c>
    </row>
    <row r="2" spans="1:32" x14ac:dyDescent="0.25">
      <c r="A2" s="4"/>
    </row>
    <row r="3" spans="1:32" x14ac:dyDescent="0.25">
      <c r="A3" s="4" t="s">
        <v>4048</v>
      </c>
      <c r="B3" t="s">
        <v>4369</v>
      </c>
    </row>
    <row r="4" spans="1:32" ht="168.75" customHeight="1" x14ac:dyDescent="0.25">
      <c r="A4" s="4"/>
      <c r="B4" s="14" t="s">
        <v>4370</v>
      </c>
      <c r="J4" s="4" t="s">
        <v>4101</v>
      </c>
    </row>
    <row r="5" spans="1:32" ht="13.8" x14ac:dyDescent="0.25">
      <c r="A5" s="26" t="s">
        <v>4050</v>
      </c>
      <c r="M5" s="508" t="s">
        <v>4371</v>
      </c>
      <c r="N5" s="509"/>
      <c r="O5" s="509"/>
      <c r="P5" s="509"/>
      <c r="Q5" s="510"/>
      <c r="R5" s="252"/>
      <c r="S5" s="508" t="s">
        <v>4372</v>
      </c>
      <c r="T5" s="509"/>
      <c r="U5" s="509"/>
      <c r="V5" s="509"/>
      <c r="W5" s="510"/>
      <c r="X5" s="252"/>
      <c r="Y5" s="511" t="s">
        <v>4373</v>
      </c>
      <c r="Z5" s="512"/>
      <c r="AA5" s="512"/>
      <c r="AB5" s="512"/>
      <c r="AC5" s="512"/>
      <c r="AD5" s="512"/>
      <c r="AE5" s="513"/>
    </row>
    <row r="6" spans="1:32" ht="13.8" thickBot="1" x14ac:dyDescent="0.3">
      <c r="A6" s="26" t="s">
        <v>4052</v>
      </c>
      <c r="M6" s="146" t="s">
        <v>4374</v>
      </c>
      <c r="N6" s="147"/>
      <c r="O6" s="147"/>
      <c r="P6" s="147"/>
      <c r="Q6" s="130"/>
      <c r="R6" s="67"/>
      <c r="S6" s="146" t="s">
        <v>4374</v>
      </c>
      <c r="T6" s="147"/>
      <c r="U6" s="147"/>
      <c r="V6" s="147"/>
      <c r="W6" s="130"/>
      <c r="Y6" s="122"/>
      <c r="AE6" s="124"/>
    </row>
    <row r="7" spans="1:32" ht="52.8" x14ac:dyDescent="0.25">
      <c r="A7" s="26" t="s">
        <v>4053</v>
      </c>
      <c r="K7" s="187" t="s">
        <v>4375</v>
      </c>
      <c r="L7" s="253" t="s">
        <v>4376</v>
      </c>
      <c r="M7" s="148" t="s">
        <v>4377</v>
      </c>
      <c r="N7" s="148" t="s">
        <v>4378</v>
      </c>
      <c r="O7" s="148" t="s">
        <v>4379</v>
      </c>
      <c r="P7" s="187" t="s">
        <v>4380</v>
      </c>
      <c r="Q7" s="149" t="s">
        <v>4381</v>
      </c>
      <c r="R7" s="149"/>
      <c r="S7" s="148" t="s">
        <v>4377</v>
      </c>
      <c r="T7" s="148" t="s">
        <v>4378</v>
      </c>
      <c r="U7" s="148" t="s">
        <v>4379</v>
      </c>
      <c r="V7" s="187" t="s">
        <v>4380</v>
      </c>
      <c r="W7" s="149" t="s">
        <v>4381</v>
      </c>
      <c r="X7" s="149"/>
      <c r="Y7" s="148" t="s">
        <v>4375</v>
      </c>
      <c r="Z7" s="148" t="s">
        <v>4376</v>
      </c>
      <c r="AA7" s="148" t="s">
        <v>4377</v>
      </c>
      <c r="AB7" s="148" t="s">
        <v>4378</v>
      </c>
      <c r="AC7" s="148" t="s">
        <v>4379</v>
      </c>
      <c r="AD7" s="243" t="s">
        <v>4380</v>
      </c>
      <c r="AE7" s="149" t="s">
        <v>4381</v>
      </c>
    </row>
    <row r="8" spans="1:32" ht="13.8" x14ac:dyDescent="0.25">
      <c r="A8" s="26" t="s">
        <v>4054</v>
      </c>
      <c r="K8" s="122" t="s">
        <v>4382</v>
      </c>
      <c r="L8" s="249"/>
      <c r="M8" s="250">
        <v>59.440344976129026</v>
      </c>
      <c r="N8" s="150">
        <v>305.39382381681258</v>
      </c>
      <c r="O8" s="150">
        <v>53.772952987541466</v>
      </c>
      <c r="P8" s="136">
        <v>418.60712178048311</v>
      </c>
      <c r="Q8" s="201"/>
      <c r="R8" s="129"/>
      <c r="S8" s="250">
        <f t="shared" ref="S8:S26" si="0">M8/AA8</f>
        <v>2.1811258989463451</v>
      </c>
      <c r="T8" s="150">
        <f t="shared" ref="T8:T26" si="1">N8/AB8</f>
        <v>3.2834637353840668</v>
      </c>
      <c r="U8" s="150">
        <f t="shared" ref="U8:U26" si="2">O8/AC8</f>
        <v>2.6703864471805718</v>
      </c>
      <c r="V8" s="136">
        <f t="shared" ref="V8:V26" si="3">P8/AD8</f>
        <v>2.9815627857587881</v>
      </c>
      <c r="W8" s="201"/>
      <c r="X8" s="122"/>
      <c r="Y8" s="258" t="s">
        <v>4383</v>
      </c>
      <c r="Z8" s="244"/>
      <c r="AA8" s="251">
        <v>27.252138450532993</v>
      </c>
      <c r="AB8" s="251">
        <v>93.009653350439905</v>
      </c>
      <c r="AC8" s="251">
        <v>20.136768236041505</v>
      </c>
      <c r="AD8" s="242">
        <v>140.39856003701439</v>
      </c>
      <c r="AE8" s="130"/>
    </row>
    <row r="9" spans="1:32" ht="13.8" x14ac:dyDescent="0.25">
      <c r="A9" s="26" t="s">
        <v>4055</v>
      </c>
      <c r="B9" s="4" t="s">
        <v>4319</v>
      </c>
      <c r="K9" s="122"/>
      <c r="L9" s="81" t="s">
        <v>4384</v>
      </c>
      <c r="M9" s="246">
        <v>7.0900280211827997</v>
      </c>
      <c r="N9" s="255">
        <v>35.581546515118497</v>
      </c>
      <c r="O9" s="255">
        <v>6.2330293476741723</v>
      </c>
      <c r="P9" s="100">
        <v>48.904603883975469</v>
      </c>
      <c r="Q9" s="137"/>
      <c r="R9" s="248"/>
      <c r="S9" s="246">
        <f t="shared" si="0"/>
        <v>1.9081523827694498</v>
      </c>
      <c r="T9" s="255">
        <f t="shared" si="1"/>
        <v>3.5522804973507056</v>
      </c>
      <c r="U9" s="255">
        <f t="shared" si="2"/>
        <v>2.6434692202245946</v>
      </c>
      <c r="V9" s="100">
        <f t="shared" si="3"/>
        <v>3.0394249076824562</v>
      </c>
      <c r="W9" s="137"/>
      <c r="X9" s="248"/>
      <c r="Y9" s="258"/>
      <c r="Z9" s="244" t="s">
        <v>4384</v>
      </c>
      <c r="AA9" s="251">
        <v>3.7156508490650477</v>
      </c>
      <c r="AB9" s="251">
        <v>10.016536290322582</v>
      </c>
      <c r="AC9" s="251">
        <v>2.3578974553539918</v>
      </c>
      <c r="AD9" s="242">
        <v>16.090084594741622</v>
      </c>
      <c r="AE9" s="138"/>
    </row>
    <row r="10" spans="1:32" ht="13.8" x14ac:dyDescent="0.25">
      <c r="A10" s="26"/>
      <c r="K10" s="122"/>
      <c r="L10" s="81" t="s">
        <v>4385</v>
      </c>
      <c r="M10" s="246">
        <v>7.0900280211827997</v>
      </c>
      <c r="N10" s="255">
        <v>41.709303475003821</v>
      </c>
      <c r="O10" s="255">
        <v>6.2330293476741723</v>
      </c>
      <c r="P10" s="100">
        <v>55.032360843860801</v>
      </c>
      <c r="Q10" s="137"/>
      <c r="R10" s="248"/>
      <c r="S10" s="246">
        <f t="shared" si="0"/>
        <v>1.9081523827694498</v>
      </c>
      <c r="T10" s="255">
        <f t="shared" si="1"/>
        <v>3.1985257057033074</v>
      </c>
      <c r="U10" s="255">
        <f t="shared" si="2"/>
        <v>2.6434692202245946</v>
      </c>
      <c r="V10" s="100">
        <f t="shared" si="3"/>
        <v>2.8792082157447152</v>
      </c>
      <c r="W10" s="137"/>
      <c r="X10" s="248"/>
      <c r="Y10" s="258"/>
      <c r="Z10" s="244" t="s">
        <v>4385</v>
      </c>
      <c r="AA10" s="251">
        <v>3.7156508490650477</v>
      </c>
      <c r="AB10" s="251">
        <v>13.040165161290325</v>
      </c>
      <c r="AC10" s="251">
        <v>2.3578974553539918</v>
      </c>
      <c r="AD10" s="242">
        <v>19.113713465709367</v>
      </c>
      <c r="AE10" s="138"/>
    </row>
    <row r="11" spans="1:32" ht="118.8" x14ac:dyDescent="0.25">
      <c r="A11" s="26" t="s">
        <v>4056</v>
      </c>
      <c r="B11" s="14" t="s">
        <v>4386</v>
      </c>
      <c r="K11" s="122"/>
      <c r="L11" s="81" t="s">
        <v>4387</v>
      </c>
      <c r="M11" s="246">
        <v>11.71434282058814</v>
      </c>
      <c r="N11" s="255">
        <v>48.225695118543527</v>
      </c>
      <c r="O11" s="255">
        <v>6.3703151379967533</v>
      </c>
      <c r="P11" s="100">
        <v>66.310353077128426</v>
      </c>
      <c r="Q11" s="161"/>
      <c r="R11" s="122"/>
      <c r="S11" s="246">
        <f t="shared" si="0"/>
        <v>4.6300163482753787</v>
      </c>
      <c r="T11" s="255">
        <f t="shared" si="1"/>
        <v>4.0669321272182088</v>
      </c>
      <c r="U11" s="255">
        <f t="shared" si="2"/>
        <v>2.6443347635212491</v>
      </c>
      <c r="V11" s="100">
        <f t="shared" si="3"/>
        <v>3.9477185803937713</v>
      </c>
      <c r="W11" s="161"/>
      <c r="X11" s="122"/>
      <c r="Y11" s="258"/>
      <c r="Z11" s="244" t="s">
        <v>4387</v>
      </c>
      <c r="AA11" s="251">
        <v>2.5300867079986835</v>
      </c>
      <c r="AB11" s="251">
        <v>11.858003431085047</v>
      </c>
      <c r="AC11" s="251">
        <v>2.4090426166443142</v>
      </c>
      <c r="AD11" s="242">
        <v>16.797132755728043</v>
      </c>
      <c r="AE11" s="124"/>
    </row>
    <row r="12" spans="1:32" ht="13.8" x14ac:dyDescent="0.25">
      <c r="A12" s="101"/>
      <c r="K12" s="122"/>
      <c r="L12" s="81" t="s">
        <v>4388</v>
      </c>
      <c r="M12" s="246">
        <v>11.71434282058814</v>
      </c>
      <c r="N12" s="255">
        <v>43.241302946218447</v>
      </c>
      <c r="O12" s="255">
        <v>6.3703151379967533</v>
      </c>
      <c r="P12" s="100">
        <v>61.325960904803338</v>
      </c>
      <c r="Q12" s="161"/>
      <c r="R12" s="122"/>
      <c r="S12" s="246">
        <f t="shared" si="0"/>
        <v>4.6300163482753787</v>
      </c>
      <c r="T12" s="255">
        <f t="shared" si="1"/>
        <v>3.1403764657969662</v>
      </c>
      <c r="U12" s="255">
        <f t="shared" si="2"/>
        <v>2.6443347635212491</v>
      </c>
      <c r="V12" s="100">
        <f t="shared" si="3"/>
        <v>3.2779566848191455</v>
      </c>
      <c r="W12" s="161"/>
      <c r="X12" s="122"/>
      <c r="Y12" s="258"/>
      <c r="Z12" s="244" t="s">
        <v>4388</v>
      </c>
      <c r="AA12" s="251">
        <v>2.5300867079986835</v>
      </c>
      <c r="AB12" s="251">
        <v>13.769464717741938</v>
      </c>
      <c r="AC12" s="251">
        <v>2.4090426166443142</v>
      </c>
      <c r="AD12" s="242">
        <v>18.708594042384934</v>
      </c>
      <c r="AE12" s="124"/>
    </row>
    <row r="13" spans="1:32" ht="13.8" x14ac:dyDescent="0.25">
      <c r="A13" s="101"/>
      <c r="K13" s="122"/>
      <c r="L13" s="81" t="s">
        <v>4389</v>
      </c>
      <c r="M13" s="246">
        <v>6.3324165315042507</v>
      </c>
      <c r="N13" s="255">
        <v>27.782085258346491</v>
      </c>
      <c r="O13" s="255">
        <v>7.0796987515881984</v>
      </c>
      <c r="P13" s="100">
        <v>41.194200541438939</v>
      </c>
      <c r="Q13" s="137">
        <f>P13-N13</f>
        <v>13.412115283092447</v>
      </c>
      <c r="R13">
        <f>P13-(N13/2)</f>
        <v>27.303157912265693</v>
      </c>
      <c r="S13" s="246">
        <f t="shared" si="0"/>
        <v>1.1000714461243559</v>
      </c>
      <c r="T13" s="255">
        <f t="shared" si="1"/>
        <v>2.8420918964750772</v>
      </c>
      <c r="U13" s="255">
        <f t="shared" si="2"/>
        <v>2.6455136396784558</v>
      </c>
      <c r="V13" s="100">
        <f t="shared" si="3"/>
        <v>2.2624594796845234</v>
      </c>
      <c r="W13" s="137">
        <f>Q13/AE13</f>
        <v>1.5905296939739424</v>
      </c>
      <c r="X13">
        <f>V13-(T13/2)</f>
        <v>0.84141353144698483</v>
      </c>
      <c r="Y13" s="258"/>
      <c r="Z13" s="244" t="s">
        <v>4389</v>
      </c>
      <c r="AA13" s="251">
        <v>5.756368419354839</v>
      </c>
      <c r="AB13" s="251">
        <v>9.775224120234606</v>
      </c>
      <c r="AC13" s="251">
        <v>2.6761150067057251</v>
      </c>
      <c r="AD13" s="242">
        <v>18.207707546295168</v>
      </c>
      <c r="AE13" s="138">
        <f>AD13-AB13</f>
        <v>8.4324834260605623</v>
      </c>
      <c r="AF13">
        <f>AD13-(AB13/2)</f>
        <v>13.320095486177866</v>
      </c>
    </row>
    <row r="14" spans="1:32" ht="13.8" x14ac:dyDescent="0.25">
      <c r="A14" s="26" t="s">
        <v>4057</v>
      </c>
      <c r="K14" s="122"/>
      <c r="L14" s="81" t="s">
        <v>4390</v>
      </c>
      <c r="M14" s="246">
        <v>6.3324165315042507</v>
      </c>
      <c r="N14" s="255">
        <v>43.974037065390938</v>
      </c>
      <c r="O14" s="255">
        <v>7.0796987515881984</v>
      </c>
      <c r="P14" s="100">
        <v>57.386152348483385</v>
      </c>
      <c r="Q14" s="137">
        <f>P14-N14</f>
        <v>13.412115283092447</v>
      </c>
      <c r="R14">
        <f t="shared" ref="R14:R16" si="4">P14-(N14/2)</f>
        <v>35.39913381578792</v>
      </c>
      <c r="S14" s="246">
        <f t="shared" si="0"/>
        <v>1.1000714461243559</v>
      </c>
      <c r="T14" s="255">
        <f t="shared" si="1"/>
        <v>3.838041545334002</v>
      </c>
      <c r="U14" s="255">
        <f t="shared" si="2"/>
        <v>2.6455136396784558</v>
      </c>
      <c r="V14" s="100">
        <f t="shared" si="3"/>
        <v>2.8851907332704663</v>
      </c>
      <c r="W14" s="137">
        <f>Q14/AE14</f>
        <v>1.5905296939739419</v>
      </c>
      <c r="X14">
        <f t="shared" ref="X14:X16" si="5">V14-(T14/2)</f>
        <v>0.96616996060346527</v>
      </c>
      <c r="Y14" s="258"/>
      <c r="Z14" s="244" t="s">
        <v>4390</v>
      </c>
      <c r="AA14" s="251">
        <v>5.756368419354839</v>
      </c>
      <c r="AB14" s="251">
        <v>11.457415597507332</v>
      </c>
      <c r="AC14" s="251">
        <v>2.6761150067057251</v>
      </c>
      <c r="AD14" s="242">
        <v>19.889899023567896</v>
      </c>
      <c r="AE14" s="138">
        <f>AD14-AB14</f>
        <v>8.4324834260605641</v>
      </c>
      <c r="AF14">
        <f t="shared" ref="AF14:AF16" si="6">AD14-(AB14/2)</f>
        <v>14.16119122481423</v>
      </c>
    </row>
    <row r="15" spans="1:32" ht="13.8" x14ac:dyDescent="0.25">
      <c r="K15" s="122"/>
      <c r="L15" s="81" t="s">
        <v>4391</v>
      </c>
      <c r="M15" s="246">
        <v>4.583385114789321</v>
      </c>
      <c r="N15" s="255">
        <v>29.476156285077828</v>
      </c>
      <c r="O15" s="255">
        <v>7.2034332565116115</v>
      </c>
      <c r="P15" s="100">
        <v>41.262974656378759</v>
      </c>
      <c r="Q15" s="137">
        <f>P15-N15</f>
        <v>11.786818371300932</v>
      </c>
      <c r="R15">
        <f t="shared" si="4"/>
        <v>26.524896513839845</v>
      </c>
      <c r="S15" s="246">
        <f t="shared" si="0"/>
        <v>2.8223453443548498</v>
      </c>
      <c r="T15" s="255">
        <f t="shared" si="1"/>
        <v>2.8585662394561737</v>
      </c>
      <c r="U15" s="255">
        <f t="shared" si="2"/>
        <v>2.7438211167566267</v>
      </c>
      <c r="V15" s="100">
        <f t="shared" si="3"/>
        <v>2.833837868830047</v>
      </c>
      <c r="W15" s="137">
        <f>Q15/AE15</f>
        <v>2.7738309280654079</v>
      </c>
      <c r="X15">
        <f t="shared" si="5"/>
        <v>1.4045547491019601</v>
      </c>
      <c r="Y15" s="258"/>
      <c r="Z15" s="244" t="s">
        <v>4391</v>
      </c>
      <c r="AA15" s="251">
        <v>1.6239632488479263</v>
      </c>
      <c r="AB15" s="251">
        <v>10.3115176686217</v>
      </c>
      <c r="AC15" s="251">
        <v>2.6253290393167226</v>
      </c>
      <c r="AD15" s="242">
        <v>14.56080995678635</v>
      </c>
      <c r="AE15" s="138">
        <f>AD15-AB15</f>
        <v>4.24929228816465</v>
      </c>
      <c r="AF15">
        <f t="shared" si="6"/>
        <v>9.4050511224755002</v>
      </c>
    </row>
    <row r="16" spans="1:32" ht="13.8" x14ac:dyDescent="0.25">
      <c r="K16" s="122"/>
      <c r="L16" s="81" t="s">
        <v>4392</v>
      </c>
      <c r="M16" s="246">
        <v>4.583385114789321</v>
      </c>
      <c r="N16" s="255">
        <v>35.403697153113015</v>
      </c>
      <c r="O16" s="255">
        <v>7.2034332565116115</v>
      </c>
      <c r="P16" s="100">
        <v>47.190515524413946</v>
      </c>
      <c r="Q16" s="137">
        <f>P16-N16</f>
        <v>11.786818371300932</v>
      </c>
      <c r="R16">
        <f t="shared" si="4"/>
        <v>29.488666947857439</v>
      </c>
      <c r="S16" s="246">
        <f t="shared" si="0"/>
        <v>2.8223453443548498</v>
      </c>
      <c r="T16" s="255">
        <f t="shared" si="1"/>
        <v>2.7699548658610773</v>
      </c>
      <c r="U16" s="255">
        <f t="shared" si="2"/>
        <v>2.7438211167566267</v>
      </c>
      <c r="V16" s="100">
        <f t="shared" si="3"/>
        <v>2.7709219781880017</v>
      </c>
      <c r="W16" s="137">
        <f>Q16/AE16</f>
        <v>2.7738309280654079</v>
      </c>
      <c r="X16">
        <f t="shared" si="5"/>
        <v>1.385944545257463</v>
      </c>
      <c r="Y16" s="258"/>
      <c r="Z16" s="244" t="s">
        <v>4392</v>
      </c>
      <c r="AA16" s="251">
        <v>1.6239632488479263</v>
      </c>
      <c r="AB16" s="251">
        <v>12.781326363636364</v>
      </c>
      <c r="AC16" s="251">
        <v>2.6253290393167226</v>
      </c>
      <c r="AD16" s="242">
        <v>17.030618651801014</v>
      </c>
      <c r="AE16" s="138">
        <f>AD16-AB16</f>
        <v>4.24929228816465</v>
      </c>
      <c r="AF16">
        <f t="shared" si="6"/>
        <v>10.639955469982832</v>
      </c>
    </row>
    <row r="17" spans="2:31" ht="35.25" customHeight="1" x14ac:dyDescent="0.25">
      <c r="B17" s="29" t="s">
        <v>4374</v>
      </c>
      <c r="C17" s="51" t="s">
        <v>4393</v>
      </c>
      <c r="D17" s="51" t="s">
        <v>4394</v>
      </c>
      <c r="E17" s="51" t="s">
        <v>4395</v>
      </c>
      <c r="F17" s="51" t="s">
        <v>4046</v>
      </c>
      <c r="G17" s="51" t="s">
        <v>4396</v>
      </c>
      <c r="K17" s="122" t="s">
        <v>4397</v>
      </c>
      <c r="L17" s="81"/>
      <c r="M17" s="246">
        <v>93.563415223937525</v>
      </c>
      <c r="N17" s="255">
        <v>385.42403501300907</v>
      </c>
      <c r="O17" s="255">
        <v>53.772952987541466</v>
      </c>
      <c r="P17" s="100">
        <v>532.76040322448807</v>
      </c>
      <c r="Q17" s="161"/>
      <c r="R17" s="122"/>
      <c r="S17" s="246">
        <f t="shared" si="0"/>
        <v>2.8240819104599959</v>
      </c>
      <c r="T17" s="255">
        <f t="shared" si="1"/>
        <v>3.4153268489930642</v>
      </c>
      <c r="U17" s="255">
        <f t="shared" si="2"/>
        <v>2.6703864471805718</v>
      </c>
      <c r="V17" s="100">
        <f t="shared" si="3"/>
        <v>3.2071083551807518</v>
      </c>
      <c r="W17" s="161"/>
      <c r="X17" s="122"/>
      <c r="Y17" s="258" t="s">
        <v>4398</v>
      </c>
      <c r="Z17" s="244"/>
      <c r="AA17" s="251">
        <v>33.130560015767252</v>
      </c>
      <c r="AB17" s="251">
        <v>112.8512883405707</v>
      </c>
      <c r="AC17" s="251">
        <v>20.136768236041505</v>
      </c>
      <c r="AD17" s="242">
        <v>166.11861659237948</v>
      </c>
      <c r="AE17" s="124"/>
    </row>
    <row r="18" spans="2:31" ht="35.25" customHeight="1" x14ac:dyDescent="0.25">
      <c r="B18" s="31" t="s">
        <v>4399</v>
      </c>
      <c r="C18" s="14" t="s">
        <v>4043</v>
      </c>
      <c r="D18" s="14" t="s">
        <v>4038</v>
      </c>
      <c r="E18" s="14" t="s">
        <v>4041</v>
      </c>
      <c r="F18" s="14" t="s">
        <v>4047</v>
      </c>
      <c r="G18" s="132" t="s">
        <v>4045</v>
      </c>
      <c r="K18" s="122"/>
      <c r="L18" s="81" t="s">
        <v>4400</v>
      </c>
      <c r="M18" s="246">
        <v>8.6010705333315531</v>
      </c>
      <c r="N18" s="255">
        <v>60.009551670628426</v>
      </c>
      <c r="O18" s="255">
        <v>6.2330293476741723</v>
      </c>
      <c r="P18" s="100">
        <v>74.843651551634153</v>
      </c>
      <c r="Q18" s="161"/>
      <c r="R18" s="122"/>
      <c r="S18" s="246">
        <f t="shared" si="0"/>
        <v>3.4569915493807311</v>
      </c>
      <c r="T18" s="255">
        <f t="shared" si="1"/>
        <v>4.1527243246545247</v>
      </c>
      <c r="U18" s="255">
        <f t="shared" si="2"/>
        <v>2.6434692202245946</v>
      </c>
      <c r="V18" s="100">
        <f t="shared" si="3"/>
        <v>3.8785995325129483</v>
      </c>
      <c r="W18" s="161"/>
      <c r="X18" s="122"/>
      <c r="Y18" s="258"/>
      <c r="Z18" s="244" t="s">
        <v>4400</v>
      </c>
      <c r="AA18" s="251">
        <v>2.4880218567130452</v>
      </c>
      <c r="AB18" s="251">
        <v>14.450646606699751</v>
      </c>
      <c r="AC18" s="251">
        <v>2.3578974553539918</v>
      </c>
      <c r="AD18" s="242">
        <v>19.296565918766788</v>
      </c>
      <c r="AE18" s="124"/>
    </row>
    <row r="19" spans="2:31" ht="66" x14ac:dyDescent="0.25">
      <c r="B19" s="31" t="s">
        <v>4401</v>
      </c>
      <c r="C19" s="14" t="s">
        <v>4402</v>
      </c>
      <c r="D19" s="14" t="s">
        <v>4403</v>
      </c>
      <c r="E19" s="14" t="s">
        <v>4404</v>
      </c>
      <c r="F19" s="14" t="s">
        <v>4405</v>
      </c>
      <c r="G19" s="132" t="s">
        <v>4406</v>
      </c>
      <c r="K19" s="122"/>
      <c r="L19" s="81" t="s">
        <v>4407</v>
      </c>
      <c r="M19" s="246">
        <v>8.6010705333315531</v>
      </c>
      <c r="N19" s="255">
        <v>56.610504457525693</v>
      </c>
      <c r="O19" s="255">
        <v>6.2330293476741723</v>
      </c>
      <c r="P19" s="100">
        <v>71.44460433853142</v>
      </c>
      <c r="Q19" s="161"/>
      <c r="R19" s="122"/>
      <c r="S19" s="246">
        <f t="shared" si="0"/>
        <v>3.4386801410660413</v>
      </c>
      <c r="T19" s="255">
        <f t="shared" si="1"/>
        <v>3.1727421269037213</v>
      </c>
      <c r="U19" s="255">
        <f t="shared" si="2"/>
        <v>2.6434692202245946</v>
      </c>
      <c r="V19" s="100">
        <f t="shared" si="3"/>
        <v>3.1470708275240837</v>
      </c>
      <c r="W19" s="161"/>
      <c r="X19" s="122"/>
      <c r="Y19" s="258"/>
      <c r="Z19" s="244" t="s">
        <v>4407</v>
      </c>
      <c r="AA19" s="251">
        <v>2.5012708889711082</v>
      </c>
      <c r="AB19" s="251">
        <v>17.842768870967738</v>
      </c>
      <c r="AC19" s="251">
        <v>2.3578974553539918</v>
      </c>
      <c r="AD19" s="242">
        <v>22.701937215292837</v>
      </c>
      <c r="AE19" s="124"/>
    </row>
    <row r="20" spans="2:31" ht="13.8" x14ac:dyDescent="0.25">
      <c r="B20" s="32" t="s">
        <v>3868</v>
      </c>
      <c r="C20" s="100">
        <f>MAX($P$15:$P$16,$P$24:$P$25)</f>
        <v>66.952527204591888</v>
      </c>
      <c r="D20" s="100">
        <f>MAX($P$13:$P$16)</f>
        <v>57.386152348483385</v>
      </c>
      <c r="E20" s="100">
        <f>MAX($Q$13:$Q$16)</f>
        <v>13.412115283092447</v>
      </c>
      <c r="F20" s="100">
        <f>MAX($P$11:$P$12,$P$18:$P$25)</f>
        <v>74.843651551634153</v>
      </c>
      <c r="G20" s="138">
        <f>MAX($P$9:$P$10,$P$18:$P$19)</f>
        <v>74.843651551634153</v>
      </c>
      <c r="K20" s="122"/>
      <c r="L20" s="81" t="s">
        <v>4408</v>
      </c>
      <c r="M20" s="246">
        <v>8.8355980816415389</v>
      </c>
      <c r="N20" s="255">
        <v>39.849634792066261</v>
      </c>
      <c r="O20" s="255">
        <v>6.3703151379967533</v>
      </c>
      <c r="P20" s="100">
        <v>55.055548011704559</v>
      </c>
      <c r="Q20" s="137"/>
      <c r="R20" s="248"/>
      <c r="S20" s="246">
        <f t="shared" si="0"/>
        <v>3.4765625691310045</v>
      </c>
      <c r="T20" s="255">
        <f t="shared" si="1"/>
        <v>3.3000084108552912</v>
      </c>
      <c r="U20" s="255">
        <f t="shared" si="2"/>
        <v>2.6443347635212491</v>
      </c>
      <c r="V20" s="100">
        <f t="shared" si="3"/>
        <v>3.2335906491470463</v>
      </c>
      <c r="W20" s="137"/>
      <c r="X20" s="248"/>
      <c r="Y20" s="258"/>
      <c r="Z20" s="244" t="s">
        <v>4408</v>
      </c>
      <c r="AA20" s="251">
        <v>2.5414753527217746</v>
      </c>
      <c r="AB20" s="251">
        <v>12.075616129032257</v>
      </c>
      <c r="AC20" s="251">
        <v>2.4090426166443142</v>
      </c>
      <c r="AD20" s="242">
        <v>17.026134098398344</v>
      </c>
      <c r="AE20" s="138"/>
    </row>
    <row r="21" spans="2:31" ht="13.8" x14ac:dyDescent="0.25">
      <c r="B21" s="32" t="s">
        <v>3865</v>
      </c>
      <c r="C21" s="100">
        <f>MIN($P$15:$P$16,$P$24:$P$25)</f>
        <v>41.262974656378759</v>
      </c>
      <c r="D21" s="100">
        <f>MIN($P$13:$P$16)</f>
        <v>41.194200541438939</v>
      </c>
      <c r="E21" s="100">
        <f>MIN($Q$13:$Q$16)</f>
        <v>11.786818371300932</v>
      </c>
      <c r="F21" s="100">
        <f>MIN($P$11:$P$12,$P$18:$P$25)</f>
        <v>55.055548011704559</v>
      </c>
      <c r="G21" s="138">
        <f>MIN($P$9:$P$10,$P$18:$P$19)</f>
        <v>48.904603883975469</v>
      </c>
      <c r="K21" s="122"/>
      <c r="L21" s="81" t="s">
        <v>4409</v>
      </c>
      <c r="M21" s="246">
        <v>8.972823884332854</v>
      </c>
      <c r="N21" s="255">
        <v>59.240350596400397</v>
      </c>
      <c r="O21" s="255">
        <v>6.3703151379967533</v>
      </c>
      <c r="P21" s="100">
        <v>74.583489618729999</v>
      </c>
      <c r="Q21" s="137"/>
      <c r="R21" s="248"/>
      <c r="S21" s="246">
        <f t="shared" si="0"/>
        <v>3.4908780497883876</v>
      </c>
      <c r="T21" s="255">
        <f t="shared" si="1"/>
        <v>3.368181413028855</v>
      </c>
      <c r="U21" s="255">
        <f t="shared" si="2"/>
        <v>2.6443347635212491</v>
      </c>
      <c r="V21" s="100">
        <f t="shared" si="3"/>
        <v>3.3048871217354647</v>
      </c>
      <c r="W21" s="137"/>
      <c r="X21" s="248"/>
      <c r="Y21" s="258"/>
      <c r="Z21" s="244" t="s">
        <v>4409</v>
      </c>
      <c r="AA21" s="251">
        <v>2.5703630308359742</v>
      </c>
      <c r="AB21" s="251">
        <v>17.588230362903225</v>
      </c>
      <c r="AC21" s="251">
        <v>2.4090426166443142</v>
      </c>
      <c r="AD21" s="242">
        <v>22.567636010383513</v>
      </c>
      <c r="AE21" s="138"/>
    </row>
    <row r="22" spans="2:31" ht="13.8" x14ac:dyDescent="0.25">
      <c r="B22" s="32" t="s">
        <v>3866</v>
      </c>
      <c r="C22" s="100">
        <f>AVERAGE($P$15:$P$16,$P$24:$P$25)</f>
        <v>55.338089143417491</v>
      </c>
      <c r="D22" s="100">
        <f>AVERAGE($P$13:$P$16)</f>
        <v>46.758460767678756</v>
      </c>
      <c r="E22" s="100">
        <f>AVERAGE($Q$13:$Q$16)</f>
        <v>12.599466827196689</v>
      </c>
      <c r="F22" s="100">
        <f>AVERAGE($P$11:$P$12,$P$18:$P$25)</f>
        <v>66.039671720641991</v>
      </c>
      <c r="G22" s="138">
        <f>AVERAGE($P$9:$P$10,$P$18:$P$19)</f>
        <v>62.556305154500464</v>
      </c>
      <c r="K22" s="122"/>
      <c r="L22" s="81" t="s">
        <v>4410</v>
      </c>
      <c r="M22" s="246">
        <v>15.931031495257006</v>
      </c>
      <c r="N22" s="255">
        <v>42.066214963968505</v>
      </c>
      <c r="O22" s="255">
        <v>7.0796987515881984</v>
      </c>
      <c r="P22" s="100">
        <v>65.076945210813705</v>
      </c>
      <c r="Q22" s="161"/>
      <c r="R22" s="122"/>
      <c r="S22" s="246">
        <f t="shared" si="0"/>
        <v>2.6098933626506038</v>
      </c>
      <c r="T22" s="255">
        <f t="shared" si="1"/>
        <v>3.3456114037717901</v>
      </c>
      <c r="U22" s="255">
        <f t="shared" si="2"/>
        <v>2.6455136396784558</v>
      </c>
      <c r="V22" s="100">
        <f t="shared" si="3"/>
        <v>3.0475639508123269</v>
      </c>
      <c r="W22" s="161"/>
      <c r="X22" s="122"/>
      <c r="Y22" s="258"/>
      <c r="Z22" s="244" t="s">
        <v>4410</v>
      </c>
      <c r="AA22" s="251">
        <v>6.1040928810506934</v>
      </c>
      <c r="AB22" s="251">
        <v>12.573550806451614</v>
      </c>
      <c r="AC22" s="251">
        <v>2.6761150067057251</v>
      </c>
      <c r="AD22" s="242">
        <v>21.353758694208032</v>
      </c>
      <c r="AE22" s="124"/>
    </row>
    <row r="23" spans="2:31" ht="13.8" x14ac:dyDescent="0.25">
      <c r="B23" s="32"/>
      <c r="C23" s="100"/>
      <c r="D23" s="100"/>
      <c r="E23" s="100"/>
      <c r="F23" s="100"/>
      <c r="G23" s="138"/>
      <c r="K23" s="122"/>
      <c r="L23" s="81" t="s">
        <v>4411</v>
      </c>
      <c r="M23" s="246">
        <v>15.931031495257006</v>
      </c>
      <c r="N23" s="255">
        <v>35.846567853351758</v>
      </c>
      <c r="O23" s="255">
        <v>7.0796987515881984</v>
      </c>
      <c r="P23" s="100">
        <v>58.857298100196957</v>
      </c>
      <c r="Q23" s="161"/>
      <c r="R23" s="122"/>
      <c r="S23" s="246">
        <f t="shared" si="0"/>
        <v>2.6098933626506038</v>
      </c>
      <c r="T23" s="255">
        <f t="shared" si="1"/>
        <v>3.1356999817617734</v>
      </c>
      <c r="U23" s="255">
        <f t="shared" si="2"/>
        <v>2.6455136396784558</v>
      </c>
      <c r="V23" s="100">
        <f t="shared" si="3"/>
        <v>2.9120024369187045</v>
      </c>
      <c r="W23" s="161"/>
      <c r="X23" s="122"/>
      <c r="Y23" s="258"/>
      <c r="Z23" s="244" t="s">
        <v>4411</v>
      </c>
      <c r="AA23" s="251">
        <v>6.1040928810506934</v>
      </c>
      <c r="AB23" s="251">
        <v>11.431759435483871</v>
      </c>
      <c r="AC23" s="251">
        <v>2.6761150067057251</v>
      </c>
      <c r="AD23" s="242">
        <v>20.211967323240291</v>
      </c>
      <c r="AE23" s="124"/>
    </row>
    <row r="24" spans="2:31" ht="13.8" x14ac:dyDescent="0.25">
      <c r="B24" s="32" t="s">
        <v>3877</v>
      </c>
      <c r="C24" s="100">
        <v>0</v>
      </c>
      <c r="D24" s="100">
        <v>0</v>
      </c>
      <c r="E24" s="100">
        <v>0</v>
      </c>
      <c r="F24" s="100">
        <v>0</v>
      </c>
      <c r="G24" s="138">
        <v>0</v>
      </c>
      <c r="K24" s="122"/>
      <c r="L24" s="81" t="s">
        <v>4412</v>
      </c>
      <c r="M24" s="246">
        <v>13.345394600393007</v>
      </c>
      <c r="N24" s="255">
        <v>45.39751133138077</v>
      </c>
      <c r="O24" s="255">
        <v>7.2034332565116115</v>
      </c>
      <c r="P24" s="100">
        <v>65.946339188285393</v>
      </c>
      <c r="Q24" s="161"/>
      <c r="R24" s="122"/>
      <c r="S24" s="246">
        <f t="shared" si="0"/>
        <v>2.4665178384675484</v>
      </c>
      <c r="T24" s="255">
        <f t="shared" si="1"/>
        <v>3.4481871646307543</v>
      </c>
      <c r="U24" s="255">
        <f t="shared" si="2"/>
        <v>2.7438211167566267</v>
      </c>
      <c r="V24" s="100">
        <f t="shared" si="3"/>
        <v>3.1104463890775889</v>
      </c>
      <c r="W24" s="161"/>
      <c r="X24" s="122"/>
      <c r="Y24" s="258"/>
      <c r="Z24" s="244" t="s">
        <v>4412</v>
      </c>
      <c r="AA24" s="251">
        <v>5.4106215622119818</v>
      </c>
      <c r="AB24" s="251">
        <v>13.165616935483872</v>
      </c>
      <c r="AC24" s="251">
        <v>2.6253290393167226</v>
      </c>
      <c r="AD24" s="242">
        <v>21.201567537012576</v>
      </c>
      <c r="AE24" s="124"/>
    </row>
    <row r="25" spans="2:31" ht="13.8" x14ac:dyDescent="0.25">
      <c r="B25" s="32" t="s">
        <v>3875</v>
      </c>
      <c r="C25" s="100">
        <v>0</v>
      </c>
      <c r="D25" s="100">
        <v>0</v>
      </c>
      <c r="E25" s="100">
        <v>0</v>
      </c>
      <c r="F25" s="100">
        <v>0</v>
      </c>
      <c r="G25" s="138">
        <v>0</v>
      </c>
      <c r="K25" s="122"/>
      <c r="L25" s="81" t="s">
        <v>4413</v>
      </c>
      <c r="M25" s="246">
        <v>13.345394600393007</v>
      </c>
      <c r="N25" s="255">
        <v>46.403699347687265</v>
      </c>
      <c r="O25" s="255">
        <v>7.2034332565116115</v>
      </c>
      <c r="P25" s="100">
        <v>66.952527204591888</v>
      </c>
      <c r="Q25" s="161"/>
      <c r="R25" s="122"/>
      <c r="S25" s="246">
        <f t="shared" si="0"/>
        <v>2.4665178384675484</v>
      </c>
      <c r="T25" s="255">
        <f t="shared" si="1"/>
        <v>3.3814300030348052</v>
      </c>
      <c r="U25" s="255">
        <f t="shared" si="2"/>
        <v>2.7438211167566267</v>
      </c>
      <c r="V25" s="100">
        <f t="shared" si="3"/>
        <v>3.0769968282226947</v>
      </c>
      <c r="W25" s="161"/>
      <c r="X25" s="122"/>
      <c r="Y25" s="122"/>
      <c r="Z25" s="244" t="s">
        <v>4413</v>
      </c>
      <c r="AA25" s="251">
        <v>5.4106215622119818</v>
      </c>
      <c r="AB25" s="251">
        <v>13.723099193548389</v>
      </c>
      <c r="AC25" s="251">
        <v>2.6253290393167226</v>
      </c>
      <c r="AD25" s="242">
        <v>21.759049795077093</v>
      </c>
      <c r="AE25" s="124"/>
    </row>
    <row r="26" spans="2:31" ht="14.4" thickBot="1" x14ac:dyDescent="0.3">
      <c r="B26" s="32"/>
      <c r="C26" s="100"/>
      <c r="D26" s="100"/>
      <c r="E26" s="100"/>
      <c r="F26" s="100"/>
      <c r="G26" s="138"/>
      <c r="K26" s="125" t="s">
        <v>4380</v>
      </c>
      <c r="L26" s="84"/>
      <c r="M26" s="247">
        <v>153.00376020006652</v>
      </c>
      <c r="N26" s="153">
        <v>690.8178588298216</v>
      </c>
      <c r="O26" s="153">
        <v>107.54590597508295</v>
      </c>
      <c r="P26" s="141">
        <v>951.3675250049713</v>
      </c>
      <c r="Q26" s="202"/>
      <c r="R26" s="125"/>
      <c r="S26" s="247">
        <f t="shared" si="0"/>
        <v>2.5339006716544543</v>
      </c>
      <c r="T26" s="153">
        <f t="shared" si="1"/>
        <v>3.3557500182172131</v>
      </c>
      <c r="U26" s="153">
        <f t="shared" si="2"/>
        <v>2.6703864471805714</v>
      </c>
      <c r="V26" s="141">
        <f t="shared" si="3"/>
        <v>3.1037984085154804</v>
      </c>
      <c r="W26" s="202"/>
      <c r="X26" s="125"/>
      <c r="Y26" s="257" t="s">
        <v>4380</v>
      </c>
      <c r="Z26" s="259"/>
      <c r="AA26" s="256">
        <v>60.382698466300226</v>
      </c>
      <c r="AB26" s="256">
        <v>205.86094169101065</v>
      </c>
      <c r="AC26" s="256">
        <v>40.273536472083023</v>
      </c>
      <c r="AD26" s="254">
        <v>306.51717662939393</v>
      </c>
      <c r="AE26" s="142"/>
    </row>
    <row r="27" spans="2:31" x14ac:dyDescent="0.25">
      <c r="B27" s="32" t="s">
        <v>3873</v>
      </c>
      <c r="C27" s="100">
        <f>MAX($V$15:$V$16,$V$24:$V$25)</f>
        <v>3.1104463890775889</v>
      </c>
      <c r="D27" s="100">
        <f>AVERAGE($V$13:$V$16)</f>
        <v>2.6881025149932594</v>
      </c>
      <c r="E27" s="100">
        <f>MAX($W$13:$W$16)</f>
        <v>2.7738309280654079</v>
      </c>
      <c r="F27" s="100">
        <f>MAX($V$11:$V$12,$V$18:$V$25)</f>
        <v>3.9477185803937713</v>
      </c>
      <c r="G27" s="138">
        <f>MAX($V$9:$V$10,$V$18:$V$19)</f>
        <v>3.8785995325129483</v>
      </c>
    </row>
    <row r="28" spans="2:31" x14ac:dyDescent="0.25">
      <c r="B28" s="32" t="s">
        <v>3870</v>
      </c>
      <c r="C28" s="100">
        <f>MIN($V$15:$V$16,$V$24:$V$25)</f>
        <v>2.7709219781880017</v>
      </c>
      <c r="D28" s="100">
        <f>MIN($V$13:$V$16)</f>
        <v>2.2624594796845234</v>
      </c>
      <c r="E28" s="100">
        <f>MIN($W$13:$W$16)</f>
        <v>1.5905296939739419</v>
      </c>
      <c r="F28" s="100">
        <f>MIN($V$11:$V$12,$V$18:$V$25)</f>
        <v>2.9120024369187045</v>
      </c>
      <c r="G28" s="138">
        <f>MIN($V$9:$V$10,$V$18:$V$19)</f>
        <v>2.8792082157447152</v>
      </c>
    </row>
    <row r="29" spans="2:31" x14ac:dyDescent="0.25">
      <c r="B29" s="32" t="s">
        <v>3871</v>
      </c>
      <c r="C29" s="100">
        <f>AVERAGE($V$15:$V$16,$V$24:$V$25)</f>
        <v>2.9480507660795832</v>
      </c>
      <c r="D29" s="100">
        <f>MIN($V$13:$V$16)</f>
        <v>2.2624594796845234</v>
      </c>
      <c r="E29" s="100">
        <f>AVERAGE($W$13:$W$16)</f>
        <v>2.1821803110196751</v>
      </c>
      <c r="F29" s="100">
        <f>AVERAGE($V$11:$V$12,$V$18:$V$25)</f>
        <v>3.2936833001163777</v>
      </c>
      <c r="G29" s="138">
        <f>AVERAGE($V$9:$V$10,$V$18:$V$19)</f>
        <v>3.2360758708660509</v>
      </c>
    </row>
    <row r="30" spans="2:31" x14ac:dyDescent="0.25">
      <c r="B30" s="32"/>
      <c r="G30" s="124"/>
    </row>
    <row r="31" spans="2:31" x14ac:dyDescent="0.25">
      <c r="B31" s="32" t="s">
        <v>3881</v>
      </c>
      <c r="C31" s="100">
        <v>0</v>
      </c>
      <c r="D31" s="100">
        <v>0</v>
      </c>
      <c r="E31" s="100">
        <v>0</v>
      </c>
      <c r="F31" s="100">
        <v>0</v>
      </c>
      <c r="G31" s="138">
        <v>0</v>
      </c>
    </row>
    <row r="32" spans="2:31" x14ac:dyDescent="0.25">
      <c r="B32" s="32" t="s">
        <v>3880</v>
      </c>
      <c r="C32" s="100">
        <v>0</v>
      </c>
      <c r="D32" s="100">
        <v>0</v>
      </c>
      <c r="E32" s="100">
        <v>0</v>
      </c>
      <c r="F32" s="100">
        <v>0</v>
      </c>
      <c r="G32" s="138">
        <v>0</v>
      </c>
    </row>
    <row r="33" spans="2:9" ht="52.8" x14ac:dyDescent="0.25">
      <c r="B33" s="52" t="s">
        <v>4414</v>
      </c>
      <c r="C33" s="151" t="s">
        <v>4415</v>
      </c>
      <c r="D33" s="151" t="s">
        <v>4416</v>
      </c>
      <c r="E33" s="151" t="s">
        <v>4417</v>
      </c>
      <c r="F33" s="151" t="s">
        <v>4418</v>
      </c>
      <c r="G33" s="152" t="s">
        <v>4419</v>
      </c>
    </row>
    <row r="38" spans="2:9" x14ac:dyDescent="0.25">
      <c r="B38" s="4" t="s">
        <v>4420</v>
      </c>
    </row>
    <row r="39" spans="2:9" x14ac:dyDescent="0.25">
      <c r="C39" s="36" t="s">
        <v>4421</v>
      </c>
    </row>
    <row r="40" spans="2:9" ht="66" x14ac:dyDescent="0.25">
      <c r="C40" s="14" t="s">
        <v>4422</v>
      </c>
    </row>
    <row r="41" spans="2:9" ht="79.2" x14ac:dyDescent="0.25">
      <c r="C41" s="14" t="s">
        <v>4423</v>
      </c>
    </row>
    <row r="45" spans="2:9" x14ac:dyDescent="0.25">
      <c r="B45" s="14"/>
      <c r="I45" s="4"/>
    </row>
    <row r="46" spans="2:9" x14ac:dyDescent="0.25">
      <c r="B46" s="14"/>
      <c r="I46" s="4"/>
    </row>
    <row r="47" spans="2:9" x14ac:dyDescent="0.25">
      <c r="B47" s="14"/>
      <c r="I47" s="53"/>
    </row>
    <row r="48" spans="2:9" x14ac:dyDescent="0.25">
      <c r="I48" s="53"/>
    </row>
    <row r="51" spans="2:2" x14ac:dyDescent="0.25">
      <c r="B51" s="4"/>
    </row>
    <row r="52" spans="2:2" x14ac:dyDescent="0.25">
      <c r="B52" s="36"/>
    </row>
  </sheetData>
  <mergeCells count="3">
    <mergeCell ref="M5:Q5"/>
    <mergeCell ref="Y5:AE5"/>
    <mergeCell ref="S5:W5"/>
  </mergeCells>
  <hyperlinks>
    <hyperlink ref="C39" r:id="rId1" xr:uid="{3EFCFCA9-464B-4969-A6A4-0661135B8504}"/>
  </hyperlinks>
  <pageMargins left="0.7" right="0.7" top="0.75" bottom="0.75" header="0.3" footer="0.3"/>
</worksheet>
</file>

<file path=xl/worksheets/sheet7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93B00B-AB5B-4899-BACF-4DBC5184197F}">
  <sheetPr codeName="Sheet105">
    <tabColor rgb="FF00CCFF"/>
  </sheetPr>
  <dimension ref="A1:BO40"/>
  <sheetViews>
    <sheetView showGridLines="0" zoomScale="80" zoomScaleNormal="80" workbookViewId="0"/>
  </sheetViews>
  <sheetFormatPr defaultRowHeight="12.75" customHeight="1" x14ac:dyDescent="0.25"/>
  <cols>
    <col min="1" max="1" width="29" customWidth="1"/>
    <col min="2" max="2" width="81.44140625" customWidth="1"/>
    <col min="3" max="21" width="15" customWidth="1"/>
    <col min="22" max="31" width="13.44140625" customWidth="1"/>
    <col min="32" max="32" width="10.109375" customWidth="1"/>
    <col min="33" max="34" width="12.88671875" customWidth="1"/>
    <col min="35" max="35" width="21.88671875" customWidth="1"/>
    <col min="36" max="36" width="10.5546875" customWidth="1"/>
    <col min="38" max="40" width="11.109375" customWidth="1"/>
    <col min="65" max="65" width="20.88671875" customWidth="1"/>
    <col min="66" max="66" width="12.88671875" customWidth="1"/>
  </cols>
  <sheetData>
    <row r="1" spans="1:67" ht="13.2" x14ac:dyDescent="0.25">
      <c r="A1" s="4" t="str" cm="1">
        <f t="array" aca="1" ref="A1" ca="1">MID(CELL("filename",A1),FIND("]",CELL("filename",A1))+1,255)</f>
        <v>Window_doors_generic</v>
      </c>
      <c r="D1" s="96"/>
      <c r="E1" s="96"/>
      <c r="F1" s="96"/>
      <c r="G1" s="96"/>
    </row>
    <row r="2" spans="1:67" ht="13.2" x14ac:dyDescent="0.25">
      <c r="A2" s="4"/>
      <c r="C2" s="4"/>
      <c r="D2" s="96"/>
      <c r="E2" s="96"/>
      <c r="F2" s="96"/>
      <c r="G2" s="96"/>
    </row>
    <row r="3" spans="1:67" ht="13.2" x14ac:dyDescent="0.25">
      <c r="A3" s="4" t="s">
        <v>4048</v>
      </c>
      <c r="B3" t="s">
        <v>4424</v>
      </c>
      <c r="D3" s="96"/>
      <c r="E3" s="96"/>
      <c r="F3" s="96"/>
      <c r="G3" s="96"/>
    </row>
    <row r="4" spans="1:67" ht="13.2" x14ac:dyDescent="0.25">
      <c r="A4" s="4"/>
      <c r="D4" s="96"/>
      <c r="E4" s="96"/>
      <c r="F4" s="96"/>
      <c r="G4" s="96"/>
    </row>
    <row r="5" spans="1:67" ht="92.25" customHeight="1" x14ac:dyDescent="0.25">
      <c r="A5" s="26" t="s">
        <v>4050</v>
      </c>
      <c r="B5" s="14"/>
      <c r="D5" s="14"/>
      <c r="E5" s="43"/>
      <c r="F5" s="96"/>
      <c r="G5" s="96"/>
    </row>
    <row r="6" spans="1:67" ht="13.2" x14ac:dyDescent="0.25">
      <c r="A6" s="26" t="s">
        <v>4052</v>
      </c>
      <c r="B6" s="27"/>
      <c r="E6" s="96"/>
      <c r="F6" s="96"/>
      <c r="G6" s="96"/>
    </row>
    <row r="7" spans="1:67" ht="13.2" x14ac:dyDescent="0.25">
      <c r="A7" s="26" t="s">
        <v>4053</v>
      </c>
      <c r="B7" s="27"/>
      <c r="D7" s="96"/>
      <c r="E7" s="96"/>
      <c r="F7" s="96"/>
      <c r="G7" s="96"/>
    </row>
    <row r="8" spans="1:67" ht="13.2" x14ac:dyDescent="0.25">
      <c r="A8" s="26" t="s">
        <v>4054</v>
      </c>
      <c r="B8" s="27"/>
      <c r="D8" s="96"/>
      <c r="E8" s="96"/>
      <c r="F8" s="96"/>
      <c r="G8" s="96"/>
    </row>
    <row r="9" spans="1:67" ht="13.2" x14ac:dyDescent="0.25">
      <c r="A9" s="26" t="s">
        <v>4055</v>
      </c>
      <c r="B9" s="4" t="s">
        <v>4319</v>
      </c>
      <c r="D9" s="96"/>
      <c r="E9" s="96"/>
      <c r="F9" s="96"/>
      <c r="G9" s="96"/>
    </row>
    <row r="10" spans="1:67" ht="13.2" x14ac:dyDescent="0.25">
      <c r="A10" s="26"/>
      <c r="B10" s="4"/>
      <c r="D10" s="96"/>
      <c r="E10" s="96"/>
      <c r="F10" s="96"/>
      <c r="G10" s="96"/>
    </row>
    <row r="11" spans="1:67" ht="39.6" x14ac:dyDescent="0.25">
      <c r="A11" s="26" t="s">
        <v>4056</v>
      </c>
      <c r="B11" s="315" t="s">
        <v>4425</v>
      </c>
      <c r="D11" s="96"/>
      <c r="E11" s="96"/>
      <c r="F11" s="96"/>
      <c r="G11" s="96"/>
    </row>
    <row r="12" spans="1:67" ht="13.2" x14ac:dyDescent="0.25">
      <c r="A12" s="101"/>
      <c r="D12" s="96"/>
      <c r="E12" s="96"/>
      <c r="F12" s="96"/>
      <c r="G12" s="96"/>
    </row>
    <row r="13" spans="1:67" ht="13.2" x14ac:dyDescent="0.25">
      <c r="A13" s="101"/>
      <c r="D13" s="96"/>
      <c r="E13" s="96"/>
      <c r="F13" s="96"/>
      <c r="G13" s="96"/>
    </row>
    <row r="14" spans="1:67" ht="13.2" x14ac:dyDescent="0.25">
      <c r="A14" s="26" t="s">
        <v>4057</v>
      </c>
      <c r="B14" t="s">
        <v>4263</v>
      </c>
      <c r="D14" s="96"/>
      <c r="E14" s="96"/>
      <c r="F14" s="96"/>
      <c r="G14" s="96"/>
    </row>
    <row r="15" spans="1:67" ht="13.2" x14ac:dyDescent="0.25">
      <c r="A15" s="26"/>
      <c r="D15" s="112" t="s">
        <v>4058</v>
      </c>
      <c r="E15" s="113"/>
      <c r="F15" s="114" t="s">
        <v>4059</v>
      </c>
      <c r="G15" s="113"/>
    </row>
    <row r="16" spans="1:67" ht="13.2" x14ac:dyDescent="0.25">
      <c r="B16" s="129"/>
      <c r="C16" s="514" t="s">
        <v>23</v>
      </c>
      <c r="D16" s="516"/>
      <c r="E16" s="516"/>
      <c r="F16" s="516"/>
      <c r="G16" s="517"/>
      <c r="H16" s="514" t="s">
        <v>4426</v>
      </c>
      <c r="I16" s="515"/>
      <c r="J16" s="515"/>
      <c r="K16" s="515"/>
      <c r="L16" s="516"/>
      <c r="M16" s="427" t="s">
        <v>4427</v>
      </c>
      <c r="N16" s="428"/>
      <c r="O16" s="428"/>
      <c r="P16" s="428"/>
      <c r="Q16" s="428"/>
      <c r="R16" s="428"/>
      <c r="S16" s="428"/>
      <c r="T16" s="428"/>
      <c r="U16" s="429"/>
      <c r="V16" s="66" t="s">
        <v>4428</v>
      </c>
      <c r="W16" s="66"/>
      <c r="X16" s="66"/>
      <c r="Y16" s="66"/>
      <c r="Z16" s="66"/>
      <c r="AA16" s="66"/>
      <c r="AB16" s="66"/>
      <c r="AC16" s="66"/>
      <c r="AD16" s="191"/>
      <c r="AE16" s="129" t="s">
        <v>4429</v>
      </c>
      <c r="AF16" s="67"/>
      <c r="AG16" s="67"/>
      <c r="AH16" s="67"/>
      <c r="AI16" s="67"/>
      <c r="AJ16" s="67"/>
      <c r="AK16" s="130"/>
      <c r="AL16" s="187" t="s">
        <v>4430</v>
      </c>
      <c r="AM16" s="66"/>
      <c r="AN16" s="66"/>
      <c r="AO16" s="66"/>
      <c r="AP16" s="66"/>
      <c r="AQ16" s="66"/>
      <c r="AR16" s="66"/>
      <c r="AS16" s="66"/>
      <c r="AT16" s="191"/>
      <c r="AU16" s="187" t="s">
        <v>4431</v>
      </c>
      <c r="AV16" s="66"/>
      <c r="AW16" s="66"/>
      <c r="AX16" s="66"/>
      <c r="AY16" s="66"/>
      <c r="AZ16" s="66"/>
      <c r="BA16" s="66"/>
      <c r="BB16" s="66"/>
      <c r="BC16" s="66"/>
      <c r="BD16" s="187" t="s">
        <v>4432</v>
      </c>
      <c r="BE16" s="66"/>
      <c r="BF16" s="66"/>
      <c r="BG16" s="66"/>
      <c r="BH16" s="66"/>
      <c r="BI16" s="66"/>
      <c r="BJ16" s="66"/>
      <c r="BK16" s="66"/>
      <c r="BL16" s="191"/>
      <c r="BM16" s="129" t="s">
        <v>4433</v>
      </c>
      <c r="BN16" s="129" t="s">
        <v>4061</v>
      </c>
      <c r="BO16" s="130" t="s">
        <v>4063</v>
      </c>
    </row>
    <row r="17" spans="2:67" s="14" customFormat="1" ht="92.4" x14ac:dyDescent="0.25">
      <c r="B17" s="131" t="s">
        <v>4434</v>
      </c>
      <c r="C17" s="229" t="str">
        <f>'EF Table_detail'!$L$6</f>
        <v>Upfront carbon emission - Default (uncertainty adjusted) (kgCO2e/declared unit)</v>
      </c>
      <c r="D17" s="230" t="str">
        <f>'EF Table_detail'!$I$6</f>
        <v>Upfront carbon emission - Min (kgCO2e/declared unit)</v>
      </c>
      <c r="E17" s="230" t="s">
        <v>3866</v>
      </c>
      <c r="F17" s="229" t="str">
        <f>'EF Table_detail'!$V$6</f>
        <v>Upfront carbon storage - Default (uncertainty adjusted) (kgCO2e/declared unit)</v>
      </c>
      <c r="G17" s="229" t="str">
        <f>'EF Table_detail'!$T$6</f>
        <v>Upfront carbon storage- Average (kg CO2e/declared unit)</v>
      </c>
      <c r="H17" s="411" t="str">
        <f>'EF Table_detail'!$Q$6</f>
        <v>Upfront carbon emission - Default (uncertainty adjusted) (kgCO2e/kg)</v>
      </c>
      <c r="I17" s="444" t="str">
        <f>'EF Table_detail'!$N$6</f>
        <v>Upfront carbon emission - Min (kgCO2e/kg)</v>
      </c>
      <c r="J17" s="440" t="str">
        <f>'EF Table_detail'!$O$6</f>
        <v>Upfront carbon emission - Average (kg CO2e/kg)</v>
      </c>
      <c r="K17" s="436" t="str">
        <f>'EF Table_detail'!$Z$6</f>
        <v>Upfront carbon storage - Default (uncertainty adjusted) (kgCO2e/kg)</v>
      </c>
      <c r="L17" s="409" t="str">
        <f>'EF Table_detail'!$X$6</f>
        <v>Upfront carbon storage - Average (kg CO2e/kg)</v>
      </c>
      <c r="M17" s="413" t="s">
        <v>4359</v>
      </c>
      <c r="N17" s="412" t="s">
        <v>4295</v>
      </c>
      <c r="O17" s="412" t="s">
        <v>4293</v>
      </c>
      <c r="P17" s="412" t="s">
        <v>2510</v>
      </c>
      <c r="Q17" s="412" t="s">
        <v>3931</v>
      </c>
      <c r="R17" s="412" t="s">
        <v>2318</v>
      </c>
      <c r="S17" s="412" t="s">
        <v>4435</v>
      </c>
      <c r="T17" s="412" t="s">
        <v>2996</v>
      </c>
      <c r="U17" s="430" t="s">
        <v>4436</v>
      </c>
      <c r="V17" s="200" t="s">
        <v>4359</v>
      </c>
      <c r="W17" s="200" t="s">
        <v>4295</v>
      </c>
      <c r="X17" s="200" t="s">
        <v>4293</v>
      </c>
      <c r="Y17" s="200" t="s">
        <v>2510</v>
      </c>
      <c r="Z17" s="200" t="s">
        <v>3931</v>
      </c>
      <c r="AA17" s="200" t="s">
        <v>2318</v>
      </c>
      <c r="AB17" s="200" t="s">
        <v>4435</v>
      </c>
      <c r="AC17" s="200" t="s">
        <v>2996</v>
      </c>
      <c r="AD17" s="200" t="s">
        <v>4436</v>
      </c>
      <c r="AE17" s="415" t="s">
        <v>4437</v>
      </c>
      <c r="AF17" s="416" t="s">
        <v>4438</v>
      </c>
      <c r="AG17" s="416" t="s">
        <v>4439</v>
      </c>
      <c r="AH17" s="416" t="s">
        <v>4440</v>
      </c>
      <c r="AI17" s="416" t="s">
        <v>4441</v>
      </c>
      <c r="AJ17" s="416" t="s">
        <v>4442</v>
      </c>
      <c r="AK17" s="417" t="s">
        <v>23</v>
      </c>
      <c r="AL17" s="70" t="s">
        <v>180</v>
      </c>
      <c r="AM17" s="70" t="s">
        <v>3991</v>
      </c>
      <c r="AN17" s="70" t="s">
        <v>3992</v>
      </c>
      <c r="AO17" s="70" t="s">
        <v>2512</v>
      </c>
      <c r="AP17" s="70" t="s">
        <v>3509</v>
      </c>
      <c r="AQ17" s="70" t="s">
        <v>2318</v>
      </c>
      <c r="AR17" s="70" t="s">
        <v>3468</v>
      </c>
      <c r="AS17" s="70" t="s">
        <v>3913</v>
      </c>
      <c r="AT17" s="145" t="s">
        <v>2967</v>
      </c>
      <c r="AU17" s="144" t="s">
        <v>180</v>
      </c>
      <c r="AV17" s="70" t="s">
        <v>3991</v>
      </c>
      <c r="AW17" s="70" t="s">
        <v>3992</v>
      </c>
      <c r="AX17" s="70" t="s">
        <v>2512</v>
      </c>
      <c r="AY17" s="70" t="s">
        <v>3509</v>
      </c>
      <c r="AZ17" s="70" t="s">
        <v>2318</v>
      </c>
      <c r="BA17" s="70" t="s">
        <v>3468</v>
      </c>
      <c r="BB17" s="70" t="s">
        <v>3913</v>
      </c>
      <c r="BC17" s="145" t="s">
        <v>2967</v>
      </c>
      <c r="BD17" s="144" t="s">
        <v>180</v>
      </c>
      <c r="BE17" s="70" t="s">
        <v>3991</v>
      </c>
      <c r="BF17" s="70" t="s">
        <v>3992</v>
      </c>
      <c r="BG17" s="70" t="s">
        <v>2512</v>
      </c>
      <c r="BH17" s="70" t="s">
        <v>3509</v>
      </c>
      <c r="BI17" s="70" t="s">
        <v>2318</v>
      </c>
      <c r="BJ17" s="70" t="s">
        <v>3468</v>
      </c>
      <c r="BK17" s="70" t="s">
        <v>3913</v>
      </c>
      <c r="BL17" s="145" t="s">
        <v>2967</v>
      </c>
      <c r="BM17" s="122" t="s">
        <v>4443</v>
      </c>
      <c r="BN17" s="122" t="s">
        <v>4444</v>
      </c>
      <c r="BO17" s="132"/>
    </row>
    <row r="18" spans="2:67" s="14" customFormat="1" ht="13.2" x14ac:dyDescent="0.25">
      <c r="B18" s="410" t="s">
        <v>4445</v>
      </c>
      <c r="C18" s="134">
        <f ca="1">SUM(AL18:AT18)+BM18</f>
        <v>0</v>
      </c>
      <c r="D18" s="134">
        <f ca="1">SUM(AU18:BC18)+BM18</f>
        <v>0</v>
      </c>
      <c r="E18" s="135">
        <f ca="1">SUM(BD18:BL18)+BM18</f>
        <v>0</v>
      </c>
      <c r="F18" s="134">
        <f ca="1">BN18</f>
        <v>0</v>
      </c>
      <c r="G18" s="136">
        <f ca="1">BO18</f>
        <v>0</v>
      </c>
      <c r="H18" s="438" t="str">
        <f ca="1">IFERROR(C18/$AG18,"")</f>
        <v/>
      </c>
      <c r="I18" s="438" t="str">
        <f ca="1">IFERROR(D18/$AG18,"")</f>
        <v/>
      </c>
      <c r="J18" s="441" t="str">
        <f ca="1">IFERROR(E18/$AG18,"")</f>
        <v/>
      </c>
      <c r="K18" s="432" t="str">
        <f ca="1">IFERROR(F18/$AG18,"")</f>
        <v/>
      </c>
      <c r="L18" s="439" t="str">
        <f ca="1">IFERROR(G18/$AG18,"")</f>
        <v/>
      </c>
      <c r="M18" s="446"/>
      <c r="N18" s="446"/>
      <c r="O18" s="446"/>
      <c r="P18" s="446"/>
      <c r="Q18" s="446"/>
      <c r="R18" s="446"/>
      <c r="S18" s="446"/>
      <c r="T18" s="446"/>
      <c r="U18" s="447"/>
      <c r="V18" s="118">
        <f t="shared" ref="V18:AD18" si="0">M18*(1+$AF$18)</f>
        <v>0</v>
      </c>
      <c r="W18" s="118">
        <f t="shared" si="0"/>
        <v>0</v>
      </c>
      <c r="X18" s="118">
        <f t="shared" si="0"/>
        <v>0</v>
      </c>
      <c r="Y18" s="118">
        <f t="shared" si="0"/>
        <v>0</v>
      </c>
      <c r="Z18" s="118">
        <f t="shared" si="0"/>
        <v>0</v>
      </c>
      <c r="AA18" s="118">
        <f t="shared" si="0"/>
        <v>0</v>
      </c>
      <c r="AB18" s="118">
        <f t="shared" si="0"/>
        <v>0</v>
      </c>
      <c r="AC18" s="118">
        <f t="shared" si="0"/>
        <v>0</v>
      </c>
      <c r="AD18" s="118">
        <f t="shared" si="0"/>
        <v>0</v>
      </c>
      <c r="AE18" s="418">
        <f>SUM(V18:AD18)*AJ18</f>
        <v>0</v>
      </c>
      <c r="AF18" s="414">
        <v>0.05</v>
      </c>
      <c r="AG18" s="437">
        <f>SUM(M18:U18)</f>
        <v>0</v>
      </c>
      <c r="AH18" s="118">
        <f>SUM(V18:AD18)</f>
        <v>0</v>
      </c>
      <c r="AI18" s="200" t="s">
        <v>4446</v>
      </c>
      <c r="AJ18" s="414">
        <v>0.1</v>
      </c>
      <c r="AK18" s="419" t="s">
        <v>4447</v>
      </c>
      <c r="AL18" s="67">
        <f ca="1">HLOOKUP(AL$17,$C$31:$L$36,2,FALSE)*V18</f>
        <v>0</v>
      </c>
      <c r="AM18" s="67">
        <f t="shared" ref="AM18:AR18" ca="1" si="1">HLOOKUP(AM$17,$C$31:$J$33,2,FALSE)*W18</f>
        <v>0</v>
      </c>
      <c r="AN18" s="67">
        <f t="shared" ca="1" si="1"/>
        <v>0</v>
      </c>
      <c r="AO18" s="67">
        <f t="shared" ca="1" si="1"/>
        <v>0</v>
      </c>
      <c r="AP18" s="67">
        <f t="shared" ca="1" si="1"/>
        <v>0</v>
      </c>
      <c r="AQ18" s="67">
        <f t="shared" si="1"/>
        <v>0</v>
      </c>
      <c r="AR18" s="67">
        <f t="shared" si="1"/>
        <v>0</v>
      </c>
      <c r="AS18" s="67">
        <f ca="1">HLOOKUP(AS$17,$C$31:$K$33,2,FALSE)*AC18</f>
        <v>0</v>
      </c>
      <c r="AT18" s="130">
        <f ca="1">HLOOKUP(AT$17,$C$31:$J$33,2,FALSE)*AD18</f>
        <v>0</v>
      </c>
      <c r="AU18" s="129">
        <f t="shared" ref="AU18:BC18" ca="1" si="2">HLOOKUP(AU$17,$C$31:$L$36,3,FALSE)*V18</f>
        <v>0</v>
      </c>
      <c r="AV18" s="67">
        <f t="shared" ca="1" si="2"/>
        <v>0</v>
      </c>
      <c r="AW18" s="67">
        <f t="shared" ca="1" si="2"/>
        <v>0</v>
      </c>
      <c r="AX18" s="67">
        <f t="shared" ca="1" si="2"/>
        <v>0</v>
      </c>
      <c r="AY18" s="67">
        <f t="shared" ca="1" si="2"/>
        <v>0</v>
      </c>
      <c r="AZ18" s="67">
        <f t="shared" si="2"/>
        <v>0</v>
      </c>
      <c r="BA18" s="67">
        <f t="shared" si="2"/>
        <v>0</v>
      </c>
      <c r="BB18" s="67">
        <f t="shared" ca="1" si="2"/>
        <v>0</v>
      </c>
      <c r="BC18" s="67">
        <f t="shared" ca="1" si="2"/>
        <v>0</v>
      </c>
      <c r="BD18" s="129">
        <f t="shared" ref="BD18:BL18" ca="1" si="3">HLOOKUP(BD$17,$C$31:$L$34,4,FALSE)*V18</f>
        <v>0</v>
      </c>
      <c r="BE18" s="67">
        <f t="shared" ca="1" si="3"/>
        <v>0</v>
      </c>
      <c r="BF18" s="67">
        <f t="shared" ca="1" si="3"/>
        <v>0</v>
      </c>
      <c r="BG18" s="67">
        <f t="shared" ca="1" si="3"/>
        <v>0</v>
      </c>
      <c r="BH18" s="67">
        <f t="shared" ca="1" si="3"/>
        <v>0</v>
      </c>
      <c r="BI18" s="67">
        <f t="shared" si="3"/>
        <v>0</v>
      </c>
      <c r="BJ18" s="67">
        <f t="shared" si="3"/>
        <v>0</v>
      </c>
      <c r="BK18" s="67">
        <f t="shared" ca="1" si="3"/>
        <v>0</v>
      </c>
      <c r="BL18" s="130">
        <f t="shared" ca="1" si="3"/>
        <v>0</v>
      </c>
      <c r="BM18" s="201">
        <f>$L$32*AE18</f>
        <v>0</v>
      </c>
      <c r="BN18" s="129">
        <f ca="1">Z18*$G$35</f>
        <v>0</v>
      </c>
      <c r="BO18" s="130">
        <f ca="1">Z18*$G$36</f>
        <v>0</v>
      </c>
    </row>
    <row r="19" spans="2:67" ht="13.2" x14ac:dyDescent="0.25">
      <c r="B19" s="129" t="s">
        <v>4010</v>
      </c>
      <c r="C19" s="134">
        <f t="shared" ref="C19:C27" ca="1" si="4">SUM(AL19:AT19)+BM19</f>
        <v>256.84829397375114</v>
      </c>
      <c r="D19" s="134">
        <f ca="1">SUM(AU19:BC19)+BM19</f>
        <v>46.280920638894486</v>
      </c>
      <c r="E19" s="135">
        <f t="shared" ref="E19:E27" ca="1" si="5">SUM(BD19:BL19)+BM19</f>
        <v>152.95690985157088</v>
      </c>
      <c r="F19" s="134">
        <f t="shared" ref="F19:F27" ca="1" si="6">BN19</f>
        <v>0</v>
      </c>
      <c r="G19" s="135">
        <f t="shared" ref="G19:G27" ca="1" si="7">BO19</f>
        <v>0</v>
      </c>
      <c r="H19" s="100">
        <f t="shared" ref="H19:H27" ca="1" si="8">C19/$AG19</f>
        <v>11.167317129293528</v>
      </c>
      <c r="I19" s="431">
        <f t="shared" ref="I19:I27" ca="1" si="9">D19/$AG19</f>
        <v>2.0122139408214994</v>
      </c>
      <c r="J19" s="442">
        <f t="shared" ref="J19:J27" ca="1" si="10">E19/$AG19</f>
        <v>6.6503004283291691</v>
      </c>
      <c r="K19" s="445">
        <f t="shared" ref="K19:K27" ca="1" si="11">F19/$AG19</f>
        <v>0</v>
      </c>
      <c r="L19" s="100">
        <f t="shared" ref="L19:L27" ca="1" si="12">G19/$AG19</f>
        <v>0</v>
      </c>
      <c r="M19" s="431"/>
      <c r="N19" s="100"/>
      <c r="O19" s="100"/>
      <c r="P19" s="100"/>
      <c r="Q19" s="100"/>
      <c r="R19" s="100"/>
      <c r="S19" s="100"/>
      <c r="T19" s="100"/>
      <c r="U19" s="432"/>
      <c r="V19" s="118">
        <f>0.28*AG19*(1+AF19)</f>
        <v>6.7620000000000005</v>
      </c>
      <c r="W19" s="118">
        <f>0.0134*AG19*(1+AF19)</f>
        <v>0.32361000000000006</v>
      </c>
      <c r="X19" s="118">
        <f>0.0012*AG19*(1+AF19)</f>
        <v>2.8979999999999999E-2</v>
      </c>
      <c r="Y19" s="118">
        <f>0.629*AG19*(1+AF19)</f>
        <v>15.19035</v>
      </c>
      <c r="Z19" s="118">
        <v>0</v>
      </c>
      <c r="AA19" s="118">
        <f>0.0213*AG19*(1+AF19)</f>
        <v>0.51439500000000005</v>
      </c>
      <c r="AB19" s="118">
        <f>(0.0237+0.0237+0.0009)*AG19*(1+AF19)</f>
        <v>1.166445</v>
      </c>
      <c r="AC19" s="118">
        <v>0</v>
      </c>
      <c r="AD19" s="118">
        <f>0.0048*AG19*(1+AF19)</f>
        <v>0.11592</v>
      </c>
      <c r="AE19" s="418">
        <f t="shared" ref="AE19:AE27" si="13">SUM(V19:AD19)*AJ19</f>
        <v>2.4101700000000004</v>
      </c>
      <c r="AF19" s="67">
        <v>0.05</v>
      </c>
      <c r="AG19" s="67">
        <v>23</v>
      </c>
      <c r="AH19" s="118">
        <f t="shared" ref="AH19:AH27" si="14">SUM(V19:AD19)</f>
        <v>24.101700000000001</v>
      </c>
      <c r="AI19" s="38" t="s">
        <v>4448</v>
      </c>
      <c r="AJ19" s="67">
        <v>0.1</v>
      </c>
      <c r="AK19" s="419" t="s">
        <v>4165</v>
      </c>
      <c r="AL19" s="67">
        <f ca="1">HLOOKUP(AL$17,$C$31:$L$36,2,FALSE)*V19</f>
        <v>204.48288000000002</v>
      </c>
      <c r="AM19" s="67">
        <f t="shared" ref="AM19:AM27" ca="1" si="15">HLOOKUP(AM$17,$C$31:$J$33,2,FALSE)*W19</f>
        <v>10.350018630000003</v>
      </c>
      <c r="AN19" s="67">
        <f t="shared" ref="AN19:AN27" ca="1" si="16">HLOOKUP(AN$17,$C$31:$J$33,2,FALSE)*X19</f>
        <v>0.99198540000000013</v>
      </c>
      <c r="AO19" s="67">
        <f t="shared" ref="AO19:AO27" ca="1" si="17">HLOOKUP(AO$17,$C$31:$J$33,2,FALSE)*Y19</f>
        <v>36.106293461538463</v>
      </c>
      <c r="AP19" s="67">
        <f t="shared" ref="AP19:AP27" ca="1" si="18">HLOOKUP(AP$17,$C$31:$J$33,2,FALSE)*Z19</f>
        <v>0</v>
      </c>
      <c r="AQ19" s="67">
        <f t="shared" ref="AQ19:AQ27" si="19">HLOOKUP(AQ$17,$C$31:$J$33,2,FALSE)*AA19</f>
        <v>2.2596637500000001</v>
      </c>
      <c r="AR19" s="67">
        <f t="shared" ref="AR19:AR27" si="20">HLOOKUP(AR$17,$C$31:$J$33,2,FALSE)*AB19</f>
        <v>1.1086072212662999E-2</v>
      </c>
      <c r="AS19" s="67">
        <f t="shared" ref="AS19:AS27" ca="1" si="21">HLOOKUP(AS$17,$C$31:$K$33,2,FALSE)*AC19</f>
        <v>0</v>
      </c>
      <c r="AT19" s="130">
        <f t="shared" ref="AT19:AT27" ca="1" si="22">HLOOKUP(AT$17,$C$31:$J$33,2,FALSE)*AD19</f>
        <v>0.69412896000000002</v>
      </c>
      <c r="AU19" s="129">
        <f ca="1">HLOOKUP(AU$17,$C$31:$L$36,3,FALSE)*V19</f>
        <v>23.627442300000002</v>
      </c>
      <c r="AV19" s="67">
        <f t="shared" ref="AV19:BC19" ca="1" si="23">HLOOKUP(AV$17,$C$31:$L$36,3,FALSE)*W19</f>
        <v>1.6679344815000006</v>
      </c>
      <c r="AW19" s="67">
        <f t="shared" ca="1" si="23"/>
        <v>0.21138446700000002</v>
      </c>
      <c r="AX19" s="67">
        <f t="shared" ca="1" si="23"/>
        <v>16.709385000000001</v>
      </c>
      <c r="AY19" s="67">
        <f t="shared" ca="1" si="23"/>
        <v>0</v>
      </c>
      <c r="AZ19" s="67">
        <f t="shared" si="23"/>
        <v>1.7838298181818184</v>
      </c>
      <c r="BA19" s="67">
        <f t="shared" si="23"/>
        <v>1.1086072212662999E-2</v>
      </c>
      <c r="BB19" s="67">
        <f t="shared" ca="1" si="23"/>
        <v>0</v>
      </c>
      <c r="BC19" s="67">
        <f t="shared" ca="1" si="23"/>
        <v>0.31762080000000004</v>
      </c>
      <c r="BD19" s="129">
        <f ca="1">HLOOKUP(BD$17,$C$31:$L$34,4,FALSE)*V19</f>
        <v>117.6566203575</v>
      </c>
      <c r="BE19" s="67">
        <f t="shared" ref="BE19:BL19" ca="1" si="24">HLOOKUP(BE$17,$C$31:$L$34,4,FALSE)*W19</f>
        <v>5.8993059885375017</v>
      </c>
      <c r="BF19" s="67">
        <f t="shared" ca="1" si="24"/>
        <v>0.55930465867500001</v>
      </c>
      <c r="BG19" s="67">
        <f t="shared" ca="1" si="24"/>
        <v>25.304960084409313</v>
      </c>
      <c r="BH19" s="67">
        <f t="shared" ca="1" si="24"/>
        <v>0</v>
      </c>
      <c r="BI19" s="67">
        <f t="shared" si="24"/>
        <v>1.1651826136363637</v>
      </c>
      <c r="BJ19" s="67">
        <f t="shared" si="24"/>
        <v>1.1086072212662999E-2</v>
      </c>
      <c r="BK19" s="67">
        <f t="shared" ca="1" si="24"/>
        <v>0</v>
      </c>
      <c r="BL19" s="130">
        <f t="shared" ca="1" si="24"/>
        <v>0.40821237659999993</v>
      </c>
      <c r="BM19" s="201">
        <f>$L$32*AE19</f>
        <v>1.9522377000000004</v>
      </c>
      <c r="BN19" s="129">
        <f t="shared" ref="BN19:BN27" ca="1" si="25">Z19*$G$35</f>
        <v>0</v>
      </c>
      <c r="BO19" s="130">
        <f t="shared" ref="BO19:BO27" ca="1" si="26">Z19*$G$36</f>
        <v>0</v>
      </c>
    </row>
    <row r="20" spans="2:67" ht="13.2" x14ac:dyDescent="0.25">
      <c r="B20" s="122" t="s">
        <v>4012</v>
      </c>
      <c r="C20" s="137">
        <f t="shared" ca="1" si="4"/>
        <v>291.32801248424943</v>
      </c>
      <c r="D20" s="138">
        <f t="shared" ref="D20:D27" ca="1" si="27">SUM(AU20:BC20)+BM20</f>
        <v>51.530250926473862</v>
      </c>
      <c r="E20" s="138">
        <f t="shared" ca="1" si="5"/>
        <v>173.30332609063842</v>
      </c>
      <c r="F20" s="137">
        <f t="shared" ca="1" si="6"/>
        <v>5.7162104999999999</v>
      </c>
      <c r="G20" s="138">
        <f t="shared" ca="1" si="7"/>
        <v>5.6121461550000014</v>
      </c>
      <c r="H20" s="100">
        <f t="shared" ca="1" si="8"/>
        <v>10.330780584547853</v>
      </c>
      <c r="I20" s="431">
        <f t="shared" ca="1" si="9"/>
        <v>1.8273138626409171</v>
      </c>
      <c r="J20" s="442">
        <f t="shared" ca="1" si="10"/>
        <v>6.1455080173985257</v>
      </c>
      <c r="K20" s="432">
        <f t="shared" ca="1" si="11"/>
        <v>0.20270250000000001</v>
      </c>
      <c r="L20" s="100">
        <f t="shared" ca="1" si="12"/>
        <v>0.19901227500000004</v>
      </c>
      <c r="M20" s="431"/>
      <c r="N20" s="100"/>
      <c r="O20" s="100"/>
      <c r="P20" s="100"/>
      <c r="Q20" s="100"/>
      <c r="R20" s="100"/>
      <c r="S20" s="100"/>
      <c r="T20" s="100"/>
      <c r="U20" s="432"/>
      <c r="V20" s="96">
        <v>7.3728899999999999</v>
      </c>
      <c r="W20" s="96">
        <v>0.62773200000000007</v>
      </c>
      <c r="X20" s="96">
        <v>2.9610000000000001E-2</v>
      </c>
      <c r="Y20" s="96">
        <v>15.78213</v>
      </c>
      <c r="Z20" s="96">
        <v>3.4643700000000002</v>
      </c>
      <c r="AA20" s="96">
        <v>1.1844E-2</v>
      </c>
      <c r="AB20" s="96">
        <v>1.5456419999999997</v>
      </c>
      <c r="AC20" s="96">
        <v>0</v>
      </c>
      <c r="AD20" s="96">
        <v>0.75505500000000014</v>
      </c>
      <c r="AE20" s="420">
        <f t="shared" si="13"/>
        <v>2.9589273</v>
      </c>
      <c r="AF20">
        <v>0.05</v>
      </c>
      <c r="AG20" s="96">
        <v>28.2</v>
      </c>
      <c r="AH20" s="96">
        <f t="shared" si="14"/>
        <v>29.589272999999999</v>
      </c>
      <c r="AI20" s="39" t="s">
        <v>4448</v>
      </c>
      <c r="AJ20">
        <v>0.1</v>
      </c>
      <c r="AK20" s="421" t="s">
        <v>4165</v>
      </c>
      <c r="AL20">
        <f t="shared" ref="AL20:AL27" ca="1" si="28">HLOOKUP(AL$17,$C$31:$J$33,2,FALSE)*V20</f>
        <v>222.95619360000001</v>
      </c>
      <c r="AM20">
        <f t="shared" ca="1" si="15"/>
        <v>20.076752556000002</v>
      </c>
      <c r="AN20">
        <f t="shared" ca="1" si="16"/>
        <v>1.0135503000000001</v>
      </c>
      <c r="AO20">
        <f t="shared" ca="1" si="17"/>
        <v>37.512909000000001</v>
      </c>
      <c r="AP20">
        <f t="shared" ca="1" si="18"/>
        <v>2.7838875565800003</v>
      </c>
      <c r="AQ20">
        <f t="shared" si="19"/>
        <v>5.2028999999999999E-2</v>
      </c>
      <c r="AR20">
        <f t="shared" si="20"/>
        <v>1.4690018669482796E-2</v>
      </c>
      <c r="AS20">
        <f t="shared" ca="1" si="21"/>
        <v>0</v>
      </c>
      <c r="AT20" s="124">
        <f t="shared" ca="1" si="22"/>
        <v>4.5212693400000008</v>
      </c>
      <c r="AU20">
        <f t="shared" ref="AU20:AU27" ca="1" si="29">HLOOKUP(AU$17,$C$31:$L$36,3,FALSE)*V20</f>
        <v>25.761983593500002</v>
      </c>
      <c r="AV20">
        <f t="shared" ref="AV20:AV27" ca="1" si="30">HLOOKUP(AV$17,$C$31:$L$36,3,FALSE)*W20</f>
        <v>3.2354248878000007</v>
      </c>
      <c r="AW20">
        <f t="shared" ref="AW20:AW27" ca="1" si="31">HLOOKUP(AW$17,$C$31:$L$36,3,FALSE)*X20</f>
        <v>0.21597978150000002</v>
      </c>
      <c r="AX20">
        <f t="shared" ref="AX20:AX27" ca="1" si="32">HLOOKUP(AX$17,$C$31:$L$36,3,FALSE)*Y20</f>
        <v>17.360343</v>
      </c>
      <c r="AY20">
        <f t="shared" ref="AY20:AY27" ca="1" si="33">HLOOKUP(AY$17,$C$31:$L$36,3,FALSE)*Z20</f>
        <v>0.43517495927710809</v>
      </c>
      <c r="AZ20">
        <f t="shared" ref="AZ20:AZ27" si="34">HLOOKUP(AZ$17,$C$31:$L$36,3,FALSE)*AA20</f>
        <v>4.1072872727272731E-2</v>
      </c>
      <c r="BA20">
        <f t="shared" ref="BA20:BA27" si="35">HLOOKUP(BA$17,$C$31:$L$36,3,FALSE)*AB20</f>
        <v>1.4690018669482796E-2</v>
      </c>
      <c r="BB20">
        <f t="shared" ref="BB20:BB27" ca="1" si="36">HLOOKUP(BB$17,$C$31:$L$36,3,FALSE)*AC20</f>
        <v>0</v>
      </c>
      <c r="BC20">
        <f t="shared" ref="BC20:BC27" ca="1" si="37">HLOOKUP(BC$17,$C$31:$L$36,3,FALSE)*AD20</f>
        <v>2.0688507000000005</v>
      </c>
      <c r="BD20" s="122">
        <f t="shared" ref="BD20:BD27" ca="1" si="38">HLOOKUP(BD$17,$C$31:$L$34,4,FALSE)*V20</f>
        <v>128.28590944507661</v>
      </c>
      <c r="BE20">
        <f t="shared" ref="BE20:BE27" ca="1" si="39">HLOOKUP(BE$17,$C$31:$L$34,4,FALSE)*W20</f>
        <v>11.44335201877761</v>
      </c>
      <c r="BF20">
        <f t="shared" ref="BF20:BF27" ca="1" si="40">HLOOKUP(BF$17,$C$31:$L$34,4,FALSE)*X20</f>
        <v>0.57146345560271739</v>
      </c>
      <c r="BG20">
        <f t="shared" ref="BG20:BG27" ca="1" si="41">HLOOKUP(BG$17,$C$31:$L$34,4,FALSE)*Y20</f>
        <v>26.290781298453211</v>
      </c>
      <c r="BH20">
        <f t="shared" ref="BH20:BH27" ca="1" si="42">HLOOKUP(BH$17,$C$31:$L$34,4,FALSE)*Z20</f>
        <v>1.6146434748008645</v>
      </c>
      <c r="BI20">
        <f t="shared" ref="BI20:BI27" si="43">HLOOKUP(BI$17,$C$31:$L$34,4,FALSE)*AA20</f>
        <v>2.6828454545454548E-2</v>
      </c>
      <c r="BJ20">
        <f t="shared" ref="BJ20:BJ27" si="44">HLOOKUP(BJ$17,$C$31:$L$34,4,FALSE)*AB20</f>
        <v>1.4690018669482796E-2</v>
      </c>
      <c r="BK20">
        <f t="shared" ref="BK20:BK27" ca="1" si="45">HLOOKUP(BK$17,$C$31:$L$34,4,FALSE)*AC20</f>
        <v>0</v>
      </c>
      <c r="BL20" s="124">
        <f t="shared" ref="BL20:BL27" ca="1" si="46">HLOOKUP(BL$17,$C$31:$L$34,4,FALSE)*AD20</f>
        <v>2.6589268117125004</v>
      </c>
      <c r="BM20" s="161">
        <f t="shared" ref="BM20:BM27" si="47">$L$32*AE20</f>
        <v>2.396731113</v>
      </c>
      <c r="BN20" s="122">
        <f t="shared" ca="1" si="25"/>
        <v>5.7162104999999999</v>
      </c>
      <c r="BO20" s="124">
        <f t="shared" ca="1" si="26"/>
        <v>5.6121461550000014</v>
      </c>
    </row>
    <row r="21" spans="2:67" ht="13.2" x14ac:dyDescent="0.25">
      <c r="B21" s="122" t="s">
        <v>4013</v>
      </c>
      <c r="C21" s="137">
        <f t="shared" ca="1" si="4"/>
        <v>180.63508649977189</v>
      </c>
      <c r="D21" s="138">
        <f t="shared" ca="1" si="27"/>
        <v>67.985376115156512</v>
      </c>
      <c r="E21" s="138">
        <f t="shared" ca="1" si="5"/>
        <v>115.07407438615839</v>
      </c>
      <c r="F21" s="137">
        <f t="shared" ca="1" si="6"/>
        <v>0</v>
      </c>
      <c r="G21" s="138">
        <f t="shared" ca="1" si="7"/>
        <v>0</v>
      </c>
      <c r="H21" s="100">
        <f t="shared" ca="1" si="8"/>
        <v>3.4912077019669865</v>
      </c>
      <c r="I21" s="431">
        <f t="shared" ca="1" si="9"/>
        <v>1.3139809840579149</v>
      </c>
      <c r="J21" s="442">
        <f t="shared" ca="1" si="10"/>
        <v>2.2240833858940547</v>
      </c>
      <c r="K21" s="432">
        <f t="shared" ca="1" si="11"/>
        <v>0</v>
      </c>
      <c r="L21" s="100">
        <f t="shared" ca="1" si="12"/>
        <v>0</v>
      </c>
      <c r="M21" s="431"/>
      <c r="N21" s="100"/>
      <c r="O21" s="100"/>
      <c r="P21" s="100"/>
      <c r="Q21" s="100"/>
      <c r="R21" s="100"/>
      <c r="S21" s="100"/>
      <c r="T21" s="100"/>
      <c r="U21" s="432"/>
      <c r="V21" s="96"/>
      <c r="W21" s="96"/>
      <c r="X21" s="96"/>
      <c r="Y21" s="96">
        <f>20.04*(1+AF21)</f>
        <v>21.042000000000002</v>
      </c>
      <c r="Z21" s="96"/>
      <c r="AA21" s="96"/>
      <c r="AB21" s="96">
        <f>(1.65+0.8+0.5)*(1+AF21)</f>
        <v>3.0975000000000001</v>
      </c>
      <c r="AC21" s="96">
        <f>26.86*(1+AF21)</f>
        <v>28.202999999999999</v>
      </c>
      <c r="AD21" s="96">
        <f>(1.05+0.84)*(1+AF21)</f>
        <v>1.9845000000000002</v>
      </c>
      <c r="AE21" s="420">
        <f t="shared" si="13"/>
        <v>5.4327000000000005</v>
      </c>
      <c r="AF21">
        <v>0.05</v>
      </c>
      <c r="AG21">
        <v>51.74</v>
      </c>
      <c r="AH21" s="96">
        <f t="shared" si="14"/>
        <v>54.326999999999998</v>
      </c>
      <c r="AI21" s="39" t="s">
        <v>4449</v>
      </c>
      <c r="AJ21">
        <v>0.1</v>
      </c>
      <c r="AK21" s="421" t="s">
        <v>4165</v>
      </c>
      <c r="AL21">
        <f t="shared" ca="1" si="28"/>
        <v>0</v>
      </c>
      <c r="AM21">
        <f t="shared" ca="1" si="15"/>
        <v>0</v>
      </c>
      <c r="AN21">
        <f t="shared" ca="1" si="16"/>
        <v>0</v>
      </c>
      <c r="AO21">
        <f t="shared" ca="1" si="17"/>
        <v>50.015215384615388</v>
      </c>
      <c r="AP21">
        <f t="shared" ca="1" si="18"/>
        <v>0</v>
      </c>
      <c r="AQ21">
        <f t="shared" si="19"/>
        <v>0</v>
      </c>
      <c r="AR21">
        <f t="shared" si="20"/>
        <v>2.9439115156499999E-2</v>
      </c>
      <c r="AS21">
        <f t="shared" ca="1" si="21"/>
        <v>114.306759</v>
      </c>
      <c r="AT21" s="124">
        <f t="shared" ca="1" si="22"/>
        <v>11.883186000000002</v>
      </c>
      <c r="AU21">
        <f t="shared" ca="1" si="29"/>
        <v>0</v>
      </c>
      <c r="AV21">
        <f t="shared" ca="1" si="30"/>
        <v>0</v>
      </c>
      <c r="AW21">
        <f t="shared" ca="1" si="31"/>
        <v>0</v>
      </c>
      <c r="AX21">
        <f t="shared" ca="1" si="32"/>
        <v>23.146200000000004</v>
      </c>
      <c r="AY21">
        <f t="shared" ca="1" si="33"/>
        <v>0</v>
      </c>
      <c r="AZ21">
        <f t="shared" si="34"/>
        <v>0</v>
      </c>
      <c r="BA21">
        <f t="shared" si="35"/>
        <v>2.9439115156499999E-2</v>
      </c>
      <c r="BB21">
        <f t="shared" ca="1" si="36"/>
        <v>34.971719999999998</v>
      </c>
      <c r="BC21">
        <f t="shared" ca="1" si="37"/>
        <v>5.4375300000000006</v>
      </c>
      <c r="BD21" s="122">
        <f t="shared" ca="1" si="38"/>
        <v>0</v>
      </c>
      <c r="BE21">
        <f t="shared" ca="1" si="39"/>
        <v>0</v>
      </c>
      <c r="BF21">
        <f t="shared" ca="1" si="40"/>
        <v>0</v>
      </c>
      <c r="BG21">
        <f t="shared" ca="1" si="41"/>
        <v>35.052975744215296</v>
      </c>
      <c r="BH21">
        <f t="shared" ca="1" si="42"/>
        <v>0</v>
      </c>
      <c r="BI21">
        <f t="shared" si="43"/>
        <v>0</v>
      </c>
      <c r="BJ21">
        <f t="shared" si="44"/>
        <v>2.9439115156499999E-2</v>
      </c>
      <c r="BK21">
        <f t="shared" ca="1" si="45"/>
        <v>68.60275412303659</v>
      </c>
      <c r="BL21" s="124">
        <f t="shared" ca="1" si="46"/>
        <v>6.9884184037499999</v>
      </c>
      <c r="BM21" s="161">
        <f t="shared" si="47"/>
        <v>4.4004870000000009</v>
      </c>
      <c r="BN21" s="122">
        <f t="shared" ca="1" si="25"/>
        <v>0</v>
      </c>
      <c r="BO21" s="124">
        <f t="shared" ca="1" si="26"/>
        <v>0</v>
      </c>
    </row>
    <row r="22" spans="2:67" ht="13.2" x14ac:dyDescent="0.25">
      <c r="B22" s="122" t="s">
        <v>4014</v>
      </c>
      <c r="C22" s="137">
        <f t="shared" ca="1" si="4"/>
        <v>306.52828243799314</v>
      </c>
      <c r="D22" s="138">
        <f t="shared" ca="1" si="27"/>
        <v>70.737184361070007</v>
      </c>
      <c r="E22" s="138">
        <f t="shared" ca="1" si="5"/>
        <v>189.06090875940023</v>
      </c>
      <c r="F22" s="137">
        <f t="shared" ca="1" si="6"/>
        <v>0</v>
      </c>
      <c r="G22" s="138">
        <f t="shared" ca="1" si="7"/>
        <v>0</v>
      </c>
      <c r="H22" s="100">
        <f t="shared" ca="1" si="8"/>
        <v>6.9665518735907535</v>
      </c>
      <c r="I22" s="431">
        <f t="shared" ca="1" si="9"/>
        <v>1.6076632809334093</v>
      </c>
      <c r="J22" s="442">
        <f t="shared" ca="1" si="10"/>
        <v>4.2968388354409148</v>
      </c>
      <c r="K22" s="432">
        <f t="shared" ca="1" si="11"/>
        <v>0</v>
      </c>
      <c r="L22" s="100">
        <f t="shared" ca="1" si="12"/>
        <v>0</v>
      </c>
      <c r="M22" s="431"/>
      <c r="N22" s="100"/>
      <c r="O22" s="100"/>
      <c r="P22" s="100"/>
      <c r="Q22" s="100"/>
      <c r="R22" s="100"/>
      <c r="S22" s="100"/>
      <c r="T22" s="100"/>
      <c r="U22" s="432"/>
      <c r="V22" s="96">
        <f>6.9</f>
        <v>6.9</v>
      </c>
      <c r="W22" s="96"/>
      <c r="X22" s="96"/>
      <c r="Y22" s="96">
        <f>35*(1+AF22)</f>
        <v>36.75</v>
      </c>
      <c r="Z22" s="96"/>
      <c r="AA22" s="96"/>
      <c r="AB22" s="96">
        <f>(0.1+0.8+0.1)*(1+AF22)</f>
        <v>1.05</v>
      </c>
      <c r="AC22" s="96">
        <f>1*(1+AF22)</f>
        <v>1.05</v>
      </c>
      <c r="AD22" s="96">
        <f>0.4*(1+AF22)</f>
        <v>0.42000000000000004</v>
      </c>
      <c r="AE22" s="420">
        <f t="shared" si="13"/>
        <v>4.617</v>
      </c>
      <c r="AF22">
        <v>0.05</v>
      </c>
      <c r="AG22">
        <v>44</v>
      </c>
      <c r="AH22" s="96">
        <f t="shared" si="14"/>
        <v>46.169999999999995</v>
      </c>
      <c r="AI22" s="39" t="s">
        <v>4450</v>
      </c>
      <c r="AJ22">
        <v>0.1</v>
      </c>
      <c r="AK22" s="421" t="s">
        <v>4165</v>
      </c>
      <c r="AL22">
        <f t="shared" ca="1" si="28"/>
        <v>208.65600000000003</v>
      </c>
      <c r="AM22">
        <f t="shared" ca="1" si="15"/>
        <v>0</v>
      </c>
      <c r="AN22">
        <f t="shared" ca="1" si="16"/>
        <v>0</v>
      </c>
      <c r="AO22">
        <f t="shared" ca="1" si="17"/>
        <v>87.351923076923072</v>
      </c>
      <c r="AP22">
        <f t="shared" ca="1" si="18"/>
        <v>0</v>
      </c>
      <c r="AQ22">
        <f t="shared" si="19"/>
        <v>0</v>
      </c>
      <c r="AR22">
        <f t="shared" si="20"/>
        <v>9.9793610699999997E-3</v>
      </c>
      <c r="AS22">
        <f t="shared" ca="1" si="21"/>
        <v>4.2556500000000002</v>
      </c>
      <c r="AT22" s="124">
        <f t="shared" ca="1" si="22"/>
        <v>2.5149600000000003</v>
      </c>
      <c r="AU22">
        <f t="shared" ca="1" si="29"/>
        <v>24.109635000000004</v>
      </c>
      <c r="AV22">
        <f t="shared" ca="1" si="30"/>
        <v>0</v>
      </c>
      <c r="AW22">
        <f t="shared" ca="1" si="31"/>
        <v>0</v>
      </c>
      <c r="AX22">
        <f t="shared" ca="1" si="32"/>
        <v>40.425000000000004</v>
      </c>
      <c r="AY22">
        <f t="shared" ca="1" si="33"/>
        <v>0</v>
      </c>
      <c r="AZ22">
        <f t="shared" si="34"/>
        <v>0</v>
      </c>
      <c r="BA22">
        <f t="shared" si="35"/>
        <v>9.9793610699999997E-3</v>
      </c>
      <c r="BB22">
        <f t="shared" ca="1" si="36"/>
        <v>1.302</v>
      </c>
      <c r="BC22">
        <f t="shared" ca="1" si="37"/>
        <v>1.1508000000000003</v>
      </c>
      <c r="BD22" s="122">
        <f t="shared" ca="1" si="38"/>
        <v>120.05777587499999</v>
      </c>
      <c r="BE22">
        <f t="shared" ca="1" si="39"/>
        <v>0</v>
      </c>
      <c r="BF22">
        <f t="shared" ca="1" si="40"/>
        <v>0</v>
      </c>
      <c r="BG22">
        <f t="shared" ca="1" si="41"/>
        <v>61.220267018340081</v>
      </c>
      <c r="BH22">
        <f t="shared" ca="1" si="42"/>
        <v>0</v>
      </c>
      <c r="BI22">
        <f t="shared" si="43"/>
        <v>0</v>
      </c>
      <c r="BJ22">
        <f t="shared" si="44"/>
        <v>9.9793610699999997E-3</v>
      </c>
      <c r="BK22">
        <f t="shared" ca="1" si="45"/>
        <v>2.5540861549901934</v>
      </c>
      <c r="BL22" s="124">
        <f t="shared" ca="1" si="46"/>
        <v>1.4790303499999999</v>
      </c>
      <c r="BM22" s="161">
        <f t="shared" si="47"/>
        <v>3.73977</v>
      </c>
      <c r="BN22" s="122">
        <f t="shared" ca="1" si="25"/>
        <v>0</v>
      </c>
      <c r="BO22" s="124">
        <f t="shared" ca="1" si="26"/>
        <v>0</v>
      </c>
    </row>
    <row r="23" spans="2:67" ht="13.2" x14ac:dyDescent="0.25">
      <c r="B23" s="122" t="s">
        <v>4015</v>
      </c>
      <c r="C23" s="137">
        <f t="shared" ca="1" si="4"/>
        <v>312.74827579542688</v>
      </c>
      <c r="D23" s="138">
        <f t="shared" ca="1" si="27"/>
        <v>51.688218708803888</v>
      </c>
      <c r="E23" s="138">
        <f t="shared" ca="1" si="5"/>
        <v>184.58502147523663</v>
      </c>
      <c r="F23" s="137">
        <f t="shared" ca="1" si="6"/>
        <v>0</v>
      </c>
      <c r="G23" s="138">
        <f t="shared" ca="1" si="7"/>
        <v>0</v>
      </c>
      <c r="H23" s="100">
        <f t="shared" ca="1" si="8"/>
        <v>10.747363429396112</v>
      </c>
      <c r="I23" s="431">
        <f t="shared" ca="1" si="9"/>
        <v>1.7762274470379342</v>
      </c>
      <c r="J23" s="442">
        <f t="shared" ca="1" si="10"/>
        <v>6.3431278857469628</v>
      </c>
      <c r="K23" s="432">
        <f t="shared" ca="1" si="11"/>
        <v>0</v>
      </c>
      <c r="L23" s="100">
        <f t="shared" ca="1" si="12"/>
        <v>0</v>
      </c>
      <c r="M23" s="431"/>
      <c r="N23" s="100"/>
      <c r="O23" s="100"/>
      <c r="P23" s="100"/>
      <c r="Q23" s="100"/>
      <c r="R23" s="100"/>
      <c r="S23" s="100"/>
      <c r="T23" s="100"/>
      <c r="U23" s="432"/>
      <c r="V23" s="96">
        <f>0.355*AG19*(1+AF19)</f>
        <v>8.5732499999999998</v>
      </c>
      <c r="W23" s="96">
        <f>0.017*AG19*(1+AF19)</f>
        <v>0.41055000000000003</v>
      </c>
      <c r="X23" s="96">
        <f>0.0015*AG19*(1+AF19)</f>
        <v>3.6225000000000007E-2</v>
      </c>
      <c r="Y23" s="96">
        <f>0.535*AG19*(1+AF19)</f>
        <v>12.920250000000003</v>
      </c>
      <c r="Z23" s="96">
        <v>0</v>
      </c>
      <c r="AA23" s="96">
        <f>0.0064*AG19*(1+AF19)</f>
        <v>0.15456</v>
      </c>
      <c r="AB23" s="96">
        <f>(0.02+0.02+0.0037)*AG19*(1+AF19)</f>
        <v>1.0553550000000003</v>
      </c>
      <c r="AC23" s="96">
        <v>0</v>
      </c>
      <c r="AD23" s="96">
        <f>(0.0253+0.0007+0.0139)*AG19*(1+AF19)</f>
        <v>0.96358500000000002</v>
      </c>
      <c r="AE23" s="420">
        <f t="shared" si="13"/>
        <v>2.4113775000000004</v>
      </c>
      <c r="AF23">
        <v>0.05</v>
      </c>
      <c r="AG23" s="96">
        <v>29.1</v>
      </c>
      <c r="AH23" s="96">
        <f t="shared" si="14"/>
        <v>24.113775</v>
      </c>
      <c r="AI23" s="39" t="s">
        <v>4448</v>
      </c>
      <c r="AJ23">
        <v>0.1</v>
      </c>
      <c r="AK23" s="421" t="s">
        <v>4165</v>
      </c>
      <c r="AL23">
        <f t="shared" ca="1" si="28"/>
        <v>259.25508000000002</v>
      </c>
      <c r="AM23">
        <f t="shared" ca="1" si="15"/>
        <v>13.130620650000001</v>
      </c>
      <c r="AN23">
        <f t="shared" ca="1" si="16"/>
        <v>1.2399817500000003</v>
      </c>
      <c r="AO23">
        <f t="shared" ca="1" si="17"/>
        <v>30.710440384615392</v>
      </c>
      <c r="AP23">
        <f t="shared" ca="1" si="18"/>
        <v>0</v>
      </c>
      <c r="AQ23">
        <f t="shared" si="19"/>
        <v>0.6789599999999999</v>
      </c>
      <c r="AR23">
        <f t="shared" si="20"/>
        <v>1.0030255811457002E-2</v>
      </c>
      <c r="AS23">
        <f t="shared" ca="1" si="21"/>
        <v>0</v>
      </c>
      <c r="AT23" s="124">
        <f t="shared" ca="1" si="22"/>
        <v>5.7699469800000003</v>
      </c>
      <c r="AU23">
        <f t="shared" ca="1" si="29"/>
        <v>29.956221487500002</v>
      </c>
      <c r="AV23">
        <f t="shared" ca="1" si="30"/>
        <v>2.1160362825000005</v>
      </c>
      <c r="AW23">
        <f t="shared" ca="1" si="31"/>
        <v>0.26423058375000008</v>
      </c>
      <c r="AX23">
        <f t="shared" ca="1" si="32"/>
        <v>14.212275000000004</v>
      </c>
      <c r="AY23">
        <f t="shared" ca="1" si="33"/>
        <v>0</v>
      </c>
      <c r="AZ23">
        <f t="shared" si="34"/>
        <v>0.53598642424242426</v>
      </c>
      <c r="BA23">
        <f t="shared" si="35"/>
        <v>1.0030255811457002E-2</v>
      </c>
      <c r="BB23">
        <f t="shared" ca="1" si="36"/>
        <v>0</v>
      </c>
      <c r="BC23">
        <f t="shared" ca="1" si="37"/>
        <v>2.6402229000000004</v>
      </c>
      <c r="BD23" s="122">
        <f t="shared" ca="1" si="38"/>
        <v>149.17178652468749</v>
      </c>
      <c r="BE23">
        <f t="shared" ca="1" si="39"/>
        <v>7.484194164562501</v>
      </c>
      <c r="BF23">
        <f t="shared" ca="1" si="40"/>
        <v>0.69913082334375021</v>
      </c>
      <c r="BG23">
        <f t="shared" ca="1" si="41"/>
        <v>21.523296733162137</v>
      </c>
      <c r="BH23">
        <f t="shared" ca="1" si="42"/>
        <v>0</v>
      </c>
      <c r="BI23">
        <f t="shared" si="43"/>
        <v>0.35010181818181818</v>
      </c>
      <c r="BJ23">
        <f t="shared" si="44"/>
        <v>1.0030255811457002E-2</v>
      </c>
      <c r="BK23">
        <f t="shared" ca="1" si="45"/>
        <v>0</v>
      </c>
      <c r="BL23" s="124">
        <f t="shared" ca="1" si="46"/>
        <v>3.3932653804874997</v>
      </c>
      <c r="BM23" s="161">
        <f t="shared" si="47"/>
        <v>1.9532157750000005</v>
      </c>
      <c r="BN23" s="122">
        <f t="shared" ca="1" si="25"/>
        <v>0</v>
      </c>
      <c r="BO23" s="124">
        <f t="shared" ca="1" si="26"/>
        <v>0</v>
      </c>
    </row>
    <row r="24" spans="2:67" ht="13.2" x14ac:dyDescent="0.25">
      <c r="B24" s="122" t="s">
        <v>4016</v>
      </c>
      <c r="C24" s="137">
        <f t="shared" ca="1" si="4"/>
        <v>310.9564955948905</v>
      </c>
      <c r="D24" s="138">
        <f t="shared" ca="1" si="27"/>
        <v>55.002147265491629</v>
      </c>
      <c r="E24" s="138">
        <f t="shared" ca="1" si="5"/>
        <v>184.97979132369565</v>
      </c>
      <c r="F24" s="137">
        <f t="shared" ca="1" si="6"/>
        <v>6.1013452500000005</v>
      </c>
      <c r="G24" s="138">
        <f t="shared" ca="1" si="7"/>
        <v>5.9902694775000027</v>
      </c>
      <c r="H24" s="100">
        <f t="shared" ca="1" si="8"/>
        <v>10.330780584547856</v>
      </c>
      <c r="I24" s="431">
        <f t="shared" ca="1" si="9"/>
        <v>1.8273138626409178</v>
      </c>
      <c r="J24" s="442">
        <f t="shared" ca="1" si="10"/>
        <v>6.1455080173985266</v>
      </c>
      <c r="K24" s="432">
        <f t="shared" ca="1" si="11"/>
        <v>0.20270250000000001</v>
      </c>
      <c r="L24" s="100">
        <f t="shared" ca="1" si="12"/>
        <v>0.19901227500000007</v>
      </c>
      <c r="M24" s="431"/>
      <c r="N24" s="100"/>
      <c r="O24" s="100"/>
      <c r="P24" s="100"/>
      <c r="Q24" s="100"/>
      <c r="R24" s="100"/>
      <c r="S24" s="100"/>
      <c r="T24" s="100"/>
      <c r="U24" s="432"/>
      <c r="V24" s="96">
        <v>7.8696450000000011</v>
      </c>
      <c r="W24" s="96">
        <v>0.67002600000000001</v>
      </c>
      <c r="X24" s="96">
        <v>3.1605000000000001E-2</v>
      </c>
      <c r="Y24" s="96">
        <v>16.845465000000004</v>
      </c>
      <c r="Z24" s="96">
        <v>3.6977850000000005</v>
      </c>
      <c r="AA24" s="96">
        <v>1.2642E-2</v>
      </c>
      <c r="AB24" s="96">
        <v>1.6497810000000002</v>
      </c>
      <c r="AC24" s="96">
        <v>0</v>
      </c>
      <c r="AD24" s="96">
        <v>0.80592750000000013</v>
      </c>
      <c r="AE24" s="420">
        <f t="shared" si="13"/>
        <v>3.158287650000001</v>
      </c>
      <c r="AF24">
        <v>0.05</v>
      </c>
      <c r="AG24" s="96">
        <v>30.1</v>
      </c>
      <c r="AH24" s="96">
        <f t="shared" si="14"/>
        <v>31.582876500000008</v>
      </c>
      <c r="AI24" s="39" t="s">
        <v>4448</v>
      </c>
      <c r="AJ24">
        <v>0.1</v>
      </c>
      <c r="AK24" s="421" t="s">
        <v>4165</v>
      </c>
      <c r="AL24">
        <f t="shared" ca="1" si="28"/>
        <v>237.97806480000006</v>
      </c>
      <c r="AM24">
        <f t="shared" ca="1" si="15"/>
        <v>21.429441558000001</v>
      </c>
      <c r="AN24">
        <f t="shared" ca="1" si="16"/>
        <v>1.0818391500000002</v>
      </c>
      <c r="AO24">
        <f t="shared" ca="1" si="17"/>
        <v>40.040374500000013</v>
      </c>
      <c r="AP24">
        <f t="shared" ca="1" si="18"/>
        <v>2.9714544486900007</v>
      </c>
      <c r="AQ24">
        <f t="shared" si="19"/>
        <v>5.5534499999999994E-2</v>
      </c>
      <c r="AR24">
        <f t="shared" si="20"/>
        <v>1.5679771700405402E-2</v>
      </c>
      <c r="AS24">
        <f t="shared" ca="1" si="21"/>
        <v>0</v>
      </c>
      <c r="AT24" s="124">
        <f t="shared" ca="1" si="22"/>
        <v>4.8258938700000007</v>
      </c>
      <c r="AU24">
        <f t="shared" ca="1" si="29"/>
        <v>27.497720076750007</v>
      </c>
      <c r="AV24">
        <f t="shared" ca="1" si="30"/>
        <v>3.4534145079000003</v>
      </c>
      <c r="AW24">
        <f t="shared" ca="1" si="31"/>
        <v>0.23053161075000003</v>
      </c>
      <c r="AX24">
        <f t="shared" ca="1" si="32"/>
        <v>18.530011500000008</v>
      </c>
      <c r="AY24">
        <f t="shared" ca="1" si="33"/>
        <v>0.46449525795180691</v>
      </c>
      <c r="AZ24">
        <f t="shared" si="34"/>
        <v>4.3840193939393944E-2</v>
      </c>
      <c r="BA24">
        <f t="shared" si="35"/>
        <v>1.5679771700405402E-2</v>
      </c>
      <c r="BB24">
        <f t="shared" ca="1" si="36"/>
        <v>0</v>
      </c>
      <c r="BC24">
        <f t="shared" ca="1" si="37"/>
        <v>2.2082413500000007</v>
      </c>
      <c r="BD24" s="122">
        <f t="shared" ca="1" si="38"/>
        <v>136.92928632258179</v>
      </c>
      <c r="BE24">
        <f t="shared" ca="1" si="39"/>
        <v>12.214358005858371</v>
      </c>
      <c r="BF24">
        <f t="shared" ca="1" si="40"/>
        <v>0.60996631254048916</v>
      </c>
      <c r="BG24">
        <f t="shared" ca="1" si="41"/>
        <v>28.062145995866732</v>
      </c>
      <c r="BH24">
        <f t="shared" ca="1" si="42"/>
        <v>1.7234315103370932</v>
      </c>
      <c r="BI24">
        <f t="shared" si="43"/>
        <v>2.8636045454545456E-2</v>
      </c>
      <c r="BJ24">
        <f t="shared" si="44"/>
        <v>1.5679771700405402E-2</v>
      </c>
      <c r="BK24">
        <f t="shared" ca="1" si="45"/>
        <v>0</v>
      </c>
      <c r="BL24" s="124">
        <f t="shared" ca="1" si="46"/>
        <v>2.8380743628562501</v>
      </c>
      <c r="BM24" s="161">
        <f t="shared" si="47"/>
        <v>2.5582129965000009</v>
      </c>
      <c r="BN24" s="122">
        <f t="shared" ca="1" si="25"/>
        <v>6.1013452500000005</v>
      </c>
      <c r="BO24" s="124">
        <f t="shared" ca="1" si="26"/>
        <v>5.9902694775000027</v>
      </c>
    </row>
    <row r="25" spans="2:67" ht="13.2" x14ac:dyDescent="0.25">
      <c r="B25" s="122" t="s">
        <v>4017</v>
      </c>
      <c r="C25" s="137">
        <f t="shared" ca="1" si="4"/>
        <v>111.46450816616185</v>
      </c>
      <c r="D25" s="138">
        <f t="shared" ca="1" si="27"/>
        <v>32.694778634904004</v>
      </c>
      <c r="E25" s="138">
        <f t="shared" ca="1" si="5"/>
        <v>68.338348205516226</v>
      </c>
      <c r="F25" s="137">
        <f t="shared" ca="1" si="6"/>
        <v>70.034579999999991</v>
      </c>
      <c r="G25" s="138">
        <f t="shared" ca="1" si="7"/>
        <v>68.759591492307706</v>
      </c>
      <c r="H25" s="100">
        <f t="shared" ca="1" si="8"/>
        <v>1.7978146478413202</v>
      </c>
      <c r="I25" s="431">
        <f t="shared" ca="1" si="9"/>
        <v>0.52733513927264519</v>
      </c>
      <c r="J25" s="442">
        <f t="shared" ca="1" si="10"/>
        <v>1.1022314226696166</v>
      </c>
      <c r="K25" s="432">
        <f t="shared" ca="1" si="11"/>
        <v>1.1295899999999999</v>
      </c>
      <c r="L25" s="100">
        <f t="shared" ca="1" si="12"/>
        <v>1.1090256692307694</v>
      </c>
      <c r="M25" s="431"/>
      <c r="N25" s="100"/>
      <c r="O25" s="100"/>
      <c r="P25" s="100"/>
      <c r="Q25" s="100"/>
      <c r="R25" s="100"/>
      <c r="S25" s="100"/>
      <c r="T25" s="100"/>
      <c r="U25" s="432"/>
      <c r="Z25">
        <f>(31.3+8.6+25.3)/100*AG25*(1+AF25)</f>
        <v>42.4452</v>
      </c>
      <c r="AB25">
        <f>(4.2+1.1+1+1.3)/100*AG25*(1+AF25)</f>
        <v>4.9476000000000004</v>
      </c>
      <c r="AC25">
        <f>27.3/100*AG25*(1+AF25)</f>
        <v>17.772300000000001</v>
      </c>
      <c r="AE25" s="420">
        <f t="shared" si="13"/>
        <v>6.5165100000000002</v>
      </c>
      <c r="AF25">
        <v>0.05</v>
      </c>
      <c r="AG25">
        <v>62</v>
      </c>
      <c r="AH25" s="96">
        <f t="shared" si="14"/>
        <v>65.165099999999995</v>
      </c>
      <c r="AI25" s="39" t="s">
        <v>2275</v>
      </c>
      <c r="AJ25">
        <v>0.1</v>
      </c>
      <c r="AK25" s="421" t="s">
        <v>4165</v>
      </c>
      <c r="AL25">
        <f t="shared" ca="1" si="28"/>
        <v>0</v>
      </c>
      <c r="AM25">
        <f t="shared" ca="1" si="15"/>
        <v>0</v>
      </c>
      <c r="AN25">
        <f t="shared" ca="1" si="16"/>
        <v>0</v>
      </c>
      <c r="AO25">
        <f t="shared" ca="1" si="17"/>
        <v>0</v>
      </c>
      <c r="AP25">
        <f t="shared" ca="1" si="18"/>
        <v>34.107980416800004</v>
      </c>
      <c r="AQ25">
        <f t="shared" si="19"/>
        <v>0</v>
      </c>
      <c r="AR25">
        <f t="shared" si="20"/>
        <v>4.7022749361840005E-2</v>
      </c>
      <c r="AS25">
        <f t="shared" ca="1" si="21"/>
        <v>72.031131900000005</v>
      </c>
      <c r="AT25" s="124">
        <f t="shared" ca="1" si="22"/>
        <v>0</v>
      </c>
      <c r="AU25">
        <f t="shared" ca="1" si="29"/>
        <v>0</v>
      </c>
      <c r="AV25">
        <f t="shared" ca="1" si="30"/>
        <v>0</v>
      </c>
      <c r="AW25">
        <f t="shared" ca="1" si="31"/>
        <v>0</v>
      </c>
      <c r="AX25">
        <f t="shared" ca="1" si="32"/>
        <v>0</v>
      </c>
      <c r="AY25">
        <f t="shared" ca="1" si="33"/>
        <v>5.3317307855421641</v>
      </c>
      <c r="AZ25">
        <f t="shared" si="34"/>
        <v>0</v>
      </c>
      <c r="BA25">
        <f t="shared" si="35"/>
        <v>4.7022749361840005E-2</v>
      </c>
      <c r="BB25">
        <f t="shared" ca="1" si="36"/>
        <v>22.037652000000001</v>
      </c>
      <c r="BC25">
        <f t="shared" ca="1" si="37"/>
        <v>0</v>
      </c>
      <c r="BD25" s="122">
        <f t="shared" ca="1" si="38"/>
        <v>0</v>
      </c>
      <c r="BE25">
        <f t="shared" ca="1" si="39"/>
        <v>0</v>
      </c>
      <c r="BF25">
        <f t="shared" ca="1" si="40"/>
        <v>0</v>
      </c>
      <c r="BG25">
        <f t="shared" ca="1" si="41"/>
        <v>0</v>
      </c>
      <c r="BH25">
        <f t="shared" ca="1" si="42"/>
        <v>19.782490096790369</v>
      </c>
      <c r="BI25">
        <f t="shared" si="43"/>
        <v>0</v>
      </c>
      <c r="BJ25">
        <f t="shared" si="44"/>
        <v>4.7022749361840005E-2</v>
      </c>
      <c r="BK25">
        <f t="shared" ca="1" si="45"/>
        <v>43.230462259364018</v>
      </c>
      <c r="BL25" s="124">
        <f t="shared" ca="1" si="46"/>
        <v>0</v>
      </c>
      <c r="BM25" s="161">
        <f t="shared" si="47"/>
        <v>5.2783731000000005</v>
      </c>
      <c r="BN25" s="122">
        <f t="shared" ca="1" si="25"/>
        <v>70.034579999999991</v>
      </c>
      <c r="BO25" s="124">
        <f t="shared" ca="1" si="26"/>
        <v>68.759591492307706</v>
      </c>
    </row>
    <row r="26" spans="2:67" ht="13.2" x14ac:dyDescent="0.25">
      <c r="B26" s="122" t="s">
        <v>4018</v>
      </c>
      <c r="C26" s="137">
        <f t="shared" ca="1" si="4"/>
        <v>379.62027051233463</v>
      </c>
      <c r="D26" s="138">
        <f t="shared" ca="1" si="27"/>
        <v>122.00291751233461</v>
      </c>
      <c r="E26" s="138">
        <f t="shared" ca="1" si="5"/>
        <v>231.20987195057927</v>
      </c>
      <c r="F26" s="137">
        <f t="shared" ca="1" si="6"/>
        <v>0</v>
      </c>
      <c r="G26" s="138">
        <f t="shared" ca="1" si="7"/>
        <v>0</v>
      </c>
      <c r="H26" s="100">
        <f t="shared" ca="1" si="8"/>
        <v>3.8736762297177001</v>
      </c>
      <c r="I26" s="431">
        <f t="shared" ca="1" si="9"/>
        <v>1.2449277297177002</v>
      </c>
      <c r="J26" s="443">
        <f t="shared" ca="1" si="10"/>
        <v>2.3592844076589721</v>
      </c>
      <c r="K26" s="432">
        <f t="shared" ca="1" si="11"/>
        <v>0</v>
      </c>
      <c r="L26" s="100">
        <f t="shared" ca="1" si="12"/>
        <v>0</v>
      </c>
      <c r="M26" s="431"/>
      <c r="N26" s="100"/>
      <c r="O26" s="100"/>
      <c r="P26" s="100"/>
      <c r="Q26" s="100"/>
      <c r="R26" s="100"/>
      <c r="S26" s="100"/>
      <c r="T26" s="100"/>
      <c r="U26" s="432"/>
      <c r="AB26">
        <f>(0.11*AG26)*(1+AF26)</f>
        <v>11.318999999999999</v>
      </c>
      <c r="AC26">
        <f>(0.89*AG26)*(1+AF26)</f>
        <v>91.581000000000003</v>
      </c>
      <c r="AE26" s="420">
        <f t="shared" si="13"/>
        <v>10.290000000000001</v>
      </c>
      <c r="AF26">
        <v>0.05</v>
      </c>
      <c r="AG26">
        <v>98</v>
      </c>
      <c r="AH26" s="96">
        <f t="shared" si="14"/>
        <v>102.9</v>
      </c>
      <c r="AI26" s="39" t="s">
        <v>2282</v>
      </c>
      <c r="AJ26">
        <v>0.1</v>
      </c>
      <c r="AK26" s="421" t="s">
        <v>4165</v>
      </c>
      <c r="AL26">
        <f t="shared" ca="1" si="28"/>
        <v>0</v>
      </c>
      <c r="AM26">
        <f t="shared" ca="1" si="15"/>
        <v>0</v>
      </c>
      <c r="AN26">
        <f t="shared" ca="1" si="16"/>
        <v>0</v>
      </c>
      <c r="AO26">
        <f t="shared" ca="1" si="17"/>
        <v>0</v>
      </c>
      <c r="AP26">
        <f t="shared" ca="1" si="18"/>
        <v>0</v>
      </c>
      <c r="AQ26">
        <f t="shared" si="19"/>
        <v>0</v>
      </c>
      <c r="AR26">
        <f t="shared" si="20"/>
        <v>0.10757751233459999</v>
      </c>
      <c r="AS26">
        <f t="shared" ca="1" si="21"/>
        <v>371.17779300000001</v>
      </c>
      <c r="AT26" s="124">
        <f t="shared" ca="1" si="22"/>
        <v>0</v>
      </c>
      <c r="AU26">
        <f t="shared" ca="1" si="29"/>
        <v>0</v>
      </c>
      <c r="AV26">
        <f t="shared" ca="1" si="30"/>
        <v>0</v>
      </c>
      <c r="AW26">
        <f t="shared" ca="1" si="31"/>
        <v>0</v>
      </c>
      <c r="AX26">
        <f t="shared" ca="1" si="32"/>
        <v>0</v>
      </c>
      <c r="AY26">
        <f t="shared" ca="1" si="33"/>
        <v>0</v>
      </c>
      <c r="AZ26">
        <f t="shared" si="34"/>
        <v>0</v>
      </c>
      <c r="BA26">
        <f t="shared" si="35"/>
        <v>0.10757751233459999</v>
      </c>
      <c r="BB26">
        <f t="shared" ca="1" si="36"/>
        <v>113.56044</v>
      </c>
      <c r="BC26">
        <f t="shared" ca="1" si="37"/>
        <v>0</v>
      </c>
      <c r="BD26" s="122">
        <f t="shared" ca="1" si="38"/>
        <v>0</v>
      </c>
      <c r="BE26">
        <f t="shared" ca="1" si="39"/>
        <v>0</v>
      </c>
      <c r="BF26">
        <f t="shared" ca="1" si="40"/>
        <v>0</v>
      </c>
      <c r="BG26">
        <f t="shared" ca="1" si="41"/>
        <v>0</v>
      </c>
      <c r="BH26">
        <f t="shared" ca="1" si="42"/>
        <v>0</v>
      </c>
      <c r="BI26">
        <f t="shared" si="43"/>
        <v>0</v>
      </c>
      <c r="BJ26">
        <f t="shared" si="44"/>
        <v>0.10757751233459999</v>
      </c>
      <c r="BK26">
        <f t="shared" ca="1" si="45"/>
        <v>222.76739443824468</v>
      </c>
      <c r="BL26" s="124">
        <f t="shared" ca="1" si="46"/>
        <v>0</v>
      </c>
      <c r="BM26" s="161">
        <f t="shared" si="47"/>
        <v>8.3349000000000011</v>
      </c>
      <c r="BN26" s="122">
        <f t="shared" ca="1" si="25"/>
        <v>0</v>
      </c>
      <c r="BO26" s="124">
        <f t="shared" ca="1" si="26"/>
        <v>0</v>
      </c>
    </row>
    <row r="27" spans="2:67" ht="13.2" x14ac:dyDescent="0.25">
      <c r="B27" s="125" t="s">
        <v>4019</v>
      </c>
      <c r="C27" s="139">
        <f t="shared" ca="1" si="4"/>
        <v>1592.1275454888</v>
      </c>
      <c r="D27" s="140">
        <f t="shared" ca="1" si="27"/>
        <v>282.77043747053426</v>
      </c>
      <c r="E27" s="140">
        <f t="shared" ca="1" si="5"/>
        <v>943.11705598251683</v>
      </c>
      <c r="F27" s="139">
        <f t="shared" ca="1" si="6"/>
        <v>26.77468949457074</v>
      </c>
      <c r="G27" s="140">
        <f t="shared" ca="1" si="7"/>
        <v>26.287252839669588</v>
      </c>
      <c r="H27" s="141">
        <f t="shared" ca="1" si="8"/>
        <v>9.7076888416193476</v>
      </c>
      <c r="I27" s="433">
        <f t="shared" ca="1" si="9"/>
        <v>1.7241378860320944</v>
      </c>
      <c r="J27" s="443">
        <f t="shared" ca="1" si="10"/>
        <v>5.7504732875477869</v>
      </c>
      <c r="K27" s="435">
        <f t="shared" ca="1" si="11"/>
        <v>0.16325347499999998</v>
      </c>
      <c r="L27" s="141">
        <f t="shared" ca="1" si="12"/>
        <v>0.16028142455769234</v>
      </c>
      <c r="M27" s="433"/>
      <c r="N27" s="434"/>
      <c r="O27" s="434"/>
      <c r="P27" s="434"/>
      <c r="Q27" s="434"/>
      <c r="R27" s="434"/>
      <c r="S27" s="434"/>
      <c r="T27" s="434"/>
      <c r="U27" s="435"/>
      <c r="V27" s="127">
        <f>0.23885*AG27*(1+AF27)</f>
        <v>41.13168993840489</v>
      </c>
      <c r="W27" s="127"/>
      <c r="X27" s="127"/>
      <c r="Y27" s="127">
        <f>0.32444*AG27*(1+AF27)</f>
        <v>55.870904264668546</v>
      </c>
      <c r="Z27" s="127">
        <f>0.09423*AG27*(1+AF27)</f>
        <v>16.227084542164086</v>
      </c>
      <c r="AA27" s="127"/>
      <c r="AB27" s="127">
        <f>(3.949+1.175+2.197+0.002+0.6)/100*AG27*(1+AF27)</f>
        <v>13.643976528448059</v>
      </c>
      <c r="AC27" s="127">
        <f>0.23327*AG27*(1+AF27)</f>
        <v>40.170773757302527</v>
      </c>
      <c r="AD27" s="127">
        <f>(0.001+2.486)/100*AG27*(1+AF27)</f>
        <v>4.2827930867411741</v>
      </c>
      <c r="AE27" s="422">
        <f t="shared" si="13"/>
        <v>17.132722211772929</v>
      </c>
      <c r="AF27" s="423">
        <v>0.05</v>
      </c>
      <c r="AG27" s="424">
        <f>2582.78/15.748</f>
        <v>164.00685801371606</v>
      </c>
      <c r="AH27" s="424">
        <f t="shared" si="14"/>
        <v>171.32722211772929</v>
      </c>
      <c r="AI27" s="425" t="s">
        <v>4451</v>
      </c>
      <c r="AJ27" s="423">
        <v>0.1</v>
      </c>
      <c r="AK27" s="426" t="s">
        <v>4165</v>
      </c>
      <c r="AL27" s="126">
        <f t="shared" ca="1" si="28"/>
        <v>1243.8223037373639</v>
      </c>
      <c r="AM27" s="126">
        <f t="shared" ca="1" si="15"/>
        <v>0</v>
      </c>
      <c r="AN27" s="126">
        <f t="shared" ca="1" si="16"/>
        <v>0</v>
      </c>
      <c r="AO27" s="126">
        <f t="shared" ca="1" si="17"/>
        <v>132.80084167525061</v>
      </c>
      <c r="AP27" s="126">
        <f t="shared" ca="1" si="18"/>
        <v>13.039709596983656</v>
      </c>
      <c r="AQ27" s="126">
        <f t="shared" si="19"/>
        <v>0</v>
      </c>
      <c r="AR27" s="126">
        <f t="shared" si="20"/>
        <v>0.12967444591236982</v>
      </c>
      <c r="AS27" s="126">
        <f t="shared" ca="1" si="21"/>
        <v>162.81214603834715</v>
      </c>
      <c r="AT27" s="142">
        <f t="shared" ca="1" si="22"/>
        <v>25.645365003406152</v>
      </c>
      <c r="AU27" s="126">
        <f t="shared" ca="1" si="29"/>
        <v>143.72029439827745</v>
      </c>
      <c r="AV27" s="126">
        <f t="shared" ca="1" si="30"/>
        <v>0</v>
      </c>
      <c r="AW27" s="126">
        <f t="shared" ca="1" si="31"/>
        <v>0</v>
      </c>
      <c r="AX27" s="126">
        <f t="shared" ca="1" si="32"/>
        <v>61.457994691135404</v>
      </c>
      <c r="AY27" s="126">
        <f t="shared" ca="1" si="33"/>
        <v>2.0383564269470194</v>
      </c>
      <c r="AZ27" s="126">
        <f t="shared" si="34"/>
        <v>0</v>
      </c>
      <c r="BA27" s="126">
        <f t="shared" si="35"/>
        <v>0.12967444591236982</v>
      </c>
      <c r="BB27" s="126">
        <f t="shared" ca="1" si="36"/>
        <v>49.811759459055132</v>
      </c>
      <c r="BC27" s="126">
        <f t="shared" ca="1" si="37"/>
        <v>11.734853057670819</v>
      </c>
      <c r="BD27" s="125">
        <f t="shared" ca="1" si="38"/>
        <v>715.67814666449362</v>
      </c>
      <c r="BE27" s="126">
        <f t="shared" ca="1" si="39"/>
        <v>0</v>
      </c>
      <c r="BF27" s="126">
        <f t="shared" ca="1" si="40"/>
        <v>0</v>
      </c>
      <c r="BG27" s="126">
        <f t="shared" ca="1" si="41"/>
        <v>93.072970820112218</v>
      </c>
      <c r="BH27" s="126">
        <f t="shared" ca="1" si="42"/>
        <v>7.5629785995858452</v>
      </c>
      <c r="BI27" s="126">
        <f t="shared" si="43"/>
        <v>0</v>
      </c>
      <c r="BJ27" s="126">
        <f t="shared" si="44"/>
        <v>0.12967444591236982</v>
      </c>
      <c r="BK27" s="126">
        <f t="shared" ca="1" si="45"/>
        <v>97.713921036923594</v>
      </c>
      <c r="BL27" s="142">
        <f t="shared" ca="1" si="46"/>
        <v>15.081859423953283</v>
      </c>
      <c r="BM27" s="202">
        <f t="shared" si="47"/>
        <v>13.877504991536073</v>
      </c>
      <c r="BN27" s="125">
        <f t="shared" ca="1" si="25"/>
        <v>26.77468949457074</v>
      </c>
      <c r="BO27" s="142">
        <f t="shared" ca="1" si="26"/>
        <v>26.287252839669588</v>
      </c>
    </row>
    <row r="30" spans="2:67" ht="13.2" x14ac:dyDescent="0.25">
      <c r="B30" s="361" t="s">
        <v>4452</v>
      </c>
      <c r="C30" s="362"/>
      <c r="D30" s="362"/>
      <c r="E30" s="362"/>
      <c r="F30" s="362"/>
      <c r="G30" s="362"/>
      <c r="H30" s="362"/>
      <c r="I30" s="362"/>
      <c r="J30" s="362"/>
      <c r="K30" s="362"/>
      <c r="L30" s="363"/>
      <c r="AH30" s="143"/>
    </row>
    <row r="31" spans="2:67" ht="52.8" x14ac:dyDescent="0.25">
      <c r="B31" s="161"/>
      <c r="C31" s="131" t="s">
        <v>180</v>
      </c>
      <c r="D31" s="151" t="s">
        <v>3991</v>
      </c>
      <c r="E31" s="151" t="s">
        <v>3992</v>
      </c>
      <c r="F31" s="151" t="s">
        <v>2512</v>
      </c>
      <c r="G31" s="151" t="s">
        <v>3509</v>
      </c>
      <c r="H31" s="151" t="s">
        <v>2318</v>
      </c>
      <c r="I31" s="151" t="s">
        <v>3468</v>
      </c>
      <c r="J31" s="151" t="s">
        <v>2967</v>
      </c>
      <c r="K31" s="151" t="s">
        <v>3913</v>
      </c>
      <c r="L31" s="152" t="s">
        <v>4453</v>
      </c>
    </row>
    <row r="32" spans="2:67" ht="13.2" x14ac:dyDescent="0.25">
      <c r="B32" s="440" t="str">
        <f>'EF Table_detail'!$Q$6</f>
        <v>Upfront carbon emission - Default (uncertainty adjusted) (kgCO2e/kg)</v>
      </c>
      <c r="C32" s="96">
        <f ca="1">INDEX('EF Table_detail'!$B$6:$Z$134,MATCH(C$31,'EF Table_detail'!$B$6:$B$134,0),MATCH($B32,'EF Table_detail'!$B$6:$Z$6,0))</f>
        <v>30.240000000000002</v>
      </c>
      <c r="D32" s="96">
        <f ca="1">INDEX('EF Table_detail'!$B$6:$Z$134,MATCH(D$31,'EF Table_detail'!$B$6:$B$134,0),MATCH($B32,'EF Table_detail'!$B$6:$Z$6,0))</f>
        <v>31.983000000000001</v>
      </c>
      <c r="E32" s="96">
        <f ca="1">INDEX('EF Table_detail'!$B$6:$Z$134,MATCH(E$31,'EF Table_detail'!$B$6:$B$134,0),MATCH($B32,'EF Table_detail'!$B$6:$Z$6,0))</f>
        <v>34.230000000000004</v>
      </c>
      <c r="F32" s="96">
        <f ca="1">INDEX('EF Table_detail'!$B$6:$Z$134,MATCH(F$31,'EF Table_detail'!$B$6:$B$134,0),MATCH($B32,'EF Table_detail'!$B$6:$Z$6,0))</f>
        <v>2.3769230769230769</v>
      </c>
      <c r="G32" s="96">
        <f ca="1">INDEX('EF Table_detail'!$B$6:$Z$134,MATCH(G$31,'EF Table_detail'!$B$6:$B$134,0),MATCH($B32,'EF Table_detail'!$B$6:$Z$6,0))</f>
        <v>0.8035768571428572</v>
      </c>
      <c r="H32" s="96">
        <f>EPDM!E18</f>
        <v>4.3928571428571423</v>
      </c>
      <c r="I32" s="96">
        <f>Thermal_break!E18</f>
        <v>9.5041533999999997E-3</v>
      </c>
      <c r="J32" s="96">
        <f ca="1">INDEX('EF Table_detail'!$B$6:$Z$134,MATCH(J$31,'EF Table_detail'!$B$6:$B$134,0),MATCH($B32,'EF Table_detail'!$B$6:$Z$6,0))</f>
        <v>5.9880000000000004</v>
      </c>
      <c r="K32" s="96">
        <f ca="1">INDEX('EF Table_detail'!$B$6:$Z$134,MATCH(K$31,'EF Table_detail'!$B$6:$B$134,0),MATCH($B32,'EF Table_detail'!$B$6:$Z$6,0))</f>
        <v>4.0529999999999999</v>
      </c>
      <c r="L32" s="124">
        <v>0.81</v>
      </c>
    </row>
    <row r="33" spans="2:22" ht="13.2" x14ac:dyDescent="0.25">
      <c r="B33" s="448" t="str">
        <f>'EF Table_detail'!$N$6</f>
        <v>Upfront carbon emission - Min (kgCO2e/kg)</v>
      </c>
      <c r="C33" s="96">
        <f ca="1">INDEX('EF Table_detail'!$B$6:$Z$134,MATCH(C$31,'EF Table_detail'!$B$6:$B$134,0),MATCH($B33,'EF Table_detail'!$B$6:$Z$6,0))</f>
        <v>3.4941500000000003</v>
      </c>
      <c r="D33" s="96">
        <f ca="1">INDEX('EF Table_detail'!$B$6:$Z$134,MATCH(D$31,'EF Table_detail'!$B$6:$B$134,0),MATCH($B33,'EF Table_detail'!$B$6:$Z$6,0))</f>
        <v>5.1541500000000005</v>
      </c>
      <c r="E33" s="96">
        <f ca="1">INDEX('EF Table_detail'!$B$6:$Z$134,MATCH(E$31,'EF Table_detail'!$B$6:$B$134,0),MATCH($B33,'EF Table_detail'!$B$6:$Z$6,0))</f>
        <v>7.294150000000001</v>
      </c>
      <c r="F33" s="96">
        <f ca="1">INDEX('EF Table_detail'!$B$6:$Z$134,MATCH(F$31,'EF Table_detail'!$B$6:$B$134,0),MATCH($B33,'EF Table_detail'!$B$6:$Z$6,0))</f>
        <v>1.1000000000000001</v>
      </c>
      <c r="G33" s="96">
        <f ca="1">INDEX('EF Table_detail'!$B$6:$Z$134,MATCH(G$31,'EF Table_detail'!$B$6:$B$134,0),MATCH($B33,'EF Table_detail'!$B$6:$Z$6,0))</f>
        <v>0.12561445783132519</v>
      </c>
      <c r="H33" s="96">
        <f>EPDM!E20</f>
        <v>3.4678210678210681</v>
      </c>
      <c r="I33" s="96">
        <f>Thermal_break!E20</f>
        <v>9.5041533999999997E-3</v>
      </c>
      <c r="J33" s="96">
        <f ca="1">INDEX('EF Table_detail'!$B$6:$Z$134,MATCH(J$31,'EF Table_detail'!$B$6:$B$134,0),MATCH($B33,'EF Table_detail'!$B$6:$Z$6,0))</f>
        <v>2.74</v>
      </c>
      <c r="K33" s="96">
        <f ca="1">INDEX('EF Table_detail'!$B$6:$Z$134,MATCH(K$31,'EF Table_detail'!$B$6:$B$134,0),MATCH($B33,'EF Table_detail'!$B$6:$Z$6,0))</f>
        <v>1.24</v>
      </c>
      <c r="L33" s="124">
        <v>0.81</v>
      </c>
    </row>
    <row r="34" spans="2:22" ht="13.2" x14ac:dyDescent="0.25">
      <c r="B34" s="449" t="s">
        <v>3871</v>
      </c>
      <c r="C34" s="96">
        <f ca="1">INDEX('EF Table_detail'!$B$6:$Z$134,MATCH(C$31,'EF Table_detail'!$B$6:$B$134,0),MATCH($B34,'EF Table_detail'!$B$6:$Z$6,0))</f>
        <v>17.399677663043477</v>
      </c>
      <c r="D34" s="96">
        <f ca="1">INDEX('EF Table_detail'!$B$6:$Z$134,MATCH(D$31,'EF Table_detail'!$B$6:$B$134,0),MATCH($B34,'EF Table_detail'!$B$6:$Z$6,0))</f>
        <v>18.229677663043478</v>
      </c>
      <c r="E34" s="96">
        <f ca="1">INDEX('EF Table_detail'!$B$6:$Z$134,MATCH(E$31,'EF Table_detail'!$B$6:$B$134,0),MATCH($B34,'EF Table_detail'!$B$6:$Z$6,0))</f>
        <v>19.299677663043479</v>
      </c>
      <c r="F34" s="96">
        <f ca="1">INDEX('EF Table_detail'!$B$6:$Z$134,MATCH(F$31,'EF Table_detail'!$B$6:$B$134,0),MATCH($B34,'EF Table_detail'!$B$6:$Z$6,0))</f>
        <v>1.6658576059412267</v>
      </c>
      <c r="G34" s="96">
        <f ca="1">INDEX('EF Table_detail'!$B$6:$Z$134,MATCH(G$31,'EF Table_detail'!$B$6:$B$134,0),MATCH($B34,'EF Table_detail'!$B$6:$Z$6,0))</f>
        <v>0.46607131305283916</v>
      </c>
      <c r="H34" s="96">
        <f>EPDM!E19</f>
        <v>2.2651515151515151</v>
      </c>
      <c r="I34" s="96">
        <f>Thermal_break!E19</f>
        <v>9.5041533999999997E-3</v>
      </c>
      <c r="J34" s="96">
        <f ca="1">INDEX('EF Table_detail'!$B$6:$Z$134,MATCH(J$31,'EF Table_detail'!$B$6:$B$134,0),MATCH($B34,'EF Table_detail'!$B$6:$Z$6,0))</f>
        <v>3.5215008333333331</v>
      </c>
      <c r="K34" s="96">
        <f ca="1">INDEX('EF Table_detail'!$B$6:$Z$134,MATCH(K$31,'EF Table_detail'!$B$6:$B$134,0),MATCH($B34,'EF Table_detail'!$B$6:$Z$6,0))</f>
        <v>2.4324630047525653</v>
      </c>
      <c r="L34" s="124">
        <v>0.81</v>
      </c>
    </row>
    <row r="35" spans="2:22" ht="13.2" x14ac:dyDescent="0.25">
      <c r="B35" s="449" t="s">
        <v>3881</v>
      </c>
      <c r="C35" s="96">
        <f ca="1">INDEX('EF Table_detail'!$B$6:$Z$134,MATCH(C$31,'EF Table_detail'!$B$6:$B$134,0),MATCH($B35,'EF Table_detail'!$B$6:$Z$6,0))</f>
        <v>0</v>
      </c>
      <c r="D35" s="96">
        <f ca="1">INDEX('EF Table_detail'!$B$6:$Z$134,MATCH(D$31,'EF Table_detail'!$B$6:$B$134,0),MATCH($B35,'EF Table_detail'!$B$6:$Z$6,0))</f>
        <v>0</v>
      </c>
      <c r="E35" s="96">
        <f ca="1">INDEX('EF Table_detail'!$B$6:$Z$134,MATCH(E$31,'EF Table_detail'!$B$6:$B$134,0),MATCH($B35,'EF Table_detail'!$B$6:$Z$6,0))</f>
        <v>0</v>
      </c>
      <c r="F35" s="96">
        <f ca="1">INDEX('EF Table_detail'!$B$6:$Z$134,MATCH(F$31,'EF Table_detail'!$B$6:$B$134,0),MATCH($B35,'EF Table_detail'!$B$6:$Z$6,0))</f>
        <v>0</v>
      </c>
      <c r="G35" s="96">
        <f ca="1">INDEX('EF Table_detail'!$B$6:$Z$134,MATCH(G$31,'EF Table_detail'!$B$6:$B$134,0),MATCH($B35,'EF Table_detail'!$B$6:$Z$6,0))</f>
        <v>1.65</v>
      </c>
      <c r="H35" s="96">
        <f>EPDM!G18</f>
        <v>0</v>
      </c>
      <c r="I35" s="96">
        <f>Thermal_break!G18</f>
        <v>0</v>
      </c>
      <c r="J35" s="96">
        <f ca="1">INDEX('EF Table_detail'!$B$6:$Z$134,MATCH(J$31,'EF Table_detail'!$B$6:$B$134,0),MATCH($B35,'EF Table_detail'!$B$6:$Z$6,0))</f>
        <v>0</v>
      </c>
      <c r="K35" s="96">
        <f ca="1">INDEX('EF Table_detail'!$B$6:$Z$134,MATCH(K$31,'EF Table_detail'!$B$6:$B$134,0),MATCH($B35,'EF Table_detail'!$B$6:$Z$6,0))</f>
        <v>0</v>
      </c>
      <c r="L35" s="124">
        <v>0</v>
      </c>
    </row>
    <row r="36" spans="2:22" ht="13.2" x14ac:dyDescent="0.25">
      <c r="B36" s="450" t="s">
        <v>3880</v>
      </c>
      <c r="C36" s="127">
        <f ca="1">INDEX('EF Table_detail'!$B$6:$Z$134,MATCH(C$31,'EF Table_detail'!$B$6:$B$134,0),MATCH($B36,'EF Table_detail'!$B$6:$Z$6,0))</f>
        <v>0</v>
      </c>
      <c r="D36" s="127">
        <f ca="1">INDEX('EF Table_detail'!$B$6:$Z$134,MATCH(D$31,'EF Table_detail'!$B$6:$B$134,0),MATCH($B36,'EF Table_detail'!$B$6:$Z$6,0))</f>
        <v>0</v>
      </c>
      <c r="E36" s="127">
        <f ca="1">INDEX('EF Table_detail'!$B$6:$Z$134,MATCH(E$31,'EF Table_detail'!$B$6:$B$134,0),MATCH($B36,'EF Table_detail'!$B$6:$Z$6,0))</f>
        <v>0</v>
      </c>
      <c r="F36" s="127">
        <f ca="1">INDEX('EF Table_detail'!$B$6:$Z$134,MATCH(F$31,'EF Table_detail'!$B$6:$B$134,0),MATCH($B36,'EF Table_detail'!$B$6:$Z$6,0))</f>
        <v>0</v>
      </c>
      <c r="G36" s="127">
        <f ca="1">INDEX('EF Table_detail'!$B$6:$Z$134,MATCH(G$31,'EF Table_detail'!$B$6:$B$134,0),MATCH($B36,'EF Table_detail'!$B$6:$Z$6,0))</f>
        <v>1.6199615384615389</v>
      </c>
      <c r="H36" s="127">
        <f>EPDM!G20</f>
        <v>0</v>
      </c>
      <c r="I36" s="127">
        <f>Thermal_break!G20</f>
        <v>0</v>
      </c>
      <c r="J36" s="127">
        <f ca="1">INDEX('EF Table_detail'!$B$6:$Z$134,MATCH(J$31,'EF Table_detail'!$B$6:$B$134,0),MATCH($B36,'EF Table_detail'!$B$6:$Z$6,0))</f>
        <v>0</v>
      </c>
      <c r="K36" s="127">
        <f ca="1">INDEX('EF Table_detail'!$B$6:$Z$134,MATCH(K$31,'EF Table_detail'!$B$6:$B$134,0),MATCH($B36,'EF Table_detail'!$B$6:$Z$6,0))</f>
        <v>0</v>
      </c>
      <c r="L36" s="142">
        <v>0</v>
      </c>
    </row>
    <row r="37" spans="2:22" ht="13.2" x14ac:dyDescent="0.25">
      <c r="C37" s="96"/>
      <c r="D37" s="96"/>
      <c r="E37" s="96"/>
      <c r="F37" s="96"/>
      <c r="G37" s="96"/>
      <c r="H37" s="96"/>
      <c r="I37" s="96"/>
      <c r="J37" s="96"/>
      <c r="K37" s="96"/>
      <c r="L37" s="96"/>
      <c r="M37" s="96"/>
      <c r="N37" s="96"/>
      <c r="O37" s="96"/>
      <c r="P37" s="96"/>
      <c r="Q37" s="96"/>
      <c r="R37" s="96"/>
      <c r="S37" s="96"/>
      <c r="T37" s="96"/>
      <c r="U37" s="96"/>
      <c r="V37" s="96"/>
    </row>
    <row r="40" spans="2:22" ht="13.2" x14ac:dyDescent="0.25"/>
  </sheetData>
  <mergeCells count="2">
    <mergeCell ref="H16:L16"/>
    <mergeCell ref="C16:G16"/>
  </mergeCells>
  <dataValidations disablePrompts="1" count="1">
    <dataValidation type="list" allowBlank="1" showInputMessage="1" showErrorMessage="1" sqref="B6:B8" xr:uid="{99C95743-A5D2-4017-874F-8BD30D88408A}">
      <formula1>"Tier 1,Tier 2,Tier 3,Tier 4"</formula1>
    </dataValidation>
  </dataValidations>
  <hyperlinks>
    <hyperlink ref="AI19" r:id="rId1" xr:uid="{FE319382-9520-4121-BAA6-D3999A1F81F1}"/>
    <hyperlink ref="AI23" r:id="rId2" xr:uid="{EAA0D6B6-40BB-423A-8E99-FF0F7125908E}"/>
    <hyperlink ref="AI20" r:id="rId3" xr:uid="{A6EA9338-3DBC-428D-A77E-8BD1A9E9BA88}"/>
    <hyperlink ref="AI24" r:id="rId4" xr:uid="{ECD6C89B-0137-42A6-BA16-698523A0ED82}"/>
    <hyperlink ref="AI26" r:id="rId5" xr:uid="{DC9C20FC-3CEB-4F25-A120-F5924BD35B97}"/>
    <hyperlink ref="AI25" r:id="rId6" xr:uid="{7C26B600-C03F-4346-85D4-5788D402B818}"/>
    <hyperlink ref="AI21" r:id="rId7" xr:uid="{7537F895-095A-40E6-95DC-F9B1EDFDCF45}"/>
    <hyperlink ref="AI22" r:id="rId8" xr:uid="{2FF179A6-5B35-45F4-BD31-9B2294E56E00}"/>
    <hyperlink ref="AI27" r:id="rId9" xr:uid="{D21471BE-CAC9-4F3F-8634-5D7B6AEE203F}"/>
  </hyperlinks>
  <pageMargins left="0.7" right="0.7" top="0.75" bottom="0.75" header="0.3" footer="0.3"/>
  <legacyDrawing r:id="rId10"/>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3529FE-266E-48E2-AC3B-46E1961D2B5A}">
  <sheetPr codeName="Sheet107">
    <tabColor theme="0"/>
  </sheetPr>
  <dimension ref="A1:I166"/>
  <sheetViews>
    <sheetView showGridLines="0" topLeftCell="A5" zoomScale="85" zoomScaleNormal="85" workbookViewId="0"/>
  </sheetViews>
  <sheetFormatPr defaultRowHeight="13.2" x14ac:dyDescent="0.25"/>
  <cols>
    <col min="1" max="1" width="26.109375" customWidth="1"/>
    <col min="2" max="2" width="128.88671875" style="122" customWidth="1"/>
    <col min="3" max="3" width="21" customWidth="1"/>
    <col min="4" max="6" width="19.88671875" style="96" customWidth="1"/>
    <col min="7" max="7" width="23.5546875" style="121" customWidth="1"/>
    <col min="8" max="8" width="14.44140625" customWidth="1"/>
    <col min="9" max="9" width="13.109375" customWidth="1"/>
  </cols>
  <sheetData>
    <row r="1" spans="1:7" ht="13.8" x14ac:dyDescent="0.25">
      <c r="A1" s="97" t="str" cm="1">
        <f t="array" aca="1" ref="A1" ca="1">_xlfn.TEXTAFTER(CELL("filename",A1),"]")</f>
        <v>EPDM</v>
      </c>
      <c r="B1"/>
      <c r="G1" s="96"/>
    </row>
    <row r="2" spans="1:7" ht="13.8" x14ac:dyDescent="0.25">
      <c r="A2" s="97"/>
      <c r="B2"/>
      <c r="C2" s="97"/>
      <c r="G2" s="96"/>
    </row>
    <row r="3" spans="1:7" ht="13.8" x14ac:dyDescent="0.25">
      <c r="A3" s="97" t="s">
        <v>4454</v>
      </c>
      <c r="B3"/>
      <c r="G3" s="96"/>
    </row>
    <row r="4" spans="1:7" ht="13.8" x14ac:dyDescent="0.25">
      <c r="A4" s="97"/>
      <c r="B4"/>
      <c r="G4" s="96"/>
    </row>
    <row r="5" spans="1:7" ht="92.25" customHeight="1" x14ac:dyDescent="0.25">
      <c r="A5" s="102" t="s">
        <v>93</v>
      </c>
      <c r="B5" s="14" t="s">
        <v>4455</v>
      </c>
      <c r="D5" s="14"/>
      <c r="E5" s="110"/>
      <c r="G5" s="96"/>
    </row>
    <row r="6" spans="1:7" ht="14.4" x14ac:dyDescent="0.25">
      <c r="A6" s="102" t="s">
        <v>4052</v>
      </c>
      <c r="B6" s="111"/>
      <c r="D6"/>
      <c r="G6" s="96"/>
    </row>
    <row r="7" spans="1:7" ht="14.4" x14ac:dyDescent="0.25">
      <c r="A7" s="102" t="s">
        <v>4053</v>
      </c>
      <c r="B7" s="111"/>
      <c r="G7" s="96"/>
    </row>
    <row r="8" spans="1:7" ht="14.4" x14ac:dyDescent="0.25">
      <c r="A8" s="102" t="s">
        <v>4054</v>
      </c>
      <c r="B8" s="111"/>
      <c r="G8" s="96"/>
    </row>
    <row r="9" spans="1:7" ht="13.8" x14ac:dyDescent="0.25">
      <c r="A9" s="102" t="s">
        <v>4055</v>
      </c>
      <c r="B9" s="97"/>
      <c r="G9" s="96"/>
    </row>
    <row r="10" spans="1:7" ht="13.8" x14ac:dyDescent="0.25">
      <c r="A10" s="102"/>
      <c r="B10" s="97"/>
      <c r="G10" s="96"/>
    </row>
    <row r="11" spans="1:7" ht="13.8" x14ac:dyDescent="0.25">
      <c r="A11" s="102" t="s">
        <v>4056</v>
      </c>
      <c r="B11" s="14"/>
      <c r="G11" s="96"/>
    </row>
    <row r="12" spans="1:7" x14ac:dyDescent="0.25">
      <c r="A12" s="101"/>
      <c r="B12"/>
      <c r="G12" s="96"/>
    </row>
    <row r="13" spans="1:7" x14ac:dyDescent="0.25">
      <c r="A13" s="101"/>
      <c r="B13"/>
      <c r="G13" s="96"/>
    </row>
    <row r="14" spans="1:7" ht="13.8" x14ac:dyDescent="0.25">
      <c r="A14" s="102" t="s">
        <v>4057</v>
      </c>
      <c r="B14"/>
      <c r="G14" s="96"/>
    </row>
    <row r="15" spans="1:7" ht="13.8" x14ac:dyDescent="0.25">
      <c r="A15" s="102"/>
      <c r="B15"/>
      <c r="D15" s="112" t="s">
        <v>4058</v>
      </c>
      <c r="E15" s="113"/>
      <c r="F15" s="114" t="s">
        <v>4059</v>
      </c>
      <c r="G15" s="113"/>
    </row>
    <row r="16" spans="1:7" ht="39.6" x14ac:dyDescent="0.25">
      <c r="B16" s="115" t="s">
        <v>2318</v>
      </c>
      <c r="C16" s="23" t="s">
        <v>4456</v>
      </c>
      <c r="D16" s="24" t="s">
        <v>4159</v>
      </c>
      <c r="E16" s="25" t="s">
        <v>148</v>
      </c>
      <c r="F16" s="24" t="s">
        <v>4160</v>
      </c>
      <c r="G16" s="24" t="s">
        <v>149</v>
      </c>
    </row>
    <row r="17" spans="2:9" ht="13.8" x14ac:dyDescent="0.25">
      <c r="B17" s="116"/>
      <c r="C17" s="117" t="s">
        <v>4060</v>
      </c>
      <c r="D17" s="118" t="str" cm="1">
        <f t="array" ref="D17">IF(AND(_xlfn.ANCHORARRAY(C23)=C23),C23,"Mixed")</f>
        <v/>
      </c>
      <c r="E17" s="118" t="s">
        <v>219</v>
      </c>
      <c r="F17" s="118" t="str" cm="1">
        <f t="array" ref="F17">IF(AND(_xlfn.ANCHORARRAY(C23)=C23),C23,"Mixed")</f>
        <v/>
      </c>
      <c r="G17" s="119" t="s">
        <v>219</v>
      </c>
    </row>
    <row r="18" spans="2:9" s="14" customFormat="1" ht="13.8" x14ac:dyDescent="0.25">
      <c r="B18" s="120"/>
      <c r="C18" s="97" t="s">
        <v>4061</v>
      </c>
      <c r="D18" s="96">
        <f>MAX(_xlfn.ANCHORARRAY(D23))</f>
        <v>0</v>
      </c>
      <c r="E18" s="96">
        <f t="shared" ref="E18:G18" si="0">MAX(_xlfn.ANCHORARRAY(E23))</f>
        <v>4.3928571428571423</v>
      </c>
      <c r="F18" s="96">
        <f t="shared" si="0"/>
        <v>0</v>
      </c>
      <c r="G18" s="121">
        <f t="shared" si="0"/>
        <v>0</v>
      </c>
      <c r="H18"/>
      <c r="I18"/>
    </row>
    <row r="19" spans="2:9" ht="13.8" x14ac:dyDescent="0.25">
      <c r="C19" s="97" t="s">
        <v>4062</v>
      </c>
      <c r="D19" s="96">
        <f>MIN(_xlfn.ANCHORARRAY(D23))</f>
        <v>0</v>
      </c>
      <c r="E19" s="96">
        <f t="shared" ref="E19:G19" si="1">MIN(_xlfn.ANCHORARRAY(E23))</f>
        <v>2.2651515151515151</v>
      </c>
      <c r="F19" s="96">
        <f t="shared" si="1"/>
        <v>0</v>
      </c>
      <c r="G19" s="121">
        <f t="shared" si="1"/>
        <v>0</v>
      </c>
    </row>
    <row r="20" spans="2:9" ht="13.8" x14ac:dyDescent="0.25">
      <c r="C20" s="97" t="s">
        <v>4063</v>
      </c>
      <c r="D20" s="96" t="e">
        <f>AVERAGE(_xlfn.ANCHORARRAY(D23))</f>
        <v>#DIV/0!</v>
      </c>
      <c r="E20" s="96">
        <f t="shared" ref="E20:G20" si="2">AVERAGE(_xlfn.ANCHORARRAY(E23))</f>
        <v>3.4678210678210681</v>
      </c>
      <c r="F20" s="96" t="e">
        <f t="shared" si="2"/>
        <v>#DIV/0!</v>
      </c>
      <c r="G20" s="121">
        <f t="shared" si="2"/>
        <v>0</v>
      </c>
    </row>
    <row r="21" spans="2:9" ht="13.8" x14ac:dyDescent="0.25">
      <c r="C21" s="97"/>
    </row>
    <row r="22" spans="2:9" ht="13.8" x14ac:dyDescent="0.25">
      <c r="B22" s="123" t="s">
        <v>4064</v>
      </c>
      <c r="D22"/>
      <c r="E22"/>
      <c r="F22"/>
      <c r="G22" s="124"/>
    </row>
    <row r="23" spans="2:9" x14ac:dyDescent="0.25">
      <c r="B23" s="122" t="str" cm="1">
        <f t="array" ref="B23:B25">_xlfn.UNIQUE(_xlfn._xlws.FILTER('EPD List'!D:D,ISNUMBER(SEARCH(B16,'EPD List'!C:C)),0))</f>
        <v>EPDM, , Vi-Pro EPDM Membrane external (Proventuss Polska) (Global)</v>
      </c>
      <c r="C23" t="str" cm="1">
        <f t="array" ref="C23:C25">_xlfn.IFNA(INDEX('EPD List'!$A:$AB,MATCH(_xlfn.ANCHORARRAY(B23),'EPD List'!$D:$D,0),MATCH(C$16,'EPD List'!$7:$7,0)),"")</f>
        <v/>
      </c>
      <c r="D23" s="96" t="str" cm="1">
        <f t="array" ref="D23:D25">_xlfn.IFNA(VALUE((INDEX('EPD List'!$A:$AD,MATCH(_xlfn.ANCHORARRAY($B23),'EPD List'!$D:$D,0),MATCH(D$16,'EPD List'!$7:$7,0)))),"")</f>
        <v/>
      </c>
      <c r="E23" s="96" cm="1">
        <f t="array" ref="E23:E25">IFERROR(VALUE((INDEX('EPD List'!$A:$AD,MATCH(_xlfn.ANCHORARRAY($B23),'EPD List'!$D:$D,0),MATCH(E$16,'EPD List'!$7:$7,0)))),"")</f>
        <v>3.7454545454545456</v>
      </c>
      <c r="F23" s="96" t="str" cm="1">
        <f t="array" ref="F23:F25">_xlfn.IFNA(VALUE((INDEX('EPD List'!$A:$AD,MATCH(_xlfn.ANCHORARRAY($B23),'EPD List'!$D:$D,0),MATCH(F$16,'EPD List'!$7:$7,0)))),"")</f>
        <v/>
      </c>
      <c r="G23" s="121" cm="1">
        <f t="array" ref="G23:G25">IFERROR(VALUE((INDEX('EPD List'!$A:$AD,MATCH(_xlfn.ANCHORARRAY($B23),'EPD List'!$D:$D,0),MATCH(G$16,'EPD List'!$7:$7,0)))),"")</f>
        <v>0</v>
      </c>
    </row>
    <row r="24" spans="2:9" x14ac:dyDescent="0.25">
      <c r="B24" s="122" t="str">
        <v>EPDM, , EPDM Membrane (TRC) (Global)</v>
      </c>
      <c r="C24" t="str">
        <v/>
      </c>
      <c r="D24" s="96" t="str">
        <v/>
      </c>
      <c r="E24" s="96">
        <v>2.2651515151515151</v>
      </c>
      <c r="F24" s="96" t="str">
        <v/>
      </c>
      <c r="G24" s="121">
        <v>0</v>
      </c>
    </row>
    <row r="25" spans="2:9" x14ac:dyDescent="0.25">
      <c r="B25" s="122" t="str">
        <v>EPDM, , EPDM Roofing and waterproofing membranes (Alwitra) (Global)</v>
      </c>
      <c r="C25" t="str">
        <v/>
      </c>
      <c r="D25" s="96" t="str">
        <v/>
      </c>
      <c r="E25" s="96">
        <v>4.3928571428571423</v>
      </c>
      <c r="F25" s="96" t="str">
        <v/>
      </c>
      <c r="G25" s="121">
        <v>0</v>
      </c>
    </row>
    <row r="90" spans="9:9" x14ac:dyDescent="0.25">
      <c r="I90" s="96"/>
    </row>
    <row r="166" spans="2:7" x14ac:dyDescent="0.25">
      <c r="B166" s="125"/>
      <c r="C166" s="126"/>
      <c r="D166" s="127"/>
      <c r="E166" s="127"/>
      <c r="F166" s="127"/>
      <c r="G166" s="128"/>
    </row>
  </sheetData>
  <dataValidations count="1">
    <dataValidation type="list" allowBlank="1" showInputMessage="1" showErrorMessage="1" sqref="B6:B9" xr:uid="{5D3D92F2-B652-479E-9757-5F8A18E6B2BD}">
      <formula1>"Tier 1,Tier 2,Tier 3,Tier 4"</formula1>
    </dataValidation>
  </dataValidations>
  <pageMargins left="0.7" right="0.7" top="0.75" bottom="0.75"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F1C1AA-0957-45E6-91C2-57D8D1032574}">
  <sheetPr codeName="Sheet108">
    <tabColor theme="0"/>
  </sheetPr>
  <dimension ref="A1:I166"/>
  <sheetViews>
    <sheetView showGridLines="0" topLeftCell="A4" workbookViewId="0"/>
  </sheetViews>
  <sheetFormatPr defaultRowHeight="13.2" x14ac:dyDescent="0.25"/>
  <cols>
    <col min="1" max="1" width="26.109375" customWidth="1"/>
    <col min="2" max="2" width="128.88671875" style="122" customWidth="1"/>
    <col min="3" max="3" width="21" customWidth="1"/>
    <col min="4" max="6" width="19.88671875" style="96" customWidth="1"/>
    <col min="7" max="7" width="23.5546875" style="121" customWidth="1"/>
    <col min="8" max="8" width="14.44140625" customWidth="1"/>
    <col min="9" max="9" width="13.109375" customWidth="1"/>
  </cols>
  <sheetData>
    <row r="1" spans="1:7" ht="13.8" x14ac:dyDescent="0.25">
      <c r="A1" s="97" t="str" cm="1">
        <f t="array" aca="1" ref="A1" ca="1">_xlfn.TEXTAFTER(CELL("filename",A1),"]")</f>
        <v>Thermal_break</v>
      </c>
      <c r="B1"/>
      <c r="G1" s="96"/>
    </row>
    <row r="2" spans="1:7" ht="13.8" x14ac:dyDescent="0.25">
      <c r="A2" s="97"/>
      <c r="B2"/>
      <c r="C2" s="97"/>
      <c r="G2" s="96"/>
    </row>
    <row r="3" spans="1:7" ht="13.8" x14ac:dyDescent="0.25">
      <c r="A3" s="97" t="s">
        <v>4454</v>
      </c>
      <c r="B3"/>
      <c r="G3" s="96"/>
    </row>
    <row r="4" spans="1:7" ht="13.8" x14ac:dyDescent="0.25">
      <c r="A4" s="97"/>
      <c r="B4"/>
      <c r="G4" s="96"/>
    </row>
    <row r="5" spans="1:7" ht="92.25" customHeight="1" x14ac:dyDescent="0.25">
      <c r="A5" s="102" t="s">
        <v>93</v>
      </c>
      <c r="B5" s="14" t="s">
        <v>4455</v>
      </c>
      <c r="D5" s="14"/>
      <c r="E5" s="110"/>
      <c r="G5" s="96"/>
    </row>
    <row r="6" spans="1:7" ht="14.4" x14ac:dyDescent="0.25">
      <c r="A6" s="102" t="s">
        <v>4052</v>
      </c>
      <c r="B6" s="111"/>
      <c r="D6"/>
      <c r="G6" s="96"/>
    </row>
    <row r="7" spans="1:7" ht="14.4" x14ac:dyDescent="0.25">
      <c r="A7" s="102" t="s">
        <v>4053</v>
      </c>
      <c r="B7" s="111"/>
      <c r="G7" s="96"/>
    </row>
    <row r="8" spans="1:7" ht="14.4" x14ac:dyDescent="0.25">
      <c r="A8" s="102" t="s">
        <v>4054</v>
      </c>
      <c r="B8" s="111"/>
      <c r="G8" s="96"/>
    </row>
    <row r="9" spans="1:7" ht="13.8" x14ac:dyDescent="0.25">
      <c r="A9" s="102" t="s">
        <v>4055</v>
      </c>
      <c r="B9" s="97"/>
      <c r="G9" s="96"/>
    </row>
    <row r="10" spans="1:7" ht="13.8" x14ac:dyDescent="0.25">
      <c r="A10" s="102"/>
      <c r="B10" s="97"/>
      <c r="G10" s="96"/>
    </row>
    <row r="11" spans="1:7" ht="13.8" x14ac:dyDescent="0.25">
      <c r="A11" s="102" t="s">
        <v>4056</v>
      </c>
      <c r="B11" s="14"/>
      <c r="G11" s="96"/>
    </row>
    <row r="12" spans="1:7" x14ac:dyDescent="0.25">
      <c r="A12" s="101"/>
      <c r="B12"/>
      <c r="G12" s="96"/>
    </row>
    <row r="13" spans="1:7" x14ac:dyDescent="0.25">
      <c r="A13" s="101"/>
      <c r="B13"/>
      <c r="G13" s="96"/>
    </row>
    <row r="14" spans="1:7" ht="13.8" x14ac:dyDescent="0.25">
      <c r="A14" s="102" t="s">
        <v>4057</v>
      </c>
      <c r="B14"/>
      <c r="G14" s="96"/>
    </row>
    <row r="15" spans="1:7" ht="13.8" x14ac:dyDescent="0.25">
      <c r="A15" s="102"/>
      <c r="B15"/>
      <c r="D15" s="112" t="s">
        <v>4058</v>
      </c>
      <c r="E15" s="113"/>
      <c r="F15" s="114" t="s">
        <v>4059</v>
      </c>
      <c r="G15" s="113"/>
    </row>
    <row r="16" spans="1:7" ht="39.6" x14ac:dyDescent="0.25">
      <c r="B16" s="115" t="s">
        <v>4457</v>
      </c>
      <c r="C16" s="23" t="s">
        <v>4456</v>
      </c>
      <c r="D16" s="24" t="s">
        <v>4159</v>
      </c>
      <c r="E16" s="25" t="s">
        <v>148</v>
      </c>
      <c r="F16" s="24" t="s">
        <v>4160</v>
      </c>
      <c r="G16" s="24" t="s">
        <v>149</v>
      </c>
    </row>
    <row r="17" spans="2:9" ht="13.8" x14ac:dyDescent="0.25">
      <c r="B17" s="116"/>
      <c r="C17" s="117" t="s">
        <v>4060</v>
      </c>
      <c r="D17" s="118" t="str" cm="1">
        <f t="array" ref="D17">IF(AND(_xlfn.ANCHORARRAY(C23)=C23),C23,"Mixed")</f>
        <v/>
      </c>
      <c r="E17" s="118" t="s">
        <v>219</v>
      </c>
      <c r="F17" s="118" t="str" cm="1">
        <f t="array" ref="F17">IF(AND(_xlfn.ANCHORARRAY(C23)=C23),C23,"Mixed")</f>
        <v/>
      </c>
      <c r="G17" s="119" t="s">
        <v>219</v>
      </c>
    </row>
    <row r="18" spans="2:9" s="14" customFormat="1" ht="13.8" x14ac:dyDescent="0.25">
      <c r="B18" s="120"/>
      <c r="C18" s="97" t="s">
        <v>4061</v>
      </c>
      <c r="D18" s="96">
        <f>MAX(_xlfn.ANCHORARRAY(D23))</f>
        <v>0</v>
      </c>
      <c r="E18" s="96">
        <f t="shared" ref="E18:G18" si="0">MAX(_xlfn.ANCHORARRAY(E23))</f>
        <v>9.5041533999999997E-3</v>
      </c>
      <c r="F18" s="96">
        <f t="shared" si="0"/>
        <v>0</v>
      </c>
      <c r="G18" s="121">
        <f t="shared" si="0"/>
        <v>0</v>
      </c>
      <c r="H18"/>
      <c r="I18"/>
    </row>
    <row r="19" spans="2:9" ht="13.8" x14ac:dyDescent="0.25">
      <c r="C19" s="97" t="s">
        <v>4062</v>
      </c>
      <c r="D19" s="96">
        <f>MIN(_xlfn.ANCHORARRAY(D23))</f>
        <v>0</v>
      </c>
      <c r="E19" s="96">
        <f t="shared" ref="E19:G19" si="1">MIN(_xlfn.ANCHORARRAY(E23))</f>
        <v>9.5041533999999997E-3</v>
      </c>
      <c r="F19" s="96">
        <f t="shared" si="1"/>
        <v>0</v>
      </c>
      <c r="G19" s="121">
        <f t="shared" si="1"/>
        <v>0</v>
      </c>
    </row>
    <row r="20" spans="2:9" ht="13.8" x14ac:dyDescent="0.25">
      <c r="C20" s="97" t="s">
        <v>4063</v>
      </c>
      <c r="D20" s="96" t="e">
        <f>AVERAGE(_xlfn.ANCHORARRAY(D23))</f>
        <v>#DIV/0!</v>
      </c>
      <c r="E20" s="96">
        <f t="shared" ref="E20:G20" si="2">AVERAGE(_xlfn.ANCHORARRAY(E23))</f>
        <v>9.5041533999999997E-3</v>
      </c>
      <c r="F20" s="96" t="e">
        <f t="shared" si="2"/>
        <v>#DIV/0!</v>
      </c>
      <c r="G20" s="121">
        <f t="shared" si="2"/>
        <v>0</v>
      </c>
    </row>
    <row r="21" spans="2:9" ht="13.8" x14ac:dyDescent="0.25">
      <c r="C21" s="97"/>
    </row>
    <row r="22" spans="2:9" ht="13.8" x14ac:dyDescent="0.25">
      <c r="B22" s="123" t="s">
        <v>4064</v>
      </c>
      <c r="D22"/>
      <c r="E22"/>
      <c r="F22"/>
      <c r="G22" s="124"/>
    </row>
    <row r="23" spans="2:9" x14ac:dyDescent="0.25">
      <c r="B23" s="122" t="str" cm="1">
        <f t="array" ref="B23">_xlfn.UNIQUE(_xlfn._xlws.FILTER('EPD List'!D:D,ISNUMBER(SEARCH(B16,'EPD List'!C:C)),0))</f>
        <v>Thermal break, , Warm Edge Spacer SP12, SP13, SP14 (Technoform) (Global)</v>
      </c>
      <c r="C23" t="str" cm="1">
        <f t="array" ref="C23">_xlfn.IFNA(INDEX('EPD List'!$A:$AB,MATCH(_xlfn.ANCHORARRAY(B23),'EPD List'!$D:$D,0),MATCH(C$16,'EPD List'!$7:$7,0)),"")</f>
        <v/>
      </c>
      <c r="D23" s="96" t="str" cm="1">
        <f t="array" ref="D23">_xlfn.IFNA(VALUE((INDEX('EPD List'!$A:$AD,MATCH(_xlfn.ANCHORARRAY($B23),'EPD List'!$D:$D,0),MATCH(D$16,'EPD List'!$7:$7,0)))),"")</f>
        <v/>
      </c>
      <c r="E23" s="96" cm="1">
        <f t="array" ref="E23">IFERROR(VALUE((INDEX('EPD List'!$A:$AD,MATCH(_xlfn.ANCHORARRAY($B23),'EPD List'!$D:$D,0),MATCH(E$16,'EPD List'!$7:$7,0)))),"")</f>
        <v>9.5041533999999997E-3</v>
      </c>
      <c r="F23" s="96" t="str" cm="1">
        <f t="array" ref="F23">_xlfn.IFNA(VALUE((INDEX('EPD List'!$A:$AD,MATCH(_xlfn.ANCHORARRAY($B23),'EPD List'!$D:$D,0),MATCH(F$16,'EPD List'!$7:$7,0)))),"")</f>
        <v/>
      </c>
      <c r="G23" s="121" cm="1">
        <f t="array" ref="G23">IFERROR(VALUE((INDEX('EPD List'!$A:$AD,MATCH(_xlfn.ANCHORARRAY($B23),'EPD List'!$D:$D,0),MATCH(G$16,'EPD List'!$7:$7,0)))),"")</f>
        <v>0</v>
      </c>
    </row>
    <row r="90" spans="9:9" x14ac:dyDescent="0.25">
      <c r="I90" s="96"/>
    </row>
    <row r="166" spans="2:7" x14ac:dyDescent="0.25">
      <c r="B166" s="125"/>
      <c r="C166" s="126"/>
      <c r="D166" s="127"/>
      <c r="E166" s="127"/>
      <c r="F166" s="127"/>
      <c r="G166" s="128"/>
    </row>
  </sheetData>
  <dataValidations count="1">
    <dataValidation type="list" allowBlank="1" showInputMessage="1" showErrorMessage="1" sqref="B6:B9" xr:uid="{4B7AF593-ECA0-406E-845B-1618184F064C}">
      <formula1>"Tier 1,Tier 2,Tier 3,Tier 4"</formula1>
    </dataValidation>
  </dataValidations>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F73EE9-2FD1-4BA8-9E73-0668A5695A4B}">
  <sheetPr codeName="Sheet106">
    <tabColor theme="0"/>
  </sheetPr>
  <dimension ref="A1:I166"/>
  <sheetViews>
    <sheetView showGridLines="0" zoomScale="85" zoomScaleNormal="85" workbookViewId="0"/>
  </sheetViews>
  <sheetFormatPr defaultRowHeight="13.2" x14ac:dyDescent="0.25"/>
  <cols>
    <col min="1" max="1" width="26.109375" customWidth="1"/>
    <col min="2" max="2" width="128.88671875" style="122" customWidth="1"/>
    <col min="3" max="3" width="21" customWidth="1"/>
    <col min="4" max="6" width="19.88671875" style="96" customWidth="1"/>
    <col min="7" max="7" width="23.5546875" style="121" customWidth="1"/>
    <col min="8" max="8" width="14.44140625" customWidth="1"/>
    <col min="9" max="9" width="13.109375" customWidth="1"/>
  </cols>
  <sheetData>
    <row r="1" spans="1:7" x14ac:dyDescent="0.25">
      <c r="A1" s="4" t="str" cm="1">
        <f t="array" aca="1" ref="A1" ca="1">_xlfn.TEXTAFTER(CELL("filename",A1),"]")</f>
        <v>Insulation</v>
      </c>
      <c r="B1"/>
      <c r="G1" s="96"/>
    </row>
    <row r="2" spans="1:7" x14ac:dyDescent="0.25">
      <c r="A2" s="4"/>
      <c r="B2"/>
      <c r="C2" s="4"/>
      <c r="G2" s="96"/>
    </row>
    <row r="3" spans="1:7" x14ac:dyDescent="0.25">
      <c r="A3" s="4" t="s">
        <v>4454</v>
      </c>
      <c r="B3"/>
      <c r="G3" s="96"/>
    </row>
    <row r="4" spans="1:7" x14ac:dyDescent="0.25">
      <c r="A4" s="4"/>
      <c r="B4"/>
      <c r="G4" s="96"/>
    </row>
    <row r="5" spans="1:7" ht="92.25" customHeight="1" x14ac:dyDescent="0.25">
      <c r="A5" s="26" t="s">
        <v>93</v>
      </c>
      <c r="B5" s="14" t="s">
        <v>4455</v>
      </c>
      <c r="D5" s="14"/>
      <c r="E5" s="43"/>
      <c r="G5" s="96"/>
    </row>
    <row r="6" spans="1:7" x14ac:dyDescent="0.25">
      <c r="A6" s="26" t="s">
        <v>4052</v>
      </c>
      <c r="B6" s="27"/>
      <c r="D6"/>
      <c r="G6" s="96"/>
    </row>
    <row r="7" spans="1:7" x14ac:dyDescent="0.25">
      <c r="A7" s="26" t="s">
        <v>4053</v>
      </c>
      <c r="B7" s="27"/>
      <c r="G7" s="96"/>
    </row>
    <row r="8" spans="1:7" x14ac:dyDescent="0.25">
      <c r="A8" s="26" t="s">
        <v>4054</v>
      </c>
      <c r="B8" s="27"/>
      <c r="G8" s="96"/>
    </row>
    <row r="9" spans="1:7" x14ac:dyDescent="0.25">
      <c r="A9" s="26" t="s">
        <v>4055</v>
      </c>
      <c r="B9" s="4"/>
      <c r="G9" s="96"/>
    </row>
    <row r="10" spans="1:7" x14ac:dyDescent="0.25">
      <c r="A10" s="26"/>
      <c r="B10" s="4"/>
      <c r="G10" s="96"/>
    </row>
    <row r="11" spans="1:7" x14ac:dyDescent="0.25">
      <c r="A11" s="26" t="s">
        <v>4056</v>
      </c>
      <c r="B11" s="14"/>
      <c r="G11" s="96"/>
    </row>
    <row r="12" spans="1:7" x14ac:dyDescent="0.25">
      <c r="A12" s="101"/>
      <c r="B12"/>
      <c r="G12" s="96"/>
    </row>
    <row r="13" spans="1:7" x14ac:dyDescent="0.25">
      <c r="A13" s="101"/>
      <c r="B13"/>
      <c r="G13" s="96"/>
    </row>
    <row r="14" spans="1:7" x14ac:dyDescent="0.25">
      <c r="A14" s="26" t="s">
        <v>4057</v>
      </c>
      <c r="B14"/>
      <c r="G14" s="96"/>
    </row>
    <row r="15" spans="1:7" x14ac:dyDescent="0.25">
      <c r="A15" s="26"/>
      <c r="B15"/>
      <c r="D15" s="112" t="s">
        <v>4058</v>
      </c>
      <c r="E15" s="113"/>
      <c r="F15" s="114" t="s">
        <v>4059</v>
      </c>
      <c r="G15" s="113"/>
    </row>
    <row r="16" spans="1:7" ht="39.6" x14ac:dyDescent="0.25">
      <c r="B16" s="28" t="s">
        <v>2621</v>
      </c>
      <c r="C16" s="23" t="s">
        <v>4456</v>
      </c>
      <c r="D16" s="24" t="s">
        <v>4159</v>
      </c>
      <c r="E16" s="25" t="s">
        <v>148</v>
      </c>
      <c r="F16" s="24" t="s">
        <v>4160</v>
      </c>
      <c r="G16" s="24" t="s">
        <v>149</v>
      </c>
    </row>
    <row r="17" spans="2:9" x14ac:dyDescent="0.25">
      <c r="B17" s="29"/>
      <c r="C17" s="30" t="s">
        <v>4060</v>
      </c>
      <c r="D17" s="118" t="str" cm="1">
        <f t="array" ref="D17">IF(AND(_xlfn.ANCHORARRAY(C23)=C23),C23,"Mixed")</f>
        <v/>
      </c>
      <c r="E17" s="118" t="s">
        <v>219</v>
      </c>
      <c r="F17" s="118" t="str" cm="1">
        <f t="array" ref="F17">IF(AND(_xlfn.ANCHORARRAY(C23)=C23),C23,"Mixed")</f>
        <v/>
      </c>
      <c r="G17" s="119" t="s">
        <v>219</v>
      </c>
    </row>
    <row r="18" spans="2:9" s="14" customFormat="1" x14ac:dyDescent="0.25">
      <c r="B18" s="31"/>
      <c r="C18" s="4" t="s">
        <v>4061</v>
      </c>
      <c r="D18" s="96">
        <f>MAX(_xlfn.ANCHORARRAY(D23))</f>
        <v>0</v>
      </c>
      <c r="E18" s="96">
        <f t="shared" ref="E18:G18" si="0">MAX(_xlfn.ANCHORARRAY(E23))</f>
        <v>4.74</v>
      </c>
      <c r="F18" s="96">
        <f t="shared" si="0"/>
        <v>0</v>
      </c>
      <c r="G18" s="121">
        <f t="shared" si="0"/>
        <v>0</v>
      </c>
      <c r="H18"/>
      <c r="I18"/>
    </row>
    <row r="19" spans="2:9" x14ac:dyDescent="0.25">
      <c r="C19" s="4" t="s">
        <v>4062</v>
      </c>
      <c r="D19" s="96">
        <f>MIN(_xlfn.ANCHORARRAY(D23))</f>
        <v>0</v>
      </c>
      <c r="E19" s="96">
        <f t="shared" ref="E19:G19" si="1">MIN(_xlfn.ANCHORARRAY(E23))</f>
        <v>2.4300000000000002</v>
      </c>
      <c r="F19" s="96">
        <f t="shared" si="1"/>
        <v>0</v>
      </c>
      <c r="G19" s="121">
        <f t="shared" si="1"/>
        <v>0</v>
      </c>
    </row>
    <row r="20" spans="2:9" x14ac:dyDescent="0.25">
      <c r="C20" s="4" t="s">
        <v>4063</v>
      </c>
      <c r="D20" s="96" t="e">
        <f>AVERAGE(_xlfn.ANCHORARRAY(D23))</f>
        <v>#DIV/0!</v>
      </c>
      <c r="E20" s="96">
        <f t="shared" ref="E20:G20" si="2">AVERAGE(_xlfn.ANCHORARRAY(E23))</f>
        <v>3.6474999999999991</v>
      </c>
      <c r="F20" s="96" t="e">
        <f t="shared" si="2"/>
        <v>#DIV/0!</v>
      </c>
      <c r="G20" s="121">
        <f t="shared" si="2"/>
        <v>0</v>
      </c>
    </row>
    <row r="21" spans="2:9" x14ac:dyDescent="0.25">
      <c r="C21" s="4"/>
    </row>
    <row r="22" spans="2:9" x14ac:dyDescent="0.25">
      <c r="B22" s="32" t="s">
        <v>4064</v>
      </c>
      <c r="D22"/>
      <c r="E22"/>
      <c r="F22"/>
      <c r="G22" s="124"/>
    </row>
    <row r="23" spans="2:9" x14ac:dyDescent="0.25">
      <c r="B23" s="122" t="str" cm="1">
        <f t="array" ref="B23:B94">_xlfn.UNIQUE(_xlfn._xlws.FILTER('EPD List'!D:D,ISNUMBER(SEARCH(B16,'EPD List'!A:A)),0))</f>
        <v>Insulation decorative/acoustic, , dECO Baffle Platform 26mm Black  (CSR Martini)</v>
      </c>
      <c r="C23" t="str" cm="1">
        <f t="array" ref="C23:C94">_xlfn.IFNA(INDEX('EPD List'!$A:$AB,MATCH(_xlfn.ANCHORARRAY(B23),'EPD List'!$D:$D,0),MATCH(C$16,'EPD List'!$7:$7,0)),"")</f>
        <v/>
      </c>
      <c r="D23" s="96" t="str" cm="1">
        <f t="array" ref="D23:D94">_xlfn.IFNA(VALUE((INDEX('EPD List'!$A:$AD,MATCH(_xlfn.ANCHORARRAY($B23),'EPD List'!$D:$D,0),MATCH(D$16,'EPD List'!$7:$7,0)))),"")</f>
        <v/>
      </c>
      <c r="E23" s="96" cm="1">
        <f t="array" ref="E23:E94">IFERROR(VALUE((INDEX('EPD List'!$A:$AD,MATCH(_xlfn.ANCHORARRAY($B23),'EPD List'!$D:$D,0),MATCH(E$16,'EPD List'!$7:$7,0)))),"")</f>
        <v>3.76</v>
      </c>
      <c r="F23" s="96" t="str" cm="1">
        <f t="array" ref="F23:F94">_xlfn.IFNA(VALUE((INDEX('EPD List'!$A:$AD,MATCH(_xlfn.ANCHORARRAY($B23),'EPD List'!$D:$D,0),MATCH(F$16,'EPD List'!$7:$7,0)))),"")</f>
        <v/>
      </c>
      <c r="G23" s="121" cm="1">
        <f t="array" ref="G23:G94">IFERROR(VALUE((INDEX('EPD List'!$A:$AD,MATCH(_xlfn.ANCHORARRAY($B23),'EPD List'!$D:$D,0),MATCH(G$16,'EPD List'!$7:$7,0)))),"")</f>
        <v>0</v>
      </c>
    </row>
    <row r="24" spans="2:9" x14ac:dyDescent="0.25">
      <c r="B24" s="122" t="str">
        <v>Insulation decorative/acoustic, , dECO Baffle Platform 26mm White  (CSR Martini)</v>
      </c>
      <c r="C24" t="str">
        <v/>
      </c>
      <c r="D24" s="96" t="str">
        <v/>
      </c>
      <c r="E24" s="96">
        <v>4.53</v>
      </c>
      <c r="F24" s="96" t="str">
        <v/>
      </c>
      <c r="G24" s="121">
        <v>0</v>
      </c>
    </row>
    <row r="25" spans="2:9" x14ac:dyDescent="0.25">
      <c r="B25" s="122" t="str">
        <v>Insulation decorative/acoustic, , dECO Baffle Rise 26mm Black  (CSR Martini)</v>
      </c>
      <c r="C25" t="str">
        <v/>
      </c>
      <c r="D25" s="96" t="str">
        <v/>
      </c>
      <c r="E25" s="96">
        <v>3.75</v>
      </c>
      <c r="F25" s="96" t="str">
        <v/>
      </c>
      <c r="G25" s="121">
        <v>0</v>
      </c>
    </row>
    <row r="26" spans="2:9" x14ac:dyDescent="0.25">
      <c r="B26" s="122" t="str">
        <v>Insulation decorative/acoustic, , dECO Baffle Rise 26mm White  (CSR Martini)</v>
      </c>
      <c r="C26" t="str">
        <v/>
      </c>
      <c r="D26" s="96" t="str">
        <v/>
      </c>
      <c r="E26" s="96">
        <v>4.5199999999999996</v>
      </c>
      <c r="F26" s="96" t="str">
        <v/>
      </c>
      <c r="G26" s="121">
        <v>0</v>
      </c>
    </row>
    <row r="27" spans="2:9" x14ac:dyDescent="0.25">
      <c r="B27" s="122" t="str">
        <v>Insulation decorative/acoustic, , dECO Board 7mm Black  (CSR Martini)</v>
      </c>
      <c r="C27" t="str">
        <v/>
      </c>
      <c r="D27" s="96" t="str">
        <v/>
      </c>
      <c r="E27" s="96">
        <v>3.74</v>
      </c>
      <c r="F27" s="96" t="str">
        <v/>
      </c>
      <c r="G27" s="121">
        <v>0</v>
      </c>
    </row>
    <row r="28" spans="2:9" x14ac:dyDescent="0.25">
      <c r="B28" s="122" t="str">
        <v>Insulation decorative/acoustic, , dECO Board 7mm White  (CSR Martini)</v>
      </c>
      <c r="C28" t="str">
        <v/>
      </c>
      <c r="D28" s="96" t="str">
        <v/>
      </c>
      <c r="E28" s="96">
        <v>3.74</v>
      </c>
      <c r="F28" s="96" t="str">
        <v/>
      </c>
      <c r="G28" s="121">
        <v>0</v>
      </c>
    </row>
    <row r="29" spans="2:9" x14ac:dyDescent="0.25">
      <c r="B29" s="122" t="str">
        <v>Insulation decorative/acoustic, , dECO Board 12mm Black  (CSR Martini)</v>
      </c>
      <c r="C29" t="str">
        <v/>
      </c>
      <c r="D29" s="96" t="str">
        <v/>
      </c>
      <c r="E29" s="96">
        <v>3.72</v>
      </c>
      <c r="F29" s="96" t="str">
        <v/>
      </c>
      <c r="G29" s="121">
        <v>0</v>
      </c>
    </row>
    <row r="30" spans="2:9" x14ac:dyDescent="0.25">
      <c r="B30" s="122" t="str">
        <v>Insulation decorative/acoustic, , dECO Board 12mm White  (CSR Martini)</v>
      </c>
      <c r="C30" t="str">
        <v/>
      </c>
      <c r="D30" s="96" t="str">
        <v/>
      </c>
      <c r="E30" s="96">
        <v>3.71</v>
      </c>
      <c r="F30" s="96" t="str">
        <v/>
      </c>
      <c r="G30" s="121">
        <v>0</v>
      </c>
    </row>
    <row r="31" spans="2:9" x14ac:dyDescent="0.25">
      <c r="B31" s="122" t="str">
        <v>Insulation decorative/acoustic, , dECO Deluxe 7mm  (CSR Martini)</v>
      </c>
      <c r="C31" t="str">
        <v/>
      </c>
      <c r="D31" s="96" t="str">
        <v/>
      </c>
      <c r="E31" s="96">
        <v>3.37</v>
      </c>
      <c r="F31" s="96" t="str">
        <v/>
      </c>
      <c r="G31" s="121">
        <v>0</v>
      </c>
    </row>
    <row r="32" spans="2:9" x14ac:dyDescent="0.25">
      <c r="B32" s="122" t="str">
        <v>Insulation decorative/acoustic, , dECO Deluxe 12mm  (CSR Martini)</v>
      </c>
      <c r="C32" t="str">
        <v/>
      </c>
      <c r="D32" s="96" t="str">
        <v/>
      </c>
      <c r="E32" s="96">
        <v>3.37</v>
      </c>
      <c r="F32" s="96" t="str">
        <v/>
      </c>
      <c r="G32" s="121">
        <v>0</v>
      </c>
    </row>
    <row r="33" spans="2:7" x14ac:dyDescent="0.25">
      <c r="B33" s="122" t="str">
        <v>Insulation decorative/acoustic, , dECO Deluxe 24mm  (CSR Martini)</v>
      </c>
      <c r="C33" t="str">
        <v/>
      </c>
      <c r="D33" s="96" t="str">
        <v/>
      </c>
      <c r="E33" s="96">
        <v>2.4300000000000002</v>
      </c>
      <c r="F33" s="96" t="str">
        <v/>
      </c>
      <c r="G33" s="121">
        <v>0</v>
      </c>
    </row>
    <row r="34" spans="2:7" x14ac:dyDescent="0.25">
      <c r="B34" s="122" t="str">
        <v>Insulation decorative/acoustic, , dECO Deluxe 48mm  (CSR Martini)</v>
      </c>
      <c r="C34" t="str">
        <v/>
      </c>
      <c r="D34" s="96" t="str">
        <v/>
      </c>
      <c r="E34" s="96">
        <v>2.84</v>
      </c>
      <c r="F34" s="96" t="str">
        <v/>
      </c>
      <c r="G34" s="121">
        <v>0</v>
      </c>
    </row>
    <row r="35" spans="2:7" x14ac:dyDescent="0.25">
      <c r="B35" s="122" t="str">
        <v>Insulation decorative/acoustic, , dECO Deluxe EP 7mm  (CSR Martini)</v>
      </c>
      <c r="C35" t="str">
        <v/>
      </c>
      <c r="D35" s="96" t="str">
        <v/>
      </c>
      <c r="E35" s="96">
        <v>3.37</v>
      </c>
      <c r="F35" s="96" t="str">
        <v/>
      </c>
      <c r="G35" s="121">
        <v>0</v>
      </c>
    </row>
    <row r="36" spans="2:7" x14ac:dyDescent="0.25">
      <c r="B36" s="122" t="str">
        <v>Insulation decorative/acoustic, , dECO Deluxe EP 7mm Black  (CSR Martini)</v>
      </c>
      <c r="C36" t="str">
        <v/>
      </c>
      <c r="D36" s="96" t="str">
        <v/>
      </c>
      <c r="E36" s="96">
        <v>3.41</v>
      </c>
      <c r="F36" s="96" t="str">
        <v/>
      </c>
      <c r="G36" s="121">
        <v>0</v>
      </c>
    </row>
    <row r="37" spans="2:7" x14ac:dyDescent="0.25">
      <c r="B37" s="122" t="str">
        <v>Insulation decorative/acoustic, , dECO Deluxe EP 7mm White  (CSR Martini)</v>
      </c>
      <c r="C37" t="str">
        <v/>
      </c>
      <c r="D37" s="96" t="str">
        <v/>
      </c>
      <c r="E37" s="96">
        <v>3.4</v>
      </c>
      <c r="F37" s="96" t="str">
        <v/>
      </c>
      <c r="G37" s="121">
        <v>0</v>
      </c>
    </row>
    <row r="38" spans="2:7" x14ac:dyDescent="0.25">
      <c r="B38" s="122" t="str">
        <v>Insulation decorative/acoustic, , dECO Deluxe EP 12mm  (CSR Martini)</v>
      </c>
      <c r="C38" t="str">
        <v/>
      </c>
      <c r="D38" s="96" t="str">
        <v/>
      </c>
      <c r="E38" s="96">
        <v>3.37</v>
      </c>
      <c r="F38" s="96" t="str">
        <v/>
      </c>
      <c r="G38" s="121">
        <v>0</v>
      </c>
    </row>
    <row r="39" spans="2:7" x14ac:dyDescent="0.25">
      <c r="B39" s="122" t="str">
        <v>Insulation decorative/acoustic, , dECO Deluxe EP 12mm Black  (CSR Martini)</v>
      </c>
      <c r="C39" t="str">
        <v/>
      </c>
      <c r="D39" s="96" t="str">
        <v/>
      </c>
      <c r="E39" s="96">
        <v>3.41</v>
      </c>
      <c r="F39" s="96" t="str">
        <v/>
      </c>
      <c r="G39" s="121">
        <v>0</v>
      </c>
    </row>
    <row r="40" spans="2:7" x14ac:dyDescent="0.25">
      <c r="B40" s="122" t="str">
        <v>Insulation decorative/acoustic, , dECO Deluxe EP 12mm White  (CSR Martini)</v>
      </c>
      <c r="C40" t="str">
        <v/>
      </c>
      <c r="D40" s="96" t="str">
        <v/>
      </c>
      <c r="E40" s="96">
        <v>3.4</v>
      </c>
      <c r="F40" s="96" t="str">
        <v/>
      </c>
      <c r="G40" s="121">
        <v>0</v>
      </c>
    </row>
    <row r="41" spans="2:7" x14ac:dyDescent="0.25">
      <c r="B41" s="122" t="str">
        <v>Insulation decorative/acoustic, , dECO Deluxe EP 24mm  (CSR Martini)</v>
      </c>
      <c r="C41" t="str">
        <v/>
      </c>
      <c r="D41" s="96" t="str">
        <v/>
      </c>
      <c r="E41" s="96">
        <v>3.37</v>
      </c>
      <c r="F41" s="96" t="str">
        <v/>
      </c>
      <c r="G41" s="121">
        <v>0</v>
      </c>
    </row>
    <row r="42" spans="2:7" x14ac:dyDescent="0.25">
      <c r="B42" s="122" t="str">
        <v>Insulation decorative/acoustic, , dECO Deluxe EP 24mm Black  (CSR Martini)</v>
      </c>
      <c r="C42" t="str">
        <v/>
      </c>
      <c r="D42" s="96" t="str">
        <v/>
      </c>
      <c r="E42" s="96">
        <v>3.4</v>
      </c>
      <c r="F42" s="96" t="str">
        <v/>
      </c>
      <c r="G42" s="121">
        <v>0</v>
      </c>
    </row>
    <row r="43" spans="2:7" x14ac:dyDescent="0.25">
      <c r="B43" s="122" t="str">
        <v>Insulation decorative/acoustic, , dECO Deluxe EP 24mm White  (CSR Martini)</v>
      </c>
      <c r="C43" t="str">
        <v/>
      </c>
      <c r="D43" s="96" t="str">
        <v/>
      </c>
      <c r="E43" s="96">
        <v>3.4</v>
      </c>
      <c r="F43" s="96" t="str">
        <v/>
      </c>
      <c r="G43" s="121">
        <v>0</v>
      </c>
    </row>
    <row r="44" spans="2:7" x14ac:dyDescent="0.25">
      <c r="B44" s="122" t="str">
        <v>Insulation decorative/acoustic, , dECO E Fabric  (CSR Martini)</v>
      </c>
      <c r="C44" t="str">
        <v/>
      </c>
      <c r="D44" s="96" t="str">
        <v/>
      </c>
      <c r="E44" s="96">
        <v>2.95</v>
      </c>
      <c r="F44" s="96" t="str">
        <v/>
      </c>
      <c r="G44" s="121">
        <v>0</v>
      </c>
    </row>
    <row r="45" spans="2:7" x14ac:dyDescent="0.25">
      <c r="B45" s="122" t="str">
        <v>Insulation decorative/acoustic, , dECO Embrace Fabric  (CSR Martini)</v>
      </c>
      <c r="C45" t="str">
        <v/>
      </c>
      <c r="D45" s="96" t="str">
        <v/>
      </c>
      <c r="E45" s="96">
        <v>3.19</v>
      </c>
      <c r="F45" s="96" t="str">
        <v/>
      </c>
      <c r="G45" s="121">
        <v>0</v>
      </c>
    </row>
    <row r="46" spans="2:7" x14ac:dyDescent="0.25">
      <c r="B46" s="122" t="str">
        <v>Insulation decorative/acoustic, , dECO Flex  (CSR Martini)</v>
      </c>
      <c r="C46" t="str">
        <v/>
      </c>
      <c r="D46" s="96" t="str">
        <v/>
      </c>
      <c r="E46" s="96">
        <v>3.61</v>
      </c>
      <c r="F46" s="96" t="str">
        <v/>
      </c>
      <c r="G46" s="121">
        <v>0</v>
      </c>
    </row>
    <row r="47" spans="2:7" x14ac:dyDescent="0.25">
      <c r="B47" s="122" t="str">
        <v>Insulation decorative/acoustic, , dECO Hanging Cloud Black  (CSR Martini)</v>
      </c>
      <c r="C47" t="str">
        <v/>
      </c>
      <c r="D47" s="96" t="str">
        <v/>
      </c>
      <c r="E47" s="96">
        <v>3.87</v>
      </c>
      <c r="F47" s="96" t="str">
        <v/>
      </c>
      <c r="G47" s="121">
        <v>0</v>
      </c>
    </row>
    <row r="48" spans="2:7" x14ac:dyDescent="0.25">
      <c r="B48" s="122" t="str">
        <v>Insulation decorative/acoustic, , dECO Hanging Cloud White  (CSR Martini)</v>
      </c>
      <c r="C48" t="str">
        <v/>
      </c>
      <c r="D48" s="96" t="str">
        <v/>
      </c>
      <c r="E48" s="96">
        <v>4.74</v>
      </c>
      <c r="F48" s="96" t="str">
        <v/>
      </c>
      <c r="G48" s="121">
        <v>0</v>
      </c>
    </row>
    <row r="49" spans="2:7" x14ac:dyDescent="0.25">
      <c r="B49" s="122" t="str">
        <v>Insulation decorative/acoustic, , dECO M Fabric  (CSR Martini)</v>
      </c>
      <c r="C49" t="str">
        <v/>
      </c>
      <c r="D49" s="96" t="str">
        <v/>
      </c>
      <c r="E49" s="96">
        <v>3.43</v>
      </c>
      <c r="F49" s="96" t="str">
        <v/>
      </c>
      <c r="G49" s="121">
        <v>0</v>
      </c>
    </row>
    <row r="50" spans="2:7" x14ac:dyDescent="0.25">
      <c r="B50" s="122" t="str">
        <v>Insulation decorative/acoustic, , dECO Mini Flex  (CSR Martini)</v>
      </c>
      <c r="C50" t="str">
        <v/>
      </c>
      <c r="D50" s="96" t="str">
        <v/>
      </c>
      <c r="E50" s="96">
        <v>3.62</v>
      </c>
      <c r="F50" s="96" t="str">
        <v/>
      </c>
      <c r="G50" s="121">
        <v>0</v>
      </c>
    </row>
    <row r="51" spans="2:7" x14ac:dyDescent="0.25">
      <c r="B51" s="122" t="str">
        <v>Insulation decorative/acoustic, , dECO Panel 8mm Black  (CSR Martini)</v>
      </c>
      <c r="C51" t="str">
        <v/>
      </c>
      <c r="D51" s="96" t="str">
        <v/>
      </c>
      <c r="E51" s="96">
        <v>3.69</v>
      </c>
      <c r="F51" s="96" t="str">
        <v/>
      </c>
      <c r="G51" s="121">
        <v>0</v>
      </c>
    </row>
    <row r="52" spans="2:7" x14ac:dyDescent="0.25">
      <c r="B52" s="122" t="str">
        <v>Insulation decorative/acoustic, , dECO Panel 8mm White  (CSR Martini)</v>
      </c>
      <c r="C52" t="str">
        <v/>
      </c>
      <c r="D52" s="96" t="str">
        <v/>
      </c>
      <c r="E52" s="96">
        <v>3.82</v>
      </c>
      <c r="F52" s="96" t="str">
        <v/>
      </c>
      <c r="G52" s="121">
        <v>0</v>
      </c>
    </row>
    <row r="53" spans="2:7" x14ac:dyDescent="0.25">
      <c r="B53" s="122" t="str">
        <v>Insulation decorative/acoustic, , dECO Panel 13.5mm Black  (CSR Martini)</v>
      </c>
      <c r="C53" t="str">
        <v/>
      </c>
      <c r="D53" s="96" t="str">
        <v/>
      </c>
      <c r="E53" s="96">
        <v>3.8</v>
      </c>
      <c r="F53" s="96" t="str">
        <v/>
      </c>
      <c r="G53" s="121">
        <v>0</v>
      </c>
    </row>
    <row r="54" spans="2:7" x14ac:dyDescent="0.25">
      <c r="B54" s="122" t="str">
        <v>Insulation decorative/acoustic, , dECO Panel 13.5mm White  (CSR Martini)</v>
      </c>
      <c r="C54" t="str">
        <v/>
      </c>
      <c r="D54" s="96" t="str">
        <v/>
      </c>
      <c r="E54" s="96">
        <v>3.93</v>
      </c>
      <c r="F54" s="96" t="str">
        <v/>
      </c>
      <c r="G54" s="121">
        <v>0</v>
      </c>
    </row>
    <row r="55" spans="2:7" x14ac:dyDescent="0.25">
      <c r="B55" s="122" t="str">
        <v>Insulation decorative/acoustic, , dECO Panel 25mm Black  (CSR Martini)</v>
      </c>
      <c r="C55" t="str">
        <v/>
      </c>
      <c r="D55" s="96" t="str">
        <v/>
      </c>
      <c r="E55" s="96">
        <v>3.21</v>
      </c>
      <c r="F55" s="96" t="str">
        <v/>
      </c>
      <c r="G55" s="121">
        <v>0</v>
      </c>
    </row>
    <row r="56" spans="2:7" x14ac:dyDescent="0.25">
      <c r="B56" s="122" t="str">
        <v>Insulation decorative/acoustic, , dECO Panel 25mm White  (CSR Martini)</v>
      </c>
      <c r="C56" t="str">
        <v/>
      </c>
      <c r="D56" s="96" t="str">
        <v/>
      </c>
      <c r="E56" s="96">
        <v>3.38</v>
      </c>
      <c r="F56" s="96" t="str">
        <v/>
      </c>
      <c r="G56" s="121">
        <v>0</v>
      </c>
    </row>
    <row r="57" spans="2:7" x14ac:dyDescent="0.25">
      <c r="B57" s="122" t="str">
        <v>Insulation decorative/acoustic, , dECO Panel 50mm Black  (CSR Martini)</v>
      </c>
      <c r="C57" t="str">
        <v/>
      </c>
      <c r="D57" s="96" t="str">
        <v/>
      </c>
      <c r="E57" s="96">
        <v>3.25</v>
      </c>
      <c r="F57" s="96" t="str">
        <v/>
      </c>
      <c r="G57" s="121">
        <v>0</v>
      </c>
    </row>
    <row r="58" spans="2:7" x14ac:dyDescent="0.25">
      <c r="B58" s="122" t="str">
        <v>Insulation decorative/acoustic, , dECO Panel 50mm White  (CSR Martini)</v>
      </c>
      <c r="C58" t="str">
        <v/>
      </c>
      <c r="D58" s="96" t="str">
        <v/>
      </c>
      <c r="E58" s="96">
        <v>3.44</v>
      </c>
      <c r="F58" s="96" t="str">
        <v/>
      </c>
      <c r="G58" s="121">
        <v>0</v>
      </c>
    </row>
    <row r="59" spans="2:7" x14ac:dyDescent="0.25">
      <c r="B59" s="122" t="str">
        <v>Insulation decorative/acoustic, , dECO Quiet Board 25mm Black  (CSR Martini)</v>
      </c>
      <c r="C59" t="str">
        <v/>
      </c>
      <c r="D59" s="96" t="str">
        <v/>
      </c>
      <c r="E59" s="96">
        <v>3.8</v>
      </c>
      <c r="F59" s="96" t="str">
        <v/>
      </c>
      <c r="G59" s="121">
        <v>0</v>
      </c>
    </row>
    <row r="60" spans="2:7" x14ac:dyDescent="0.25">
      <c r="B60" s="122" t="str">
        <v>Insulation decorative/acoustic, , dECO Quiet Board 25mm White  (CSR Martini)</v>
      </c>
      <c r="C60" t="str">
        <v/>
      </c>
      <c r="D60" s="96" t="str">
        <v/>
      </c>
      <c r="E60" s="96">
        <v>3.94</v>
      </c>
      <c r="F60" s="96" t="str">
        <v/>
      </c>
      <c r="G60" s="121">
        <v>0</v>
      </c>
    </row>
    <row r="61" spans="2:7" x14ac:dyDescent="0.25">
      <c r="B61" s="122" t="str">
        <v>Insulation decorative/acoustic, , dECO Quiet Board 50mm Black  (CSR Martini)</v>
      </c>
      <c r="C61" t="str">
        <v/>
      </c>
      <c r="D61" s="96" t="str">
        <v/>
      </c>
      <c r="E61" s="96">
        <v>3.6</v>
      </c>
      <c r="F61" s="96" t="str">
        <v/>
      </c>
      <c r="G61" s="121">
        <v>0</v>
      </c>
    </row>
    <row r="62" spans="2:7" x14ac:dyDescent="0.25">
      <c r="B62" s="122" t="str">
        <v>Insulation decorative/acoustic, , dECO Quiet Board 50mm White  (CSR Martini)</v>
      </c>
      <c r="C62" t="str">
        <v/>
      </c>
      <c r="D62" s="96" t="str">
        <v/>
      </c>
      <c r="E62" s="96">
        <v>3.78</v>
      </c>
      <c r="F62" s="96" t="str">
        <v/>
      </c>
      <c r="G62" s="121">
        <v>0</v>
      </c>
    </row>
    <row r="63" spans="2:7" x14ac:dyDescent="0.25">
      <c r="B63" s="122" t="str">
        <v>Insulation decorative/acoustic, , dECO Quiet Panel 25mm Black  (CSR Martini)</v>
      </c>
      <c r="C63" t="str">
        <v/>
      </c>
      <c r="D63" s="96" t="str">
        <v/>
      </c>
      <c r="E63" s="96">
        <v>3.67</v>
      </c>
      <c r="F63" s="96" t="str">
        <v/>
      </c>
      <c r="G63" s="121">
        <v>0</v>
      </c>
    </row>
    <row r="64" spans="2:7" x14ac:dyDescent="0.25">
      <c r="B64" s="122" t="str">
        <v>Insulation decorative/acoustic, , dECO Quiet Panel 25mm White  (CSR Martini)</v>
      </c>
      <c r="C64" t="str">
        <v/>
      </c>
      <c r="D64" s="96" t="str">
        <v/>
      </c>
      <c r="E64" s="96">
        <v>3.79</v>
      </c>
      <c r="F64" s="96" t="str">
        <v/>
      </c>
      <c r="G64" s="121">
        <v>0</v>
      </c>
    </row>
    <row r="65" spans="2:7" x14ac:dyDescent="0.25">
      <c r="B65" s="122" t="str">
        <v>Insulation decorative/acoustic, , dECO Quiet Panel 50mm Black  (CSR Martini)</v>
      </c>
      <c r="C65" t="str">
        <v/>
      </c>
      <c r="D65" s="96" t="str">
        <v/>
      </c>
      <c r="E65" s="96">
        <v>3.54</v>
      </c>
      <c r="F65" s="96" t="str">
        <v/>
      </c>
      <c r="G65" s="121">
        <v>0</v>
      </c>
    </row>
    <row r="66" spans="2:7" x14ac:dyDescent="0.25">
      <c r="B66" s="122" t="str">
        <v>Insulation decorative/acoustic, , dECO Quiet Panel 50mm White  (CSR Martini)</v>
      </c>
      <c r="C66" t="str">
        <v/>
      </c>
      <c r="D66" s="96" t="str">
        <v/>
      </c>
      <c r="E66" s="96">
        <v>3.69</v>
      </c>
      <c r="F66" s="96" t="str">
        <v/>
      </c>
      <c r="G66" s="121">
        <v>0</v>
      </c>
    </row>
    <row r="67" spans="2:7" x14ac:dyDescent="0.25">
      <c r="B67" s="122" t="str">
        <v>Insulation decorative/acoustic, , dECO Quiet Panel Export 25mm White  (CSR Martini)</v>
      </c>
      <c r="C67" t="str">
        <v/>
      </c>
      <c r="D67" s="96" t="str">
        <v/>
      </c>
      <c r="E67" s="96">
        <v>4.57</v>
      </c>
      <c r="F67" s="96" t="str">
        <v/>
      </c>
      <c r="G67" s="121">
        <v>0</v>
      </c>
    </row>
    <row r="68" spans="2:7" x14ac:dyDescent="0.25">
      <c r="B68" s="122" t="str">
        <v>Insulation decorative/acoustic, , dECO Quiet Panel Export 50mm White  (CSR Martini)</v>
      </c>
      <c r="C68" t="str">
        <v/>
      </c>
      <c r="D68" s="96" t="str">
        <v/>
      </c>
      <c r="E68" s="96">
        <v>4.71</v>
      </c>
      <c r="F68" s="96" t="str">
        <v/>
      </c>
      <c r="G68" s="121">
        <v>0</v>
      </c>
    </row>
    <row r="69" spans="2:7" x14ac:dyDescent="0.25">
      <c r="B69" s="122" t="str">
        <v>Insulation decorative/acoustic, , dECO Screen 12mm Black  (CSR Martini)</v>
      </c>
      <c r="C69" t="str">
        <v/>
      </c>
      <c r="D69" s="96" t="str">
        <v/>
      </c>
      <c r="E69" s="96">
        <v>3.67</v>
      </c>
      <c r="F69" s="96" t="str">
        <v/>
      </c>
      <c r="G69" s="121">
        <v>0</v>
      </c>
    </row>
    <row r="70" spans="2:7" x14ac:dyDescent="0.25">
      <c r="B70" s="122" t="str">
        <v>Insulation decorative/acoustic, , dECO Screen 12mm White  (CSR Martini)</v>
      </c>
      <c r="C70" t="str">
        <v/>
      </c>
      <c r="D70" s="96" t="str">
        <v/>
      </c>
      <c r="E70" s="96">
        <v>3.78</v>
      </c>
      <c r="F70" s="96" t="str">
        <v/>
      </c>
      <c r="G70" s="121">
        <v>0</v>
      </c>
    </row>
    <row r="71" spans="2:7" x14ac:dyDescent="0.25">
      <c r="B71" s="122" t="str">
        <v>Insulation decorative/acoustic, , dECO Stick It  (CSR Martini)</v>
      </c>
      <c r="C71" t="str">
        <v/>
      </c>
      <c r="D71" s="96" t="str">
        <v/>
      </c>
      <c r="E71" s="96">
        <v>3.71</v>
      </c>
      <c r="F71" s="96" t="str">
        <v/>
      </c>
      <c r="G71" s="121">
        <v>0</v>
      </c>
    </row>
    <row r="72" spans="2:7" x14ac:dyDescent="0.25">
      <c r="B72" s="122" t="str">
        <v>Insulation decorative/acoustic, , dECO Tile 3D ET Wall  (CSR Martini)</v>
      </c>
      <c r="C72" t="str">
        <v/>
      </c>
      <c r="D72" s="96" t="str">
        <v/>
      </c>
      <c r="E72" s="96">
        <v>4.16</v>
      </c>
      <c r="F72" s="96" t="str">
        <v/>
      </c>
      <c r="G72" s="121">
        <v>0</v>
      </c>
    </row>
    <row r="73" spans="2:7" x14ac:dyDescent="0.25">
      <c r="B73" s="122" t="str">
        <v>Insulation decorative/acoustic, , dECO Tile 3D H Ceiling  (CSR Martini)</v>
      </c>
      <c r="C73" t="str">
        <v/>
      </c>
      <c r="D73" s="96" t="str">
        <v/>
      </c>
      <c r="E73" s="96">
        <v>4.29</v>
      </c>
      <c r="F73" s="96" t="str">
        <v/>
      </c>
      <c r="G73" s="121">
        <v>0</v>
      </c>
    </row>
    <row r="74" spans="2:7" x14ac:dyDescent="0.25">
      <c r="B74" s="122" t="str">
        <v>Insulation decorative/acoustic, , dECO Tile 3D H Wall  (CSR Martini)</v>
      </c>
      <c r="C74" t="str">
        <v/>
      </c>
      <c r="D74" s="96" t="str">
        <v/>
      </c>
      <c r="E74" s="96">
        <v>4.5199999999999996</v>
      </c>
      <c r="F74" s="96" t="str">
        <v/>
      </c>
      <c r="G74" s="121">
        <v>0</v>
      </c>
    </row>
    <row r="75" spans="2:7" x14ac:dyDescent="0.25">
      <c r="B75" s="122" t="str">
        <v>Insulation decorative/acoustic, , dECO Tile 3D WW Ceiling  (CSR Martini)</v>
      </c>
      <c r="C75" t="str">
        <v/>
      </c>
      <c r="D75" s="96" t="str">
        <v/>
      </c>
      <c r="E75" s="96">
        <v>4.28</v>
      </c>
      <c r="F75" s="96" t="str">
        <v/>
      </c>
      <c r="G75" s="121">
        <v>0</v>
      </c>
    </row>
    <row r="76" spans="2:7" x14ac:dyDescent="0.25">
      <c r="B76" s="122" t="str">
        <v>Insulation decorative/acoustic, , dECO Tile 3D WW Wall  (CSR Martini)</v>
      </c>
      <c r="C76" t="str">
        <v/>
      </c>
      <c r="D76" s="96" t="str">
        <v/>
      </c>
      <c r="E76" s="96">
        <v>4.42</v>
      </c>
      <c r="F76" s="96" t="str">
        <v/>
      </c>
      <c r="G76" s="121">
        <v>0</v>
      </c>
    </row>
    <row r="77" spans="2:7" x14ac:dyDescent="0.25">
      <c r="B77" s="122" t="str">
        <v>Insulation decorative/acoustic, , dECO Tile Flat H Ceiling 13mm  (CSR Martini)</v>
      </c>
      <c r="C77" t="str">
        <v/>
      </c>
      <c r="D77" s="96" t="str">
        <v/>
      </c>
      <c r="E77" s="96">
        <v>3.73</v>
      </c>
      <c r="F77" s="96" t="str">
        <v/>
      </c>
      <c r="G77" s="121">
        <v>0</v>
      </c>
    </row>
    <row r="78" spans="2:7" x14ac:dyDescent="0.25">
      <c r="B78" s="122" t="str">
        <v>Insulation decorative/acoustic, , dECO Tile Flat H Ceiling 25mm  (CSR Martini)</v>
      </c>
      <c r="C78" t="str">
        <v/>
      </c>
      <c r="D78" s="96" t="str">
        <v/>
      </c>
      <c r="E78" s="96">
        <v>4.2</v>
      </c>
      <c r="F78" s="96" t="str">
        <v/>
      </c>
      <c r="G78" s="121">
        <v>0</v>
      </c>
    </row>
    <row r="79" spans="2:7" x14ac:dyDescent="0.25">
      <c r="B79" s="122" t="str">
        <v>Insulation decorative/acoustic, , Absorb Black  (CSR Martini)</v>
      </c>
      <c r="C79" t="str">
        <v/>
      </c>
      <c r="D79" s="96" t="str">
        <v/>
      </c>
      <c r="E79" s="96">
        <v>3.36</v>
      </c>
      <c r="F79" s="96" t="str">
        <v/>
      </c>
      <c r="G79" s="121">
        <v>0</v>
      </c>
    </row>
    <row r="80" spans="2:7" x14ac:dyDescent="0.25">
      <c r="B80" s="122" t="str">
        <v>Insulation decorative/acoustic, , Absorb White  (CSR Martini)</v>
      </c>
      <c r="C80" t="str">
        <v/>
      </c>
      <c r="D80" s="96" t="str">
        <v/>
      </c>
      <c r="E80" s="96">
        <v>3.36</v>
      </c>
      <c r="F80" s="96" t="str">
        <v/>
      </c>
      <c r="G80" s="121">
        <v>0</v>
      </c>
    </row>
    <row r="81" spans="2:9" x14ac:dyDescent="0.25">
      <c r="B81" s="122" t="str">
        <v>Insulation decorative/acoustic, , Blanket  (CSR Martini)</v>
      </c>
      <c r="C81" t="str">
        <v/>
      </c>
      <c r="D81" s="96" t="str">
        <v/>
      </c>
      <c r="E81" s="96">
        <v>3.44</v>
      </c>
      <c r="F81" s="96" t="str">
        <v/>
      </c>
      <c r="G81" s="121">
        <v>0</v>
      </c>
    </row>
    <row r="82" spans="2:9" x14ac:dyDescent="0.25">
      <c r="B82" s="122" t="str">
        <v>Insulation decorative/acoustic, , Easy Baffle  (CSR Martini)</v>
      </c>
      <c r="C82" t="str">
        <v/>
      </c>
      <c r="D82" s="96" t="str">
        <v/>
      </c>
      <c r="E82" s="96">
        <v>4.07</v>
      </c>
      <c r="F82" s="96" t="str">
        <v/>
      </c>
      <c r="G82" s="121">
        <v>0</v>
      </c>
    </row>
    <row r="83" spans="2:9" x14ac:dyDescent="0.25">
      <c r="B83" s="122" t="str">
        <v>Insulation decorative/acoustic, , Easy Baffle Black  (CSR Martini)</v>
      </c>
      <c r="C83" t="str">
        <v/>
      </c>
      <c r="D83" s="96" t="str">
        <v/>
      </c>
      <c r="E83" s="96">
        <v>3.04</v>
      </c>
      <c r="F83" s="96" t="str">
        <v/>
      </c>
      <c r="G83" s="121">
        <v>0</v>
      </c>
    </row>
    <row r="84" spans="2:9" x14ac:dyDescent="0.25">
      <c r="B84" s="122" t="str">
        <v>Insulation decorative/acoustic, , MAB Black  (CSR Martini)</v>
      </c>
      <c r="C84" t="str">
        <v/>
      </c>
      <c r="D84" s="96" t="str">
        <v/>
      </c>
      <c r="E84" s="96">
        <v>3.3</v>
      </c>
      <c r="F84" s="96" t="str">
        <v/>
      </c>
      <c r="G84" s="121">
        <v>0</v>
      </c>
    </row>
    <row r="85" spans="2:9" x14ac:dyDescent="0.25">
      <c r="B85" s="122" t="str">
        <v>Insulation decorative/acoustic, , MAB White  (CSR Martini)</v>
      </c>
      <c r="C85" t="str">
        <v/>
      </c>
      <c r="D85" s="96" t="str">
        <v/>
      </c>
      <c r="E85" s="96">
        <v>3.41</v>
      </c>
      <c r="F85" s="96" t="str">
        <v/>
      </c>
      <c r="G85" s="121">
        <v>0</v>
      </c>
    </row>
    <row r="86" spans="2:9" x14ac:dyDescent="0.25">
      <c r="B86" s="122" t="str">
        <v>Insulation decorative/acoustic, , MSB Black  (CSR Martini)</v>
      </c>
      <c r="C86" t="str">
        <v/>
      </c>
      <c r="D86" s="96" t="str">
        <v/>
      </c>
      <c r="E86" s="96">
        <v>3.08</v>
      </c>
      <c r="F86" s="96" t="str">
        <v/>
      </c>
      <c r="G86" s="121">
        <v>0</v>
      </c>
    </row>
    <row r="87" spans="2:9" x14ac:dyDescent="0.25">
      <c r="B87" s="122" t="str">
        <v>Insulation decorative/acoustic, , MSB White  (CSR Martini)</v>
      </c>
      <c r="C87" t="str">
        <v/>
      </c>
      <c r="D87" s="96" t="str">
        <v/>
      </c>
      <c r="E87" s="96">
        <v>3.64</v>
      </c>
      <c r="F87" s="96" t="str">
        <v/>
      </c>
      <c r="G87" s="121">
        <v>0</v>
      </c>
    </row>
    <row r="88" spans="2:9" x14ac:dyDescent="0.25">
      <c r="B88" s="122" t="str">
        <v>Insulation decorative/acoustic, , Polymax Acoustic R1.5  (CSR Martini)</v>
      </c>
      <c r="C88" t="str">
        <v/>
      </c>
      <c r="D88" s="96" t="str">
        <v/>
      </c>
      <c r="E88" s="96">
        <v>3.28</v>
      </c>
      <c r="F88" s="96" t="str">
        <v/>
      </c>
      <c r="G88" s="121">
        <v>0</v>
      </c>
    </row>
    <row r="89" spans="2:9" x14ac:dyDescent="0.25">
      <c r="B89" s="122" t="str">
        <v>Insulation decorative/acoustic, , Polymax Acoustic R2.0 75mm  (CSR Martini)</v>
      </c>
      <c r="C89" t="str">
        <v/>
      </c>
      <c r="D89" s="96" t="str">
        <v/>
      </c>
      <c r="E89" s="96">
        <v>3.27</v>
      </c>
      <c r="F89" s="96" t="str">
        <v/>
      </c>
      <c r="G89" s="121">
        <v>0</v>
      </c>
    </row>
    <row r="90" spans="2:9" x14ac:dyDescent="0.25">
      <c r="B90" s="122" t="str">
        <v>Insulation decorative/acoustic, , Polymax Acoustic R2.0 90mm  (CSR Martini)</v>
      </c>
      <c r="C90" t="str">
        <v/>
      </c>
      <c r="D90" s="96" t="str">
        <v/>
      </c>
      <c r="E90" s="96">
        <v>3.29</v>
      </c>
      <c r="F90" s="96" t="str">
        <v/>
      </c>
      <c r="G90" s="121">
        <v>0</v>
      </c>
      <c r="I90" s="96"/>
    </row>
    <row r="91" spans="2:9" x14ac:dyDescent="0.25">
      <c r="B91" s="122" t="str">
        <v>Insulation decorative/acoustic, , Polymax Acoustic R2.5  (CSR Martini)</v>
      </c>
      <c r="C91" t="str">
        <v/>
      </c>
      <c r="D91" s="96" t="str">
        <v/>
      </c>
      <c r="E91" s="96">
        <v>3.25</v>
      </c>
      <c r="F91" s="96" t="str">
        <v/>
      </c>
      <c r="G91" s="121">
        <v>0</v>
      </c>
    </row>
    <row r="92" spans="2:9" x14ac:dyDescent="0.25">
      <c r="B92" s="122" t="str">
        <v>Insulation decorative/acoustic, , Prime Black  (CSR Martini)</v>
      </c>
      <c r="C92" t="str">
        <v/>
      </c>
      <c r="D92" s="96" t="str">
        <v/>
      </c>
      <c r="E92" s="96">
        <v>3.08</v>
      </c>
      <c r="F92" s="96" t="str">
        <v/>
      </c>
      <c r="G92" s="121">
        <v>0</v>
      </c>
    </row>
    <row r="93" spans="2:9" x14ac:dyDescent="0.25">
      <c r="B93" s="122" t="str">
        <v>Insulation decorative/acoustic, , Prime White  (CSR Martini)</v>
      </c>
      <c r="C93" t="str">
        <v/>
      </c>
      <c r="D93" s="96" t="str">
        <v/>
      </c>
      <c r="E93" s="96">
        <v>3.64</v>
      </c>
      <c r="F93" s="96" t="str">
        <v/>
      </c>
      <c r="G93" s="121">
        <v>0</v>
      </c>
    </row>
    <row r="94" spans="2:9" x14ac:dyDescent="0.25">
      <c r="B94" s="122" t="str">
        <v>Insulation decorative/acoustic, , Flexible Ducting  (CSR Martini)</v>
      </c>
      <c r="C94" t="str">
        <v/>
      </c>
      <c r="D94" s="96" t="str">
        <v/>
      </c>
      <c r="E94" s="96">
        <v>4.32</v>
      </c>
      <c r="F94" s="96" t="str">
        <v/>
      </c>
      <c r="G94" s="121">
        <v>0</v>
      </c>
    </row>
    <row r="166" spans="2:7" x14ac:dyDescent="0.25">
      <c r="B166" s="125"/>
      <c r="C166" s="126"/>
      <c r="D166" s="127"/>
      <c r="E166" s="127"/>
      <c r="F166" s="127"/>
      <c r="G166" s="128"/>
    </row>
  </sheetData>
  <dataValidations count="1">
    <dataValidation type="list" allowBlank="1" showInputMessage="1" showErrorMessage="1" sqref="B6:B9" xr:uid="{14C5AEF2-2F31-4570-B8B6-8B6F608F4145}">
      <formula1>"Tier 1,Tier 2,Tier 3,Tier 4"</formula1>
    </dataValidation>
  </dataValidations>
  <pageMargins left="0.7" right="0.7" top="0.75" bottom="0.75" header="0.3" footer="0.3"/>
</worksheet>
</file>

<file path=xl/worksheets/sheet7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2D70B1-41AB-4038-AFBD-A40A695BC803}">
  <sheetPr codeName="Sheet110">
    <tabColor rgb="FF00CCFF"/>
  </sheetPr>
  <dimension ref="A1:O126"/>
  <sheetViews>
    <sheetView showGridLines="0" zoomScale="70" zoomScaleNormal="70" workbookViewId="0"/>
  </sheetViews>
  <sheetFormatPr defaultColWidth="9.109375" defaultRowHeight="13.2" x14ac:dyDescent="0.25"/>
  <cols>
    <col min="1" max="1" width="19.109375" style="101" customWidth="1"/>
    <col min="2" max="2" width="40.88671875" style="101" customWidth="1"/>
    <col min="3" max="3" width="113.109375" style="101" customWidth="1"/>
    <col min="4" max="4" width="36.88671875" style="101" customWidth="1"/>
    <col min="5" max="5" width="27.88671875" style="101" customWidth="1"/>
    <col min="6" max="6" width="158.88671875" style="101" customWidth="1"/>
    <col min="7" max="7" width="28.109375" style="101" customWidth="1"/>
    <col min="8" max="12" width="15.109375" style="101" customWidth="1"/>
    <col min="13" max="13" width="146.88671875" style="101" customWidth="1"/>
    <col min="14" max="14" width="14.44140625" style="101" customWidth="1"/>
    <col min="15" max="26" width="9.109375" style="101" customWidth="1"/>
    <col min="27" max="27" width="18.44140625" style="101" customWidth="1"/>
    <col min="28" max="16384" width="9.109375" style="101"/>
  </cols>
  <sheetData>
    <row r="1" spans="1:15" ht="14.4" thickBot="1" x14ac:dyDescent="0.3">
      <c r="A1" s="101" t="str" cm="1">
        <f t="array" aca="1" ref="A1" ca="1">MID(CELL("filename",A1),FIND("]",CELL("filename",A1))+1,255)</f>
        <v>Waste rates</v>
      </c>
      <c r="H1" s="518" t="s">
        <v>4458</v>
      </c>
      <c r="I1" s="519"/>
      <c r="J1" s="519"/>
      <c r="K1" s="520"/>
      <c r="L1" s="102"/>
    </row>
    <row r="2" spans="1:15" ht="13.8" x14ac:dyDescent="0.25">
      <c r="A2" s="103" t="s">
        <v>4459</v>
      </c>
      <c r="B2" s="103" t="s">
        <v>4460</v>
      </c>
      <c r="C2" s="103" t="s">
        <v>4460</v>
      </c>
      <c r="D2" s="103" t="s">
        <v>4461</v>
      </c>
      <c r="E2" s="103" t="s">
        <v>4462</v>
      </c>
      <c r="F2" s="103" t="s">
        <v>4463</v>
      </c>
      <c r="G2" s="103" t="s">
        <v>4464</v>
      </c>
      <c r="H2" s="103" t="s">
        <v>4465</v>
      </c>
      <c r="I2" s="103" t="s">
        <v>4466</v>
      </c>
      <c r="J2" s="103" t="s">
        <v>4467</v>
      </c>
      <c r="K2" s="103" t="s">
        <v>4468</v>
      </c>
      <c r="L2" s="103" t="s">
        <v>4469</v>
      </c>
      <c r="M2" s="103" t="s">
        <v>4470</v>
      </c>
      <c r="N2" s="103" t="s">
        <v>4471</v>
      </c>
      <c r="O2" s="103" t="s">
        <v>4472</v>
      </c>
    </row>
    <row r="3" spans="1:15" ht="13.8" x14ac:dyDescent="0.25">
      <c r="A3" t="s">
        <v>4473</v>
      </c>
      <c r="B3" t="s">
        <v>3884</v>
      </c>
      <c r="C3" t="s">
        <v>1237</v>
      </c>
      <c r="D3" s="104">
        <v>0.02</v>
      </c>
      <c r="E3" s="104"/>
      <c r="F3" t="s">
        <v>4474</v>
      </c>
      <c r="G3" t="s">
        <v>4475</v>
      </c>
      <c r="H3" s="105">
        <v>0.1</v>
      </c>
      <c r="I3" s="105">
        <v>0</v>
      </c>
      <c r="J3" s="105">
        <v>0</v>
      </c>
      <c r="K3" s="105">
        <v>0.9</v>
      </c>
      <c r="L3" s="105">
        <f>SUM(H3:K3)</f>
        <v>1</v>
      </c>
      <c r="M3" s="101" t="s">
        <v>4476</v>
      </c>
      <c r="N3" s="106" t="s">
        <v>4477</v>
      </c>
    </row>
    <row r="4" spans="1:15" ht="13.8" x14ac:dyDescent="0.25">
      <c r="A4" t="s">
        <v>4473</v>
      </c>
      <c r="B4" t="s">
        <v>3884</v>
      </c>
      <c r="C4" t="s">
        <v>595</v>
      </c>
      <c r="D4" s="104">
        <v>0.02</v>
      </c>
      <c r="E4" s="104"/>
      <c r="F4" t="s">
        <v>4474</v>
      </c>
      <c r="G4" t="s">
        <v>4475</v>
      </c>
      <c r="H4" s="105">
        <v>0.1</v>
      </c>
      <c r="I4" s="105">
        <v>0</v>
      </c>
      <c r="J4" s="105">
        <v>0</v>
      </c>
      <c r="K4" s="105">
        <v>0.9</v>
      </c>
      <c r="L4" s="105">
        <f t="shared" ref="L4:L63" si="0">SUM(H4:K4)</f>
        <v>1</v>
      </c>
      <c r="M4" s="101" t="s">
        <v>4476</v>
      </c>
      <c r="N4" s="106" t="s">
        <v>4477</v>
      </c>
    </row>
    <row r="5" spans="1:15" ht="13.8" x14ac:dyDescent="0.25">
      <c r="A5" t="s">
        <v>4473</v>
      </c>
      <c r="B5" t="s">
        <v>3884</v>
      </c>
      <c r="C5" t="s">
        <v>629</v>
      </c>
      <c r="D5" s="104">
        <v>0.02</v>
      </c>
      <c r="E5" s="104"/>
      <c r="F5" t="s">
        <v>4474</v>
      </c>
      <c r="G5" t="s">
        <v>4475</v>
      </c>
      <c r="H5" s="105">
        <v>0.1</v>
      </c>
      <c r="I5" s="105">
        <v>0</v>
      </c>
      <c r="J5" s="105">
        <v>0</v>
      </c>
      <c r="K5" s="105">
        <v>0.9</v>
      </c>
      <c r="L5" s="105">
        <f t="shared" si="0"/>
        <v>1</v>
      </c>
      <c r="M5" s="101" t="s">
        <v>4476</v>
      </c>
      <c r="N5" s="106" t="s">
        <v>4477</v>
      </c>
    </row>
    <row r="6" spans="1:15" ht="13.8" x14ac:dyDescent="0.25">
      <c r="A6" t="s">
        <v>4473</v>
      </c>
      <c r="B6" t="s">
        <v>3884</v>
      </c>
      <c r="C6" t="s">
        <v>612</v>
      </c>
      <c r="D6" s="104">
        <v>0.02</v>
      </c>
      <c r="E6" s="104"/>
      <c r="F6" t="s">
        <v>4474</v>
      </c>
      <c r="G6" t="s">
        <v>4475</v>
      </c>
      <c r="H6" s="105">
        <v>0.1</v>
      </c>
      <c r="I6" s="105">
        <v>0</v>
      </c>
      <c r="J6" s="105">
        <v>0</v>
      </c>
      <c r="K6" s="105">
        <v>0.9</v>
      </c>
      <c r="L6" s="105">
        <f t="shared" si="0"/>
        <v>1</v>
      </c>
      <c r="M6" s="101" t="s">
        <v>4476</v>
      </c>
      <c r="N6" s="106" t="s">
        <v>4477</v>
      </c>
    </row>
    <row r="7" spans="1:15" ht="13.8" x14ac:dyDescent="0.25">
      <c r="A7" t="s">
        <v>4473</v>
      </c>
      <c r="B7" t="s">
        <v>3884</v>
      </c>
      <c r="C7" t="s">
        <v>586</v>
      </c>
      <c r="D7" s="104">
        <v>0.02</v>
      </c>
      <c r="E7" s="104"/>
      <c r="F7" t="s">
        <v>4474</v>
      </c>
      <c r="G7" t="s">
        <v>4475</v>
      </c>
      <c r="H7" s="105">
        <v>0.1</v>
      </c>
      <c r="I7" s="105">
        <v>0</v>
      </c>
      <c r="J7" s="105">
        <v>0</v>
      </c>
      <c r="K7" s="105">
        <v>0.9</v>
      </c>
      <c r="L7" s="105">
        <f t="shared" si="0"/>
        <v>1</v>
      </c>
      <c r="M7" s="101" t="s">
        <v>4476</v>
      </c>
      <c r="N7" s="106" t="s">
        <v>4477</v>
      </c>
    </row>
    <row r="8" spans="1:15" ht="13.8" x14ac:dyDescent="0.25">
      <c r="A8" t="s">
        <v>4473</v>
      </c>
      <c r="B8" t="s">
        <v>3884</v>
      </c>
      <c r="C8" t="s">
        <v>617</v>
      </c>
      <c r="D8" s="104">
        <v>0.02</v>
      </c>
      <c r="E8" s="104"/>
      <c r="F8" t="s">
        <v>4474</v>
      </c>
      <c r="G8" t="s">
        <v>4475</v>
      </c>
      <c r="H8" s="105">
        <v>0.1</v>
      </c>
      <c r="I8" s="105">
        <v>0</v>
      </c>
      <c r="J8" s="105">
        <v>0</v>
      </c>
      <c r="K8" s="105">
        <v>0.9</v>
      </c>
      <c r="L8" s="105">
        <f t="shared" si="0"/>
        <v>1</v>
      </c>
      <c r="M8" s="101" t="s">
        <v>4476</v>
      </c>
      <c r="N8" s="106" t="s">
        <v>4477</v>
      </c>
    </row>
    <row r="9" spans="1:15" ht="13.8" x14ac:dyDescent="0.25">
      <c r="A9" t="s">
        <v>4473</v>
      </c>
      <c r="B9" t="s">
        <v>3884</v>
      </c>
      <c r="C9" t="s">
        <v>696</v>
      </c>
      <c r="D9" s="104">
        <v>0.02</v>
      </c>
      <c r="E9" s="104"/>
      <c r="F9" t="s">
        <v>4474</v>
      </c>
      <c r="G9" t="s">
        <v>4475</v>
      </c>
      <c r="H9" s="105">
        <v>0.1</v>
      </c>
      <c r="I9" s="105">
        <v>0</v>
      </c>
      <c r="J9" s="105">
        <v>0</v>
      </c>
      <c r="K9" s="105">
        <v>0.9</v>
      </c>
      <c r="L9" s="105">
        <f t="shared" si="0"/>
        <v>1</v>
      </c>
      <c r="M9" s="101" t="s">
        <v>4476</v>
      </c>
      <c r="N9" s="106" t="s">
        <v>4477</v>
      </c>
    </row>
    <row r="10" spans="1:15" ht="13.8" x14ac:dyDescent="0.25">
      <c r="A10" t="s">
        <v>4473</v>
      </c>
      <c r="B10" t="s">
        <v>3884</v>
      </c>
      <c r="C10" t="s">
        <v>840</v>
      </c>
      <c r="D10" s="104">
        <v>0.02</v>
      </c>
      <c r="E10" s="104"/>
      <c r="F10" t="s">
        <v>4474</v>
      </c>
      <c r="G10" t="s">
        <v>4475</v>
      </c>
      <c r="H10" s="105">
        <v>0.1</v>
      </c>
      <c r="I10" s="105">
        <v>0</v>
      </c>
      <c r="J10" s="105">
        <v>0</v>
      </c>
      <c r="K10" s="105">
        <v>0.9</v>
      </c>
      <c r="L10" s="105">
        <f t="shared" si="0"/>
        <v>1</v>
      </c>
      <c r="M10" s="101" t="s">
        <v>4476</v>
      </c>
      <c r="N10" s="106" t="s">
        <v>4477</v>
      </c>
    </row>
    <row r="11" spans="1:15" ht="13.8" x14ac:dyDescent="0.25">
      <c r="A11" t="s">
        <v>4473</v>
      </c>
      <c r="B11" t="s">
        <v>3884</v>
      </c>
      <c r="C11" t="s">
        <v>1197</v>
      </c>
      <c r="D11" s="104">
        <v>0.02</v>
      </c>
      <c r="E11" s="104"/>
      <c r="F11" t="s">
        <v>4474</v>
      </c>
      <c r="G11" t="s">
        <v>4475</v>
      </c>
      <c r="H11" s="105">
        <v>0.1</v>
      </c>
      <c r="I11" s="105">
        <v>0</v>
      </c>
      <c r="J11" s="105">
        <v>0</v>
      </c>
      <c r="K11" s="105">
        <v>0.9</v>
      </c>
      <c r="L11" s="105">
        <f t="shared" si="0"/>
        <v>1</v>
      </c>
      <c r="M11" s="101" t="s">
        <v>4476</v>
      </c>
      <c r="N11" s="106" t="s">
        <v>4477</v>
      </c>
    </row>
    <row r="12" spans="1:15" ht="13.8" x14ac:dyDescent="0.25">
      <c r="A12" t="s">
        <v>4473</v>
      </c>
      <c r="B12" t="s">
        <v>3894</v>
      </c>
      <c r="C12" t="s">
        <v>3895</v>
      </c>
      <c r="D12" s="104">
        <v>0</v>
      </c>
      <c r="E12" s="104"/>
      <c r="F12" t="s">
        <v>4474</v>
      </c>
      <c r="G12" t="s">
        <v>4475</v>
      </c>
      <c r="H12" s="105">
        <v>0.1</v>
      </c>
      <c r="I12" s="105">
        <v>0</v>
      </c>
      <c r="J12" s="105">
        <v>0</v>
      </c>
      <c r="K12" s="105">
        <v>0.9</v>
      </c>
      <c r="L12" s="105">
        <f t="shared" si="0"/>
        <v>1</v>
      </c>
      <c r="M12" s="101" t="s">
        <v>4476</v>
      </c>
      <c r="N12" s="106" t="s">
        <v>4477</v>
      </c>
    </row>
    <row r="13" spans="1:15" ht="13.8" x14ac:dyDescent="0.25">
      <c r="A13" t="s">
        <v>4473</v>
      </c>
      <c r="B13" t="s">
        <v>3894</v>
      </c>
      <c r="C13" t="s">
        <v>3897</v>
      </c>
      <c r="D13" s="104">
        <v>0</v>
      </c>
      <c r="E13" s="104"/>
      <c r="F13" t="s">
        <v>4474</v>
      </c>
      <c r="G13" t="s">
        <v>4475</v>
      </c>
      <c r="H13" s="105">
        <v>0.1</v>
      </c>
      <c r="I13" s="105">
        <v>0</v>
      </c>
      <c r="J13" s="105">
        <v>0</v>
      </c>
      <c r="K13" s="105">
        <v>0.9</v>
      </c>
      <c r="L13" s="105">
        <f t="shared" si="0"/>
        <v>1</v>
      </c>
      <c r="M13" s="101" t="s">
        <v>4476</v>
      </c>
      <c r="N13" s="106" t="s">
        <v>4477</v>
      </c>
    </row>
    <row r="14" spans="1:15" ht="13.8" x14ac:dyDescent="0.25">
      <c r="A14" t="s">
        <v>4473</v>
      </c>
      <c r="B14" t="s">
        <v>3894</v>
      </c>
      <c r="C14" t="s">
        <v>2209</v>
      </c>
      <c r="D14" s="104">
        <v>0</v>
      </c>
      <c r="E14" s="104"/>
      <c r="F14" t="s">
        <v>4474</v>
      </c>
      <c r="G14" t="s">
        <v>4475</v>
      </c>
      <c r="H14" s="105">
        <v>0.1</v>
      </c>
      <c r="I14" s="105">
        <v>0</v>
      </c>
      <c r="J14" s="105">
        <v>0</v>
      </c>
      <c r="K14" s="105">
        <v>0.9</v>
      </c>
      <c r="L14" s="105">
        <f t="shared" si="0"/>
        <v>1</v>
      </c>
      <c r="M14" s="101" t="s">
        <v>4476</v>
      </c>
      <c r="N14" s="106" t="s">
        <v>4477</v>
      </c>
    </row>
    <row r="15" spans="1:15" ht="13.8" x14ac:dyDescent="0.25">
      <c r="A15" t="s">
        <v>4473</v>
      </c>
      <c r="B15" t="s">
        <v>3899</v>
      </c>
      <c r="C15" t="s">
        <v>3899</v>
      </c>
      <c r="D15" s="104">
        <v>0.05</v>
      </c>
      <c r="E15" s="104"/>
      <c r="F15" t="s">
        <v>4478</v>
      </c>
      <c r="G15" t="s">
        <v>4475</v>
      </c>
      <c r="H15" s="105">
        <v>0.1</v>
      </c>
      <c r="I15" s="105">
        <v>0</v>
      </c>
      <c r="J15" s="105">
        <v>0</v>
      </c>
      <c r="K15" s="105">
        <v>0.9</v>
      </c>
      <c r="L15" s="105">
        <f t="shared" si="0"/>
        <v>1</v>
      </c>
      <c r="M15" s="101" t="s">
        <v>4476</v>
      </c>
      <c r="N15" s="106" t="s">
        <v>4477</v>
      </c>
    </row>
    <row r="16" spans="1:15" ht="13.8" x14ac:dyDescent="0.25">
      <c r="A16" t="s">
        <v>4473</v>
      </c>
      <c r="B16" t="s">
        <v>3901</v>
      </c>
      <c r="C16" t="s">
        <v>3901</v>
      </c>
      <c r="D16" s="104">
        <v>0.05</v>
      </c>
      <c r="E16" s="104"/>
      <c r="F16" t="s">
        <v>4478</v>
      </c>
      <c r="G16" t="s">
        <v>4475</v>
      </c>
      <c r="H16" s="105">
        <v>0.1</v>
      </c>
      <c r="I16" s="105">
        <v>0</v>
      </c>
      <c r="J16" s="105">
        <v>0</v>
      </c>
      <c r="K16" s="105">
        <v>0.9</v>
      </c>
      <c r="L16" s="105">
        <f t="shared" si="0"/>
        <v>1</v>
      </c>
      <c r="M16" s="101" t="s">
        <v>4476</v>
      </c>
      <c r="N16" s="106" t="s">
        <v>4477</v>
      </c>
    </row>
    <row r="17" spans="1:15" ht="13.8" x14ac:dyDescent="0.25">
      <c r="A17" t="s">
        <v>4473</v>
      </c>
      <c r="B17" t="s">
        <v>3902</v>
      </c>
      <c r="C17" t="s">
        <v>570</v>
      </c>
      <c r="D17" s="104">
        <v>0.05</v>
      </c>
      <c r="E17" s="104"/>
      <c r="F17" t="s">
        <v>4478</v>
      </c>
      <c r="G17" t="s">
        <v>4475</v>
      </c>
      <c r="H17" s="105">
        <v>0.1</v>
      </c>
      <c r="I17" s="105">
        <v>0</v>
      </c>
      <c r="J17" s="105">
        <v>0</v>
      </c>
      <c r="K17" s="105">
        <v>0.9</v>
      </c>
      <c r="L17" s="105">
        <f t="shared" si="0"/>
        <v>1</v>
      </c>
      <c r="M17" s="101" t="s">
        <v>4476</v>
      </c>
      <c r="N17" s="106" t="s">
        <v>4477</v>
      </c>
    </row>
    <row r="18" spans="1:15" ht="13.8" x14ac:dyDescent="0.25">
      <c r="A18" t="s">
        <v>4473</v>
      </c>
      <c r="B18" t="s">
        <v>3904</v>
      </c>
      <c r="C18" t="s">
        <v>3905</v>
      </c>
      <c r="D18" s="104">
        <v>0.05</v>
      </c>
      <c r="E18" s="104"/>
      <c r="F18" t="s">
        <v>4479</v>
      </c>
      <c r="G18" s="101" t="s">
        <v>4480</v>
      </c>
      <c r="H18" s="105">
        <v>0.05</v>
      </c>
      <c r="I18" s="105">
        <v>0.95</v>
      </c>
      <c r="J18" s="105">
        <v>0</v>
      </c>
      <c r="K18" s="105">
        <v>0</v>
      </c>
      <c r="L18" s="105">
        <f t="shared" si="0"/>
        <v>1</v>
      </c>
      <c r="M18" s="101" t="s">
        <v>4481</v>
      </c>
      <c r="N18" s="106" t="s">
        <v>4477</v>
      </c>
    </row>
    <row r="19" spans="1:15" ht="13.8" x14ac:dyDescent="0.25">
      <c r="A19" t="s">
        <v>4473</v>
      </c>
      <c r="B19" t="s">
        <v>3904</v>
      </c>
      <c r="C19" t="s">
        <v>3907</v>
      </c>
      <c r="D19" s="104">
        <v>0.05</v>
      </c>
      <c r="E19" s="104"/>
      <c r="F19" t="s">
        <v>4479</v>
      </c>
      <c r="G19" s="101" t="s">
        <v>4480</v>
      </c>
      <c r="H19" s="105">
        <v>0.05</v>
      </c>
      <c r="I19" s="105">
        <v>0.95</v>
      </c>
      <c r="J19" s="105">
        <v>0</v>
      </c>
      <c r="K19" s="105">
        <v>0</v>
      </c>
      <c r="L19" s="105">
        <f t="shared" si="0"/>
        <v>1</v>
      </c>
      <c r="M19" s="101" t="s">
        <v>4481</v>
      </c>
      <c r="N19" s="106" t="s">
        <v>4477</v>
      </c>
    </row>
    <row r="20" spans="1:15" ht="13.8" x14ac:dyDescent="0.25">
      <c r="A20" t="s">
        <v>4473</v>
      </c>
      <c r="B20" t="s">
        <v>3908</v>
      </c>
      <c r="C20" t="s">
        <v>3909</v>
      </c>
      <c r="D20" s="104">
        <v>0.01</v>
      </c>
      <c r="E20" s="104">
        <f t="shared" ref="E20:E35" si="1">D20/2</f>
        <v>5.0000000000000001E-3</v>
      </c>
      <c r="F20" t="s">
        <v>4482</v>
      </c>
      <c r="G20" t="s">
        <v>2996</v>
      </c>
      <c r="H20" s="101">
        <v>0</v>
      </c>
      <c r="I20" s="105">
        <v>1</v>
      </c>
      <c r="J20" s="105">
        <v>0</v>
      </c>
      <c r="K20" s="105">
        <v>0</v>
      </c>
      <c r="L20" s="105">
        <f t="shared" si="0"/>
        <v>1</v>
      </c>
      <c r="M20" s="101" t="s">
        <v>4483</v>
      </c>
      <c r="N20" s="106" t="s">
        <v>4477</v>
      </c>
      <c r="O20" s="77" t="s">
        <v>4484</v>
      </c>
    </row>
    <row r="21" spans="1:15" ht="13.8" x14ac:dyDescent="0.25">
      <c r="A21" t="s">
        <v>4473</v>
      </c>
      <c r="B21" t="s">
        <v>3908</v>
      </c>
      <c r="C21" t="s">
        <v>3911</v>
      </c>
      <c r="D21" s="104">
        <v>0.01</v>
      </c>
      <c r="E21" s="104">
        <f t="shared" si="1"/>
        <v>5.0000000000000001E-3</v>
      </c>
      <c r="F21" t="s">
        <v>4482</v>
      </c>
      <c r="G21" t="s">
        <v>2996</v>
      </c>
      <c r="H21" s="101">
        <v>0</v>
      </c>
      <c r="I21" s="105">
        <v>1</v>
      </c>
      <c r="J21" s="105">
        <v>0</v>
      </c>
      <c r="K21" s="105">
        <v>0</v>
      </c>
      <c r="L21" s="105">
        <f t="shared" si="0"/>
        <v>1</v>
      </c>
      <c r="M21" s="101" t="s">
        <v>4483</v>
      </c>
      <c r="N21" s="106" t="s">
        <v>4477</v>
      </c>
      <c r="O21" s="77" t="s">
        <v>4484</v>
      </c>
    </row>
    <row r="22" spans="1:15" ht="13.8" x14ac:dyDescent="0.25">
      <c r="A22" t="s">
        <v>4473</v>
      </c>
      <c r="B22" t="s">
        <v>3908</v>
      </c>
      <c r="C22" t="s">
        <v>3913</v>
      </c>
      <c r="D22" s="104">
        <v>0.01</v>
      </c>
      <c r="E22" s="104">
        <f t="shared" si="1"/>
        <v>5.0000000000000001E-3</v>
      </c>
      <c r="F22" t="s">
        <v>4482</v>
      </c>
      <c r="G22" t="s">
        <v>2996</v>
      </c>
      <c r="H22" s="101">
        <v>0</v>
      </c>
      <c r="I22" s="105">
        <v>1</v>
      </c>
      <c r="J22" s="105">
        <v>0</v>
      </c>
      <c r="K22" s="105">
        <v>0</v>
      </c>
      <c r="L22" s="105">
        <f t="shared" si="0"/>
        <v>1</v>
      </c>
      <c r="M22" s="101" t="s">
        <v>4483</v>
      </c>
      <c r="N22" s="106" t="s">
        <v>4477</v>
      </c>
      <c r="O22" s="77" t="s">
        <v>4484</v>
      </c>
    </row>
    <row r="23" spans="1:15" ht="13.8" x14ac:dyDescent="0.25">
      <c r="A23" t="s">
        <v>4473</v>
      </c>
      <c r="B23" t="s">
        <v>3908</v>
      </c>
      <c r="C23" t="s">
        <v>3914</v>
      </c>
      <c r="D23" s="104">
        <v>0.01</v>
      </c>
      <c r="E23" s="104">
        <f t="shared" si="1"/>
        <v>5.0000000000000001E-3</v>
      </c>
      <c r="F23" t="s">
        <v>4482</v>
      </c>
      <c r="G23" t="s">
        <v>2996</v>
      </c>
      <c r="H23" s="101">
        <v>0</v>
      </c>
      <c r="I23" s="105">
        <v>1</v>
      </c>
      <c r="J23" s="105">
        <v>0</v>
      </c>
      <c r="K23" s="105">
        <v>0</v>
      </c>
      <c r="L23" s="105">
        <f t="shared" si="0"/>
        <v>1</v>
      </c>
      <c r="M23" s="101" t="s">
        <v>4483</v>
      </c>
      <c r="N23" s="106" t="s">
        <v>4477</v>
      </c>
      <c r="O23" s="77" t="s">
        <v>4484</v>
      </c>
    </row>
    <row r="24" spans="1:15" ht="13.8" x14ac:dyDescent="0.25">
      <c r="A24" t="s">
        <v>4473</v>
      </c>
      <c r="B24" t="s">
        <v>3908</v>
      </c>
      <c r="C24" t="s">
        <v>3915</v>
      </c>
      <c r="D24" s="104">
        <v>0.01</v>
      </c>
      <c r="E24" s="104">
        <f t="shared" si="1"/>
        <v>5.0000000000000001E-3</v>
      </c>
      <c r="F24" t="s">
        <v>4482</v>
      </c>
      <c r="G24" t="s">
        <v>2996</v>
      </c>
      <c r="H24" s="101">
        <v>0</v>
      </c>
      <c r="I24" s="105">
        <v>1</v>
      </c>
      <c r="J24" s="105">
        <v>0</v>
      </c>
      <c r="K24" s="105">
        <v>0</v>
      </c>
      <c r="L24" s="105">
        <f t="shared" si="0"/>
        <v>1</v>
      </c>
      <c r="M24" s="101" t="s">
        <v>4483</v>
      </c>
      <c r="N24" s="106" t="s">
        <v>4477</v>
      </c>
      <c r="O24" s="77" t="s">
        <v>4484</v>
      </c>
    </row>
    <row r="25" spans="1:15" ht="13.8" x14ac:dyDescent="0.25">
      <c r="A25" t="s">
        <v>4473</v>
      </c>
      <c r="B25" t="s">
        <v>3908</v>
      </c>
      <c r="C25" t="s">
        <v>3916</v>
      </c>
      <c r="D25" s="104">
        <v>0.01</v>
      </c>
      <c r="E25" s="104">
        <f t="shared" si="1"/>
        <v>5.0000000000000001E-3</v>
      </c>
      <c r="F25" t="s">
        <v>4482</v>
      </c>
      <c r="G25" t="s">
        <v>2996</v>
      </c>
      <c r="H25" s="101">
        <v>0</v>
      </c>
      <c r="I25" s="105">
        <v>1</v>
      </c>
      <c r="J25" s="105">
        <v>0</v>
      </c>
      <c r="K25" s="105">
        <v>0</v>
      </c>
      <c r="L25" s="105">
        <f t="shared" si="0"/>
        <v>1</v>
      </c>
      <c r="M25" s="101" t="s">
        <v>4483</v>
      </c>
      <c r="N25" s="106" t="s">
        <v>4477</v>
      </c>
      <c r="O25" s="77" t="s">
        <v>4484</v>
      </c>
    </row>
    <row r="26" spans="1:15" ht="13.8" x14ac:dyDescent="0.25">
      <c r="A26" t="s">
        <v>4473</v>
      </c>
      <c r="B26" t="s">
        <v>3908</v>
      </c>
      <c r="C26" t="s">
        <v>3918</v>
      </c>
      <c r="D26" s="104">
        <v>0.01</v>
      </c>
      <c r="E26" s="104">
        <f t="shared" si="1"/>
        <v>5.0000000000000001E-3</v>
      </c>
      <c r="F26" t="s">
        <v>4482</v>
      </c>
      <c r="G26" t="s">
        <v>2996</v>
      </c>
      <c r="H26" s="101">
        <v>0</v>
      </c>
      <c r="I26" s="105">
        <v>1</v>
      </c>
      <c r="J26" s="105">
        <v>0</v>
      </c>
      <c r="K26" s="105">
        <v>0</v>
      </c>
      <c r="L26" s="105">
        <f t="shared" si="0"/>
        <v>1</v>
      </c>
      <c r="M26" s="101" t="s">
        <v>4483</v>
      </c>
      <c r="N26" s="106" t="s">
        <v>4477</v>
      </c>
      <c r="O26" s="77" t="s">
        <v>4484</v>
      </c>
    </row>
    <row r="27" spans="1:15" ht="13.8" x14ac:dyDescent="0.25">
      <c r="A27" t="s">
        <v>4473</v>
      </c>
      <c r="B27" t="s">
        <v>3908</v>
      </c>
      <c r="C27" t="s">
        <v>3920</v>
      </c>
      <c r="D27" s="104">
        <v>0.01</v>
      </c>
      <c r="E27" s="104">
        <f t="shared" si="1"/>
        <v>5.0000000000000001E-3</v>
      </c>
      <c r="F27" t="s">
        <v>4482</v>
      </c>
      <c r="G27" t="s">
        <v>2996</v>
      </c>
      <c r="H27" s="101">
        <v>0</v>
      </c>
      <c r="I27" s="105">
        <v>1</v>
      </c>
      <c r="J27" s="105">
        <v>0</v>
      </c>
      <c r="K27" s="105">
        <v>0</v>
      </c>
      <c r="L27" s="105">
        <f t="shared" si="0"/>
        <v>1</v>
      </c>
      <c r="M27" s="101" t="s">
        <v>4483</v>
      </c>
      <c r="N27" s="106" t="s">
        <v>4477</v>
      </c>
      <c r="O27" s="77" t="s">
        <v>4484</v>
      </c>
    </row>
    <row r="28" spans="1:15" ht="13.8" x14ac:dyDescent="0.25">
      <c r="A28" t="s">
        <v>4473</v>
      </c>
      <c r="B28" t="s">
        <v>3908</v>
      </c>
      <c r="C28" t="s">
        <v>3921</v>
      </c>
      <c r="D28" s="104">
        <v>0.01</v>
      </c>
      <c r="E28" s="104">
        <f t="shared" si="1"/>
        <v>5.0000000000000001E-3</v>
      </c>
      <c r="F28" t="s">
        <v>4482</v>
      </c>
      <c r="G28" t="s">
        <v>2996</v>
      </c>
      <c r="H28" s="101">
        <v>0</v>
      </c>
      <c r="I28" s="105">
        <v>1</v>
      </c>
      <c r="J28" s="105">
        <v>0</v>
      </c>
      <c r="K28" s="105">
        <v>0</v>
      </c>
      <c r="L28" s="105">
        <f t="shared" si="0"/>
        <v>1</v>
      </c>
      <c r="M28" s="101" t="s">
        <v>4483</v>
      </c>
      <c r="N28" s="106" t="s">
        <v>4477</v>
      </c>
      <c r="O28" s="77" t="s">
        <v>4484</v>
      </c>
    </row>
    <row r="29" spans="1:15" ht="13.8" x14ac:dyDescent="0.25">
      <c r="A29" t="s">
        <v>4473</v>
      </c>
      <c r="B29" t="s">
        <v>3908</v>
      </c>
      <c r="C29" t="s">
        <v>3922</v>
      </c>
      <c r="D29" s="104">
        <v>0.01</v>
      </c>
      <c r="E29" s="104">
        <f t="shared" si="1"/>
        <v>5.0000000000000001E-3</v>
      </c>
      <c r="F29" t="s">
        <v>4482</v>
      </c>
      <c r="G29" t="s">
        <v>2996</v>
      </c>
      <c r="H29" s="101">
        <v>0</v>
      </c>
      <c r="I29" s="105">
        <v>1</v>
      </c>
      <c r="J29" s="105">
        <v>0</v>
      </c>
      <c r="K29" s="105">
        <v>0</v>
      </c>
      <c r="L29" s="105">
        <f t="shared" si="0"/>
        <v>1</v>
      </c>
      <c r="M29" s="101" t="s">
        <v>4483</v>
      </c>
      <c r="N29" s="106" t="s">
        <v>4477</v>
      </c>
      <c r="O29" s="77" t="s">
        <v>4484</v>
      </c>
    </row>
    <row r="30" spans="1:15" ht="13.8" x14ac:dyDescent="0.25">
      <c r="A30" t="s">
        <v>4473</v>
      </c>
      <c r="B30" t="s">
        <v>3908</v>
      </c>
      <c r="C30" t="s">
        <v>3923</v>
      </c>
      <c r="D30" s="104">
        <v>0.01</v>
      </c>
      <c r="E30" s="104">
        <f t="shared" si="1"/>
        <v>5.0000000000000001E-3</v>
      </c>
      <c r="F30" t="s">
        <v>4482</v>
      </c>
      <c r="G30" t="s">
        <v>2996</v>
      </c>
      <c r="H30" s="101">
        <v>0</v>
      </c>
      <c r="I30" s="105">
        <v>1</v>
      </c>
      <c r="J30" s="105">
        <v>0</v>
      </c>
      <c r="K30" s="105">
        <v>0</v>
      </c>
      <c r="L30" s="105">
        <f t="shared" si="0"/>
        <v>1</v>
      </c>
      <c r="M30" s="101" t="s">
        <v>4483</v>
      </c>
      <c r="N30" s="106" t="s">
        <v>4477</v>
      </c>
      <c r="O30" s="77" t="s">
        <v>4484</v>
      </c>
    </row>
    <row r="31" spans="1:15" ht="13.8" x14ac:dyDescent="0.25">
      <c r="A31" t="s">
        <v>4473</v>
      </c>
      <c r="B31" t="s">
        <v>3908</v>
      </c>
      <c r="C31" t="s">
        <v>3925</v>
      </c>
      <c r="D31" s="104">
        <v>0.01</v>
      </c>
      <c r="E31" s="104">
        <f t="shared" si="1"/>
        <v>5.0000000000000001E-3</v>
      </c>
      <c r="F31" t="s">
        <v>4482</v>
      </c>
      <c r="G31" t="s">
        <v>2996</v>
      </c>
      <c r="H31" s="101">
        <v>0</v>
      </c>
      <c r="I31" s="105">
        <v>1</v>
      </c>
      <c r="J31" s="105">
        <v>0</v>
      </c>
      <c r="K31" s="105">
        <v>0</v>
      </c>
      <c r="L31" s="105">
        <f t="shared" si="0"/>
        <v>1</v>
      </c>
      <c r="M31" s="101" t="s">
        <v>4483</v>
      </c>
      <c r="N31" s="106" t="s">
        <v>4477</v>
      </c>
      <c r="O31" s="77" t="s">
        <v>4484</v>
      </c>
    </row>
    <row r="32" spans="1:15" ht="13.8" x14ac:dyDescent="0.25">
      <c r="A32" t="s">
        <v>4473</v>
      </c>
      <c r="B32" t="s">
        <v>3908</v>
      </c>
      <c r="C32" t="s">
        <v>3927</v>
      </c>
      <c r="D32" s="104">
        <v>0.01</v>
      </c>
      <c r="E32" s="104">
        <f t="shared" si="1"/>
        <v>5.0000000000000001E-3</v>
      </c>
      <c r="F32" t="s">
        <v>4482</v>
      </c>
      <c r="G32" t="s">
        <v>2996</v>
      </c>
      <c r="H32" s="101">
        <v>0</v>
      </c>
      <c r="I32" s="105">
        <v>1</v>
      </c>
      <c r="J32" s="105">
        <v>0</v>
      </c>
      <c r="K32" s="105">
        <v>0</v>
      </c>
      <c r="L32" s="105">
        <f t="shared" si="0"/>
        <v>1</v>
      </c>
      <c r="M32" s="101" t="s">
        <v>4483</v>
      </c>
      <c r="N32" s="106" t="s">
        <v>4477</v>
      </c>
      <c r="O32" s="77" t="s">
        <v>4484</v>
      </c>
    </row>
    <row r="33" spans="1:15" ht="13.8" x14ac:dyDescent="0.25">
      <c r="A33" t="s">
        <v>4473</v>
      </c>
      <c r="B33" t="s">
        <v>3908</v>
      </c>
      <c r="C33" t="s">
        <v>3928</v>
      </c>
      <c r="D33" s="104">
        <v>0.01</v>
      </c>
      <c r="E33" s="104">
        <f t="shared" si="1"/>
        <v>5.0000000000000001E-3</v>
      </c>
      <c r="F33" t="s">
        <v>4482</v>
      </c>
      <c r="G33" t="s">
        <v>2996</v>
      </c>
      <c r="H33" s="101">
        <v>0</v>
      </c>
      <c r="I33" s="105">
        <v>1</v>
      </c>
      <c r="J33" s="105">
        <v>0</v>
      </c>
      <c r="K33" s="105">
        <v>0</v>
      </c>
      <c r="L33" s="105">
        <f t="shared" si="0"/>
        <v>1</v>
      </c>
      <c r="M33" s="101" t="s">
        <v>4483</v>
      </c>
      <c r="N33" s="106" t="s">
        <v>4477</v>
      </c>
      <c r="O33" s="77" t="s">
        <v>4484</v>
      </c>
    </row>
    <row r="34" spans="1:15" ht="13.8" x14ac:dyDescent="0.25">
      <c r="A34" t="s">
        <v>4473</v>
      </c>
      <c r="B34" t="s">
        <v>3908</v>
      </c>
      <c r="C34" t="s">
        <v>3929</v>
      </c>
      <c r="D34" s="104">
        <v>0.01</v>
      </c>
      <c r="E34" s="104">
        <f t="shared" si="1"/>
        <v>5.0000000000000001E-3</v>
      </c>
      <c r="F34" t="s">
        <v>4482</v>
      </c>
      <c r="G34" t="s">
        <v>2996</v>
      </c>
      <c r="H34" s="101">
        <v>0</v>
      </c>
      <c r="I34" s="105">
        <v>1</v>
      </c>
      <c r="J34" s="105">
        <v>0</v>
      </c>
      <c r="K34" s="105">
        <v>0</v>
      </c>
      <c r="L34" s="105">
        <f t="shared" si="0"/>
        <v>1</v>
      </c>
      <c r="M34" s="101" t="s">
        <v>4483</v>
      </c>
      <c r="N34" s="106" t="s">
        <v>4477</v>
      </c>
      <c r="O34" s="77" t="s">
        <v>4484</v>
      </c>
    </row>
    <row r="35" spans="1:15" ht="13.8" x14ac:dyDescent="0.25">
      <c r="A35" t="s">
        <v>4473</v>
      </c>
      <c r="B35" t="s">
        <v>2966</v>
      </c>
      <c r="C35" t="s">
        <v>2967</v>
      </c>
      <c r="D35" s="104">
        <v>0.01</v>
      </c>
      <c r="E35" s="104">
        <f t="shared" si="1"/>
        <v>5.0000000000000001E-3</v>
      </c>
      <c r="F35" t="s">
        <v>4482</v>
      </c>
      <c r="G35" t="s">
        <v>2996</v>
      </c>
      <c r="H35" s="101">
        <v>0</v>
      </c>
      <c r="I35" s="105">
        <v>1</v>
      </c>
      <c r="J35" s="105">
        <v>0</v>
      </c>
      <c r="K35" s="105">
        <v>0</v>
      </c>
      <c r="L35" s="105">
        <f t="shared" si="0"/>
        <v>1</v>
      </c>
      <c r="M35" s="101" t="s">
        <v>4483</v>
      </c>
      <c r="N35" s="106" t="s">
        <v>4477</v>
      </c>
      <c r="O35" s="77" t="s">
        <v>4484</v>
      </c>
    </row>
    <row r="36" spans="1:15" ht="13.8" x14ac:dyDescent="0.25">
      <c r="A36" t="s">
        <v>4473</v>
      </c>
      <c r="B36" t="s">
        <v>3931</v>
      </c>
      <c r="C36" t="s">
        <v>3545</v>
      </c>
      <c r="D36" s="104">
        <v>0.1</v>
      </c>
      <c r="E36" s="104">
        <f>D36/2</f>
        <v>0.05</v>
      </c>
      <c r="F36" t="s">
        <v>4485</v>
      </c>
      <c r="G36" t="s">
        <v>4486</v>
      </c>
      <c r="H36" s="105">
        <v>0.15</v>
      </c>
      <c r="I36" s="107">
        <v>0.41649999999999998</v>
      </c>
      <c r="J36" s="107">
        <v>6.8000000000000005E-2</v>
      </c>
      <c r="K36" s="107">
        <v>0.36549999999999999</v>
      </c>
      <c r="L36" s="105">
        <f t="shared" si="0"/>
        <v>1</v>
      </c>
      <c r="M36" s="101" t="s">
        <v>4487</v>
      </c>
      <c r="N36" s="106" t="s">
        <v>4477</v>
      </c>
      <c r="O36" s="77" t="s">
        <v>4484</v>
      </c>
    </row>
    <row r="37" spans="1:15" ht="13.8" x14ac:dyDescent="0.25">
      <c r="A37" t="s">
        <v>4473</v>
      </c>
      <c r="B37" t="s">
        <v>3931</v>
      </c>
      <c r="C37" t="s">
        <v>3509</v>
      </c>
      <c r="D37" s="104">
        <v>0.1</v>
      </c>
      <c r="E37" s="104">
        <f t="shared" ref="E37:E44" si="2">D37/2</f>
        <v>0.05</v>
      </c>
      <c r="F37" t="s">
        <v>4485</v>
      </c>
      <c r="G37" t="s">
        <v>4486</v>
      </c>
      <c r="H37" s="105">
        <v>0.15</v>
      </c>
      <c r="I37" s="107">
        <v>0.41649999999999998</v>
      </c>
      <c r="J37" s="107">
        <v>6.8000000000000005E-2</v>
      </c>
      <c r="K37" s="107">
        <v>0.36549999999999999</v>
      </c>
      <c r="L37" s="105">
        <f t="shared" si="0"/>
        <v>1</v>
      </c>
      <c r="M37" s="101" t="s">
        <v>4487</v>
      </c>
      <c r="N37" s="106" t="s">
        <v>4477</v>
      </c>
      <c r="O37" s="77" t="s">
        <v>4484</v>
      </c>
    </row>
    <row r="38" spans="1:15" ht="13.8" x14ac:dyDescent="0.25">
      <c r="A38" t="s">
        <v>4473</v>
      </c>
      <c r="B38" t="s">
        <v>3931</v>
      </c>
      <c r="C38" t="s">
        <v>3934</v>
      </c>
      <c r="D38" s="104">
        <v>0.1</v>
      </c>
      <c r="E38" s="104">
        <f t="shared" si="2"/>
        <v>0.05</v>
      </c>
      <c r="F38" t="s">
        <v>4485</v>
      </c>
      <c r="G38" t="s">
        <v>4486</v>
      </c>
      <c r="H38" s="105">
        <v>0.15</v>
      </c>
      <c r="I38" s="107">
        <v>0.41649999999999998</v>
      </c>
      <c r="J38" s="107">
        <v>6.8000000000000005E-2</v>
      </c>
      <c r="K38" s="107">
        <v>0.36549999999999999</v>
      </c>
      <c r="L38" s="105">
        <f t="shared" si="0"/>
        <v>1</v>
      </c>
      <c r="M38" s="101" t="s">
        <v>4487</v>
      </c>
      <c r="N38" s="106" t="s">
        <v>4477</v>
      </c>
      <c r="O38" s="77" t="s">
        <v>4484</v>
      </c>
    </row>
    <row r="39" spans="1:15" ht="13.8" x14ac:dyDescent="0.25">
      <c r="A39" t="s">
        <v>4473</v>
      </c>
      <c r="B39" t="s">
        <v>3935</v>
      </c>
      <c r="C39" t="s">
        <v>2423</v>
      </c>
      <c r="D39" s="104">
        <v>0.1</v>
      </c>
      <c r="E39" s="104">
        <f t="shared" si="2"/>
        <v>0.05</v>
      </c>
      <c r="F39" t="s">
        <v>4488</v>
      </c>
      <c r="G39" t="s">
        <v>4489</v>
      </c>
      <c r="H39" s="21">
        <v>0.05</v>
      </c>
      <c r="I39" s="21">
        <v>0.46549999999999997</v>
      </c>
      <c r="J39" s="21">
        <v>0.40849999999999997</v>
      </c>
      <c r="K39" s="21">
        <v>7.5999999999999998E-2</v>
      </c>
      <c r="L39" s="105">
        <f>SUM(H39:K39)</f>
        <v>0.99999999999999989</v>
      </c>
      <c r="M39" s="101" t="s">
        <v>4490</v>
      </c>
      <c r="N39" s="106" t="s">
        <v>4477</v>
      </c>
      <c r="O39" s="77" t="s">
        <v>4484</v>
      </c>
    </row>
    <row r="40" spans="1:15" ht="13.8" x14ac:dyDescent="0.25">
      <c r="A40" t="s">
        <v>4473</v>
      </c>
      <c r="B40" t="s">
        <v>3935</v>
      </c>
      <c r="C40" t="s">
        <v>3499</v>
      </c>
      <c r="D40" s="104">
        <v>0.1</v>
      </c>
      <c r="E40" s="104">
        <f t="shared" si="2"/>
        <v>0.05</v>
      </c>
      <c r="F40" t="s">
        <v>4488</v>
      </c>
      <c r="G40" t="s">
        <v>4489</v>
      </c>
      <c r="H40" s="21">
        <v>0.05</v>
      </c>
      <c r="I40" s="21">
        <v>0.46549999999999997</v>
      </c>
      <c r="J40" s="21">
        <v>0.40849999999999997</v>
      </c>
      <c r="K40" s="21">
        <v>7.5999999999999998E-2</v>
      </c>
      <c r="L40" s="105">
        <f>SUM(H40:K40)</f>
        <v>0.99999999999999989</v>
      </c>
      <c r="M40" s="101" t="s">
        <v>4490</v>
      </c>
      <c r="N40" s="106" t="s">
        <v>4477</v>
      </c>
      <c r="O40" s="77" t="s">
        <v>4484</v>
      </c>
    </row>
    <row r="41" spans="1:15" ht="13.8" x14ac:dyDescent="0.25">
      <c r="A41" t="s">
        <v>4473</v>
      </c>
      <c r="B41" t="s">
        <v>3935</v>
      </c>
      <c r="C41" t="s">
        <v>3532</v>
      </c>
      <c r="D41" s="104">
        <v>0.05</v>
      </c>
      <c r="E41" s="104">
        <f t="shared" si="2"/>
        <v>2.5000000000000001E-2</v>
      </c>
      <c r="F41" t="s">
        <v>4488</v>
      </c>
      <c r="G41" t="s">
        <v>4491</v>
      </c>
      <c r="H41" s="105">
        <v>0.15</v>
      </c>
      <c r="I41" s="107">
        <v>0.41649999999999998</v>
      </c>
      <c r="J41" s="107">
        <v>6.8000000000000005E-2</v>
      </c>
      <c r="K41" s="107">
        <v>0.36549999999999999</v>
      </c>
      <c r="L41" s="105">
        <f t="shared" si="0"/>
        <v>1</v>
      </c>
      <c r="M41" s="101" t="s">
        <v>4487</v>
      </c>
      <c r="N41" s="106" t="s">
        <v>4477</v>
      </c>
      <c r="O41" s="77" t="s">
        <v>4484</v>
      </c>
    </row>
    <row r="42" spans="1:15" ht="13.8" x14ac:dyDescent="0.25">
      <c r="A42" t="s">
        <v>4473</v>
      </c>
      <c r="B42" t="s">
        <v>3935</v>
      </c>
      <c r="C42" t="s">
        <v>3551</v>
      </c>
      <c r="D42" s="104">
        <v>0.05</v>
      </c>
      <c r="E42" s="104">
        <f t="shared" si="2"/>
        <v>2.5000000000000001E-2</v>
      </c>
      <c r="F42" t="s">
        <v>4488</v>
      </c>
      <c r="G42" t="s">
        <v>4491</v>
      </c>
      <c r="H42" s="105">
        <v>0.15</v>
      </c>
      <c r="I42" s="107">
        <v>0.41649999999999998</v>
      </c>
      <c r="J42" s="107">
        <v>6.8000000000000005E-2</v>
      </c>
      <c r="K42" s="107">
        <v>0.36549999999999999</v>
      </c>
      <c r="L42" s="105">
        <f t="shared" si="0"/>
        <v>1</v>
      </c>
      <c r="M42" s="101" t="s">
        <v>4487</v>
      </c>
      <c r="N42" s="106" t="s">
        <v>4477</v>
      </c>
      <c r="O42" s="77" t="s">
        <v>4484</v>
      </c>
    </row>
    <row r="43" spans="1:15" ht="13.8" x14ac:dyDescent="0.25">
      <c r="A43" t="s">
        <v>4473</v>
      </c>
      <c r="B43" t="s">
        <v>3935</v>
      </c>
      <c r="C43" t="s">
        <v>3520</v>
      </c>
      <c r="D43" s="104">
        <v>0.05</v>
      </c>
      <c r="E43" s="104">
        <f t="shared" si="2"/>
        <v>2.5000000000000001E-2</v>
      </c>
      <c r="F43" t="s">
        <v>4488</v>
      </c>
      <c r="G43" t="s">
        <v>4491</v>
      </c>
      <c r="H43" s="105">
        <v>0.15</v>
      </c>
      <c r="I43" s="107">
        <v>0.41649999999999998</v>
      </c>
      <c r="J43" s="107">
        <v>6.8000000000000005E-2</v>
      </c>
      <c r="K43" s="107">
        <v>0.36549999999999999</v>
      </c>
      <c r="L43" s="105">
        <f t="shared" si="0"/>
        <v>1</v>
      </c>
      <c r="M43" s="101" t="s">
        <v>4487</v>
      </c>
      <c r="N43" s="106" t="s">
        <v>4477</v>
      </c>
      <c r="O43" s="77" t="s">
        <v>4484</v>
      </c>
    </row>
    <row r="44" spans="1:15" ht="13.8" x14ac:dyDescent="0.25">
      <c r="A44" t="s">
        <v>4473</v>
      </c>
      <c r="B44" t="s">
        <v>3935</v>
      </c>
      <c r="C44" t="s">
        <v>3504</v>
      </c>
      <c r="D44" s="104">
        <v>0.05</v>
      </c>
      <c r="E44" s="104">
        <f t="shared" si="2"/>
        <v>2.5000000000000001E-2</v>
      </c>
      <c r="F44" t="s">
        <v>4488</v>
      </c>
      <c r="G44" t="s">
        <v>4491</v>
      </c>
      <c r="H44" s="105">
        <v>0.15</v>
      </c>
      <c r="I44" s="107">
        <v>0.41649999999999998</v>
      </c>
      <c r="J44" s="107">
        <v>6.8000000000000005E-2</v>
      </c>
      <c r="K44" s="107">
        <v>0.36549999999999999</v>
      </c>
      <c r="L44" s="105">
        <f t="shared" si="0"/>
        <v>1</v>
      </c>
      <c r="M44" s="101" t="s">
        <v>4487</v>
      </c>
      <c r="N44" s="106" t="s">
        <v>4477</v>
      </c>
      <c r="O44" s="77" t="s">
        <v>4484</v>
      </c>
    </row>
    <row r="45" spans="1:15" ht="13.8" x14ac:dyDescent="0.25">
      <c r="A45" t="s">
        <v>4473</v>
      </c>
      <c r="B45" t="s">
        <v>3942</v>
      </c>
      <c r="C45" t="s">
        <v>2710</v>
      </c>
      <c r="D45" s="104">
        <v>0.05</v>
      </c>
      <c r="E45" s="104"/>
      <c r="F45" t="s">
        <v>4478</v>
      </c>
      <c r="G45" t="s">
        <v>4475</v>
      </c>
      <c r="H45" s="105">
        <v>0.1</v>
      </c>
      <c r="I45" s="105">
        <v>0</v>
      </c>
      <c r="J45" s="105">
        <v>0</v>
      </c>
      <c r="K45" s="105">
        <v>0.9</v>
      </c>
      <c r="L45" s="105">
        <f t="shared" si="0"/>
        <v>1</v>
      </c>
      <c r="M45" s="101" t="s">
        <v>4476</v>
      </c>
      <c r="N45" s="106" t="s">
        <v>4477</v>
      </c>
    </row>
    <row r="46" spans="1:15" ht="13.8" x14ac:dyDescent="0.25">
      <c r="A46" t="s">
        <v>4473</v>
      </c>
      <c r="B46" t="s">
        <v>3942</v>
      </c>
      <c r="C46" t="s">
        <v>3901</v>
      </c>
      <c r="D46" s="104">
        <v>0.05</v>
      </c>
      <c r="E46" s="104"/>
      <c r="F46" t="s">
        <v>4478</v>
      </c>
      <c r="G46" t="s">
        <v>4475</v>
      </c>
      <c r="H46" s="105">
        <v>0.1</v>
      </c>
      <c r="I46" s="105">
        <v>0</v>
      </c>
      <c r="J46" s="105">
        <v>0</v>
      </c>
      <c r="K46" s="105">
        <v>0.9</v>
      </c>
      <c r="L46" s="105">
        <f t="shared" si="0"/>
        <v>1</v>
      </c>
      <c r="M46" s="101" t="s">
        <v>4476</v>
      </c>
      <c r="N46" s="106" t="s">
        <v>4477</v>
      </c>
    </row>
    <row r="47" spans="1:15" ht="13.8" x14ac:dyDescent="0.25">
      <c r="A47" t="s">
        <v>4473</v>
      </c>
      <c r="B47" t="s">
        <v>3942</v>
      </c>
      <c r="C47" t="s">
        <v>2779</v>
      </c>
      <c r="D47" s="104">
        <v>0.05</v>
      </c>
      <c r="E47" s="104"/>
      <c r="F47" t="s">
        <v>4478</v>
      </c>
      <c r="G47" t="s">
        <v>4475</v>
      </c>
      <c r="H47" s="105">
        <v>0.1</v>
      </c>
      <c r="I47" s="105">
        <v>0</v>
      </c>
      <c r="J47" s="105">
        <v>0</v>
      </c>
      <c r="K47" s="105">
        <v>0.9</v>
      </c>
      <c r="L47" s="105">
        <f t="shared" si="0"/>
        <v>1</v>
      </c>
      <c r="M47" s="101" t="s">
        <v>4476</v>
      </c>
      <c r="N47" s="106" t="s">
        <v>4477</v>
      </c>
    </row>
    <row r="48" spans="1:15" x14ac:dyDescent="0.25">
      <c r="A48" t="s">
        <v>4473</v>
      </c>
      <c r="B48" t="s">
        <v>3945</v>
      </c>
      <c r="C48" t="s">
        <v>3310</v>
      </c>
      <c r="D48" s="104">
        <v>0.01</v>
      </c>
      <c r="E48" s="104"/>
      <c r="F48" t="s">
        <v>4492</v>
      </c>
      <c r="G48" t="s">
        <v>4493</v>
      </c>
      <c r="H48" s="21">
        <v>0</v>
      </c>
      <c r="I48" s="21">
        <v>0</v>
      </c>
      <c r="J48" s="21">
        <v>0</v>
      </c>
      <c r="K48" s="21">
        <v>1</v>
      </c>
      <c r="L48" s="105">
        <f t="shared" si="0"/>
        <v>1</v>
      </c>
      <c r="M48" s="101" t="s">
        <v>4494</v>
      </c>
    </row>
    <row r="49" spans="1:15" x14ac:dyDescent="0.25">
      <c r="A49" t="s">
        <v>4473</v>
      </c>
      <c r="B49" t="s">
        <v>3945</v>
      </c>
      <c r="C49" t="s">
        <v>3314</v>
      </c>
      <c r="D49" s="104">
        <v>0.01</v>
      </c>
      <c r="E49" s="104"/>
      <c r="F49" t="s">
        <v>4492</v>
      </c>
      <c r="G49" t="s">
        <v>4493</v>
      </c>
      <c r="H49" s="21">
        <v>0</v>
      </c>
      <c r="I49" s="21">
        <v>0</v>
      </c>
      <c r="J49" s="21">
        <v>0</v>
      </c>
      <c r="K49" s="21">
        <v>1</v>
      </c>
      <c r="L49" s="105">
        <f t="shared" si="0"/>
        <v>1</v>
      </c>
      <c r="M49" s="101" t="s">
        <v>4494</v>
      </c>
    </row>
    <row r="50" spans="1:15" x14ac:dyDescent="0.25">
      <c r="A50" t="s">
        <v>4473</v>
      </c>
      <c r="B50" t="s">
        <v>150</v>
      </c>
      <c r="C50" t="s">
        <v>3948</v>
      </c>
      <c r="D50" s="104">
        <v>0</v>
      </c>
      <c r="E50" s="104"/>
      <c r="F50" t="s">
        <v>4478</v>
      </c>
      <c r="G50" t="s">
        <v>4475</v>
      </c>
      <c r="H50" s="21">
        <v>0</v>
      </c>
      <c r="I50" s="21">
        <v>0</v>
      </c>
      <c r="J50" s="21">
        <v>0</v>
      </c>
      <c r="K50" s="21">
        <v>1</v>
      </c>
      <c r="L50" s="105">
        <f t="shared" si="0"/>
        <v>1</v>
      </c>
      <c r="M50" s="101" t="s">
        <v>4495</v>
      </c>
    </row>
    <row r="51" spans="1:15" x14ac:dyDescent="0.25">
      <c r="A51" t="s">
        <v>4473</v>
      </c>
      <c r="B51" t="s">
        <v>150</v>
      </c>
      <c r="C51" t="s">
        <v>152</v>
      </c>
      <c r="D51" s="104">
        <v>0</v>
      </c>
      <c r="E51" s="104"/>
      <c r="F51" t="s">
        <v>4478</v>
      </c>
      <c r="G51" t="s">
        <v>4475</v>
      </c>
      <c r="H51" s="21">
        <v>0</v>
      </c>
      <c r="I51" s="21">
        <v>0</v>
      </c>
      <c r="J51" s="21">
        <v>0</v>
      </c>
      <c r="K51" s="21">
        <v>1</v>
      </c>
      <c r="L51" s="105">
        <f t="shared" si="0"/>
        <v>1</v>
      </c>
      <c r="M51" s="101" t="s">
        <v>4495</v>
      </c>
    </row>
    <row r="52" spans="1:15" x14ac:dyDescent="0.25">
      <c r="A52" t="s">
        <v>4473</v>
      </c>
      <c r="B52" t="s">
        <v>3950</v>
      </c>
      <c r="C52" t="s">
        <v>161</v>
      </c>
      <c r="D52" s="104">
        <v>0</v>
      </c>
      <c r="E52" s="104"/>
      <c r="F52" t="s">
        <v>4478</v>
      </c>
      <c r="G52" t="s">
        <v>4475</v>
      </c>
      <c r="H52" s="21">
        <v>0</v>
      </c>
      <c r="I52" s="21">
        <v>0</v>
      </c>
      <c r="J52" s="21">
        <v>0</v>
      </c>
      <c r="K52" s="21">
        <v>1</v>
      </c>
      <c r="L52" s="105">
        <f t="shared" si="0"/>
        <v>1</v>
      </c>
      <c r="M52" s="101" t="s">
        <v>4495</v>
      </c>
    </row>
    <row r="53" spans="1:15" x14ac:dyDescent="0.25">
      <c r="A53" t="s">
        <v>4473</v>
      </c>
      <c r="B53" t="s">
        <v>3950</v>
      </c>
      <c r="C53" t="s">
        <v>978</v>
      </c>
      <c r="D53" s="104">
        <v>0</v>
      </c>
      <c r="E53" s="104"/>
      <c r="F53" t="s">
        <v>4478</v>
      </c>
      <c r="G53" t="s">
        <v>4475</v>
      </c>
      <c r="H53" s="21">
        <v>0</v>
      </c>
      <c r="I53" s="21">
        <v>0</v>
      </c>
      <c r="J53" s="21">
        <v>0</v>
      </c>
      <c r="K53" s="21">
        <v>1</v>
      </c>
      <c r="L53" s="105">
        <f t="shared" si="0"/>
        <v>1</v>
      </c>
      <c r="M53" s="101" t="s">
        <v>4495</v>
      </c>
    </row>
    <row r="54" spans="1:15" ht="13.8" x14ac:dyDescent="0.25">
      <c r="A54" t="s">
        <v>4496</v>
      </c>
      <c r="B54" t="s">
        <v>3953</v>
      </c>
      <c r="C54" t="s">
        <v>3173</v>
      </c>
      <c r="D54" s="104">
        <v>0.01</v>
      </c>
      <c r="E54" s="104"/>
      <c r="F54" t="s">
        <v>4478</v>
      </c>
      <c r="G54" t="s">
        <v>2996</v>
      </c>
      <c r="H54" s="105">
        <v>0.05</v>
      </c>
      <c r="I54" s="105">
        <v>0.95</v>
      </c>
      <c r="J54" s="105">
        <v>0</v>
      </c>
      <c r="K54" s="105">
        <v>0</v>
      </c>
      <c r="L54" s="105">
        <f t="shared" si="0"/>
        <v>1</v>
      </c>
      <c r="M54" s="101" t="s">
        <v>4481</v>
      </c>
      <c r="N54" s="106" t="s">
        <v>4477</v>
      </c>
    </row>
    <row r="55" spans="1:15" ht="13.8" x14ac:dyDescent="0.25">
      <c r="A55" t="s">
        <v>4496</v>
      </c>
      <c r="B55" t="s">
        <v>3953</v>
      </c>
      <c r="C55" t="s">
        <v>3248</v>
      </c>
      <c r="D55" s="104">
        <v>0.01</v>
      </c>
      <c r="E55" s="104"/>
      <c r="F55" t="s">
        <v>4478</v>
      </c>
      <c r="G55" t="s">
        <v>2996</v>
      </c>
      <c r="H55" s="105">
        <v>0.05</v>
      </c>
      <c r="I55" s="105">
        <v>0.95</v>
      </c>
      <c r="J55" s="105">
        <v>0</v>
      </c>
      <c r="K55" s="105">
        <v>0</v>
      </c>
      <c r="L55" s="105">
        <f t="shared" si="0"/>
        <v>1</v>
      </c>
      <c r="M55" s="101" t="s">
        <v>4481</v>
      </c>
      <c r="N55" s="106" t="s">
        <v>4477</v>
      </c>
    </row>
    <row r="56" spans="1:15" ht="13.8" x14ac:dyDescent="0.25">
      <c r="A56" t="s">
        <v>4496</v>
      </c>
      <c r="B56" t="s">
        <v>3956</v>
      </c>
      <c r="C56" t="s">
        <v>214</v>
      </c>
      <c r="D56" s="104">
        <v>0.01</v>
      </c>
      <c r="E56" s="104"/>
      <c r="F56" t="s">
        <v>4478</v>
      </c>
      <c r="G56" t="s">
        <v>178</v>
      </c>
      <c r="H56" s="105">
        <v>0.05</v>
      </c>
      <c r="I56" s="105">
        <v>0.95</v>
      </c>
      <c r="J56" s="105">
        <v>0</v>
      </c>
      <c r="K56" s="105">
        <v>0</v>
      </c>
      <c r="L56" s="105">
        <f t="shared" si="0"/>
        <v>1</v>
      </c>
      <c r="M56" s="101" t="s">
        <v>4481</v>
      </c>
      <c r="N56" s="106" t="s">
        <v>4477</v>
      </c>
    </row>
    <row r="57" spans="1:15" ht="13.8" x14ac:dyDescent="0.25">
      <c r="A57" t="s">
        <v>4496</v>
      </c>
      <c r="B57" t="s">
        <v>3958</v>
      </c>
      <c r="C57" t="s">
        <v>3959</v>
      </c>
      <c r="D57" s="104">
        <v>0.05</v>
      </c>
      <c r="E57" s="104"/>
      <c r="F57" t="s">
        <v>4478</v>
      </c>
      <c r="G57" t="s">
        <v>4475</v>
      </c>
      <c r="H57" s="105">
        <v>0.1</v>
      </c>
      <c r="I57" s="105">
        <v>0</v>
      </c>
      <c r="J57" s="105">
        <v>0</v>
      </c>
      <c r="K57" s="105">
        <v>0.9</v>
      </c>
      <c r="L57" s="105">
        <f t="shared" si="0"/>
        <v>1</v>
      </c>
      <c r="M57" s="101" t="s">
        <v>4476</v>
      </c>
      <c r="N57" s="106" t="s">
        <v>4477</v>
      </c>
    </row>
    <row r="58" spans="1:15" ht="13.8" x14ac:dyDescent="0.25">
      <c r="A58" t="s">
        <v>4496</v>
      </c>
      <c r="B58" t="s">
        <v>3958</v>
      </c>
      <c r="C58" t="s">
        <v>3961</v>
      </c>
      <c r="D58" s="104">
        <v>0.05</v>
      </c>
      <c r="E58" s="104"/>
      <c r="F58" t="s">
        <v>4478</v>
      </c>
      <c r="G58" t="s">
        <v>4475</v>
      </c>
      <c r="H58" s="105">
        <v>0.1</v>
      </c>
      <c r="I58" s="105">
        <v>0</v>
      </c>
      <c r="J58" s="105">
        <v>0</v>
      </c>
      <c r="K58" s="105">
        <v>0.9</v>
      </c>
      <c r="L58" s="105">
        <f t="shared" si="0"/>
        <v>1</v>
      </c>
      <c r="M58" s="101" t="s">
        <v>4476</v>
      </c>
      <c r="N58" s="106" t="s">
        <v>4477</v>
      </c>
    </row>
    <row r="59" spans="1:15" ht="13.8" x14ac:dyDescent="0.25">
      <c r="A59" t="s">
        <v>4496</v>
      </c>
      <c r="B59" t="s">
        <v>3958</v>
      </c>
      <c r="C59" t="s">
        <v>3962</v>
      </c>
      <c r="D59" s="104">
        <v>0.05</v>
      </c>
      <c r="E59" s="104"/>
      <c r="F59" t="s">
        <v>4478</v>
      </c>
      <c r="G59" t="s">
        <v>4475</v>
      </c>
      <c r="H59" s="105">
        <v>0.1</v>
      </c>
      <c r="I59" s="105">
        <v>0</v>
      </c>
      <c r="J59" s="105">
        <v>0</v>
      </c>
      <c r="K59" s="105">
        <v>0.9</v>
      </c>
      <c r="L59" s="105">
        <f t="shared" si="0"/>
        <v>1</v>
      </c>
      <c r="M59" s="101" t="s">
        <v>4476</v>
      </c>
      <c r="N59" s="106" t="s">
        <v>4477</v>
      </c>
    </row>
    <row r="60" spans="1:15" ht="13.8" x14ac:dyDescent="0.25">
      <c r="A60" t="s">
        <v>4496</v>
      </c>
      <c r="B60" t="s">
        <v>3963</v>
      </c>
      <c r="C60" t="s">
        <v>2611</v>
      </c>
      <c r="D60" s="104">
        <v>0.15</v>
      </c>
      <c r="E60" s="104">
        <f t="shared" ref="E60:E62" si="3">D60/2</f>
        <v>7.4999999999999997E-2</v>
      </c>
      <c r="F60" t="s">
        <v>4492</v>
      </c>
      <c r="G60" t="s">
        <v>4475</v>
      </c>
      <c r="H60" s="105">
        <v>0.1</v>
      </c>
      <c r="I60" s="105">
        <v>0</v>
      </c>
      <c r="J60" s="105">
        <v>0</v>
      </c>
      <c r="K60" s="105">
        <v>0.9</v>
      </c>
      <c r="L60" s="105">
        <f t="shared" si="0"/>
        <v>1</v>
      </c>
      <c r="M60" s="101" t="s">
        <v>4497</v>
      </c>
      <c r="N60" s="106" t="s">
        <v>4477</v>
      </c>
      <c r="O60" s="77" t="s">
        <v>4484</v>
      </c>
    </row>
    <row r="61" spans="1:15" ht="13.8" x14ac:dyDescent="0.25">
      <c r="A61" t="s">
        <v>4496</v>
      </c>
      <c r="B61" t="s">
        <v>3963</v>
      </c>
      <c r="C61" t="s">
        <v>2329</v>
      </c>
      <c r="D61" s="104">
        <v>0.15</v>
      </c>
      <c r="E61" s="104">
        <f t="shared" si="3"/>
        <v>7.4999999999999997E-2</v>
      </c>
      <c r="F61" t="s">
        <v>4492</v>
      </c>
      <c r="G61" t="s">
        <v>4475</v>
      </c>
      <c r="H61" s="105">
        <v>0.1</v>
      </c>
      <c r="I61" s="105">
        <v>0</v>
      </c>
      <c r="J61" s="105">
        <v>0</v>
      </c>
      <c r="K61" s="105">
        <v>0.9</v>
      </c>
      <c r="L61" s="105">
        <f t="shared" si="0"/>
        <v>1</v>
      </c>
      <c r="M61" s="101" t="s">
        <v>4497</v>
      </c>
      <c r="N61" s="106" t="s">
        <v>4477</v>
      </c>
      <c r="O61" s="77" t="s">
        <v>4484</v>
      </c>
    </row>
    <row r="62" spans="1:15" ht="13.8" x14ac:dyDescent="0.25">
      <c r="A62" t="s">
        <v>4496</v>
      </c>
      <c r="B62" t="s">
        <v>3963</v>
      </c>
      <c r="C62" t="s">
        <v>2897</v>
      </c>
      <c r="D62" s="104">
        <v>0.15</v>
      </c>
      <c r="E62" s="104">
        <f t="shared" si="3"/>
        <v>7.4999999999999997E-2</v>
      </c>
      <c r="F62" t="s">
        <v>4498</v>
      </c>
      <c r="G62" t="s">
        <v>4475</v>
      </c>
      <c r="H62" s="105">
        <v>0.1</v>
      </c>
      <c r="I62" s="105">
        <v>0</v>
      </c>
      <c r="J62" s="105">
        <v>0</v>
      </c>
      <c r="K62" s="105">
        <v>0.9</v>
      </c>
      <c r="L62" s="105">
        <f t="shared" si="0"/>
        <v>1</v>
      </c>
      <c r="M62" s="101" t="s">
        <v>4497</v>
      </c>
      <c r="N62" s="106" t="s">
        <v>4477</v>
      </c>
      <c r="O62" s="77" t="s">
        <v>4484</v>
      </c>
    </row>
    <row r="63" spans="1:15" ht="13.8" x14ac:dyDescent="0.25">
      <c r="A63" t="s">
        <v>4496</v>
      </c>
      <c r="B63" t="s">
        <v>3965</v>
      </c>
      <c r="C63" t="s">
        <v>3966</v>
      </c>
      <c r="D63" s="104">
        <v>0.1</v>
      </c>
      <c r="E63" s="104">
        <f t="shared" ref="E63:E65" si="4">D63/2</f>
        <v>0.05</v>
      </c>
      <c r="F63" t="s">
        <v>4499</v>
      </c>
      <c r="G63" t="s">
        <v>4486</v>
      </c>
      <c r="H63" s="105">
        <v>0.15</v>
      </c>
      <c r="I63" s="107">
        <v>0.41649999999999998</v>
      </c>
      <c r="J63" s="107">
        <v>6.8000000000000005E-2</v>
      </c>
      <c r="K63" s="107">
        <v>0.36549999999999999</v>
      </c>
      <c r="L63" s="105">
        <f t="shared" si="0"/>
        <v>1</v>
      </c>
      <c r="M63" s="101" t="s">
        <v>4500</v>
      </c>
      <c r="N63" s="77" t="s">
        <v>4484</v>
      </c>
      <c r="O63" s="77"/>
    </row>
    <row r="64" spans="1:15" ht="13.8" x14ac:dyDescent="0.25">
      <c r="A64" t="s">
        <v>4496</v>
      </c>
      <c r="B64" t="s">
        <v>3965</v>
      </c>
      <c r="C64" t="s">
        <v>2422</v>
      </c>
      <c r="D64" s="104">
        <v>0.1</v>
      </c>
      <c r="E64" s="104">
        <f t="shared" si="4"/>
        <v>0.05</v>
      </c>
      <c r="F64" t="s">
        <v>4499</v>
      </c>
      <c r="G64" t="s">
        <v>4489</v>
      </c>
      <c r="H64" s="21">
        <v>0.05</v>
      </c>
      <c r="I64" s="21">
        <v>0.46549999999999997</v>
      </c>
      <c r="J64" s="21">
        <v>0.40849999999999997</v>
      </c>
      <c r="K64" s="21">
        <v>7.5999999999999998E-2</v>
      </c>
      <c r="L64" s="105">
        <f>SUM(H64:K64)</f>
        <v>0.99999999999999989</v>
      </c>
      <c r="M64" s="101" t="s">
        <v>4490</v>
      </c>
      <c r="N64" s="106" t="s">
        <v>4477</v>
      </c>
      <c r="O64" s="77" t="s">
        <v>4484</v>
      </c>
    </row>
    <row r="65" spans="1:15" ht="13.8" x14ac:dyDescent="0.25">
      <c r="A65" t="s">
        <v>4496</v>
      </c>
      <c r="B65" t="s">
        <v>3965</v>
      </c>
      <c r="C65" t="s">
        <v>3499</v>
      </c>
      <c r="D65" s="104">
        <v>0.1</v>
      </c>
      <c r="E65" s="104">
        <f t="shared" si="4"/>
        <v>0.05</v>
      </c>
      <c r="F65" t="s">
        <v>4499</v>
      </c>
      <c r="G65" t="s">
        <v>4489</v>
      </c>
      <c r="H65" s="21">
        <v>0.05</v>
      </c>
      <c r="I65" s="21">
        <v>0.46549999999999997</v>
      </c>
      <c r="J65" s="21">
        <v>0.40849999999999997</v>
      </c>
      <c r="K65" s="21">
        <v>7.5999999999999998E-2</v>
      </c>
      <c r="L65" s="105">
        <f>SUM(H65:K65)</f>
        <v>0.99999999999999989</v>
      </c>
      <c r="M65" s="101" t="s">
        <v>4490</v>
      </c>
      <c r="N65" s="106" t="s">
        <v>4477</v>
      </c>
      <c r="O65" s="77" t="s">
        <v>4484</v>
      </c>
    </row>
    <row r="66" spans="1:15" x14ac:dyDescent="0.25">
      <c r="A66" t="s">
        <v>4496</v>
      </c>
      <c r="B66" t="s">
        <v>2222</v>
      </c>
      <c r="C66" t="s">
        <v>4020</v>
      </c>
      <c r="D66" s="104">
        <v>0.01</v>
      </c>
      <c r="E66" s="104"/>
      <c r="F66" t="s">
        <v>4492</v>
      </c>
      <c r="G66" t="s">
        <v>4475</v>
      </c>
      <c r="H66" s="105">
        <v>0</v>
      </c>
      <c r="I66" s="105">
        <v>0</v>
      </c>
      <c r="J66" s="105">
        <v>0</v>
      </c>
      <c r="K66" s="105">
        <v>1</v>
      </c>
      <c r="L66" s="105">
        <f t="shared" ref="L66:L113" si="5">SUM(H66:K66)</f>
        <v>1</v>
      </c>
      <c r="M66" s="101" t="s">
        <v>4501</v>
      </c>
    </row>
    <row r="67" spans="1:15" x14ac:dyDescent="0.25">
      <c r="A67" t="s">
        <v>4496</v>
      </c>
      <c r="B67" t="s">
        <v>2222</v>
      </c>
      <c r="C67" t="s">
        <v>4022</v>
      </c>
      <c r="D67" s="104">
        <v>0.01</v>
      </c>
      <c r="E67" s="104"/>
      <c r="F67" t="s">
        <v>4492</v>
      </c>
      <c r="G67" t="s">
        <v>4475</v>
      </c>
      <c r="H67" s="105">
        <v>0</v>
      </c>
      <c r="I67" s="105">
        <v>0</v>
      </c>
      <c r="J67" s="105">
        <v>0</v>
      </c>
      <c r="K67" s="105">
        <v>1</v>
      </c>
      <c r="L67" s="105">
        <f t="shared" si="5"/>
        <v>1</v>
      </c>
      <c r="M67" s="101" t="s">
        <v>4501</v>
      </c>
    </row>
    <row r="68" spans="1:15" x14ac:dyDescent="0.25">
      <c r="A68" t="s">
        <v>4496</v>
      </c>
      <c r="B68" t="s">
        <v>2222</v>
      </c>
      <c r="C68" t="s">
        <v>4023</v>
      </c>
      <c r="D68" s="104">
        <v>0.01</v>
      </c>
      <c r="E68" s="104"/>
      <c r="F68" t="s">
        <v>4492</v>
      </c>
      <c r="G68" t="s">
        <v>4475</v>
      </c>
      <c r="H68" s="105">
        <v>0</v>
      </c>
      <c r="I68" s="105">
        <v>0</v>
      </c>
      <c r="J68" s="105">
        <v>0</v>
      </c>
      <c r="K68" s="105">
        <v>1</v>
      </c>
      <c r="L68" s="105">
        <f t="shared" si="5"/>
        <v>1</v>
      </c>
      <c r="M68" s="101" t="s">
        <v>4501</v>
      </c>
    </row>
    <row r="69" spans="1:15" x14ac:dyDescent="0.25">
      <c r="A69" t="s">
        <v>4496</v>
      </c>
      <c r="B69" t="s">
        <v>2222</v>
      </c>
      <c r="C69" t="s">
        <v>4024</v>
      </c>
      <c r="D69" s="104">
        <v>0.01</v>
      </c>
      <c r="E69" s="104"/>
      <c r="F69" t="s">
        <v>4492</v>
      </c>
      <c r="G69" t="s">
        <v>4475</v>
      </c>
      <c r="H69" s="105">
        <v>0</v>
      </c>
      <c r="I69" s="105">
        <v>0</v>
      </c>
      <c r="J69" s="105">
        <v>0</v>
      </c>
      <c r="K69" s="105">
        <v>1</v>
      </c>
      <c r="L69" s="105">
        <f t="shared" si="5"/>
        <v>1</v>
      </c>
      <c r="M69" s="101" t="s">
        <v>4501</v>
      </c>
    </row>
    <row r="70" spans="1:15" x14ac:dyDescent="0.25">
      <c r="A70" t="s">
        <v>4496</v>
      </c>
      <c r="B70" t="s">
        <v>2222</v>
      </c>
      <c r="C70" t="s">
        <v>4025</v>
      </c>
      <c r="D70" s="104">
        <v>0.01</v>
      </c>
      <c r="E70" s="104"/>
      <c r="F70" t="s">
        <v>4492</v>
      </c>
      <c r="G70" t="s">
        <v>4475</v>
      </c>
      <c r="H70" s="105">
        <v>0</v>
      </c>
      <c r="I70" s="105">
        <v>0</v>
      </c>
      <c r="J70" s="105">
        <v>0</v>
      </c>
      <c r="K70" s="105">
        <v>1</v>
      </c>
      <c r="L70" s="105">
        <f t="shared" si="5"/>
        <v>1</v>
      </c>
      <c r="M70" s="101" t="s">
        <v>4501</v>
      </c>
    </row>
    <row r="71" spans="1:15" x14ac:dyDescent="0.25">
      <c r="A71" t="s">
        <v>4496</v>
      </c>
      <c r="B71" t="s">
        <v>2222</v>
      </c>
      <c r="C71" t="s">
        <v>4026</v>
      </c>
      <c r="D71" s="104">
        <v>0.01</v>
      </c>
      <c r="E71" s="104"/>
      <c r="F71" t="s">
        <v>4492</v>
      </c>
      <c r="G71" t="s">
        <v>4475</v>
      </c>
      <c r="H71" s="105">
        <v>0</v>
      </c>
      <c r="I71" s="105">
        <v>0</v>
      </c>
      <c r="J71" s="105">
        <v>0</v>
      </c>
      <c r="K71" s="105">
        <v>1</v>
      </c>
      <c r="L71" s="105">
        <f t="shared" si="5"/>
        <v>1</v>
      </c>
      <c r="M71" s="101" t="s">
        <v>4501</v>
      </c>
    </row>
    <row r="72" spans="1:15" x14ac:dyDescent="0.25">
      <c r="A72" t="s">
        <v>4496</v>
      </c>
      <c r="B72" t="s">
        <v>2222</v>
      </c>
      <c r="C72" t="s">
        <v>4027</v>
      </c>
      <c r="D72" s="104">
        <v>0.01</v>
      </c>
      <c r="E72" s="104"/>
      <c r="F72" t="s">
        <v>4492</v>
      </c>
      <c r="G72" t="s">
        <v>4475</v>
      </c>
      <c r="H72" s="105">
        <v>0</v>
      </c>
      <c r="I72" s="105">
        <v>0</v>
      </c>
      <c r="J72" s="105">
        <v>0</v>
      </c>
      <c r="K72" s="105">
        <v>1</v>
      </c>
      <c r="L72" s="105">
        <f t="shared" si="5"/>
        <v>1</v>
      </c>
      <c r="M72" s="101" t="s">
        <v>4501</v>
      </c>
    </row>
    <row r="73" spans="1:15" x14ac:dyDescent="0.25">
      <c r="A73" t="s">
        <v>4496</v>
      </c>
      <c r="B73" t="s">
        <v>2222</v>
      </c>
      <c r="C73" t="s">
        <v>4028</v>
      </c>
      <c r="D73" s="104">
        <v>0.01</v>
      </c>
      <c r="E73" s="104"/>
      <c r="F73" t="s">
        <v>4492</v>
      </c>
      <c r="G73" t="s">
        <v>4475</v>
      </c>
      <c r="H73" s="105">
        <v>0</v>
      </c>
      <c r="I73" s="105">
        <v>0</v>
      </c>
      <c r="J73" s="105">
        <v>0</v>
      </c>
      <c r="K73" s="105">
        <v>1</v>
      </c>
      <c r="L73" s="105">
        <f t="shared" si="5"/>
        <v>1</v>
      </c>
      <c r="M73" s="101" t="s">
        <v>4501</v>
      </c>
    </row>
    <row r="74" spans="1:15" x14ac:dyDescent="0.25">
      <c r="A74" t="s">
        <v>4496</v>
      </c>
      <c r="B74" t="s">
        <v>2222</v>
      </c>
      <c r="C74" t="s">
        <v>4029</v>
      </c>
      <c r="D74" s="104">
        <v>0.01</v>
      </c>
      <c r="E74" s="104"/>
      <c r="F74" t="s">
        <v>4492</v>
      </c>
      <c r="G74" t="s">
        <v>4475</v>
      </c>
      <c r="H74" s="105">
        <v>0</v>
      </c>
      <c r="I74" s="105">
        <v>0</v>
      </c>
      <c r="J74" s="105">
        <v>0</v>
      </c>
      <c r="K74" s="105">
        <v>1</v>
      </c>
      <c r="L74" s="105">
        <f t="shared" si="5"/>
        <v>1</v>
      </c>
      <c r="M74" s="101" t="s">
        <v>4501</v>
      </c>
    </row>
    <row r="75" spans="1:15" x14ac:dyDescent="0.25">
      <c r="A75" t="s">
        <v>4496</v>
      </c>
      <c r="B75" t="s">
        <v>2222</v>
      </c>
      <c r="C75" t="s">
        <v>4030</v>
      </c>
      <c r="D75" s="104">
        <v>0.01</v>
      </c>
      <c r="E75" s="104"/>
      <c r="F75" t="s">
        <v>4492</v>
      </c>
      <c r="G75" t="s">
        <v>4475</v>
      </c>
      <c r="H75" s="105">
        <v>0</v>
      </c>
      <c r="I75" s="105">
        <v>0</v>
      </c>
      <c r="J75" s="105">
        <v>0</v>
      </c>
      <c r="K75" s="105">
        <v>1</v>
      </c>
      <c r="L75" s="105">
        <f t="shared" si="5"/>
        <v>1</v>
      </c>
      <c r="M75" s="101" t="s">
        <v>4501</v>
      </c>
    </row>
    <row r="76" spans="1:15" x14ac:dyDescent="0.25">
      <c r="A76" t="s">
        <v>4496</v>
      </c>
      <c r="B76" t="s">
        <v>2222</v>
      </c>
      <c r="C76" t="s">
        <v>4031</v>
      </c>
      <c r="D76" s="104">
        <v>0.01</v>
      </c>
      <c r="E76" s="104"/>
      <c r="F76" t="s">
        <v>4492</v>
      </c>
      <c r="G76" t="s">
        <v>4475</v>
      </c>
      <c r="H76" s="105">
        <v>0</v>
      </c>
      <c r="I76" s="105">
        <v>0</v>
      </c>
      <c r="J76" s="105">
        <v>0</v>
      </c>
      <c r="K76" s="105">
        <v>1</v>
      </c>
      <c r="L76" s="105">
        <f t="shared" si="5"/>
        <v>1</v>
      </c>
      <c r="M76" s="101" t="s">
        <v>4501</v>
      </c>
    </row>
    <row r="77" spans="1:15" x14ac:dyDescent="0.25">
      <c r="A77" t="s">
        <v>4496</v>
      </c>
      <c r="B77" t="s">
        <v>2222</v>
      </c>
      <c r="C77" t="s">
        <v>4032</v>
      </c>
      <c r="D77" s="104">
        <v>0.01</v>
      </c>
      <c r="E77" s="104"/>
      <c r="F77" t="s">
        <v>4492</v>
      </c>
      <c r="G77" t="s">
        <v>4475</v>
      </c>
      <c r="H77" s="105">
        <v>0</v>
      </c>
      <c r="I77" s="105">
        <v>0</v>
      </c>
      <c r="J77" s="105">
        <v>0</v>
      </c>
      <c r="K77" s="105">
        <v>1</v>
      </c>
      <c r="L77" s="105">
        <f t="shared" si="5"/>
        <v>1</v>
      </c>
      <c r="M77" s="101" t="s">
        <v>4501</v>
      </c>
    </row>
    <row r="78" spans="1:15" x14ac:dyDescent="0.25">
      <c r="A78" t="s">
        <v>4496</v>
      </c>
      <c r="B78" t="s">
        <v>2222</v>
      </c>
      <c r="C78" t="s">
        <v>4033</v>
      </c>
      <c r="D78" s="104">
        <v>0.01</v>
      </c>
      <c r="E78" s="104"/>
      <c r="F78" t="s">
        <v>4492</v>
      </c>
      <c r="G78" t="s">
        <v>4475</v>
      </c>
      <c r="H78" s="105">
        <v>0</v>
      </c>
      <c r="I78" s="105">
        <v>0</v>
      </c>
      <c r="J78" s="105">
        <v>0</v>
      </c>
      <c r="K78" s="105">
        <v>1</v>
      </c>
      <c r="L78" s="105">
        <f t="shared" si="5"/>
        <v>1</v>
      </c>
      <c r="M78" s="101" t="s">
        <v>4501</v>
      </c>
    </row>
    <row r="79" spans="1:15" x14ac:dyDescent="0.25">
      <c r="A79" t="s">
        <v>4496</v>
      </c>
      <c r="B79" t="s">
        <v>2222</v>
      </c>
      <c r="C79" t="s">
        <v>4034</v>
      </c>
      <c r="D79" s="104">
        <v>0.01</v>
      </c>
      <c r="E79" s="104"/>
      <c r="F79" t="s">
        <v>4492</v>
      </c>
      <c r="G79" t="s">
        <v>4475</v>
      </c>
      <c r="H79" s="105">
        <v>0</v>
      </c>
      <c r="I79" s="105">
        <v>0</v>
      </c>
      <c r="J79" s="105">
        <v>0</v>
      </c>
      <c r="K79" s="105">
        <v>1</v>
      </c>
      <c r="L79" s="105">
        <f t="shared" si="5"/>
        <v>1</v>
      </c>
      <c r="M79" s="101" t="s">
        <v>4501</v>
      </c>
    </row>
    <row r="80" spans="1:15" x14ac:dyDescent="0.25">
      <c r="A80" t="s">
        <v>4496</v>
      </c>
      <c r="B80" t="s">
        <v>2222</v>
      </c>
      <c r="C80" t="s">
        <v>4035</v>
      </c>
      <c r="D80" s="104">
        <v>0.01</v>
      </c>
      <c r="E80" s="104"/>
      <c r="F80" t="s">
        <v>4492</v>
      </c>
      <c r="G80" t="s">
        <v>4475</v>
      </c>
      <c r="H80" s="105">
        <v>0</v>
      </c>
      <c r="I80" s="105">
        <v>0</v>
      </c>
      <c r="J80" s="105">
        <v>0</v>
      </c>
      <c r="K80" s="105">
        <v>1</v>
      </c>
      <c r="L80" s="105">
        <f t="shared" si="5"/>
        <v>1</v>
      </c>
      <c r="M80" s="101" t="s">
        <v>4501</v>
      </c>
    </row>
    <row r="81" spans="1:14" x14ac:dyDescent="0.25">
      <c r="A81" t="s">
        <v>4496</v>
      </c>
      <c r="B81" t="s">
        <v>2222</v>
      </c>
      <c r="C81" t="s">
        <v>4036</v>
      </c>
      <c r="D81" s="104">
        <v>0.01</v>
      </c>
      <c r="E81" s="104"/>
      <c r="F81" t="s">
        <v>4492</v>
      </c>
      <c r="G81" t="s">
        <v>4475</v>
      </c>
      <c r="H81" s="105">
        <v>0</v>
      </c>
      <c r="I81" s="105">
        <v>0</v>
      </c>
      <c r="J81" s="105">
        <v>0</v>
      </c>
      <c r="K81" s="105">
        <v>1</v>
      </c>
      <c r="L81" s="105">
        <f t="shared" si="5"/>
        <v>1</v>
      </c>
      <c r="M81" s="101" t="s">
        <v>4501</v>
      </c>
    </row>
    <row r="82" spans="1:14" ht="13.8" x14ac:dyDescent="0.25">
      <c r="A82" t="s">
        <v>4496</v>
      </c>
      <c r="B82" t="s">
        <v>3969</v>
      </c>
      <c r="C82" t="s">
        <v>3970</v>
      </c>
      <c r="D82" s="104">
        <v>0.01</v>
      </c>
      <c r="E82" s="104"/>
      <c r="F82" t="s">
        <v>4498</v>
      </c>
      <c r="G82" t="s">
        <v>178</v>
      </c>
      <c r="H82" s="105">
        <v>0.05</v>
      </c>
      <c r="I82" s="105">
        <v>0.95</v>
      </c>
      <c r="J82" s="105">
        <v>0</v>
      </c>
      <c r="K82" s="105">
        <v>0</v>
      </c>
      <c r="L82" s="105">
        <f t="shared" si="5"/>
        <v>1</v>
      </c>
      <c r="M82" s="101" t="s">
        <v>4481</v>
      </c>
      <c r="N82" s="106" t="s">
        <v>4477</v>
      </c>
    </row>
    <row r="83" spans="1:14" ht="13.8" x14ac:dyDescent="0.25">
      <c r="A83" t="s">
        <v>4496</v>
      </c>
      <c r="B83" t="s">
        <v>3969</v>
      </c>
      <c r="C83" t="s">
        <v>3972</v>
      </c>
      <c r="D83" s="104">
        <v>0.01</v>
      </c>
      <c r="E83" s="104"/>
      <c r="F83" t="s">
        <v>4482</v>
      </c>
      <c r="G83" t="s">
        <v>2996</v>
      </c>
      <c r="H83" s="105">
        <v>0.05</v>
      </c>
      <c r="I83" s="105">
        <v>0.95</v>
      </c>
      <c r="J83" s="105">
        <v>0</v>
      </c>
      <c r="K83" s="105">
        <v>0</v>
      </c>
      <c r="L83" s="105">
        <f t="shared" si="5"/>
        <v>1</v>
      </c>
      <c r="M83" s="101" t="s">
        <v>4481</v>
      </c>
      <c r="N83" s="106" t="s">
        <v>4477</v>
      </c>
    </row>
    <row r="84" spans="1:14" ht="13.8" x14ac:dyDescent="0.25">
      <c r="A84" t="s">
        <v>4496</v>
      </c>
      <c r="B84" t="s">
        <v>3973</v>
      </c>
      <c r="C84" t="s">
        <v>3974</v>
      </c>
      <c r="D84" s="104">
        <v>0.01</v>
      </c>
      <c r="E84" s="104"/>
      <c r="F84" t="s">
        <v>4498</v>
      </c>
      <c r="G84" t="s">
        <v>178</v>
      </c>
      <c r="H84" s="101">
        <v>0</v>
      </c>
      <c r="I84" s="105">
        <v>1</v>
      </c>
      <c r="J84" s="105">
        <v>0</v>
      </c>
      <c r="K84" s="105">
        <v>0</v>
      </c>
      <c r="L84" s="105">
        <f t="shared" si="5"/>
        <v>1</v>
      </c>
      <c r="M84" s="101" t="s">
        <v>4483</v>
      </c>
      <c r="N84" s="106" t="s">
        <v>4477</v>
      </c>
    </row>
    <row r="85" spans="1:14" ht="13.8" x14ac:dyDescent="0.25">
      <c r="A85" t="s">
        <v>4496</v>
      </c>
      <c r="B85" t="s">
        <v>3976</v>
      </c>
      <c r="C85" t="s">
        <v>3977</v>
      </c>
      <c r="D85" s="104">
        <v>0.01</v>
      </c>
      <c r="E85" s="104"/>
      <c r="F85" t="s">
        <v>4492</v>
      </c>
      <c r="G85" t="s">
        <v>178</v>
      </c>
      <c r="H85" s="101">
        <v>0</v>
      </c>
      <c r="I85" s="105">
        <v>1</v>
      </c>
      <c r="J85" s="105">
        <v>0</v>
      </c>
      <c r="K85" s="105">
        <v>0</v>
      </c>
      <c r="L85" s="105">
        <f t="shared" si="5"/>
        <v>1</v>
      </c>
      <c r="M85" s="101" t="s">
        <v>4483</v>
      </c>
      <c r="N85" s="106" t="s">
        <v>4477</v>
      </c>
    </row>
    <row r="86" spans="1:14" ht="13.8" x14ac:dyDescent="0.25">
      <c r="A86" t="s">
        <v>4496</v>
      </c>
      <c r="B86" t="s">
        <v>3976</v>
      </c>
      <c r="C86" t="s">
        <v>3978</v>
      </c>
      <c r="D86" s="104">
        <v>0.01</v>
      </c>
      <c r="E86" s="104"/>
      <c r="F86" t="s">
        <v>4492</v>
      </c>
      <c r="G86" t="s">
        <v>2996</v>
      </c>
      <c r="H86" s="21">
        <v>0.05</v>
      </c>
      <c r="I86" s="21">
        <v>0.95</v>
      </c>
      <c r="J86" s="21">
        <v>0</v>
      </c>
      <c r="K86" s="21">
        <v>0</v>
      </c>
      <c r="L86" s="105">
        <f t="shared" si="5"/>
        <v>1</v>
      </c>
      <c r="M86" s="101" t="s">
        <v>4481</v>
      </c>
      <c r="N86" s="106" t="s">
        <v>4477</v>
      </c>
    </row>
    <row r="87" spans="1:14" ht="13.8" x14ac:dyDescent="0.25">
      <c r="A87" t="s">
        <v>4496</v>
      </c>
      <c r="B87" t="s">
        <v>2287</v>
      </c>
      <c r="C87" t="s">
        <v>2287</v>
      </c>
      <c r="D87" s="104">
        <v>0.01</v>
      </c>
      <c r="E87" s="104"/>
      <c r="F87" t="s">
        <v>4492</v>
      </c>
      <c r="G87" t="s">
        <v>2996</v>
      </c>
      <c r="H87" s="21">
        <v>0</v>
      </c>
      <c r="I87" s="21">
        <v>0.5</v>
      </c>
      <c r="J87" s="21">
        <v>0</v>
      </c>
      <c r="K87" s="21">
        <v>0.5</v>
      </c>
      <c r="L87" s="105">
        <f t="shared" si="5"/>
        <v>1</v>
      </c>
      <c r="M87" s="101" t="s">
        <v>4502</v>
      </c>
      <c r="N87" s="106"/>
    </row>
    <row r="88" spans="1:14" ht="13.8" x14ac:dyDescent="0.25">
      <c r="A88" t="s">
        <v>4496</v>
      </c>
      <c r="B88" t="s">
        <v>3989</v>
      </c>
      <c r="C88" t="s">
        <v>4010</v>
      </c>
      <c r="D88" s="104">
        <v>0.01</v>
      </c>
      <c r="E88" s="104"/>
      <c r="F88" t="s">
        <v>4492</v>
      </c>
      <c r="G88" t="s">
        <v>4475</v>
      </c>
      <c r="H88" s="105">
        <v>0</v>
      </c>
      <c r="I88" s="105">
        <v>0</v>
      </c>
      <c r="J88" s="105">
        <v>0</v>
      </c>
      <c r="K88" s="105">
        <v>1</v>
      </c>
      <c r="L88" s="105">
        <f t="shared" ref="L88:L92" si="6">SUM(H88:K88)</f>
        <v>1</v>
      </c>
      <c r="M88" s="101" t="s">
        <v>4501</v>
      </c>
      <c r="N88" s="106"/>
    </row>
    <row r="89" spans="1:14" ht="13.8" x14ac:dyDescent="0.25">
      <c r="A89" t="s">
        <v>4496</v>
      </c>
      <c r="B89" t="s">
        <v>3989</v>
      </c>
      <c r="C89" t="s">
        <v>4012</v>
      </c>
      <c r="D89" s="104">
        <v>0.01</v>
      </c>
      <c r="E89" s="104"/>
      <c r="F89" t="s">
        <v>4492</v>
      </c>
      <c r="G89" t="s">
        <v>4475</v>
      </c>
      <c r="H89" s="105">
        <v>0</v>
      </c>
      <c r="I89" s="105">
        <v>0</v>
      </c>
      <c r="J89" s="105">
        <v>0</v>
      </c>
      <c r="K89" s="105">
        <v>1</v>
      </c>
      <c r="L89" s="105">
        <f t="shared" si="6"/>
        <v>1</v>
      </c>
      <c r="M89" s="101" t="s">
        <v>4501</v>
      </c>
      <c r="N89" s="106"/>
    </row>
    <row r="90" spans="1:14" ht="13.8" x14ac:dyDescent="0.25">
      <c r="A90" t="s">
        <v>4496</v>
      </c>
      <c r="B90" t="s">
        <v>3989</v>
      </c>
      <c r="C90" t="s">
        <v>4013</v>
      </c>
      <c r="D90" s="104">
        <v>0.01</v>
      </c>
      <c r="E90" s="104"/>
      <c r="F90" t="s">
        <v>4492</v>
      </c>
      <c r="G90" t="s">
        <v>4475</v>
      </c>
      <c r="H90" s="105">
        <v>0</v>
      </c>
      <c r="I90" s="105">
        <v>0</v>
      </c>
      <c r="J90" s="105">
        <v>0</v>
      </c>
      <c r="K90" s="105">
        <v>1</v>
      </c>
      <c r="L90" s="105">
        <f t="shared" si="6"/>
        <v>1</v>
      </c>
      <c r="M90" s="101" t="s">
        <v>4501</v>
      </c>
      <c r="N90" s="106"/>
    </row>
    <row r="91" spans="1:14" ht="13.8" x14ac:dyDescent="0.25">
      <c r="A91" t="s">
        <v>4496</v>
      </c>
      <c r="B91" t="s">
        <v>3989</v>
      </c>
      <c r="C91" t="s">
        <v>4014</v>
      </c>
      <c r="D91" s="104">
        <v>0.01</v>
      </c>
      <c r="E91" s="104"/>
      <c r="F91" t="s">
        <v>4492</v>
      </c>
      <c r="G91" t="s">
        <v>4475</v>
      </c>
      <c r="H91" s="105">
        <v>0</v>
      </c>
      <c r="I91" s="105">
        <v>0</v>
      </c>
      <c r="J91" s="105">
        <v>0</v>
      </c>
      <c r="K91" s="105">
        <v>1</v>
      </c>
      <c r="L91" s="105">
        <f t="shared" si="6"/>
        <v>1</v>
      </c>
      <c r="M91" s="101" t="s">
        <v>4501</v>
      </c>
      <c r="N91" s="106"/>
    </row>
    <row r="92" spans="1:14" ht="13.8" x14ac:dyDescent="0.25">
      <c r="A92" t="s">
        <v>4496</v>
      </c>
      <c r="B92" t="s">
        <v>3989</v>
      </c>
      <c r="C92" t="s">
        <v>4015</v>
      </c>
      <c r="D92" s="104">
        <v>0.01</v>
      </c>
      <c r="E92" s="104"/>
      <c r="F92" t="s">
        <v>4492</v>
      </c>
      <c r="G92" t="s">
        <v>4475</v>
      </c>
      <c r="H92" s="105">
        <v>0</v>
      </c>
      <c r="I92" s="105">
        <v>0</v>
      </c>
      <c r="J92" s="105">
        <v>0</v>
      </c>
      <c r="K92" s="105">
        <v>1</v>
      </c>
      <c r="L92" s="105">
        <f t="shared" si="6"/>
        <v>1</v>
      </c>
      <c r="M92" s="101" t="s">
        <v>4501</v>
      </c>
      <c r="N92" s="106"/>
    </row>
    <row r="93" spans="1:14" ht="13.8" x14ac:dyDescent="0.25">
      <c r="A93" t="s">
        <v>4496</v>
      </c>
      <c r="B93" t="s">
        <v>3989</v>
      </c>
      <c r="C93" t="s">
        <v>4016</v>
      </c>
      <c r="D93" s="104">
        <v>0.01</v>
      </c>
      <c r="E93" s="104"/>
      <c r="F93" t="s">
        <v>4492</v>
      </c>
      <c r="G93" t="s">
        <v>4475</v>
      </c>
      <c r="H93" s="105">
        <v>0</v>
      </c>
      <c r="I93" s="105">
        <v>0</v>
      </c>
      <c r="J93" s="105">
        <v>0</v>
      </c>
      <c r="K93" s="105">
        <v>1</v>
      </c>
      <c r="L93" s="105">
        <f t="shared" ref="L93" si="7">SUM(H93:K93)</f>
        <v>1</v>
      </c>
      <c r="M93" s="101" t="s">
        <v>4501</v>
      </c>
      <c r="N93" s="106"/>
    </row>
    <row r="94" spans="1:14" ht="13.8" x14ac:dyDescent="0.25">
      <c r="A94" t="s">
        <v>4496</v>
      </c>
      <c r="B94" t="s">
        <v>3989</v>
      </c>
      <c r="C94" t="s">
        <v>4017</v>
      </c>
      <c r="D94" s="104">
        <v>0.01</v>
      </c>
      <c r="E94" s="104"/>
      <c r="F94" t="s">
        <v>4492</v>
      </c>
      <c r="G94" t="s">
        <v>4486</v>
      </c>
      <c r="H94" s="105">
        <v>0.15</v>
      </c>
      <c r="I94" s="107">
        <v>0.41649999999999998</v>
      </c>
      <c r="J94" s="107">
        <v>6.8000000000000005E-2</v>
      </c>
      <c r="K94" s="107">
        <v>0.36549999999999999</v>
      </c>
      <c r="L94" s="105">
        <f t="shared" ref="L94:L96" si="8">SUM(H94:K94)</f>
        <v>1</v>
      </c>
      <c r="M94" s="101" t="s">
        <v>4500</v>
      </c>
      <c r="N94" s="106"/>
    </row>
    <row r="95" spans="1:14" ht="13.8" x14ac:dyDescent="0.25">
      <c r="A95" t="s">
        <v>4496</v>
      </c>
      <c r="B95" t="s">
        <v>3989</v>
      </c>
      <c r="C95" t="s">
        <v>4018</v>
      </c>
      <c r="D95" s="104">
        <v>0.01</v>
      </c>
      <c r="E95" s="104"/>
      <c r="F95" t="s">
        <v>4492</v>
      </c>
      <c r="G95" t="s">
        <v>2996</v>
      </c>
      <c r="H95" s="101">
        <v>0</v>
      </c>
      <c r="I95" s="105">
        <v>1</v>
      </c>
      <c r="J95" s="105">
        <v>0</v>
      </c>
      <c r="K95" s="105">
        <v>0</v>
      </c>
      <c r="L95" s="105">
        <f t="shared" si="8"/>
        <v>1</v>
      </c>
      <c r="M95" s="101" t="s">
        <v>4503</v>
      </c>
      <c r="N95" s="106"/>
    </row>
    <row r="96" spans="1:14" x14ac:dyDescent="0.25">
      <c r="A96" t="s">
        <v>4496</v>
      </c>
      <c r="B96" t="s">
        <v>4504</v>
      </c>
      <c r="C96" t="s">
        <v>4019</v>
      </c>
      <c r="D96" s="104">
        <v>0.01</v>
      </c>
      <c r="E96" s="104"/>
      <c r="F96" t="s">
        <v>4492</v>
      </c>
      <c r="G96" t="s">
        <v>4475</v>
      </c>
      <c r="H96" s="105">
        <v>0</v>
      </c>
      <c r="I96" s="105">
        <v>0</v>
      </c>
      <c r="J96" s="105">
        <v>0</v>
      </c>
      <c r="K96" s="105">
        <v>1</v>
      </c>
      <c r="L96" s="105">
        <f t="shared" si="8"/>
        <v>1</v>
      </c>
      <c r="M96" s="101" t="s">
        <v>4501</v>
      </c>
    </row>
    <row r="97" spans="1:14" x14ac:dyDescent="0.25">
      <c r="A97" t="s">
        <v>4505</v>
      </c>
      <c r="B97" t="s">
        <v>3979</v>
      </c>
      <c r="C97" t="s">
        <v>3980</v>
      </c>
      <c r="D97" s="104">
        <v>0.01</v>
      </c>
      <c r="E97" s="104"/>
      <c r="F97" t="s">
        <v>4482</v>
      </c>
      <c r="G97" t="s">
        <v>2996</v>
      </c>
      <c r="H97" s="21">
        <v>0.05</v>
      </c>
      <c r="I97" s="21">
        <v>0.95</v>
      </c>
      <c r="J97" s="21">
        <v>0</v>
      </c>
      <c r="K97" s="21">
        <v>0</v>
      </c>
      <c r="L97" s="105">
        <f t="shared" ref="L97:L99" si="9">SUM(H97:K97)</f>
        <v>1</v>
      </c>
      <c r="M97" s="101" t="s">
        <v>4506</v>
      </c>
    </row>
    <row r="98" spans="1:14" x14ac:dyDescent="0.25">
      <c r="A98" t="s">
        <v>4505</v>
      </c>
      <c r="B98" t="s">
        <v>3979</v>
      </c>
      <c r="C98" t="s">
        <v>3981</v>
      </c>
      <c r="D98" s="104">
        <v>0.01</v>
      </c>
      <c r="E98" s="104"/>
      <c r="F98" t="s">
        <v>4482</v>
      </c>
      <c r="G98" t="s">
        <v>2996</v>
      </c>
      <c r="H98" s="21">
        <v>0.05</v>
      </c>
      <c r="I98" s="21">
        <v>0.95</v>
      </c>
      <c r="J98" s="21">
        <v>0</v>
      </c>
      <c r="K98" s="21">
        <v>0</v>
      </c>
      <c r="L98" s="105">
        <f t="shared" si="9"/>
        <v>1</v>
      </c>
      <c r="M98" s="101" t="s">
        <v>4506</v>
      </c>
    </row>
    <row r="99" spans="1:14" x14ac:dyDescent="0.25">
      <c r="A99" t="s">
        <v>4505</v>
      </c>
      <c r="B99" t="s">
        <v>3979</v>
      </c>
      <c r="C99" t="s">
        <v>3982</v>
      </c>
      <c r="D99" s="104">
        <v>0.01</v>
      </c>
      <c r="E99" s="104"/>
      <c r="F99" t="s">
        <v>4482</v>
      </c>
      <c r="G99" t="s">
        <v>2996</v>
      </c>
      <c r="H99" s="21">
        <v>0.05</v>
      </c>
      <c r="I99" s="21">
        <v>0.95</v>
      </c>
      <c r="J99" s="21">
        <v>0</v>
      </c>
      <c r="K99" s="21">
        <v>0</v>
      </c>
      <c r="L99" s="105">
        <f t="shared" si="9"/>
        <v>1</v>
      </c>
      <c r="M99" s="101" t="s">
        <v>4506</v>
      </c>
    </row>
    <row r="100" spans="1:14" ht="13.8" x14ac:dyDescent="0.25">
      <c r="A100" t="s">
        <v>4505</v>
      </c>
      <c r="B100" t="s">
        <v>3979</v>
      </c>
      <c r="C100" t="s">
        <v>3983</v>
      </c>
      <c r="D100" s="104">
        <v>0.1</v>
      </c>
      <c r="E100" s="104">
        <f t="shared" ref="E100" si="10">D100/2</f>
        <v>0.05</v>
      </c>
      <c r="F100" t="s">
        <v>4485</v>
      </c>
      <c r="G100" t="s">
        <v>4486</v>
      </c>
      <c r="H100" s="21">
        <v>0.15</v>
      </c>
      <c r="I100" s="21">
        <v>0.41649999999999998</v>
      </c>
      <c r="J100" s="21">
        <v>6.8000000000000005E-2</v>
      </c>
      <c r="K100" s="21">
        <v>0.36549999999999999</v>
      </c>
      <c r="L100" s="105">
        <v>1</v>
      </c>
      <c r="M100" s="101" t="s">
        <v>4507</v>
      </c>
      <c r="N100" s="77" t="s">
        <v>4484</v>
      </c>
    </row>
    <row r="101" spans="1:14" x14ac:dyDescent="0.25">
      <c r="A101" t="s">
        <v>4505</v>
      </c>
      <c r="B101" t="s">
        <v>3979</v>
      </c>
      <c r="C101" t="s">
        <v>3984</v>
      </c>
      <c r="D101" s="104">
        <v>0.02</v>
      </c>
      <c r="E101" s="104"/>
      <c r="F101" t="s">
        <v>4474</v>
      </c>
      <c r="G101" t="s">
        <v>4475</v>
      </c>
      <c r="H101" s="21">
        <v>0.1</v>
      </c>
      <c r="I101" s="21">
        <v>0</v>
      </c>
      <c r="J101" s="21">
        <v>0</v>
      </c>
      <c r="K101" s="21">
        <v>0.9</v>
      </c>
      <c r="L101" s="105">
        <f t="shared" si="5"/>
        <v>1</v>
      </c>
      <c r="M101" s="101" t="s">
        <v>4508</v>
      </c>
    </row>
    <row r="102" spans="1:14" ht="13.8" x14ac:dyDescent="0.25">
      <c r="A102" t="s">
        <v>4505</v>
      </c>
      <c r="B102" t="s">
        <v>3979</v>
      </c>
      <c r="C102" t="s">
        <v>2897</v>
      </c>
      <c r="D102" s="104">
        <v>0.15</v>
      </c>
      <c r="E102" s="104"/>
      <c r="F102" t="s">
        <v>4498</v>
      </c>
      <c r="G102" t="s">
        <v>4475</v>
      </c>
      <c r="H102" s="21">
        <v>0.1</v>
      </c>
      <c r="I102" s="21">
        <v>0</v>
      </c>
      <c r="J102" s="21">
        <v>0</v>
      </c>
      <c r="K102" s="21">
        <v>0.9</v>
      </c>
      <c r="L102" s="105">
        <f t="shared" si="5"/>
        <v>1</v>
      </c>
      <c r="M102" s="101" t="s">
        <v>4497</v>
      </c>
      <c r="N102" s="106" t="s">
        <v>4477</v>
      </c>
    </row>
    <row r="103" spans="1:14" x14ac:dyDescent="0.25">
      <c r="A103" t="s">
        <v>4505</v>
      </c>
      <c r="B103" t="s">
        <v>3979</v>
      </c>
      <c r="C103" t="s">
        <v>3985</v>
      </c>
      <c r="D103" s="104">
        <v>0.1</v>
      </c>
      <c r="E103" s="104"/>
      <c r="F103" t="s">
        <v>4499</v>
      </c>
      <c r="G103" t="s">
        <v>4489</v>
      </c>
      <c r="H103" s="21">
        <v>0.15</v>
      </c>
      <c r="I103" s="21">
        <v>0.41649999999999998</v>
      </c>
      <c r="J103" s="21">
        <v>6.8000000000000005E-2</v>
      </c>
      <c r="K103" s="21">
        <v>0.36549999999999999</v>
      </c>
      <c r="L103" s="105">
        <f t="shared" si="5"/>
        <v>1</v>
      </c>
      <c r="M103" s="101" t="s">
        <v>4509</v>
      </c>
    </row>
    <row r="104" spans="1:14" ht="13.8" x14ac:dyDescent="0.25">
      <c r="A104" t="s">
        <v>4505</v>
      </c>
      <c r="B104" t="s">
        <v>3979</v>
      </c>
      <c r="C104" t="s">
        <v>2375</v>
      </c>
      <c r="D104" s="104">
        <v>0.1</v>
      </c>
      <c r="F104" t="s">
        <v>4499</v>
      </c>
      <c r="G104" t="s">
        <v>4489</v>
      </c>
      <c r="H104" s="21">
        <v>0.15</v>
      </c>
      <c r="I104" s="21">
        <v>0.41649999999999998</v>
      </c>
      <c r="J104" s="21">
        <v>6.8000000000000005E-2</v>
      </c>
      <c r="K104" s="21">
        <v>0.36549999999999999</v>
      </c>
      <c r="L104" s="105">
        <f t="shared" si="5"/>
        <v>1</v>
      </c>
      <c r="M104" s="101" t="s">
        <v>4509</v>
      </c>
      <c r="N104" s="106" t="s">
        <v>4477</v>
      </c>
    </row>
    <row r="105" spans="1:14" ht="13.8" x14ac:dyDescent="0.25">
      <c r="A105" t="s">
        <v>4505</v>
      </c>
      <c r="B105" t="s">
        <v>3979</v>
      </c>
      <c r="C105" t="s">
        <v>3988</v>
      </c>
      <c r="D105" s="104">
        <v>0.15</v>
      </c>
      <c r="E105" s="104"/>
      <c r="F105" t="s">
        <v>4498</v>
      </c>
      <c r="G105" t="s">
        <v>4475</v>
      </c>
      <c r="H105" s="21">
        <v>0.1</v>
      </c>
      <c r="I105" s="21">
        <v>0</v>
      </c>
      <c r="J105" s="21">
        <v>0</v>
      </c>
      <c r="K105" s="21">
        <v>0.9</v>
      </c>
      <c r="L105" s="105">
        <f t="shared" si="5"/>
        <v>1</v>
      </c>
      <c r="M105" s="101" t="s">
        <v>4497</v>
      </c>
      <c r="N105" s="106" t="s">
        <v>4477</v>
      </c>
    </row>
    <row r="106" spans="1:14" x14ac:dyDescent="0.25">
      <c r="A106" t="s">
        <v>4505</v>
      </c>
      <c r="B106" t="s">
        <v>3979</v>
      </c>
      <c r="C106" t="s">
        <v>2510</v>
      </c>
      <c r="D106" s="104">
        <v>0.01</v>
      </c>
      <c r="E106" s="104"/>
      <c r="F106" t="s">
        <v>4492</v>
      </c>
      <c r="G106" t="s">
        <v>4475</v>
      </c>
      <c r="H106" s="105">
        <v>0</v>
      </c>
      <c r="I106" s="105">
        <v>0</v>
      </c>
      <c r="J106" s="105">
        <v>0</v>
      </c>
      <c r="K106" s="105">
        <v>1</v>
      </c>
      <c r="L106" s="105">
        <f t="shared" si="5"/>
        <v>1</v>
      </c>
      <c r="M106" s="101" t="s">
        <v>4510</v>
      </c>
    </row>
    <row r="107" spans="1:14" x14ac:dyDescent="0.25">
      <c r="A107" t="s">
        <v>4496</v>
      </c>
      <c r="B107" t="s">
        <v>4511</v>
      </c>
      <c r="C107" t="s">
        <v>2512</v>
      </c>
      <c r="D107" s="104">
        <v>0.01</v>
      </c>
      <c r="E107" s="104"/>
      <c r="F107" t="s">
        <v>4492</v>
      </c>
      <c r="G107" t="s">
        <v>4475</v>
      </c>
      <c r="H107" s="105">
        <v>0</v>
      </c>
      <c r="I107" s="105">
        <v>0</v>
      </c>
      <c r="J107" s="105">
        <v>0</v>
      </c>
      <c r="K107" s="105">
        <v>1</v>
      </c>
      <c r="L107" s="105">
        <f t="shared" si="5"/>
        <v>1</v>
      </c>
      <c r="M107" s="101" t="s">
        <v>4510</v>
      </c>
    </row>
    <row r="108" spans="1:14" x14ac:dyDescent="0.25">
      <c r="A108" t="s">
        <v>4496</v>
      </c>
      <c r="B108" t="s">
        <v>3990</v>
      </c>
      <c r="C108" t="s">
        <v>180</v>
      </c>
      <c r="D108" s="104">
        <v>0.01</v>
      </c>
      <c r="E108" s="104"/>
      <c r="F108" t="s">
        <v>4492</v>
      </c>
      <c r="G108" t="s">
        <v>178</v>
      </c>
      <c r="H108" s="21">
        <v>0.05</v>
      </c>
      <c r="I108" s="21">
        <v>0.95</v>
      </c>
      <c r="J108" s="21">
        <v>0</v>
      </c>
      <c r="K108" s="21">
        <v>0</v>
      </c>
      <c r="L108" s="105">
        <f t="shared" si="5"/>
        <v>1</v>
      </c>
      <c r="M108" s="101" t="s">
        <v>4512</v>
      </c>
    </row>
    <row r="109" spans="1:14" x14ac:dyDescent="0.25">
      <c r="A109" t="s">
        <v>4496</v>
      </c>
      <c r="B109" t="s">
        <v>3990</v>
      </c>
      <c r="C109" t="s">
        <v>3991</v>
      </c>
      <c r="D109" s="104">
        <v>0.01</v>
      </c>
      <c r="E109" s="104"/>
      <c r="F109" t="s">
        <v>4492</v>
      </c>
      <c r="G109" t="s">
        <v>178</v>
      </c>
      <c r="H109" s="21">
        <v>0.05</v>
      </c>
      <c r="I109" s="21">
        <v>0.95</v>
      </c>
      <c r="J109" s="21">
        <v>0</v>
      </c>
      <c r="K109" s="21">
        <v>0</v>
      </c>
      <c r="L109" s="105">
        <f t="shared" si="5"/>
        <v>1</v>
      </c>
      <c r="M109" s="101" t="s">
        <v>4512</v>
      </c>
    </row>
    <row r="110" spans="1:14" x14ac:dyDescent="0.25">
      <c r="A110" t="s">
        <v>4496</v>
      </c>
      <c r="B110" t="s">
        <v>3990</v>
      </c>
      <c r="C110" t="s">
        <v>3992</v>
      </c>
      <c r="D110" s="104">
        <v>0.01</v>
      </c>
      <c r="E110" s="104"/>
      <c r="F110" t="s">
        <v>4492</v>
      </c>
      <c r="G110" t="s">
        <v>178</v>
      </c>
      <c r="H110" s="21">
        <v>0.05</v>
      </c>
      <c r="I110" s="21">
        <v>0.95</v>
      </c>
      <c r="J110" s="21">
        <v>0</v>
      </c>
      <c r="K110" s="21">
        <v>0</v>
      </c>
      <c r="L110" s="105">
        <f t="shared" si="5"/>
        <v>1</v>
      </c>
      <c r="M110" s="101" t="s">
        <v>4512</v>
      </c>
    </row>
    <row r="111" spans="1:14" ht="13.8" x14ac:dyDescent="0.25">
      <c r="A111" t="s">
        <v>4513</v>
      </c>
      <c r="B111" t="s">
        <v>3994</v>
      </c>
      <c r="C111" t="s">
        <v>3995</v>
      </c>
      <c r="D111" s="104">
        <v>0.05</v>
      </c>
      <c r="E111" s="104"/>
      <c r="F111" t="s">
        <v>4478</v>
      </c>
      <c r="G111" t="s">
        <v>4475</v>
      </c>
      <c r="H111" s="105">
        <v>0.1</v>
      </c>
      <c r="I111" s="105">
        <v>0</v>
      </c>
      <c r="J111" s="105">
        <v>0</v>
      </c>
      <c r="K111" s="105">
        <v>0.9</v>
      </c>
      <c r="L111" s="105">
        <f t="shared" si="5"/>
        <v>1</v>
      </c>
      <c r="M111" s="101" t="s">
        <v>4476</v>
      </c>
      <c r="N111" s="106" t="s">
        <v>4477</v>
      </c>
    </row>
    <row r="112" spans="1:14" ht="13.8" x14ac:dyDescent="0.25">
      <c r="A112" t="s">
        <v>4513</v>
      </c>
      <c r="B112" t="s">
        <v>3994</v>
      </c>
      <c r="C112" t="s">
        <v>3474</v>
      </c>
      <c r="D112" s="104">
        <v>0.05</v>
      </c>
      <c r="E112" s="104"/>
      <c r="F112" t="s">
        <v>4478</v>
      </c>
      <c r="G112" t="s">
        <v>4475</v>
      </c>
      <c r="H112" s="105">
        <v>0.1</v>
      </c>
      <c r="I112" s="105">
        <v>0</v>
      </c>
      <c r="J112" s="105">
        <v>0</v>
      </c>
      <c r="K112" s="105">
        <v>0.9</v>
      </c>
      <c r="L112" s="105">
        <f t="shared" si="5"/>
        <v>1</v>
      </c>
      <c r="M112" s="101" t="s">
        <v>4476</v>
      </c>
      <c r="N112" s="106" t="s">
        <v>4477</v>
      </c>
    </row>
    <row r="113" spans="1:14" ht="13.8" x14ac:dyDescent="0.25">
      <c r="A113" t="s">
        <v>4513</v>
      </c>
      <c r="B113" t="s">
        <v>3994</v>
      </c>
      <c r="C113" t="s">
        <v>3997</v>
      </c>
      <c r="D113" s="104">
        <v>0.05</v>
      </c>
      <c r="E113" s="104"/>
      <c r="F113" t="s">
        <v>4478</v>
      </c>
      <c r="G113" t="s">
        <v>4475</v>
      </c>
      <c r="H113" s="105">
        <v>0.1</v>
      </c>
      <c r="I113" s="105">
        <v>0</v>
      </c>
      <c r="J113" s="105">
        <v>0</v>
      </c>
      <c r="K113" s="105">
        <v>0.9</v>
      </c>
      <c r="L113" s="105">
        <f t="shared" si="5"/>
        <v>1</v>
      </c>
      <c r="M113" s="101" t="s">
        <v>4476</v>
      </c>
      <c r="N113" s="106" t="s">
        <v>4477</v>
      </c>
    </row>
    <row r="114" spans="1:14" x14ac:dyDescent="0.25">
      <c r="A114" t="s">
        <v>4514</v>
      </c>
      <c r="B114" t="s">
        <v>3998</v>
      </c>
      <c r="C114" t="s">
        <v>3728</v>
      </c>
      <c r="D114" s="104">
        <v>0</v>
      </c>
      <c r="E114"/>
      <c r="F114" t="s">
        <v>4515</v>
      </c>
      <c r="G114"/>
    </row>
    <row r="115" spans="1:14" x14ac:dyDescent="0.25">
      <c r="A115" t="s">
        <v>4514</v>
      </c>
      <c r="B115" t="s">
        <v>3998</v>
      </c>
      <c r="C115" t="s">
        <v>3689</v>
      </c>
      <c r="D115" s="104">
        <v>0</v>
      </c>
      <c r="E115"/>
      <c r="F115" t="s">
        <v>4516</v>
      </c>
      <c r="G115"/>
    </row>
    <row r="116" spans="1:14" x14ac:dyDescent="0.25">
      <c r="A116" t="s">
        <v>4514</v>
      </c>
      <c r="B116" t="s">
        <v>3998</v>
      </c>
      <c r="C116" t="s">
        <v>3685</v>
      </c>
      <c r="D116" s="104">
        <v>0</v>
      </c>
      <c r="E116"/>
      <c r="F116" t="s">
        <v>4516</v>
      </c>
      <c r="G116"/>
    </row>
    <row r="117" spans="1:14" x14ac:dyDescent="0.25">
      <c r="A117" t="s">
        <v>4514</v>
      </c>
      <c r="B117" t="s">
        <v>3709</v>
      </c>
      <c r="C117" t="s">
        <v>3709</v>
      </c>
      <c r="D117" s="104">
        <v>0</v>
      </c>
      <c r="E117"/>
      <c r="F117" t="s">
        <v>4516</v>
      </c>
      <c r="G117"/>
    </row>
    <row r="118" spans="1:14" ht="13.8" x14ac:dyDescent="0.25">
      <c r="A118" t="s">
        <v>4513</v>
      </c>
      <c r="B118" t="s">
        <v>259</v>
      </c>
      <c r="C118" t="s">
        <v>259</v>
      </c>
      <c r="D118" s="91">
        <v>0.05</v>
      </c>
      <c r="E118" s="91"/>
      <c r="F118" t="s">
        <v>4478</v>
      </c>
      <c r="G118" t="s">
        <v>4475</v>
      </c>
      <c r="H118" s="105">
        <v>0.1</v>
      </c>
      <c r="I118" s="105">
        <v>0</v>
      </c>
      <c r="J118" s="105">
        <v>0</v>
      </c>
      <c r="K118" s="105">
        <v>0.9</v>
      </c>
      <c r="L118" s="105">
        <f>SUM(H118:K118)</f>
        <v>1</v>
      </c>
      <c r="M118" s="101" t="s">
        <v>4476</v>
      </c>
      <c r="N118" s="106" t="s">
        <v>4477</v>
      </c>
    </row>
    <row r="119" spans="1:14" x14ac:dyDescent="0.25">
      <c r="A119">
        <v>0</v>
      </c>
      <c r="B119" t="s">
        <v>4517</v>
      </c>
      <c r="C119" t="s">
        <v>4517</v>
      </c>
      <c r="D119" s="91">
        <v>0.05</v>
      </c>
      <c r="E119" s="91"/>
      <c r="F119" t="s">
        <v>4518</v>
      </c>
      <c r="G119" t="s">
        <v>4475</v>
      </c>
      <c r="H119" s="21">
        <v>0</v>
      </c>
      <c r="I119" s="21">
        <v>0</v>
      </c>
      <c r="J119" s="21">
        <v>0</v>
      </c>
      <c r="K119" s="21">
        <v>1</v>
      </c>
      <c r="L119" s="105">
        <f t="shared" ref="L119:L126" si="11">SUM(H119:K119)</f>
        <v>1</v>
      </c>
      <c r="M119" s="101" t="s">
        <v>4519</v>
      </c>
    </row>
    <row r="120" spans="1:14" ht="13.8" x14ac:dyDescent="0.25">
      <c r="A120" t="s">
        <v>4513</v>
      </c>
      <c r="B120" t="s">
        <v>3884</v>
      </c>
      <c r="C120" t="s">
        <v>4002</v>
      </c>
      <c r="D120" s="91">
        <v>0.02</v>
      </c>
      <c r="E120" s="91"/>
      <c r="F120" t="s">
        <v>4474</v>
      </c>
      <c r="G120" t="s">
        <v>4475</v>
      </c>
      <c r="H120" s="105">
        <v>0.1</v>
      </c>
      <c r="I120" s="105">
        <v>0</v>
      </c>
      <c r="J120" s="105">
        <v>0</v>
      </c>
      <c r="K120" s="105">
        <v>0.9</v>
      </c>
      <c r="L120" s="105">
        <f t="shared" si="11"/>
        <v>1</v>
      </c>
      <c r="M120" s="101" t="s">
        <v>4476</v>
      </c>
      <c r="N120" s="106" t="s">
        <v>4477</v>
      </c>
    </row>
    <row r="121" spans="1:14" x14ac:dyDescent="0.25">
      <c r="A121" t="s">
        <v>4505</v>
      </c>
      <c r="B121" t="s">
        <v>4003</v>
      </c>
      <c r="C121" t="s">
        <v>2414</v>
      </c>
      <c r="D121" s="91">
        <v>0.01</v>
      </c>
      <c r="E121"/>
      <c r="F121" t="s">
        <v>4520</v>
      </c>
      <c r="G121" t="s">
        <v>4475</v>
      </c>
      <c r="H121" s="105">
        <v>0</v>
      </c>
      <c r="I121" s="105">
        <v>0.15</v>
      </c>
      <c r="J121" s="105">
        <v>0</v>
      </c>
      <c r="K121" s="105">
        <v>0.85</v>
      </c>
      <c r="L121" s="105">
        <f t="shared" si="11"/>
        <v>1</v>
      </c>
      <c r="M121" s="101" t="s">
        <v>4521</v>
      </c>
    </row>
    <row r="122" spans="1:14" x14ac:dyDescent="0.25">
      <c r="A122" t="s">
        <v>4505</v>
      </c>
      <c r="B122" t="s">
        <v>4003</v>
      </c>
      <c r="C122" t="s">
        <v>2430</v>
      </c>
      <c r="D122" s="91">
        <v>0.1</v>
      </c>
      <c r="E122"/>
      <c r="F122" t="s">
        <v>4478</v>
      </c>
      <c r="G122" s="101" t="s">
        <v>2403</v>
      </c>
      <c r="H122" s="21">
        <v>0</v>
      </c>
      <c r="I122" s="21">
        <v>0</v>
      </c>
      <c r="J122" s="21">
        <v>0</v>
      </c>
      <c r="K122" s="21">
        <v>1</v>
      </c>
      <c r="L122" s="105">
        <f t="shared" si="11"/>
        <v>1</v>
      </c>
      <c r="M122" s="101" t="s">
        <v>4494</v>
      </c>
    </row>
    <row r="123" spans="1:14" x14ac:dyDescent="0.25">
      <c r="A123" t="s">
        <v>4505</v>
      </c>
      <c r="B123" t="s">
        <v>4003</v>
      </c>
      <c r="C123" t="s">
        <v>2391</v>
      </c>
      <c r="D123" s="91">
        <v>0.1</v>
      </c>
      <c r="E123"/>
      <c r="F123" t="s">
        <v>4522</v>
      </c>
      <c r="G123" t="s">
        <v>4523</v>
      </c>
      <c r="H123" s="21">
        <v>0</v>
      </c>
      <c r="I123" s="21">
        <v>0</v>
      </c>
      <c r="J123" s="21">
        <v>0</v>
      </c>
      <c r="K123" s="21">
        <v>1</v>
      </c>
      <c r="L123" s="105">
        <f t="shared" si="11"/>
        <v>1</v>
      </c>
      <c r="M123" s="101" t="s">
        <v>4494</v>
      </c>
    </row>
    <row r="124" spans="1:14" x14ac:dyDescent="0.25">
      <c r="A124" t="s">
        <v>4505</v>
      </c>
      <c r="B124" t="s">
        <v>4003</v>
      </c>
      <c r="C124" t="s">
        <v>2409</v>
      </c>
      <c r="D124" s="91">
        <v>0.1</v>
      </c>
      <c r="E124"/>
      <c r="F124" t="s">
        <v>4522</v>
      </c>
      <c r="G124" t="s">
        <v>4523</v>
      </c>
      <c r="H124" s="21">
        <v>0</v>
      </c>
      <c r="I124" s="21">
        <v>0</v>
      </c>
      <c r="J124" s="21">
        <v>0</v>
      </c>
      <c r="K124" s="21">
        <v>1</v>
      </c>
      <c r="L124" s="105">
        <f t="shared" si="11"/>
        <v>1</v>
      </c>
      <c r="M124" s="101" t="s">
        <v>4494</v>
      </c>
    </row>
    <row r="125" spans="1:14" x14ac:dyDescent="0.25">
      <c r="A125" t="s">
        <v>4505</v>
      </c>
      <c r="B125" t="s">
        <v>4003</v>
      </c>
      <c r="C125" t="s">
        <v>2498</v>
      </c>
      <c r="D125" s="91">
        <v>0.1</v>
      </c>
      <c r="E125"/>
      <c r="F125" t="s">
        <v>4522</v>
      </c>
      <c r="G125" t="s">
        <v>4523</v>
      </c>
      <c r="H125" s="21">
        <v>0</v>
      </c>
      <c r="I125" s="21">
        <v>0</v>
      </c>
      <c r="J125" s="21">
        <v>0</v>
      </c>
      <c r="K125" s="21">
        <v>1</v>
      </c>
      <c r="L125" s="105">
        <f t="shared" si="11"/>
        <v>1</v>
      </c>
      <c r="M125" s="101" t="s">
        <v>4494</v>
      </c>
    </row>
    <row r="126" spans="1:14" x14ac:dyDescent="0.25">
      <c r="A126" t="s">
        <v>4505</v>
      </c>
      <c r="B126" t="s">
        <v>4524</v>
      </c>
      <c r="C126" t="s">
        <v>2386</v>
      </c>
      <c r="D126" s="91">
        <v>0.1</v>
      </c>
      <c r="E126"/>
      <c r="F126" t="s">
        <v>4522</v>
      </c>
      <c r="G126" t="s">
        <v>4523</v>
      </c>
      <c r="H126" s="21">
        <v>0</v>
      </c>
      <c r="I126" s="21">
        <v>0</v>
      </c>
      <c r="J126" s="21">
        <v>0</v>
      </c>
      <c r="K126" s="21">
        <v>1</v>
      </c>
      <c r="L126" s="105">
        <f t="shared" si="11"/>
        <v>1</v>
      </c>
      <c r="M126" s="101" t="s">
        <v>4494</v>
      </c>
    </row>
  </sheetData>
  <mergeCells count="1">
    <mergeCell ref="H1:K1"/>
  </mergeCells>
  <hyperlinks>
    <hyperlink ref="N3" r:id="rId1" display="https://www.dcceew.gov.au/sites/default/files/documents/national-waste-database-2022.xlsx " xr:uid="{82AEE903-7D85-4B5E-A6CA-838DAB56E9D4}"/>
    <hyperlink ref="N4" r:id="rId2" display="https://www.dcceew.gov.au/sites/default/files/documents/national-waste-database-2022.xlsx " xr:uid="{BC25D71A-7EFF-4318-B6CF-47AD4C55CFB0}"/>
    <hyperlink ref="N5:N17" r:id="rId3" display="https://www.dcceew.gov.au/sites/default/files/documents/national-waste-database-2022.xlsx " xr:uid="{9896987B-BFED-487D-A744-79BCC5114D82}"/>
    <hyperlink ref="N45:N46" r:id="rId4" display="https://www.dcceew.gov.au/sites/default/files/documents/national-waste-database-2022.xlsx " xr:uid="{61B4E29D-C347-450C-9951-E5D7C607F8F9}"/>
    <hyperlink ref="N57:N59" r:id="rId5" display="https://www.dcceew.gov.au/sites/default/files/documents/national-waste-database-2022.xlsx " xr:uid="{59157A7F-87E4-4EDF-A4DF-814B9B29B11B}"/>
    <hyperlink ref="N111:N113" r:id="rId6" display="https://www.dcceew.gov.au/sites/default/files/documents/national-waste-database-2022.xlsx " xr:uid="{63DBCD65-B626-4500-ACAE-358053F3664E}"/>
    <hyperlink ref="N118" r:id="rId7" display="https://www.dcceew.gov.au/sites/default/files/documents/national-waste-database-2022.xlsx " xr:uid="{93975FED-DF0F-48EE-AA4E-D331D33034D0}"/>
    <hyperlink ref="N18" r:id="rId8" display="https://www.dcceew.gov.au/sites/default/files/documents/national-waste-database-2022.xlsx " xr:uid="{6FD9E5BC-BE36-4839-93D7-0829B4AECD54}"/>
    <hyperlink ref="N19" r:id="rId9" display="https://www.dcceew.gov.au/sites/default/files/documents/national-waste-database-2022.xlsx " xr:uid="{C3D0D7BB-2F81-4679-A70F-0553DCFD1931}"/>
    <hyperlink ref="N20" r:id="rId10" display="https://www.dcceew.gov.au/sites/default/files/documents/national-waste-database-2022.xlsx " xr:uid="{F3216705-9DA0-47AB-9712-7A477E9C4139}"/>
    <hyperlink ref="N21" r:id="rId11" display="https://www.dcceew.gov.au/sites/default/files/documents/national-waste-database-2022.xlsx " xr:uid="{322D6552-7690-49AC-93AF-68946DEBC16F}"/>
    <hyperlink ref="N22" r:id="rId12" display="https://www.dcceew.gov.au/sites/default/files/documents/national-waste-database-2022.xlsx " xr:uid="{F5C68595-303F-4F39-94EE-140395C81EA3}"/>
    <hyperlink ref="N23" r:id="rId13" display="https://www.dcceew.gov.au/sites/default/files/documents/national-waste-database-2022.xlsx " xr:uid="{39DF4D0D-614F-42D9-AC40-FD26E896ACAA}"/>
    <hyperlink ref="N24" r:id="rId14" display="https://www.dcceew.gov.au/sites/default/files/documents/national-waste-database-2022.xlsx " xr:uid="{E7DC4725-7049-4E1A-833F-AE39C921FFC0}"/>
    <hyperlink ref="N25" r:id="rId15" display="https://www.dcceew.gov.au/sites/default/files/documents/national-waste-database-2022.xlsx " xr:uid="{2F9398C1-957D-4E88-B84A-A8FB6BBF0EFF}"/>
    <hyperlink ref="N26" r:id="rId16" display="https://www.dcceew.gov.au/sites/default/files/documents/national-waste-database-2022.xlsx " xr:uid="{4D6B1290-6BD6-4F92-B0A5-3AF459325BA4}"/>
    <hyperlink ref="N27" r:id="rId17" display="https://www.dcceew.gov.au/sites/default/files/documents/national-waste-database-2022.xlsx " xr:uid="{76EAC82D-C6FD-4EFC-9C2C-A5B7D071D8BE}"/>
    <hyperlink ref="N28" r:id="rId18" display="https://www.dcceew.gov.au/sites/default/files/documents/national-waste-database-2022.xlsx " xr:uid="{6BBB2530-C72B-477B-8C6B-E4E9FD751895}"/>
    <hyperlink ref="N29" r:id="rId19" display="https://www.dcceew.gov.au/sites/default/files/documents/national-waste-database-2022.xlsx " xr:uid="{69E8AAC7-D82D-491A-A4DF-0D4FD264A273}"/>
    <hyperlink ref="N30" r:id="rId20" display="https://www.dcceew.gov.au/sites/default/files/documents/national-waste-database-2022.xlsx " xr:uid="{EE401315-D9CB-4D81-B738-12BBB146442C}"/>
    <hyperlink ref="N31" r:id="rId21" display="https://www.dcceew.gov.au/sites/default/files/documents/national-waste-database-2022.xlsx " xr:uid="{A45A4FA0-02D2-4212-9EB8-389E9A99DEDA}"/>
    <hyperlink ref="N32" r:id="rId22" display="https://www.dcceew.gov.au/sites/default/files/documents/national-waste-database-2022.xlsx " xr:uid="{C5B727CD-70C2-44E1-9556-6657D63105D2}"/>
    <hyperlink ref="N33" r:id="rId23" display="https://www.dcceew.gov.au/sites/default/files/documents/national-waste-database-2022.xlsx " xr:uid="{5CD44967-1B73-49B5-A114-A80DF9348602}"/>
    <hyperlink ref="N34" r:id="rId24" display="https://www.dcceew.gov.au/sites/default/files/documents/national-waste-database-2022.xlsx " xr:uid="{3634A0B0-791D-4EF6-A23C-9F8242055356}"/>
    <hyperlink ref="N35" r:id="rId25" display="https://www.dcceew.gov.au/sites/default/files/documents/national-waste-database-2022.xlsx " xr:uid="{52307298-3FA8-4BCD-9D66-6A6BF8F8AFBE}"/>
    <hyperlink ref="N36" r:id="rId26" display="https://www.dcceew.gov.au/sites/default/files/documents/national-waste-database-2022.xlsx " xr:uid="{B219729C-1322-418C-B5EF-BCC95D18161B}"/>
    <hyperlink ref="N37" r:id="rId27" display="https://www.dcceew.gov.au/sites/default/files/documents/national-waste-database-2022.xlsx " xr:uid="{6D87AD7D-EDCA-4FC8-901A-F6B5CBE80456}"/>
    <hyperlink ref="N38" r:id="rId28" display="https://www.dcceew.gov.au/sites/default/files/documents/national-waste-database-2022.xlsx " xr:uid="{D424E721-6971-4D47-AB27-359DC9E2B3C8}"/>
    <hyperlink ref="N39" r:id="rId29" display="https://www.dcceew.gov.au/sites/default/files/documents/national-waste-database-2022.xlsx " xr:uid="{EBF597E6-10F6-40B6-8932-EC2C2A13361C}"/>
    <hyperlink ref="N40" r:id="rId30" display="https://www.dcceew.gov.au/sites/default/files/documents/national-waste-database-2022.xlsx " xr:uid="{0F8FFEC7-8326-428C-8642-377623112D60}"/>
    <hyperlink ref="N41" r:id="rId31" display="https://www.dcceew.gov.au/sites/default/files/documents/national-waste-database-2022.xlsx " xr:uid="{1285CED0-6D3A-4902-84DD-EF5EC92C6B67}"/>
    <hyperlink ref="N42" r:id="rId32" display="https://www.dcceew.gov.au/sites/default/files/documents/national-waste-database-2022.xlsx " xr:uid="{7D266837-5DD8-407B-AA8A-D531B02DE28A}"/>
    <hyperlink ref="N43" r:id="rId33" display="https://www.dcceew.gov.au/sites/default/files/documents/national-waste-database-2022.xlsx " xr:uid="{FC4004DA-FA7F-4068-9AE0-5728D92AF778}"/>
    <hyperlink ref="N44" r:id="rId34" display="https://www.dcceew.gov.au/sites/default/files/documents/national-waste-database-2022.xlsx " xr:uid="{4D756823-C2DE-4905-8516-4088E36BAC3B}"/>
    <hyperlink ref="N47" r:id="rId35" display="https://www.dcceew.gov.au/sites/default/files/documents/national-waste-database-2022.xlsx " xr:uid="{85D96BF2-558C-4085-A97C-7D1A28BAF048}"/>
    <hyperlink ref="N54" r:id="rId36" display="https://www.dcceew.gov.au/sites/default/files/documents/national-waste-database-2022.xlsx " xr:uid="{0EBB1394-7CCA-4F79-87C6-17686BC308A9}"/>
    <hyperlink ref="N55" r:id="rId37" display="https://www.dcceew.gov.au/sites/default/files/documents/national-waste-database-2022.xlsx " xr:uid="{5F7439D9-38C0-454B-AE37-FB086248A5E3}"/>
    <hyperlink ref="N56" r:id="rId38" display="https://www.dcceew.gov.au/sites/default/files/documents/national-waste-database-2022.xlsx " xr:uid="{B2BB5E7F-179A-40BD-9F29-280227418B1C}"/>
    <hyperlink ref="N82" r:id="rId39" display="https://www.dcceew.gov.au/sites/default/files/documents/national-waste-database-2022.xlsx " xr:uid="{82A01EE4-CD6B-4129-957A-BE5AAF006F96}"/>
    <hyperlink ref="N83" r:id="rId40" display="https://www.dcceew.gov.au/sites/default/files/documents/national-waste-database-2022.xlsx " xr:uid="{1052AE20-EF46-4A3D-84EF-E435917112A8}"/>
    <hyperlink ref="N86" r:id="rId41" display="https://www.dcceew.gov.au/sites/default/files/documents/national-waste-database-2022.xlsx " xr:uid="{E22098F9-7BFD-43FA-BA16-2D5B419C0E99}"/>
    <hyperlink ref="N84" r:id="rId42" display="https://www.dcceew.gov.au/sites/default/files/documents/national-waste-database-2022.xlsx " xr:uid="{159B7954-FEC2-41A1-BDB1-167699656450}"/>
    <hyperlink ref="N85" r:id="rId43" display="https://www.dcceew.gov.au/sites/default/files/documents/national-waste-database-2022.xlsx " xr:uid="{032896B3-0F8B-41AA-9201-60340FA06EC9}"/>
    <hyperlink ref="N102" r:id="rId44" display="https://www.dcceew.gov.au/sites/default/files/documents/national-waste-database-2022.xlsx " xr:uid="{9A9E00A7-07A8-4AF2-858A-712D5252CC2F}"/>
    <hyperlink ref="N105" r:id="rId45" display="https://www.dcceew.gov.au/sites/default/files/documents/national-waste-database-2022.xlsx " xr:uid="{C26CB70B-6260-4938-BBC9-CBF52F3E855C}"/>
    <hyperlink ref="N104" r:id="rId46" display="https://www.dcceew.gov.au/sites/default/files/documents/national-waste-database-2022.xlsx " xr:uid="{06A0021C-D033-47B9-859E-50198C374EA6}"/>
    <hyperlink ref="N120" r:id="rId47" display="https://www.dcceew.gov.au/sites/default/files/documents/national-waste-database-2022.xlsx " xr:uid="{D53D7913-A7AC-47A7-8A77-510F6231BA80}"/>
    <hyperlink ref="N64" r:id="rId48" display="https://www.dcceew.gov.au/sites/default/files/documents/national-waste-database-2022.xlsx " xr:uid="{A3C34598-1B46-4815-836B-84F78E41F430}"/>
    <hyperlink ref="N65" r:id="rId49" display="https://www.dcceew.gov.au/sites/default/files/documents/national-waste-database-2022.xlsx " xr:uid="{388A39F1-6B7D-4C52-B160-7569246C3641}"/>
    <hyperlink ref="N60" r:id="rId50" display="https://www.dcceew.gov.au/sites/default/files/documents/national-waste-database-2022.xlsx " xr:uid="{4D0F6D81-2376-4AF6-9A30-D75D09822FF1}"/>
    <hyperlink ref="N61" r:id="rId51" display="https://www.dcceew.gov.au/sites/default/files/documents/national-waste-database-2022.xlsx " xr:uid="{6D45F39D-655F-4E6D-944F-578EE5FF6A93}"/>
    <hyperlink ref="N62" r:id="rId52" display="https://www.dcceew.gov.au/sites/default/files/documents/national-waste-database-2022.xlsx " xr:uid="{0DFAB737-0032-4223-A930-915B45AB66ED}"/>
    <hyperlink ref="O20" r:id="rId53" display="https://d39d3mj7qio96p.cloudfront.net/media/documents/SR279_Prefabrication_impacts_in_the_New_Zealand_construction_industry.pdf" xr:uid="{492BA28F-BD98-4AF6-B989-E1790D4FECCF}"/>
    <hyperlink ref="O21:O44" r:id="rId54" display="https://d39d3mj7qio96p.cloudfront.net/media/documents/SR279_Prefabrication_impacts_in_the_New_Zealand_construction_industry.pdf" xr:uid="{6769CD1A-ABF4-443F-9622-B30694E3A4EC}"/>
    <hyperlink ref="O60:O62" r:id="rId55" display="https://d39d3mj7qio96p.cloudfront.net/media/documents/SR279_Prefabrication_impacts_in_the_New_Zealand_construction_industry.pdf" xr:uid="{121DAA73-775C-477A-911C-AA7B86E91580}"/>
    <hyperlink ref="O64:O65" r:id="rId56" display="https://d39d3mj7qio96p.cloudfront.net/media/documents/SR279_Prefabrication_impacts_in_the_New_Zealand_construction_industry.pdf" xr:uid="{0B5338EB-14D9-497B-BDA2-8E3133E5169F}"/>
    <hyperlink ref="N100" r:id="rId57" display="https://d39d3mj7qio96p.cloudfront.net/media/documents/SR279_Prefabrication_impacts_in_the_New_Zealand_construction_industry.pdf" xr:uid="{3080A354-D725-4785-B573-FAE84008571A}"/>
    <hyperlink ref="N63" r:id="rId58" display="https://d39d3mj7qio96p.cloudfront.net/media/documents/SR279_Prefabrication_impacts_in_the_New_Zealand_construction_industry.pdf" xr:uid="{E236C407-A494-4106-8223-00C1241B7CAE}"/>
  </hyperlinks>
  <pageMargins left="0.7" right="0.7" top="0.75" bottom="0.75" header="0.3" footer="0.3"/>
  <legacyDrawing r:id="rId59"/>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BE5C15-D378-4771-9020-A18A500FE498}">
  <sheetPr codeName="Sheet71">
    <tabColor theme="0"/>
  </sheetPr>
  <dimension ref="D3:U38"/>
  <sheetViews>
    <sheetView showGridLines="0" topLeftCell="I1" workbookViewId="0"/>
  </sheetViews>
  <sheetFormatPr defaultRowHeight="13.2" x14ac:dyDescent="0.25"/>
  <cols>
    <col min="2" max="2" width="38.109375" customWidth="1"/>
    <col min="4" max="4" width="21.5546875" customWidth="1"/>
    <col min="5" max="5" width="12.5546875" customWidth="1"/>
    <col min="7" max="7" width="15.88671875" customWidth="1"/>
    <col min="8" max="8" width="14.88671875" customWidth="1"/>
    <col min="9" max="9" width="28" customWidth="1"/>
    <col min="10" max="10" width="15.109375" customWidth="1"/>
    <col min="11" max="12" width="23" customWidth="1"/>
    <col min="14" max="15" width="13.5546875" customWidth="1"/>
    <col min="18" max="18" width="12" customWidth="1"/>
    <col min="19" max="19" width="17.109375" customWidth="1"/>
    <col min="21" max="21" width="63.88671875" customWidth="1"/>
  </cols>
  <sheetData>
    <row r="3" spans="10:21" ht="13.8" thickBot="1" x14ac:dyDescent="0.3"/>
    <row r="4" spans="10:21" x14ac:dyDescent="0.25">
      <c r="J4" s="78" t="s">
        <v>4525</v>
      </c>
      <c r="K4" s="79"/>
      <c r="L4" s="79"/>
      <c r="M4" s="79"/>
      <c r="N4" s="79"/>
      <c r="O4" s="79"/>
      <c r="P4" s="79"/>
      <c r="Q4" s="80"/>
    </row>
    <row r="5" spans="10:21" ht="13.8" thickBot="1" x14ac:dyDescent="0.3">
      <c r="J5" s="81" t="s">
        <v>4526</v>
      </c>
      <c r="K5" t="s">
        <v>4527</v>
      </c>
      <c r="L5" t="s">
        <v>4528</v>
      </c>
      <c r="Q5" s="82"/>
    </row>
    <row r="6" spans="10:21" ht="13.8" thickBot="1" x14ac:dyDescent="0.3">
      <c r="J6" s="81"/>
      <c r="K6" t="s">
        <v>4061</v>
      </c>
      <c r="L6" t="s">
        <v>4061</v>
      </c>
      <c r="N6" s="78" t="s">
        <v>4063</v>
      </c>
      <c r="O6" s="80" t="s">
        <v>4063</v>
      </c>
      <c r="Q6" s="82"/>
    </row>
    <row r="7" spans="10:21" ht="13.8" thickBot="1" x14ac:dyDescent="0.3">
      <c r="J7" s="78"/>
      <c r="K7" s="79" t="s">
        <v>4529</v>
      </c>
      <c r="L7" s="80" t="s">
        <v>4530</v>
      </c>
      <c r="N7" s="78" t="s">
        <v>4529</v>
      </c>
      <c r="O7" s="80" t="s">
        <v>4530</v>
      </c>
      <c r="Q7" s="82"/>
      <c r="S7" s="78" t="s">
        <v>4531</v>
      </c>
      <c r="T7" s="80"/>
    </row>
    <row r="8" spans="10:21" x14ac:dyDescent="0.25">
      <c r="J8" s="78" t="s">
        <v>4532</v>
      </c>
      <c r="K8" s="79">
        <v>187.6</v>
      </c>
      <c r="L8" s="80">
        <v>189.5</v>
      </c>
      <c r="N8" s="81">
        <v>187.6</v>
      </c>
      <c r="O8" s="82">
        <v>189.5</v>
      </c>
      <c r="Q8" s="82"/>
      <c r="S8" s="81" t="s">
        <v>4533</v>
      </c>
      <c r="T8" s="83">
        <v>0.25</v>
      </c>
      <c r="U8" t="s">
        <v>4534</v>
      </c>
    </row>
    <row r="9" spans="10:21" ht="13.8" thickBot="1" x14ac:dyDescent="0.3">
      <c r="J9" s="81" t="s">
        <v>150</v>
      </c>
      <c r="K9">
        <v>675.4</v>
      </c>
      <c r="L9" s="82">
        <v>682.3</v>
      </c>
      <c r="N9" s="81">
        <v>675.4</v>
      </c>
      <c r="O9" s="82">
        <v>682.3</v>
      </c>
      <c r="Q9" s="82"/>
      <c r="S9" s="84" t="s">
        <v>4535</v>
      </c>
      <c r="T9" s="85">
        <v>3.48</v>
      </c>
    </row>
    <row r="10" spans="10:21" ht="13.8" thickBot="1" x14ac:dyDescent="0.3">
      <c r="J10" s="81" t="s">
        <v>4536</v>
      </c>
      <c r="K10">
        <v>75</v>
      </c>
      <c r="L10" s="82">
        <v>75.8</v>
      </c>
      <c r="N10" s="81">
        <v>75</v>
      </c>
      <c r="O10" s="82">
        <v>75.8</v>
      </c>
      <c r="Q10" s="82"/>
    </row>
    <row r="11" spans="10:21" x14ac:dyDescent="0.25">
      <c r="J11" s="81" t="s">
        <v>4537</v>
      </c>
      <c r="K11">
        <v>4.7</v>
      </c>
      <c r="L11" s="82">
        <v>4.7</v>
      </c>
      <c r="N11" s="81">
        <v>4.7</v>
      </c>
      <c r="O11" s="82">
        <v>4.7</v>
      </c>
      <c r="Q11" s="82"/>
      <c r="S11" s="78" t="s">
        <v>4538</v>
      </c>
      <c r="T11" s="80"/>
    </row>
    <row r="12" spans="10:21" x14ac:dyDescent="0.25">
      <c r="J12" s="81" t="s">
        <v>4539</v>
      </c>
      <c r="K12">
        <f>SUM(K8:K11)*0.01</f>
        <v>9.4270000000000014</v>
      </c>
      <c r="L12" s="82">
        <f>SUM(L8:L11)*0.01</f>
        <v>9.5229999999999997</v>
      </c>
      <c r="N12" s="81">
        <f>SUM(N8:N11)*0.01</f>
        <v>9.4270000000000014</v>
      </c>
      <c r="O12" s="82">
        <f>SUM(O8:O11)*0.01</f>
        <v>9.5229999999999997</v>
      </c>
      <c r="S12" s="81" t="s">
        <v>4533</v>
      </c>
      <c r="T12" s="83">
        <v>0.15</v>
      </c>
      <c r="U12" t="s">
        <v>4534</v>
      </c>
    </row>
    <row r="13" spans="10:21" ht="13.8" thickBot="1" x14ac:dyDescent="0.3">
      <c r="J13" s="81" t="s">
        <v>4540</v>
      </c>
      <c r="K13">
        <f>SUM(K8:K12)</f>
        <v>952.12700000000007</v>
      </c>
      <c r="L13" s="82">
        <f>SUM(L8:L11)</f>
        <v>952.3</v>
      </c>
      <c r="N13" s="81">
        <f>SUM(N8:N11)</f>
        <v>942.7</v>
      </c>
      <c r="O13" s="82">
        <f>SUM(O8:O11)</f>
        <v>952.3</v>
      </c>
      <c r="Q13" s="82"/>
      <c r="S13" s="84" t="s">
        <v>4535</v>
      </c>
      <c r="T13" s="85">
        <v>1.75</v>
      </c>
    </row>
    <row r="14" spans="10:21" x14ac:dyDescent="0.25">
      <c r="J14" s="81" t="s">
        <v>4541</v>
      </c>
      <c r="K14">
        <f>51.4*1.01</f>
        <v>51.914000000000001</v>
      </c>
      <c r="L14" s="82">
        <f>47.4*1.01</f>
        <v>47.874000000000002</v>
      </c>
      <c r="N14">
        <f>51.4*1.01</f>
        <v>51.914000000000001</v>
      </c>
      <c r="O14" s="82">
        <f>47.4*1.01</f>
        <v>47.874000000000002</v>
      </c>
      <c r="Q14" s="82"/>
    </row>
    <row r="15" spans="10:21" x14ac:dyDescent="0.25">
      <c r="J15" s="81" t="s">
        <v>4542</v>
      </c>
      <c r="K15">
        <f>SUM(K11:K14)*0.01</f>
        <v>10.18168</v>
      </c>
      <c r="L15" s="82">
        <f>SUM(L11:L14)*0.01</f>
        <v>10.143969999999999</v>
      </c>
      <c r="N15" s="81">
        <f>SUM(N11:N14)*0.01</f>
        <v>10.08741</v>
      </c>
      <c r="O15" s="82">
        <f>SUM(O11:O14)*0.01</f>
        <v>10.143969999999999</v>
      </c>
      <c r="Q15" s="82"/>
    </row>
    <row r="16" spans="10:21" x14ac:dyDescent="0.25">
      <c r="J16" s="81"/>
      <c r="K16">
        <f>SUM(K8:K10)</f>
        <v>938</v>
      </c>
      <c r="L16" s="82">
        <f>SUM(L8:L10)</f>
        <v>947.59999999999991</v>
      </c>
      <c r="N16" s="81">
        <f>SUM(N8:N10)</f>
        <v>938</v>
      </c>
      <c r="O16" s="82">
        <f>SUM(O8:O10)</f>
        <v>947.59999999999991</v>
      </c>
      <c r="Q16" s="82"/>
    </row>
    <row r="17" spans="4:21" ht="13.8" thickBot="1" x14ac:dyDescent="0.3">
      <c r="J17" s="84" t="s">
        <v>4543</v>
      </c>
      <c r="K17" s="86">
        <f>SUMPRODUCT(K$13:K$14,$T$8:$T$9)*(K$16/1000)</f>
        <v>392.73353686000002</v>
      </c>
      <c r="L17" s="87">
        <f>SUMPRODUCT(L$13:L$14,$T$8:$T$9)*(L$16/1000)</f>
        <v>383.47147035199993</v>
      </c>
      <c r="M17" s="86"/>
      <c r="N17" s="84">
        <f>SUMPRODUCT(N$13:N$14,$T$12:$T$13)*(N$16/1000)</f>
        <v>217.85472099999998</v>
      </c>
      <c r="O17" s="87">
        <f>SUMPRODUCT(O$13:O$14,$T$12:$T$13)*(O$16/1000)</f>
        <v>214.74937619999997</v>
      </c>
      <c r="P17" s="86"/>
      <c r="Q17" s="87"/>
    </row>
    <row r="18" spans="4:21" x14ac:dyDescent="0.25">
      <c r="J18" t="s">
        <v>4544</v>
      </c>
      <c r="K18">
        <f t="shared" ref="K18:L18" si="0">K17*2.3</f>
        <v>903.287134778</v>
      </c>
      <c r="L18">
        <f t="shared" si="0"/>
        <v>881.98438180959977</v>
      </c>
      <c r="N18">
        <f>N17*2.3</f>
        <v>501.06585829999995</v>
      </c>
      <c r="O18">
        <f>O17*2.3</f>
        <v>493.92356525999992</v>
      </c>
    </row>
    <row r="19" spans="4:21" ht="13.8" thickBot="1" x14ac:dyDescent="0.3"/>
    <row r="20" spans="4:21" x14ac:dyDescent="0.25">
      <c r="G20" s="78"/>
      <c r="H20" s="79"/>
      <c r="I20" s="79"/>
      <c r="J20" s="79"/>
      <c r="K20" s="79"/>
      <c r="L20" s="79"/>
      <c r="M20" s="79"/>
      <c r="N20" s="79"/>
      <c r="O20" s="78"/>
      <c r="P20" s="88">
        <v>221</v>
      </c>
      <c r="Q20" s="79" t="s">
        <v>4545</v>
      </c>
      <c r="R20" s="79"/>
      <c r="S20" s="80"/>
    </row>
    <row r="21" spans="4:21" x14ac:dyDescent="0.25">
      <c r="G21" s="81" t="s">
        <v>4546</v>
      </c>
      <c r="O21" s="81"/>
      <c r="P21" s="76">
        <v>2430</v>
      </c>
      <c r="Q21" t="s">
        <v>4547</v>
      </c>
      <c r="S21" s="82"/>
    </row>
    <row r="22" spans="4:21" ht="13.8" thickBot="1" x14ac:dyDescent="0.3">
      <c r="G22" s="81"/>
      <c r="O22" s="84" t="s">
        <v>4135</v>
      </c>
      <c r="P22" s="86">
        <v>2356</v>
      </c>
      <c r="Q22" s="86" t="s">
        <v>4144</v>
      </c>
      <c r="R22" s="86"/>
      <c r="S22" s="87" t="s">
        <v>4548</v>
      </c>
    </row>
    <row r="23" spans="4:21" ht="13.8" x14ac:dyDescent="0.25">
      <c r="G23" s="89" t="s">
        <v>2212</v>
      </c>
      <c r="H23" s="79"/>
      <c r="I23" s="79"/>
      <c r="J23" s="79"/>
      <c r="K23" s="79"/>
      <c r="L23" s="79"/>
      <c r="M23" s="79"/>
      <c r="N23" s="79"/>
      <c r="O23" s="79"/>
      <c r="P23" s="79"/>
      <c r="Q23" s="16"/>
      <c r="R23" s="79"/>
      <c r="S23" s="80"/>
    </row>
    <row r="24" spans="4:21" x14ac:dyDescent="0.25">
      <c r="D24" t="s">
        <v>4549</v>
      </c>
      <c r="F24" t="s">
        <v>4550</v>
      </c>
      <c r="G24" s="81" t="s">
        <v>4551</v>
      </c>
      <c r="H24" t="s">
        <v>4552</v>
      </c>
      <c r="I24" t="s">
        <v>4553</v>
      </c>
      <c r="J24" t="s">
        <v>4554</v>
      </c>
      <c r="K24" t="s">
        <v>4555</v>
      </c>
      <c r="L24" t="s">
        <v>4556</v>
      </c>
      <c r="M24" t="s">
        <v>4557</v>
      </c>
      <c r="O24" t="s">
        <v>4558</v>
      </c>
      <c r="P24" t="s">
        <v>4559</v>
      </c>
      <c r="Q24" s="15" t="s">
        <v>4560</v>
      </c>
      <c r="R24" t="s">
        <v>4561</v>
      </c>
      <c r="S24" s="82" t="s">
        <v>4562</v>
      </c>
      <c r="T24" t="s">
        <v>4563</v>
      </c>
    </row>
    <row r="25" spans="4:21" x14ac:dyDescent="0.25">
      <c r="D25">
        <f>(F25/1000)*G25*O25</f>
        <v>0.192</v>
      </c>
      <c r="E25" t="s">
        <v>4564</v>
      </c>
      <c r="F25">
        <v>160</v>
      </c>
      <c r="G25" s="81">
        <v>1</v>
      </c>
      <c r="H25">
        <v>0.12230000000000001</v>
      </c>
      <c r="I25">
        <v>2336</v>
      </c>
      <c r="J25">
        <f>G25*H25*I25</f>
        <v>285.69280000000003</v>
      </c>
      <c r="K25">
        <v>0</v>
      </c>
      <c r="L25">
        <f>H25*I25*(1-N25)</f>
        <v>285.69280000000003</v>
      </c>
      <c r="M25">
        <f t="shared" ref="M25:M32" si="1">K25*1000</f>
        <v>0</v>
      </c>
      <c r="N25" s="17">
        <f t="shared" ref="N25:N32" si="2">M25/J25</f>
        <v>0</v>
      </c>
      <c r="O25">
        <v>1.2</v>
      </c>
      <c r="P25" s="76">
        <f>(J25/1000*$P$20)*1.01</f>
        <v>63.769489888000003</v>
      </c>
      <c r="Q25" s="76">
        <f>K25*$P$21*1.01</f>
        <v>0</v>
      </c>
      <c r="R25" s="76">
        <f>SUM(P25:Q25)</f>
        <v>63.769489888000003</v>
      </c>
      <c r="S25" s="90">
        <f>R25/D25</f>
        <v>332.13275983333335</v>
      </c>
      <c r="T25" s="76">
        <f>R25/O25</f>
        <v>53.141241573333339</v>
      </c>
    </row>
    <row r="26" spans="4:21" x14ac:dyDescent="0.25">
      <c r="D26">
        <f t="shared" ref="D26:D32" si="3">(F26/1000)*G26*O26</f>
        <v>0.24</v>
      </c>
      <c r="E26" t="s">
        <v>4565</v>
      </c>
      <c r="F26">
        <v>200</v>
      </c>
      <c r="G26" s="81">
        <v>1</v>
      </c>
      <c r="H26">
        <v>0.1268</v>
      </c>
      <c r="I26">
        <v>2356</v>
      </c>
      <c r="J26">
        <f t="shared" ref="J26:J32" si="4">G26*H26*I26</f>
        <v>298.74079999999998</v>
      </c>
      <c r="K26" s="76">
        <v>2.16E-3</v>
      </c>
      <c r="L26">
        <f t="shared" ref="L26:L32" si="5">H26*I26*(1-N26)</f>
        <v>296.58079999999995</v>
      </c>
      <c r="M26" s="76">
        <f t="shared" si="1"/>
        <v>2.16</v>
      </c>
      <c r="N26" s="17">
        <f t="shared" si="2"/>
        <v>7.2303481814335376E-3</v>
      </c>
      <c r="O26">
        <v>1.2</v>
      </c>
      <c r="P26" s="76">
        <f t="shared" ref="P26:P32" si="6">(J26/1000*$P$20)*1.01</f>
        <v>66.681933967999996</v>
      </c>
      <c r="Q26" s="76">
        <f t="shared" ref="Q26:Q32" si="7">K26*$P$21*1.01</f>
        <v>5.3012880000000004</v>
      </c>
      <c r="R26" s="76">
        <f t="shared" ref="R26:R32" si="8">SUM(P26:Q26)</f>
        <v>71.983221967999995</v>
      </c>
      <c r="S26" s="90">
        <f t="shared" ref="S26:S36" si="9">R26/D26</f>
        <v>299.93009153333333</v>
      </c>
      <c r="T26" s="76">
        <f t="shared" ref="T26:T36" si="10">R26/O26</f>
        <v>59.986018306666665</v>
      </c>
    </row>
    <row r="27" spans="4:21" x14ac:dyDescent="0.25">
      <c r="D27">
        <f t="shared" si="3"/>
        <v>0.24</v>
      </c>
      <c r="E27" t="s">
        <v>4566</v>
      </c>
      <c r="F27">
        <v>200</v>
      </c>
      <c r="G27" s="81">
        <v>1</v>
      </c>
      <c r="H27">
        <v>0.1333</v>
      </c>
      <c r="I27">
        <v>2356</v>
      </c>
      <c r="J27">
        <f t="shared" si="4"/>
        <v>314.0548</v>
      </c>
      <c r="K27" s="76">
        <v>6.3600000000000002E-3</v>
      </c>
      <c r="L27">
        <f t="shared" si="5"/>
        <v>307.69479999999999</v>
      </c>
      <c r="M27">
        <f t="shared" si="1"/>
        <v>6.36</v>
      </c>
      <c r="N27" s="17">
        <f t="shared" si="2"/>
        <v>2.0251242776738329E-2</v>
      </c>
      <c r="O27">
        <v>1.2</v>
      </c>
      <c r="P27" s="76">
        <f t="shared" si="6"/>
        <v>70.100171908000007</v>
      </c>
      <c r="Q27" s="76">
        <f t="shared" si="7"/>
        <v>15.609348000000001</v>
      </c>
      <c r="R27" s="76">
        <f t="shared" si="8"/>
        <v>85.709519908000004</v>
      </c>
      <c r="S27" s="90">
        <f t="shared" si="9"/>
        <v>357.12299961666668</v>
      </c>
      <c r="T27" s="76">
        <f t="shared" si="10"/>
        <v>71.424599923333346</v>
      </c>
    </row>
    <row r="28" spans="4:21" x14ac:dyDescent="0.25">
      <c r="D28">
        <f t="shared" si="3"/>
        <v>0.3</v>
      </c>
      <c r="E28" t="s">
        <v>4567</v>
      </c>
      <c r="F28">
        <v>250</v>
      </c>
      <c r="G28" s="81">
        <v>1</v>
      </c>
      <c r="H28">
        <v>0.15790000000000001</v>
      </c>
      <c r="I28">
        <v>2356</v>
      </c>
      <c r="J28">
        <f t="shared" si="4"/>
        <v>372.01240000000001</v>
      </c>
      <c r="K28" s="76">
        <v>8.7200000000000003E-3</v>
      </c>
      <c r="L28">
        <f t="shared" si="5"/>
        <v>363.29239999999999</v>
      </c>
      <c r="M28">
        <f t="shared" si="1"/>
        <v>8.7200000000000006</v>
      </c>
      <c r="N28" s="17">
        <f t="shared" si="2"/>
        <v>2.3440078879091129E-2</v>
      </c>
      <c r="O28">
        <v>1.2</v>
      </c>
      <c r="P28" s="76">
        <f t="shared" si="6"/>
        <v>83.036887804000017</v>
      </c>
      <c r="Q28" s="76">
        <f t="shared" si="7"/>
        <v>21.401496000000002</v>
      </c>
      <c r="R28" s="76">
        <f t="shared" si="8"/>
        <v>104.43838380400001</v>
      </c>
      <c r="S28" s="90">
        <f t="shared" si="9"/>
        <v>348.12794601333337</v>
      </c>
      <c r="T28" s="76">
        <f t="shared" si="10"/>
        <v>87.031986503333343</v>
      </c>
      <c r="U28" s="76"/>
    </row>
    <row r="29" spans="4:21" x14ac:dyDescent="0.25">
      <c r="D29">
        <f t="shared" si="3"/>
        <v>0.36</v>
      </c>
      <c r="E29" t="str">
        <f>"HC"&amp;F29</f>
        <v>HC300</v>
      </c>
      <c r="F29">
        <v>300</v>
      </c>
      <c r="G29" s="81">
        <v>1</v>
      </c>
      <c r="H29">
        <v>0.18459999999999999</v>
      </c>
      <c r="I29">
        <v>2356</v>
      </c>
      <c r="J29">
        <f t="shared" si="4"/>
        <v>434.91759999999999</v>
      </c>
      <c r="K29" s="76">
        <v>9.1500000000000001E-3</v>
      </c>
      <c r="L29">
        <f t="shared" si="5"/>
        <v>425.76759999999996</v>
      </c>
      <c r="M29">
        <f t="shared" si="1"/>
        <v>9.15</v>
      </c>
      <c r="N29" s="17">
        <f t="shared" si="2"/>
        <v>2.1038467976462669E-2</v>
      </c>
      <c r="O29">
        <v>1.2</v>
      </c>
      <c r="P29" s="76">
        <f t="shared" si="6"/>
        <v>97.07795749600001</v>
      </c>
      <c r="Q29" s="76">
        <f t="shared" si="7"/>
        <v>22.456845000000001</v>
      </c>
      <c r="R29" s="76">
        <f t="shared" si="8"/>
        <v>119.53480249600001</v>
      </c>
      <c r="S29" s="90">
        <f t="shared" si="9"/>
        <v>332.04111804444449</v>
      </c>
      <c r="T29" s="76">
        <f t="shared" si="10"/>
        <v>99.612335413333341</v>
      </c>
    </row>
    <row r="30" spans="4:21" x14ac:dyDescent="0.25">
      <c r="D30">
        <f t="shared" si="3"/>
        <v>0.42</v>
      </c>
      <c r="E30" t="str">
        <f t="shared" ref="E30:E32" si="11">"HC"&amp;F30</f>
        <v>HC350</v>
      </c>
      <c r="F30">
        <v>350</v>
      </c>
      <c r="G30" s="81">
        <v>1</v>
      </c>
      <c r="H30">
        <v>0.2117</v>
      </c>
      <c r="I30">
        <v>2356</v>
      </c>
      <c r="J30">
        <f t="shared" si="4"/>
        <v>498.76519999999999</v>
      </c>
      <c r="K30" s="76">
        <v>1.0699999999999999E-2</v>
      </c>
      <c r="L30">
        <f t="shared" si="5"/>
        <v>488.06519999999995</v>
      </c>
      <c r="M30">
        <f t="shared" si="1"/>
        <v>10.7</v>
      </c>
      <c r="N30" s="17">
        <f t="shared" si="2"/>
        <v>2.1452980280099732E-2</v>
      </c>
      <c r="O30">
        <v>1.2</v>
      </c>
      <c r="P30" s="76">
        <f t="shared" si="6"/>
        <v>111.329380292</v>
      </c>
      <c r="Q30" s="76">
        <f t="shared" si="7"/>
        <v>26.261009999999999</v>
      </c>
      <c r="R30" s="76">
        <f t="shared" si="8"/>
        <v>137.590390292</v>
      </c>
      <c r="S30" s="90">
        <f t="shared" si="9"/>
        <v>327.59616736190475</v>
      </c>
      <c r="T30" s="76">
        <f t="shared" si="10"/>
        <v>114.65865857666667</v>
      </c>
    </row>
    <row r="31" spans="4:21" x14ac:dyDescent="0.25">
      <c r="D31">
        <f t="shared" si="3"/>
        <v>0.48</v>
      </c>
      <c r="E31" t="str">
        <f t="shared" si="11"/>
        <v>HC400</v>
      </c>
      <c r="F31">
        <v>400</v>
      </c>
      <c r="G31" s="81">
        <v>1</v>
      </c>
      <c r="H31">
        <v>0.2268</v>
      </c>
      <c r="I31">
        <v>2356</v>
      </c>
      <c r="J31">
        <f t="shared" si="4"/>
        <v>534.34080000000006</v>
      </c>
      <c r="K31" s="76">
        <v>1.23E-2</v>
      </c>
      <c r="L31">
        <f t="shared" si="5"/>
        <v>522.0408000000001</v>
      </c>
      <c r="M31">
        <f t="shared" si="1"/>
        <v>12.3</v>
      </c>
      <c r="N31" s="17">
        <f t="shared" si="2"/>
        <v>2.3019017076742032E-2</v>
      </c>
      <c r="O31">
        <v>1.2</v>
      </c>
      <c r="P31" s="76">
        <f t="shared" si="6"/>
        <v>119.27020996800002</v>
      </c>
      <c r="Q31" s="76">
        <f t="shared" si="7"/>
        <v>30.187889999999999</v>
      </c>
      <c r="R31" s="76">
        <f t="shared" si="8"/>
        <v>149.45809996800003</v>
      </c>
      <c r="S31" s="90">
        <f t="shared" si="9"/>
        <v>311.37104160000007</v>
      </c>
      <c r="T31" s="76">
        <f t="shared" si="10"/>
        <v>124.54841664000003</v>
      </c>
    </row>
    <row r="32" spans="4:21" x14ac:dyDescent="0.25">
      <c r="D32">
        <f t="shared" si="3"/>
        <v>0.6</v>
      </c>
      <c r="E32" t="str">
        <f t="shared" si="11"/>
        <v>HC500</v>
      </c>
      <c r="F32">
        <v>500</v>
      </c>
      <c r="G32" s="81">
        <v>1</v>
      </c>
      <c r="H32">
        <v>0.29670000000000002</v>
      </c>
      <c r="I32">
        <v>2356</v>
      </c>
      <c r="J32">
        <f t="shared" si="4"/>
        <v>699.02520000000004</v>
      </c>
      <c r="K32" s="76">
        <v>1.3899999999999999E-2</v>
      </c>
      <c r="L32">
        <f t="shared" si="5"/>
        <v>685.12520000000006</v>
      </c>
      <c r="M32">
        <f t="shared" si="1"/>
        <v>13.899999999999999</v>
      </c>
      <c r="N32" s="17">
        <f t="shared" si="2"/>
        <v>1.9884833908706007E-2</v>
      </c>
      <c r="O32">
        <v>1.2</v>
      </c>
      <c r="P32" s="76">
        <f t="shared" si="6"/>
        <v>156.02941489200001</v>
      </c>
      <c r="Q32" s="76">
        <f t="shared" si="7"/>
        <v>34.11477</v>
      </c>
      <c r="R32" s="76">
        <f t="shared" si="8"/>
        <v>190.144184892</v>
      </c>
      <c r="S32" s="90">
        <f t="shared" si="9"/>
        <v>316.90697482000002</v>
      </c>
      <c r="T32" s="76">
        <f t="shared" si="10"/>
        <v>158.45348741000001</v>
      </c>
    </row>
    <row r="33" spans="4:20" x14ac:dyDescent="0.25">
      <c r="G33" s="81"/>
      <c r="S33" s="82"/>
    </row>
    <row r="34" spans="4:20" x14ac:dyDescent="0.25">
      <c r="G34" s="81"/>
      <c r="P34" t="s">
        <v>4548</v>
      </c>
      <c r="Q34" t="s">
        <v>4568</v>
      </c>
      <c r="R34" s="76">
        <f>SUM(P34:Q34)</f>
        <v>0</v>
      </c>
      <c r="S34" s="82"/>
    </row>
    <row r="35" spans="4:20" x14ac:dyDescent="0.25">
      <c r="D35">
        <f>(F35/1000)*G31*O35</f>
        <v>0.6</v>
      </c>
      <c r="E35" t="str">
        <f t="shared" ref="E35:E36" si="12">"HC"&amp;F35</f>
        <v>HC500</v>
      </c>
      <c r="F35">
        <v>500</v>
      </c>
      <c r="G35" s="81" t="s">
        <v>4569</v>
      </c>
      <c r="H35">
        <v>0.3</v>
      </c>
      <c r="I35">
        <v>2400</v>
      </c>
      <c r="J35">
        <v>700</v>
      </c>
      <c r="K35" s="76">
        <f>M35/1000</f>
        <v>2.1599999999999998E-2</v>
      </c>
      <c r="L35">
        <f>J35*(1-N35)</f>
        <v>679</v>
      </c>
      <c r="M35">
        <f>H35*I35*N35</f>
        <v>21.599999999999998</v>
      </c>
      <c r="N35" s="91">
        <f>ROUNDUP(MAX(N25:N32),2)</f>
        <v>0.03</v>
      </c>
      <c r="O35">
        <v>1.2</v>
      </c>
      <c r="P35" s="76">
        <f>(J35/1000*$P$20)*1.01</f>
        <v>156.24699999999999</v>
      </c>
      <c r="Q35" s="76">
        <f>K35*$P$21*1.01</f>
        <v>53.012879999999996</v>
      </c>
      <c r="R35" s="76">
        <f>SUM(P35:Q35)</f>
        <v>209.25987999999998</v>
      </c>
      <c r="S35" s="90">
        <f t="shared" si="9"/>
        <v>348.76646666666664</v>
      </c>
      <c r="T35" s="76">
        <f t="shared" si="10"/>
        <v>174.38323333333332</v>
      </c>
    </row>
    <row r="36" spans="4:20" ht="13.8" thickBot="1" x14ac:dyDescent="0.3">
      <c r="D36">
        <f>(F36/1000)*G32*O36</f>
        <v>0.6</v>
      </c>
      <c r="E36" t="str">
        <f t="shared" si="12"/>
        <v>HC500</v>
      </c>
      <c r="F36">
        <v>500</v>
      </c>
      <c r="G36" s="84" t="s">
        <v>4570</v>
      </c>
      <c r="H36" s="92">
        <f>AVERAGE(H25:H32)</f>
        <v>0.18251249999999999</v>
      </c>
      <c r="I36" s="86">
        <v>2400</v>
      </c>
      <c r="J36" s="86">
        <f>AVERAGE(J25:J32)</f>
        <v>429.69369999999998</v>
      </c>
      <c r="K36" s="93">
        <f>M36/1000</f>
        <v>7.4638652457242665E-3</v>
      </c>
      <c r="L36" s="86">
        <f>J36*(1-N36)</f>
        <v>422.37188214794264</v>
      </c>
      <c r="M36" s="86">
        <f>H36*I36*N36</f>
        <v>7.4638652457242669</v>
      </c>
      <c r="N36" s="94">
        <f>AVERAGE(N25:N32)</f>
        <v>1.7039621134909179E-2</v>
      </c>
      <c r="O36" s="86">
        <v>1.2</v>
      </c>
      <c r="P36" s="93">
        <f>(J36/1000*$P$20)*1.01</f>
        <v>95.911930776999995</v>
      </c>
      <c r="Q36" s="93">
        <f>K36*$P$21*1.01</f>
        <v>18.31856447258107</v>
      </c>
      <c r="R36" s="93">
        <f>SUM(P36:Q36)</f>
        <v>114.23049524958107</v>
      </c>
      <c r="S36" s="95">
        <f t="shared" si="9"/>
        <v>190.38415874930178</v>
      </c>
      <c r="T36" s="76">
        <f t="shared" si="10"/>
        <v>95.192079374650888</v>
      </c>
    </row>
    <row r="38" spans="4:20" x14ac:dyDescent="0.25">
      <c r="S38" s="76"/>
    </row>
  </sheetData>
  <hyperlinks>
    <hyperlink ref="G23" r:id="rId1" xr:uid="{DD427CA6-7FB4-4643-B5B3-E0D62C4AB91A}"/>
  </hyperlinks>
  <pageMargins left="0.7" right="0.7" top="0.75" bottom="0.75" header="0.3" footer="0.3"/>
  <pageSetup paperSize="9" orientation="portrait"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365BB8-377A-4ED0-A95B-17B55BEBC8F4}">
  <sheetPr codeName="Sheet12">
    <tabColor rgb="FF00CCFF"/>
  </sheetPr>
  <dimension ref="A1:G166"/>
  <sheetViews>
    <sheetView showGridLines="0" zoomScale="80" zoomScaleNormal="80" workbookViewId="0"/>
  </sheetViews>
  <sheetFormatPr defaultRowHeight="13.2" x14ac:dyDescent="0.25"/>
  <cols>
    <col min="1" max="1" width="26.109375" customWidth="1"/>
    <col min="2" max="2" width="84.109375" customWidth="1"/>
    <col min="3" max="3" width="21" customWidth="1"/>
    <col min="4" max="6" width="19.88671875" style="96" customWidth="1"/>
    <col min="7" max="7" width="23.5546875" style="96" customWidth="1"/>
  </cols>
  <sheetData>
    <row r="1" spans="1:7" x14ac:dyDescent="0.25">
      <c r="A1" s="4" t="str" cm="1">
        <f t="array" aca="1" ref="A1" ca="1">MID(CELL("filename",A1),FIND("]",CELL("filename",A1))+1,255)</f>
        <v>Concrete_20MPa</v>
      </c>
    </row>
    <row r="2" spans="1:7" x14ac:dyDescent="0.25">
      <c r="A2" s="4"/>
    </row>
    <row r="3" spans="1:7" x14ac:dyDescent="0.25">
      <c r="A3" s="4" t="s">
        <v>4048</v>
      </c>
      <c r="B3" t="s">
        <v>4065</v>
      </c>
    </row>
    <row r="4" spans="1:7" x14ac:dyDescent="0.25">
      <c r="A4" s="4"/>
    </row>
    <row r="5" spans="1:7" ht="69.75" customHeight="1" x14ac:dyDescent="0.25">
      <c r="A5" s="26" t="s">
        <v>4050</v>
      </c>
      <c r="B5" s="14" t="s">
        <v>4066</v>
      </c>
    </row>
    <row r="6" spans="1:7" x14ac:dyDescent="0.25">
      <c r="A6" s="26" t="s">
        <v>4052</v>
      </c>
      <c r="B6" s="27" t="s">
        <v>68</v>
      </c>
    </row>
    <row r="7" spans="1:7" x14ac:dyDescent="0.25">
      <c r="A7" s="26" t="s">
        <v>4053</v>
      </c>
      <c r="B7" s="27" t="s">
        <v>68</v>
      </c>
    </row>
    <row r="8" spans="1:7" x14ac:dyDescent="0.25">
      <c r="A8" s="26" t="s">
        <v>4054</v>
      </c>
      <c r="B8" s="27" t="s">
        <v>68</v>
      </c>
    </row>
    <row r="9" spans="1:7" x14ac:dyDescent="0.25">
      <c r="A9" s="26" t="s">
        <v>4055</v>
      </c>
      <c r="B9" s="4" t="s">
        <v>68</v>
      </c>
    </row>
    <row r="10" spans="1:7" x14ac:dyDescent="0.25">
      <c r="A10" s="26"/>
      <c r="B10" s="4"/>
    </row>
    <row r="11" spans="1:7" x14ac:dyDescent="0.25">
      <c r="A11" s="26" t="s">
        <v>4056</v>
      </c>
      <c r="B11" t="s">
        <v>4067</v>
      </c>
    </row>
    <row r="12" spans="1:7" x14ac:dyDescent="0.25">
      <c r="A12" s="101"/>
    </row>
    <row r="13" spans="1:7" x14ac:dyDescent="0.25">
      <c r="A13" s="101"/>
    </row>
    <row r="14" spans="1:7" x14ac:dyDescent="0.25">
      <c r="A14" s="26" t="s">
        <v>4057</v>
      </c>
    </row>
    <row r="15" spans="1:7" x14ac:dyDescent="0.25">
      <c r="A15" s="26"/>
      <c r="D15" s="112" t="s">
        <v>4058</v>
      </c>
      <c r="E15" s="113"/>
      <c r="F15" s="114" t="s">
        <v>4059</v>
      </c>
      <c r="G15" s="113"/>
    </row>
    <row r="16" spans="1:7" ht="39.6" x14ac:dyDescent="0.25">
      <c r="B16" s="28" t="s">
        <v>4068</v>
      </c>
      <c r="C16" s="23" t="s">
        <v>23</v>
      </c>
      <c r="D16" s="24" t="s">
        <v>141</v>
      </c>
      <c r="E16" s="25" t="s">
        <v>148</v>
      </c>
      <c r="F16" s="24" t="s">
        <v>142</v>
      </c>
      <c r="G16" s="24" t="s">
        <v>149</v>
      </c>
    </row>
    <row r="17" spans="2:7" x14ac:dyDescent="0.25">
      <c r="B17" s="29"/>
      <c r="C17" s="30" t="s">
        <v>4060</v>
      </c>
      <c r="D17" s="118" t="str" cm="1">
        <f t="array" ref="D17">IF(AND(_xlfn.ANCHORARRAY(C23)=C23),C23,"Mixed")</f>
        <v>m³</v>
      </c>
      <c r="E17" s="118" t="s">
        <v>219</v>
      </c>
      <c r="F17" s="118" t="str" cm="1">
        <f t="array" ref="F17">IF(AND(_xlfn.ANCHORARRAY(C23)=C23),C23,"Mixed")</f>
        <v>m³</v>
      </c>
      <c r="G17" s="119" t="s">
        <v>219</v>
      </c>
    </row>
    <row r="18" spans="2:7" s="14" customFormat="1" x14ac:dyDescent="0.25">
      <c r="B18" s="31"/>
      <c r="C18" s="4" t="s">
        <v>4061</v>
      </c>
      <c r="D18" s="96">
        <f>MAX(_xlfn.ANCHORARRAY(D23))</f>
        <v>364.12599999999998</v>
      </c>
      <c r="E18" s="96">
        <f t="shared" ref="E18:G18" si="0">MAX(_xlfn.ANCHORARRAY(E23))</f>
        <v>0.15171916666666668</v>
      </c>
      <c r="F18" s="96">
        <f t="shared" si="0"/>
        <v>0</v>
      </c>
      <c r="G18" s="121">
        <f t="shared" si="0"/>
        <v>0</v>
      </c>
    </row>
    <row r="19" spans="2:7" x14ac:dyDescent="0.25">
      <c r="B19" s="122"/>
      <c r="C19" s="4" t="s">
        <v>4062</v>
      </c>
      <c r="D19" s="96">
        <f>MIN(_xlfn.ANCHORARRAY(D23))</f>
        <v>136.11000000000001</v>
      </c>
      <c r="E19" s="96">
        <f t="shared" ref="E19:G19" si="1">MIN(_xlfn.ANCHORARRAY(E23))</f>
        <v>5.6712499999999999E-2</v>
      </c>
      <c r="F19" s="96">
        <f t="shared" si="1"/>
        <v>0</v>
      </c>
      <c r="G19" s="121">
        <f t="shared" si="1"/>
        <v>0</v>
      </c>
    </row>
    <row r="20" spans="2:7" x14ac:dyDescent="0.25">
      <c r="B20" s="122"/>
      <c r="C20" s="4" t="s">
        <v>4063</v>
      </c>
      <c r="D20" s="96">
        <f>AVERAGE(_xlfn.ANCHORARRAY(D23))</f>
        <v>198.45502513888883</v>
      </c>
      <c r="E20" s="96">
        <f t="shared" ref="E20:G20" si="2">AVERAGE(_xlfn.ANCHORARRAY(E23))</f>
        <v>8.268959380787036E-2</v>
      </c>
      <c r="F20" s="96">
        <f t="shared" si="2"/>
        <v>0</v>
      </c>
      <c r="G20" s="121">
        <f t="shared" si="2"/>
        <v>0</v>
      </c>
    </row>
    <row r="21" spans="2:7" x14ac:dyDescent="0.25">
      <c r="B21" s="122"/>
      <c r="C21" s="4"/>
      <c r="G21" s="121"/>
    </row>
    <row r="22" spans="2:7" x14ac:dyDescent="0.25">
      <c r="B22" s="32" t="s">
        <v>4064</v>
      </c>
      <c r="D22"/>
      <c r="E22"/>
      <c r="F22"/>
      <c r="G22" s="124"/>
    </row>
    <row r="23" spans="2:7" x14ac:dyDescent="0.25">
      <c r="B23" s="122" t="str" cm="1">
        <f t="array" ref="B23:B166">_xlfn.UNIQUE(_xlfn._xlws.FILTER('EPD List'!D:D,ISNUMBER(SEARCH(B16,'EPD List'!C:C)),0))</f>
        <v>Concrete, 20 MPa, in-situ, no reinforcement, (SE202E) (Ecopact) (Holcim) (SA) (Adelaide)</v>
      </c>
      <c r="C23" t="str" cm="1">
        <f t="array" ref="C23:C166">_xlfn.IFNA(INDEX('EPD List'!$A:$AB,MATCH(_xlfn.ANCHORARRAY(B23),'EPD List'!$D:$D,0),MATCH(C$16,'EPD List'!$7:$7,0)),"")</f>
        <v>m³</v>
      </c>
      <c r="D23" s="96" cm="1">
        <f t="array" ref="D23:D166">_xlfn.IFNA(VALUE((INDEX('EPD List'!$A:$AD,MATCH(_xlfn.ANCHORARRAY($B23),'EPD List'!$D:$D,0),MATCH(D$16,'EPD List'!$7:$7,0)))),"")</f>
        <v>207.41</v>
      </c>
      <c r="E23" s="96" cm="1">
        <f t="array" ref="E23:E166">_xlfn.IFNA(VALUE((INDEX('EPD List'!$A:$AD,MATCH(_xlfn.ANCHORARRAY($B23),'EPD List'!$D:$D,0),MATCH(E$16,'EPD List'!$7:$7,0)))),"")</f>
        <v>8.6420833333333322E-2</v>
      </c>
      <c r="F23" s="96" cm="1">
        <f t="array" ref="F23:F166">_xlfn.IFNA(VALUE((INDEX('EPD List'!$A:$AD,MATCH(_xlfn.ANCHORARRAY($B23),'EPD List'!$D:$D,0),MATCH(F$16,'EPD List'!$7:$7,0)))),"")</f>
        <v>0</v>
      </c>
      <c r="G23" s="121" cm="1">
        <f t="array" ref="G23:G166">_xlfn.IFNA(VALUE((INDEX('EPD List'!$A:$AD,MATCH(_xlfn.ANCHORARRAY($B23),'EPD List'!$D:$D,0),MATCH(G$16,'EPD List'!$7:$7,0)))),"")</f>
        <v>0</v>
      </c>
    </row>
    <row r="24" spans="2:7" x14ac:dyDescent="0.25">
      <c r="B24" s="122" t="str">
        <v>Concrete, 20 MPa, in-situ, no reinforcement, (SE202E2) (Ecopact) (Holcim) (SA) (Adelaide)</v>
      </c>
      <c r="C24" t="str">
        <v>m³</v>
      </c>
      <c r="D24" s="96">
        <v>195.31</v>
      </c>
      <c r="E24" s="96">
        <v>8.1379166666666669E-2</v>
      </c>
      <c r="F24" s="96">
        <v>0</v>
      </c>
      <c r="G24" s="121">
        <v>0</v>
      </c>
    </row>
    <row r="25" spans="2:7" x14ac:dyDescent="0.25">
      <c r="B25" s="122" t="str">
        <v>Concrete, 20 MPa, in-situ, no reinforcement, (R2020B)(GB) (BCG) (WA), (Perth)</v>
      </c>
      <c r="C25" t="str">
        <v>m³</v>
      </c>
      <c r="D25" s="96">
        <v>211.33</v>
      </c>
      <c r="E25" s="96">
        <v>8.8054166666666669E-2</v>
      </c>
      <c r="F25" s="96">
        <v>0</v>
      </c>
      <c r="G25" s="121">
        <v>0</v>
      </c>
    </row>
    <row r="26" spans="2:7" x14ac:dyDescent="0.25">
      <c r="B26" s="122" t="str">
        <v>Concrete, 20 MPa, in-situ, no reinforcement, (SE202E56) (Ecopact) (Holcim) (SA) (Adelaide)</v>
      </c>
      <c r="C26" t="str">
        <v>m³</v>
      </c>
      <c r="D26" s="96">
        <v>201.31</v>
      </c>
      <c r="E26" s="96">
        <v>8.3879166666666671E-2</v>
      </c>
      <c r="F26" s="96">
        <v>0</v>
      </c>
      <c r="G26" s="121">
        <v>0</v>
      </c>
    </row>
    <row r="27" spans="2:7" x14ac:dyDescent="0.25">
      <c r="B27" s="122" t="str">
        <v>Concrete, 20 MPa, in-situ, no reinforcement, (VE202E56) (Ecopact) (Holcim) (VIC)</v>
      </c>
      <c r="C27" t="str">
        <v>m³</v>
      </c>
      <c r="D27" s="96">
        <v>208.26</v>
      </c>
      <c r="E27" s="96">
        <v>8.6775000000000005E-2</v>
      </c>
      <c r="F27" s="96">
        <v>0</v>
      </c>
      <c r="G27" s="121">
        <v>0</v>
      </c>
    </row>
    <row r="28" spans="2:7" x14ac:dyDescent="0.25">
      <c r="B28" s="122" t="str">
        <v>Concrete, 20 MPa, in-situ, no reinforcement, (QE201E)(Ecopact) (Holcim) (QLD) (Sunshine Coast)</v>
      </c>
      <c r="C28" t="str">
        <v>m³</v>
      </c>
      <c r="D28" s="96">
        <v>151.16</v>
      </c>
      <c r="E28" s="96">
        <v>6.2983333333333336E-2</v>
      </c>
      <c r="F28" s="96">
        <v>0</v>
      </c>
      <c r="G28" s="121">
        <v>0</v>
      </c>
    </row>
    <row r="29" spans="2:7" x14ac:dyDescent="0.25">
      <c r="B29" s="122" t="str">
        <v>Concrete, 20 MPa, in-situ, no reinforcement, (QE201E100)(Ecopact) (Holcim) (QLD) (Sunshine Coast)</v>
      </c>
      <c r="C29" t="str">
        <v>m³</v>
      </c>
      <c r="D29" s="96">
        <v>153.16</v>
      </c>
      <c r="E29" s="96">
        <v>6.3816666666666674E-2</v>
      </c>
      <c r="F29" s="96">
        <v>0</v>
      </c>
      <c r="G29" s="121">
        <v>0</v>
      </c>
    </row>
    <row r="30" spans="2:7" x14ac:dyDescent="0.25">
      <c r="B30" s="122" t="str">
        <v>Concrete, 20 MPa, in-situ, no reinforcement, (Futurecrete®
N class GP/GL:Slag
20 MPa) (Adbri) (QLD)</v>
      </c>
      <c r="C30" t="str">
        <v>m³</v>
      </c>
      <c r="D30" s="96">
        <v>175.18100000000001</v>
      </c>
      <c r="E30" s="96">
        <v>7.2992083333333332E-2</v>
      </c>
      <c r="F30" s="96">
        <v>0</v>
      </c>
      <c r="G30" s="121">
        <v>0</v>
      </c>
    </row>
    <row r="31" spans="2:7" x14ac:dyDescent="0.25">
      <c r="B31" s="122" t="str">
        <v>Concrete, 20 MPa, in-situ, no reinforcement, (QE202E100)(Ecopact) (Holcim) (QLD) (Sunshine Coast)</v>
      </c>
      <c r="C31" t="str">
        <v>m³</v>
      </c>
      <c r="D31" s="96">
        <v>160.16</v>
      </c>
      <c r="E31" s="96">
        <v>6.6733333333333339E-2</v>
      </c>
      <c r="F31" s="96">
        <v>0</v>
      </c>
      <c r="G31" s="121">
        <v>0</v>
      </c>
    </row>
    <row r="32" spans="2:7" x14ac:dyDescent="0.25">
      <c r="B32" s="122" t="str">
        <v>Concrete, 20 MPa, in-situ, no reinforcement, (QE202E)(Ecopact) (Holcim) (QLD) (Sunshine Coast)</v>
      </c>
      <c r="C32" t="str">
        <v>m³</v>
      </c>
      <c r="D32" s="96">
        <v>157.15</v>
      </c>
      <c r="E32" s="96">
        <v>6.5479166666666658E-2</v>
      </c>
      <c r="F32" s="96">
        <v>0</v>
      </c>
      <c r="G32" s="121">
        <v>0</v>
      </c>
    </row>
    <row r="33" spans="2:7" x14ac:dyDescent="0.25">
      <c r="B33" s="122" t="str">
        <v>Concrete, 20 MPa, in-situ, no reinforcement, (Futurecrete®  Ultra
N Class GP/GL:Slag
20 MPa) (Adbri) (VIC)</v>
      </c>
      <c r="C33" t="str">
        <v>m³</v>
      </c>
      <c r="D33" s="96">
        <v>149.13999999999999</v>
      </c>
      <c r="E33" s="96">
        <v>6.2141666666666664E-2</v>
      </c>
      <c r="F33" s="96">
        <v>0</v>
      </c>
      <c r="G33" s="121">
        <v>0</v>
      </c>
    </row>
    <row r="34" spans="2:7" x14ac:dyDescent="0.25">
      <c r="B34" s="122" t="str">
        <v>Concrete, 20 MPa, in-situ, no reinforcement, (QE201L)(Ecopact) (Holcim) (QLD) (Sunshine Coast)</v>
      </c>
      <c r="C34" t="str">
        <v>m³</v>
      </c>
      <c r="D34" s="96">
        <v>200.18</v>
      </c>
      <c r="E34" s="96">
        <v>8.3408333333333334E-2</v>
      </c>
      <c r="F34" s="96">
        <v>0</v>
      </c>
      <c r="G34" s="121">
        <v>0</v>
      </c>
    </row>
    <row r="35" spans="2:7" x14ac:dyDescent="0.25">
      <c r="B35" s="122" t="str">
        <v>Concrete, 20 MPa, in-situ, no reinforcement, (QE201L100)(Ecopact) (Holcim) (QLD) (Sunshine Coast)</v>
      </c>
      <c r="C35" t="str">
        <v>m³</v>
      </c>
      <c r="D35" s="96">
        <v>204.18</v>
      </c>
      <c r="E35" s="96">
        <v>8.5075000000000012E-2</v>
      </c>
      <c r="F35" s="96">
        <v>0</v>
      </c>
      <c r="G35" s="121">
        <v>0</v>
      </c>
    </row>
    <row r="36" spans="2:7" x14ac:dyDescent="0.25">
      <c r="B36" s="122" t="str">
        <v>Concrete, 20 MPa, in-situ, no reinforcement, (QE202L)(Ecopact) (Holcim) (QLD) (Sunshine Coast)</v>
      </c>
      <c r="C36" t="str">
        <v>m³</v>
      </c>
      <c r="D36" s="96">
        <v>194.17</v>
      </c>
      <c r="E36" s="96">
        <v>8.0904166666666666E-2</v>
      </c>
      <c r="F36" s="96">
        <v>0</v>
      </c>
      <c r="G36" s="121">
        <v>0</v>
      </c>
    </row>
    <row r="37" spans="2:7" x14ac:dyDescent="0.25">
      <c r="B37" s="122" t="str">
        <v>Concrete, 20 MPa, in-situ, no reinforcement, (QE202L100)(Ecopact) (Holcim) (QLD) (Sunshine Coast)</v>
      </c>
      <c r="C37" t="str">
        <v>m³</v>
      </c>
      <c r="D37" s="96">
        <v>198.17</v>
      </c>
      <c r="E37" s="96">
        <v>8.2570833333333343E-2</v>
      </c>
      <c r="F37" s="96">
        <v>0</v>
      </c>
      <c r="G37" s="121">
        <v>0</v>
      </c>
    </row>
    <row r="38" spans="2:7" x14ac:dyDescent="0.25">
      <c r="B38" s="122" t="str">
        <v>Concrete, 20 MPa, in-situ, no reinforcement, (Futurecrete® N Class
GP:GL:Slag 20 MPa
- Winnellie) (Adbri) (NT)</v>
      </c>
      <c r="C38" t="str">
        <v>m³</v>
      </c>
      <c r="D38" s="96">
        <v>206.173</v>
      </c>
      <c r="E38" s="96">
        <v>8.5905416666666665E-2</v>
      </c>
      <c r="F38" s="96">
        <v>0</v>
      </c>
      <c r="G38" s="121">
        <v>0</v>
      </c>
    </row>
    <row r="39" spans="2:7" x14ac:dyDescent="0.25">
      <c r="B39" s="122" t="str">
        <v>Concrete, 20 MPa, in-situ, no reinforcement, (NE201E1)(Ecopact) (Holcim) (NSW), (Sydney)</v>
      </c>
      <c r="C39" t="str">
        <v>m³</v>
      </c>
      <c r="D39" s="96">
        <v>136.11000000000001</v>
      </c>
      <c r="E39" s="96">
        <v>5.6712499999999999E-2</v>
      </c>
      <c r="F39" s="96">
        <v>0</v>
      </c>
      <c r="G39" s="121">
        <v>0</v>
      </c>
    </row>
    <row r="40" spans="2:7" x14ac:dyDescent="0.25">
      <c r="B40" s="122" t="str">
        <v>Concrete, 20 MPa, in-situ, no reinforcement, (NE201E5)(Ecopact) (Holcim) (NSW), (Sydney)</v>
      </c>
      <c r="C40" t="str">
        <v>m³</v>
      </c>
      <c r="D40" s="96">
        <v>136.11000000000001</v>
      </c>
      <c r="E40" s="96">
        <v>5.6712499999999999E-2</v>
      </c>
      <c r="F40" s="96">
        <v>0</v>
      </c>
      <c r="G40" s="121">
        <v>0</v>
      </c>
    </row>
    <row r="41" spans="2:7" x14ac:dyDescent="0.25">
      <c r="B41" s="122" t="str">
        <v>Concrete, 20 MPa, in-situ, no reinforcement, (Futurecrete®  N Class
GP/GL:Slag 20 MPa) (Adbri) (VIC)</v>
      </c>
      <c r="C41" t="str">
        <v>m³</v>
      </c>
      <c r="D41" s="96">
        <v>176.14</v>
      </c>
      <c r="E41" s="96">
        <v>7.3391666666666661E-2</v>
      </c>
      <c r="F41" s="96">
        <v>0</v>
      </c>
      <c r="G41" s="121">
        <v>0</v>
      </c>
    </row>
    <row r="42" spans="2:7" x14ac:dyDescent="0.25">
      <c r="B42" s="122" t="str">
        <v>Concrete, 20 MPa, in-situ, no reinforcement, (NE202E1)(Ecopact) (Holcim) (NSW), (Sydney)</v>
      </c>
      <c r="C42" t="str">
        <v>m³</v>
      </c>
      <c r="D42" s="96">
        <v>140.11000000000001</v>
      </c>
      <c r="E42" s="96">
        <v>5.8379166666666669E-2</v>
      </c>
      <c r="F42" s="96">
        <v>0</v>
      </c>
      <c r="G42" s="121">
        <v>0</v>
      </c>
    </row>
    <row r="43" spans="2:7" x14ac:dyDescent="0.25">
      <c r="B43" s="122" t="str">
        <v>Concrete, 20 MPa, in-situ, no reinforcement, (QE203EBMX) (Ecopact) (Holcim) (QLD), Gold Coast</v>
      </c>
      <c r="C43" t="str">
        <v>m³</v>
      </c>
      <c r="D43" s="96">
        <v>208.16</v>
      </c>
      <c r="E43" s="96">
        <v>8.6733333333333343E-2</v>
      </c>
      <c r="F43" s="96">
        <v>0</v>
      </c>
      <c r="G43" s="121">
        <v>0</v>
      </c>
    </row>
    <row r="44" spans="2:7" x14ac:dyDescent="0.25">
      <c r="B44" s="122" t="str">
        <v>Concrete, 20 MPa, in-situ, no reinforcement, (CS2020BGS)(B) (BCG) (WA), (Perth)</v>
      </c>
      <c r="C44" t="str">
        <v>m³</v>
      </c>
      <c r="D44" s="96">
        <v>199.15</v>
      </c>
      <c r="E44" s="96">
        <v>8.2979166666666659E-2</v>
      </c>
      <c r="F44" s="96">
        <v>0</v>
      </c>
      <c r="G44" s="121">
        <v>0</v>
      </c>
    </row>
    <row r="45" spans="2:7" x14ac:dyDescent="0.25">
      <c r="B45" s="122" t="str">
        <v>Concrete, 20 MPa, in-situ, no reinforcement, (QE207EBMX) (Ecopact) (Holcim) (QLD), Gold Coast</v>
      </c>
      <c r="C45" t="str">
        <v>m³</v>
      </c>
      <c r="D45" s="96">
        <v>187.14</v>
      </c>
      <c r="E45" s="96">
        <v>7.7974999999999989E-2</v>
      </c>
      <c r="F45" s="96">
        <v>0</v>
      </c>
      <c r="G45" s="121">
        <v>0</v>
      </c>
    </row>
    <row r="46" spans="2:7" x14ac:dyDescent="0.25">
      <c r="B46" s="122" t="str">
        <v>Concrete, 20 MPa, in-situ, no reinforcement, (Adbri concrete
N class GP/GL
20 MPa) (Adbri) (QLD)</v>
      </c>
      <c r="C46" t="str">
        <v>m³</v>
      </c>
      <c r="D46" s="96">
        <v>261.19499999999999</v>
      </c>
      <c r="E46" s="96">
        <v>0.10883125</v>
      </c>
      <c r="F46" s="96">
        <v>0</v>
      </c>
      <c r="G46" s="121">
        <v>0</v>
      </c>
    </row>
    <row r="47" spans="2:7" x14ac:dyDescent="0.25">
      <c r="B47" s="122" t="str">
        <v>Concrete, 20 MPa, in-situ, no reinforcement, (QE207EBMX) (Ecopact) (Holcim) (QLD) (Brisbane)</v>
      </c>
      <c r="C47" t="str">
        <v>m³</v>
      </c>
      <c r="D47" s="96">
        <v>190.14</v>
      </c>
      <c r="E47" s="96">
        <v>7.922499999999999E-2</v>
      </c>
      <c r="F47" s="96">
        <v>0</v>
      </c>
      <c r="G47" s="121">
        <v>0</v>
      </c>
    </row>
    <row r="48" spans="2:7" x14ac:dyDescent="0.25">
      <c r="B48" s="122" t="str">
        <v>Concrete, 20 MPa, in-situ, no reinforcement, (Futurecrete®
N class GP/GL:FA
20 MPa) (Adbri) (QLD)</v>
      </c>
      <c r="C48" t="str">
        <v>m³</v>
      </c>
      <c r="D48" s="96">
        <v>219.161</v>
      </c>
      <c r="E48" s="96">
        <v>9.1317083333333327E-2</v>
      </c>
      <c r="F48" s="96">
        <v>0</v>
      </c>
      <c r="G48" s="121">
        <v>0</v>
      </c>
    </row>
    <row r="49" spans="2:7" x14ac:dyDescent="0.25">
      <c r="B49" s="122" t="str">
        <v>Concrete, 20 MPa, in-situ, no reinforcement, (QE202EEZY) (Ecopact) (Holcim) (QLD), Gold Coast</v>
      </c>
      <c r="C49" t="str">
        <v>m³</v>
      </c>
      <c r="D49" s="96">
        <v>164.12</v>
      </c>
      <c r="E49" s="96">
        <v>6.8383333333333324E-2</v>
      </c>
      <c r="F49" s="96">
        <v>0</v>
      </c>
      <c r="G49" s="121">
        <v>0</v>
      </c>
    </row>
    <row r="50" spans="2:7" x14ac:dyDescent="0.25">
      <c r="B50" s="122" t="str">
        <v>Concrete, 20 MPa, in-situ, no reinforcement, (QE201E100) (Ecopact) (Holcim) (QLD), Gold Coast</v>
      </c>
      <c r="C50" t="str">
        <v>m³</v>
      </c>
      <c r="D50" s="96">
        <v>164.12</v>
      </c>
      <c r="E50" s="96">
        <v>6.8383333333333324E-2</v>
      </c>
      <c r="F50" s="96">
        <v>0</v>
      </c>
      <c r="G50" s="121">
        <v>0</v>
      </c>
    </row>
    <row r="51" spans="2:7" x14ac:dyDescent="0.25">
      <c r="B51" s="122" t="str">
        <v>Concrete, 20 MPa, in-situ, no reinforcement, (Adbri concrete
N class GP/GL:FA
20 MPa) (Adbri) (QLD)</v>
      </c>
      <c r="C51" t="str">
        <v>m³</v>
      </c>
      <c r="D51" s="96">
        <v>225.16200000000001</v>
      </c>
      <c r="E51" s="96">
        <v>9.3817499999999998E-2</v>
      </c>
      <c r="F51" s="96">
        <v>0</v>
      </c>
      <c r="G51" s="121">
        <v>0</v>
      </c>
    </row>
    <row r="52" spans="2:7" x14ac:dyDescent="0.25">
      <c r="B52" s="122" t="str">
        <v>Concrete, 20 MPa, in-situ, no reinforcement, (QE202E100) (Ecopact) (Holcim) (QLD) (Brisbane)</v>
      </c>
      <c r="C52" t="str">
        <v>m³</v>
      </c>
      <c r="D52" s="96">
        <v>153.11000000000001</v>
      </c>
      <c r="E52" s="96">
        <v>6.3795833333333329E-2</v>
      </c>
      <c r="F52" s="96">
        <v>0</v>
      </c>
      <c r="G52" s="121">
        <v>0</v>
      </c>
    </row>
    <row r="53" spans="2:7" x14ac:dyDescent="0.25">
      <c r="B53" s="122" t="str">
        <v>Concrete, 20 MPa, in-situ, no reinforcement, (QE201EL21) (Ecopact) (Holcim) (QLD), Gold Coast</v>
      </c>
      <c r="C53" t="str">
        <v>m³</v>
      </c>
      <c r="D53" s="96">
        <v>168.12</v>
      </c>
      <c r="E53" s="96">
        <v>7.0050000000000001E-2</v>
      </c>
      <c r="F53" s="96">
        <v>0</v>
      </c>
      <c r="G53" s="121">
        <v>0</v>
      </c>
    </row>
    <row r="54" spans="2:7" x14ac:dyDescent="0.25">
      <c r="B54" s="122" t="str">
        <v>Concrete, 20 MPa, in-situ, no reinforcement, (QE201EEZY) (Ecopact) (Holcim) (QLD), Gold Coast</v>
      </c>
      <c r="C54" t="str">
        <v>m³</v>
      </c>
      <c r="D54" s="96">
        <v>170.12</v>
      </c>
      <c r="E54" s="96">
        <v>7.0883333333333326E-2</v>
      </c>
      <c r="F54" s="96">
        <v>0</v>
      </c>
      <c r="G54" s="121">
        <v>0</v>
      </c>
    </row>
    <row r="55" spans="2:7" x14ac:dyDescent="0.25">
      <c r="B55" s="122" t="str">
        <v>Concrete, 20 MPa, in-situ, no reinforcement, (QE201E100) (Ecopact) (Holcim) (QLD) (Brisbane)</v>
      </c>
      <c r="C55" t="str">
        <v>m³</v>
      </c>
      <c r="D55" s="96">
        <v>156.11000000000001</v>
      </c>
      <c r="E55" s="96">
        <v>6.5045833333333331E-2</v>
      </c>
      <c r="F55" s="96">
        <v>0</v>
      </c>
      <c r="G55" s="121">
        <v>0</v>
      </c>
    </row>
    <row r="56" spans="2:7" x14ac:dyDescent="0.25">
      <c r="B56" s="122" t="str">
        <v>Concrete, 20 MPa, in-situ, no reinforcement, (QE202EEZY) (Ecopact) (Holcim) (QLD) (Brisbane)</v>
      </c>
      <c r="C56" t="str">
        <v>m³</v>
      </c>
      <c r="D56" s="96">
        <v>158.11000000000001</v>
      </c>
      <c r="E56" s="96">
        <v>6.5879166666666655E-2</v>
      </c>
      <c r="F56" s="96">
        <v>0</v>
      </c>
      <c r="G56" s="121">
        <v>0</v>
      </c>
    </row>
    <row r="57" spans="2:7" x14ac:dyDescent="0.25">
      <c r="B57" s="122" t="str">
        <v>Concrete, 20 MPa, in-situ, no reinforcement, (QE202E100) (Ecopact) (Holcim) (QLD), Gold Coast</v>
      </c>
      <c r="C57" t="str">
        <v>m³</v>
      </c>
      <c r="D57" s="96">
        <v>159.11000000000001</v>
      </c>
      <c r="E57" s="96">
        <v>6.6295833333333332E-2</v>
      </c>
      <c r="F57" s="96">
        <v>0</v>
      </c>
      <c r="G57" s="121">
        <v>0</v>
      </c>
    </row>
    <row r="58" spans="2:7" x14ac:dyDescent="0.25">
      <c r="B58" s="122" t="str">
        <v>Concrete, 20 MPa, in-situ, no reinforcement, (QE201EL21) (Ecopact) (Holcim) (QLD) (Brisbane)</v>
      </c>
      <c r="C58" t="str">
        <v>m³</v>
      </c>
      <c r="D58" s="96">
        <v>160.11000000000001</v>
      </c>
      <c r="E58" s="96">
        <v>6.6712499999999994E-2</v>
      </c>
      <c r="F58" s="96">
        <v>0</v>
      </c>
      <c r="G58" s="121">
        <v>0</v>
      </c>
    </row>
    <row r="59" spans="2:7" x14ac:dyDescent="0.25">
      <c r="B59" s="122" t="str">
        <v>Concrete, 20 MPa, in-situ, no reinforcement, (QE201EEZY) (Ecopact) (Holcim) (QLD) (Brisbane)</v>
      </c>
      <c r="C59" t="str">
        <v>m³</v>
      </c>
      <c r="D59" s="96">
        <v>161.11000000000001</v>
      </c>
      <c r="E59" s="96">
        <v>6.7129166666666656E-2</v>
      </c>
      <c r="F59" s="96">
        <v>0</v>
      </c>
      <c r="G59" s="121">
        <v>0</v>
      </c>
    </row>
    <row r="60" spans="2:7" x14ac:dyDescent="0.25">
      <c r="B60" s="122" t="str">
        <v>Concrete, 20 MPa, in-situ, no reinforcement, (WE204E1)(Ecopact) (Holcim) (WA), (Perth Metro)</v>
      </c>
      <c r="C60" t="str">
        <v>m³</v>
      </c>
      <c r="D60" s="96">
        <v>196.13</v>
      </c>
      <c r="E60" s="96">
        <v>8.1720833333333326E-2</v>
      </c>
      <c r="F60" s="96">
        <v>0</v>
      </c>
      <c r="G60" s="121">
        <v>0</v>
      </c>
    </row>
    <row r="61" spans="2:7" x14ac:dyDescent="0.25">
      <c r="B61" s="122" t="str">
        <v>Concrete, 20 MPa, in-situ, no reinforcement, (QE202E) (Ecopact) (Holcim) (QLD) (Brisbane)</v>
      </c>
      <c r="C61" t="str">
        <v>m³</v>
      </c>
      <c r="D61" s="96">
        <v>151.1</v>
      </c>
      <c r="E61" s="96">
        <v>6.2958333333333324E-2</v>
      </c>
      <c r="F61" s="96">
        <v>0</v>
      </c>
      <c r="G61" s="121">
        <v>0</v>
      </c>
    </row>
    <row r="62" spans="2:7" x14ac:dyDescent="0.25">
      <c r="B62" s="122" t="str">
        <v>Concrete, 20 MPa, in-situ, no reinforcement, (WE201E1)(Ecopact) (Holcim) (WA), (Perth Metro)</v>
      </c>
      <c r="C62" t="str">
        <v>m³</v>
      </c>
      <c r="D62" s="96">
        <v>197.13</v>
      </c>
      <c r="E62" s="96">
        <v>8.2137499999999988E-2</v>
      </c>
      <c r="F62" s="96">
        <v>0</v>
      </c>
      <c r="G62" s="121">
        <v>0</v>
      </c>
    </row>
    <row r="63" spans="2:7" x14ac:dyDescent="0.25">
      <c r="B63" s="122" t="str">
        <v>Concrete, 20 MPa, in-situ, no reinforcement, (Adbri Concrete N Class GP/GL 20 MPa) (Adbri) (VIC)</v>
      </c>
      <c r="C63" t="str">
        <v>m³</v>
      </c>
      <c r="D63" s="96">
        <v>218.14</v>
      </c>
      <c r="E63" s="96">
        <v>9.0891666666666662E-2</v>
      </c>
      <c r="F63" s="96">
        <v>0</v>
      </c>
      <c r="G63" s="121">
        <v>0</v>
      </c>
    </row>
    <row r="64" spans="2:7" x14ac:dyDescent="0.25">
      <c r="B64" s="122" t="str">
        <v>Concrete, 20 MPa, in-situ, no reinforcement, (WE202E1)(Ecopact) (Holcim) (WA), (Perth Metro)</v>
      </c>
      <c r="C64" t="str">
        <v>m³</v>
      </c>
      <c r="D64" s="96">
        <v>188.12</v>
      </c>
      <c r="E64" s="96">
        <v>7.8383333333333333E-2</v>
      </c>
      <c r="F64" s="96">
        <v>0</v>
      </c>
      <c r="G64" s="121">
        <v>0</v>
      </c>
    </row>
    <row r="65" spans="2:7" x14ac:dyDescent="0.25">
      <c r="B65" s="122" t="str">
        <v>Concrete, 20 MPa, in-situ, no reinforcement, (Adbri Concrete N Class GP:GL 20 MPa
- Winnellie) (Adbri) (NT)</v>
      </c>
      <c r="C65" t="str">
        <v>m³</v>
      </c>
      <c r="D65" s="96">
        <v>296.18799999999999</v>
      </c>
      <c r="E65" s="96">
        <v>0.12341166666666667</v>
      </c>
      <c r="F65" s="96">
        <v>0</v>
      </c>
      <c r="G65" s="121">
        <v>0</v>
      </c>
    </row>
    <row r="66" spans="2:7" x14ac:dyDescent="0.25">
      <c r="B66" s="122" t="str">
        <v>Concrete, 20 MPa, in-situ, no reinforcement, (WE202EP1)(Ecopact) (Holcim) (WA), (Perth Metro)</v>
      </c>
      <c r="C66" t="str">
        <v>m³</v>
      </c>
      <c r="D66" s="96">
        <v>192.09</v>
      </c>
      <c r="E66" s="96">
        <v>8.0037499999999998E-2</v>
      </c>
      <c r="F66" s="96">
        <v>0</v>
      </c>
      <c r="G66" s="121">
        <v>0</v>
      </c>
    </row>
    <row r="67" spans="2:7" x14ac:dyDescent="0.25">
      <c r="B67" s="122" t="str">
        <v>Concrete, 20 MPa, in-situ, no reinforcement, (WE201EBMX)(Ecopact) (Holcim) (WA), (Perth Metro)</v>
      </c>
      <c r="C67" t="str">
        <v>m³</v>
      </c>
      <c r="D67" s="96">
        <v>198.09</v>
      </c>
      <c r="E67" s="96">
        <v>8.25375E-2</v>
      </c>
      <c r="F67" s="96">
        <v>0</v>
      </c>
      <c r="G67" s="121">
        <v>0</v>
      </c>
    </row>
    <row r="68" spans="2:7" x14ac:dyDescent="0.25">
      <c r="B68" s="122" t="str">
        <v>Concrete, 20 MPa, in-situ, no reinforcement, (Adbri Concrete N Class GP:GL 20 MPa
- Alice Springs) (Adbri) (NT)</v>
      </c>
      <c r="C68" t="str">
        <v>m³</v>
      </c>
      <c r="D68" s="96">
        <v>364.12599999999998</v>
      </c>
      <c r="E68" s="96">
        <v>0.15171916666666668</v>
      </c>
      <c r="F68" s="96">
        <v>0</v>
      </c>
      <c r="G68" s="121">
        <v>0</v>
      </c>
    </row>
    <row r="69" spans="2:7" x14ac:dyDescent="0.25">
      <c r="B69" s="122" t="str">
        <v>Concrete, 20 MPa, in-situ, no reinforcement,Pronto (EPG20F) (Barro Group) (VIC)</v>
      </c>
      <c r="C69" t="str">
        <v>m³</v>
      </c>
      <c r="D69" s="96">
        <v>146.02690000000001</v>
      </c>
      <c r="E69" s="96">
        <v>6.0844541666666668E-2</v>
      </c>
      <c r="F69" s="96">
        <v>0</v>
      </c>
      <c r="G69" s="121">
        <v>0</v>
      </c>
    </row>
    <row r="70" spans="2:7" x14ac:dyDescent="0.25">
      <c r="B70" s="122" t="str">
        <v>Concrete, 20 MPa, in-situ, no reinforcement,Pronto (EPG20) (Barro Group) (VIC)</v>
      </c>
      <c r="C70" t="str">
        <v>m³</v>
      </c>
      <c r="D70" s="96">
        <v>159.01349999999999</v>
      </c>
      <c r="E70" s="96">
        <v>6.6255624999999999E-2</v>
      </c>
      <c r="F70" s="96">
        <v>0</v>
      </c>
      <c r="G70" s="121">
        <v>0</v>
      </c>
    </row>
    <row r="71" spans="2:7" x14ac:dyDescent="0.25">
      <c r="B71" s="122" t="str">
        <v>Concrete, 20 MPa, in-situ, no reinforcement, (Futurecrete®  Ultra
N Class Ternary
20 MPa) (Adbri) (NSW)</v>
      </c>
      <c r="C71" t="str">
        <v>m³</v>
      </c>
      <c r="D71" s="96">
        <v>208.89099999999999</v>
      </c>
      <c r="E71" s="96">
        <v>8.7037916666666673E-2</v>
      </c>
      <c r="F71" s="96">
        <v>0</v>
      </c>
      <c r="G71" s="121">
        <v>0</v>
      </c>
    </row>
    <row r="72" spans="2:7" x14ac:dyDescent="0.25">
      <c r="B72" s="122" t="str">
        <v>Concrete, 20 MPa, in-situ, no reinforcement, (General) (Holcim) (NSW)(ACT)</v>
      </c>
      <c r="C72" t="str">
        <v>m³</v>
      </c>
      <c r="D72" s="96">
        <v>273</v>
      </c>
      <c r="E72" s="96">
        <v>0.11375</v>
      </c>
      <c r="F72" s="96">
        <v>0</v>
      </c>
      <c r="G72" s="121">
        <v>0</v>
      </c>
    </row>
    <row r="73" spans="2:7" x14ac:dyDescent="0.25">
      <c r="B73" s="122" t="str">
        <v>Concrete, 20 MPa, in-situ, no reinforcement, (Fly Ash) (Holcim) (NSW)(ACT)</v>
      </c>
      <c r="C73" t="str">
        <v>m³</v>
      </c>
      <c r="D73" s="96">
        <v>220</v>
      </c>
      <c r="E73" s="96">
        <v>9.166666666666666E-2</v>
      </c>
      <c r="F73" s="96">
        <v>0</v>
      </c>
      <c r="G73" s="121">
        <v>0</v>
      </c>
    </row>
    <row r="74" spans="2:7" x14ac:dyDescent="0.25">
      <c r="B74" s="122" t="str">
        <v>Concrete, 20 MPa, in-situ, no reinforcement, (GGBS Slag) (Holcim) (NSW)(ACT)</v>
      </c>
      <c r="C74" t="str">
        <v>m³</v>
      </c>
      <c r="D74" s="96">
        <v>171</v>
      </c>
      <c r="E74" s="96">
        <v>7.1249999999999994E-2</v>
      </c>
      <c r="F74" s="96">
        <v>0</v>
      </c>
      <c r="G74" s="121">
        <v>0</v>
      </c>
    </row>
    <row r="75" spans="2:7" x14ac:dyDescent="0.25">
      <c r="B75" s="122" t="str">
        <v>Concrete, 20 MPa, in-situ, no reinforcement, (Triple Blend) (Holcim) (NSW)(ACT)</v>
      </c>
      <c r="C75" t="str">
        <v>m³</v>
      </c>
      <c r="D75" s="96">
        <v>152</v>
      </c>
      <c r="E75" s="96">
        <v>6.3333333333333339E-2</v>
      </c>
      <c r="F75" s="96">
        <v>0</v>
      </c>
      <c r="G75" s="121">
        <v>0</v>
      </c>
    </row>
    <row r="76" spans="2:7" x14ac:dyDescent="0.25">
      <c r="B76" s="122" t="str">
        <v>Concrete, 20 MPa, in-situ, no reinforcement,(General)  (Holcim)  (QLD)</v>
      </c>
      <c r="C76" t="str">
        <v>m³</v>
      </c>
      <c r="D76" s="96">
        <v>242</v>
      </c>
      <c r="E76" s="96">
        <v>0.10083333333333333</v>
      </c>
      <c r="F76" s="96">
        <v>0</v>
      </c>
      <c r="G76" s="121">
        <v>0</v>
      </c>
    </row>
    <row r="77" spans="2:7" x14ac:dyDescent="0.25">
      <c r="B77" s="122" t="str">
        <v>Concrete, 20 MPa, in-situ, no reinforcement,(Fly Ash)  (Holcim)  (QLD)</v>
      </c>
      <c r="C77" t="str">
        <v>m³</v>
      </c>
      <c r="D77" s="96">
        <v>203</v>
      </c>
      <c r="E77" s="96">
        <v>8.458333333333333E-2</v>
      </c>
      <c r="F77" s="96">
        <v>0</v>
      </c>
      <c r="G77" s="121">
        <v>0</v>
      </c>
    </row>
    <row r="78" spans="2:7" x14ac:dyDescent="0.25">
      <c r="B78" s="122" t="str">
        <v>Concrete, 20 MPa, in-situ, no reinforcement,(GGBS Slag)  (Holcim)  (QLD)</v>
      </c>
      <c r="C78" t="str">
        <v>m³</v>
      </c>
      <c r="D78" s="96">
        <v>163</v>
      </c>
      <c r="E78" s="96">
        <v>6.7916666666666667E-2</v>
      </c>
      <c r="F78" s="96">
        <v>0</v>
      </c>
      <c r="G78" s="121">
        <v>0</v>
      </c>
    </row>
    <row r="79" spans="2:7" x14ac:dyDescent="0.25">
      <c r="B79" s="122" t="str">
        <v>Concrete, 20 MPa, in-situ, no reinforcement,(Triple Blend)  (Holcim)  (QLD)</v>
      </c>
      <c r="C79" t="str">
        <v>m³</v>
      </c>
      <c r="D79" s="96">
        <v>154</v>
      </c>
      <c r="E79" s="96">
        <v>6.4166666666666664E-2</v>
      </c>
      <c r="F79" s="96">
        <v>0</v>
      </c>
      <c r="G79" s="121">
        <v>0</v>
      </c>
    </row>
    <row r="80" spans="2:7" x14ac:dyDescent="0.25">
      <c r="B80" s="122" t="str">
        <v>Concrete, 20 MPa, in-situ, no reinforcement, (General) (Holcim) (VIC)</v>
      </c>
      <c r="C80" t="str">
        <v>m³</v>
      </c>
      <c r="D80" s="96">
        <v>257</v>
      </c>
      <c r="E80" s="96">
        <v>0.10708333333333334</v>
      </c>
      <c r="F80" s="96">
        <v>0</v>
      </c>
      <c r="G80" s="121">
        <v>0</v>
      </c>
    </row>
    <row r="81" spans="2:7" x14ac:dyDescent="0.25">
      <c r="B81" s="122" t="str">
        <v>Concrete, 20 MPa, in-situ, no reinforcement, (Fly Ash) (Holcim) (VIC)</v>
      </c>
      <c r="C81" t="str">
        <v>m³</v>
      </c>
      <c r="D81" s="96">
        <v>221</v>
      </c>
      <c r="E81" s="96">
        <v>9.2083333333333336E-2</v>
      </c>
      <c r="F81" s="96">
        <v>0</v>
      </c>
      <c r="G81" s="121">
        <v>0</v>
      </c>
    </row>
    <row r="82" spans="2:7" x14ac:dyDescent="0.25">
      <c r="B82" s="122" t="str">
        <v>Concrete, 20 MPa, in-situ, no reinforcement, (Triple Blend) (Holcim) (VIC)</v>
      </c>
      <c r="C82" t="str">
        <v>m³</v>
      </c>
      <c r="D82" s="96">
        <v>209</v>
      </c>
      <c r="E82" s="96">
        <v>8.7083333333333332E-2</v>
      </c>
      <c r="F82" s="96">
        <v>0</v>
      </c>
      <c r="G82" s="121">
        <v>0</v>
      </c>
    </row>
    <row r="83" spans="2:7" x14ac:dyDescent="0.25">
      <c r="B83" s="122" t="str">
        <v>Concrete, 20 MPa, in-situ, no reinforcement, (General) (Holcim) (SA)</v>
      </c>
      <c r="C83" t="str">
        <v>m³</v>
      </c>
      <c r="D83" s="96">
        <v>265</v>
      </c>
      <c r="E83" s="96">
        <v>0.11041666666666666</v>
      </c>
      <c r="F83" s="96">
        <v>0</v>
      </c>
      <c r="G83" s="121">
        <v>0</v>
      </c>
    </row>
    <row r="84" spans="2:7" x14ac:dyDescent="0.25">
      <c r="B84" s="122" t="str">
        <v>Concrete, 20 MPa, in-situ, no reinforcement, (Fly Ash) (Holcim) (SA)</v>
      </c>
      <c r="C84" t="str">
        <v>m³</v>
      </c>
      <c r="D84" s="96">
        <v>198</v>
      </c>
      <c r="E84" s="96">
        <v>8.2500000000000004E-2</v>
      </c>
      <c r="F84" s="96">
        <v>0</v>
      </c>
      <c r="G84" s="121">
        <v>0</v>
      </c>
    </row>
    <row r="85" spans="2:7" x14ac:dyDescent="0.25">
      <c r="B85" s="122" t="str">
        <v>Concrete, 20 MPa, in-situ, no reinforcement, (GGBS Slag) (Holcim) (SA)</v>
      </c>
      <c r="C85" t="str">
        <v>m³</v>
      </c>
      <c r="D85" s="96">
        <v>200</v>
      </c>
      <c r="E85" s="96">
        <v>8.3333333333333329E-2</v>
      </c>
      <c r="F85" s="96">
        <v>0</v>
      </c>
      <c r="G85" s="121">
        <v>0</v>
      </c>
    </row>
    <row r="86" spans="2:7" x14ac:dyDescent="0.25">
      <c r="B86" s="122" t="str">
        <v>Concrete, 20 MPa, in-situ, no reinforcement, (General) (Holcim) (WA)</v>
      </c>
      <c r="C86" t="str">
        <v>m³</v>
      </c>
      <c r="D86" s="96">
        <v>265</v>
      </c>
      <c r="E86" s="96">
        <v>0.11041666666666666</v>
      </c>
      <c r="F86" s="96">
        <v>0</v>
      </c>
      <c r="G86" s="121">
        <v>0</v>
      </c>
    </row>
    <row r="87" spans="2:7" x14ac:dyDescent="0.25">
      <c r="B87" s="122" t="str">
        <v>Concrete, 20 MPa, in-situ, no reinforcement, (GGBS Slag) (Holcim) (WA)</v>
      </c>
      <c r="C87" t="str">
        <v>m³</v>
      </c>
      <c r="D87" s="96">
        <v>207</v>
      </c>
      <c r="E87" s="96">
        <v>8.6249999999999993E-2</v>
      </c>
      <c r="F87" s="96">
        <v>0</v>
      </c>
      <c r="G87" s="121">
        <v>0</v>
      </c>
    </row>
    <row r="88" spans="2:7" x14ac:dyDescent="0.25">
      <c r="B88" s="122" t="str">
        <v>Concrete, 20 MPa, in-situ, no reinforcement, (NE202E151)(Ecopact) (Holcim) (ACT)</v>
      </c>
      <c r="C88" t="str">
        <v>m³</v>
      </c>
      <c r="D88" s="96">
        <v>173.43</v>
      </c>
      <c r="E88" s="96">
        <v>7.2262500000000007E-2</v>
      </c>
      <c r="F88" s="96">
        <v>0</v>
      </c>
      <c r="G88" s="121">
        <v>0</v>
      </c>
    </row>
    <row r="89" spans="2:7" x14ac:dyDescent="0.25">
      <c r="B89" s="122" t="str">
        <v>Concrete, 20 MPa, in-situ, no reinforcement, (NE202E351)(Ecopact) (Holcim) (ACT)</v>
      </c>
      <c r="C89" t="str">
        <v>m³</v>
      </c>
      <c r="D89" s="96">
        <v>174.96</v>
      </c>
      <c r="E89" s="96">
        <v>7.2900000000000006E-2</v>
      </c>
      <c r="F89" s="96">
        <v>0</v>
      </c>
      <c r="G89" s="121">
        <v>0</v>
      </c>
    </row>
    <row r="90" spans="2:7" x14ac:dyDescent="0.25">
      <c r="B90" s="122" t="str">
        <v>Concrete, 20 MPa, in-situ, no reinforcement, (NE201E151)(Ecopact) (Holcim) (ACT)</v>
      </c>
      <c r="C90" t="str">
        <v>m³</v>
      </c>
      <c r="D90" s="96">
        <v>173.65</v>
      </c>
      <c r="E90" s="96">
        <v>7.2354166666666664E-2</v>
      </c>
      <c r="F90" s="96">
        <v>0</v>
      </c>
      <c r="G90" s="121">
        <v>0</v>
      </c>
    </row>
    <row r="91" spans="2:7" x14ac:dyDescent="0.25">
      <c r="B91" s="122" t="str">
        <v>Concrete, 20 MPa, in-situ, no reinforcement, (NE201E351)(Ecopact) (Holcim) (ACT)</v>
      </c>
      <c r="C91" t="str">
        <v>m³</v>
      </c>
      <c r="D91" s="96">
        <v>175.14</v>
      </c>
      <c r="E91" s="96">
        <v>7.2974999999999998E-2</v>
      </c>
      <c r="F91" s="96">
        <v>0</v>
      </c>
      <c r="G91" s="121">
        <v>0</v>
      </c>
    </row>
    <row r="92" spans="2:7" x14ac:dyDescent="0.25">
      <c r="B92" s="122" t="str">
        <v>Concrete, 15 MPa, in-situ, no reinforcement, (VS152BHS2) (Holcim) (VIC)</v>
      </c>
      <c r="C92" t="str">
        <v>m³</v>
      </c>
      <c r="D92" s="96">
        <v>158.51</v>
      </c>
      <c r="E92" s="96">
        <v>6.6045833333333331E-2</v>
      </c>
      <c r="F92" s="96">
        <v>0</v>
      </c>
      <c r="G92" s="121">
        <v>0</v>
      </c>
    </row>
    <row r="93" spans="2:7" x14ac:dyDescent="0.25">
      <c r="B93" s="122" t="str">
        <v>Concrete, 20 MPa, in-situ, no reinforcement, (VS202BHS2) (Holcim) (VIC)</v>
      </c>
      <c r="C93" t="str">
        <v>m³</v>
      </c>
      <c r="D93" s="96">
        <v>168.75</v>
      </c>
      <c r="E93" s="96">
        <v>7.03125E-2</v>
      </c>
      <c r="F93" s="96">
        <v>0</v>
      </c>
      <c r="G93" s="121">
        <v>0</v>
      </c>
    </row>
    <row r="94" spans="2:7" x14ac:dyDescent="0.25">
      <c r="B94" s="122" t="str">
        <v>Concrete, 20 MPa, in-situ, no reinforcement, (QE202E)(Holcim) (QLD), (North QLD)</v>
      </c>
      <c r="C94" t="str">
        <v>m³</v>
      </c>
      <c r="D94" s="96">
        <v>197.24</v>
      </c>
      <c r="E94" s="96">
        <v>8.218333333333333E-2</v>
      </c>
      <c r="F94" s="96">
        <v>0</v>
      </c>
      <c r="G94" s="121">
        <v>0</v>
      </c>
    </row>
    <row r="95" spans="2:7" x14ac:dyDescent="0.25">
      <c r="B95" s="122" t="str">
        <v>Concrete, 20 MPa, in-situ, no reinforcement, (QE202E1)(Holcim) (QLD), (North QLD)</v>
      </c>
      <c r="C95" t="str">
        <v>m³</v>
      </c>
      <c r="D95" s="96">
        <v>197.49</v>
      </c>
      <c r="E95" s="96">
        <v>8.22875E-2</v>
      </c>
      <c r="F95" s="96">
        <v>0</v>
      </c>
      <c r="G95" s="121">
        <v>0</v>
      </c>
    </row>
    <row r="96" spans="2:7" x14ac:dyDescent="0.25">
      <c r="B96" s="122" t="str">
        <v>Concrete, 20 MPa, in-situ, no reinforcement, (QE201E)(Holcim) (QLD), (North QLD)</v>
      </c>
      <c r="C96" t="str">
        <v>m³</v>
      </c>
      <c r="D96" s="96">
        <v>202.72</v>
      </c>
      <c r="E96" s="96">
        <v>8.4466666666666662E-2</v>
      </c>
      <c r="F96" s="96">
        <v>0</v>
      </c>
      <c r="G96" s="121">
        <v>0</v>
      </c>
    </row>
    <row r="97" spans="2:7" x14ac:dyDescent="0.25">
      <c r="B97" s="122" t="str">
        <v>Concrete, 20 MPa, in-situ, no reinforcement, (QE201E1)(Holcim) (QLD), (North QLD)</v>
      </c>
      <c r="C97" t="str">
        <v>m³</v>
      </c>
      <c r="D97" s="96">
        <v>202.99</v>
      </c>
      <c r="E97" s="96">
        <v>8.4579166666666664E-2</v>
      </c>
      <c r="F97" s="96">
        <v>0</v>
      </c>
      <c r="G97" s="121">
        <v>0</v>
      </c>
    </row>
    <row r="98" spans="2:7" x14ac:dyDescent="0.25">
      <c r="B98" s="122" t="str">
        <v>Concrete, 20 MPa, in-situ, no reinforcement, (QE201EBMX)(Holcim) (QLD), (North QLD)</v>
      </c>
      <c r="C98" t="str">
        <v>m³</v>
      </c>
      <c r="D98" s="96">
        <v>221.6</v>
      </c>
      <c r="E98" s="96">
        <v>9.2333333333333337E-2</v>
      </c>
      <c r="F98" s="96">
        <v>0</v>
      </c>
      <c r="G98" s="121">
        <v>0</v>
      </c>
    </row>
    <row r="99" spans="2:7" x14ac:dyDescent="0.25">
      <c r="B99" s="122" t="str">
        <v>Concrete, 20 MPa, in-situ, no reinforcement, (Adbri Concrete
N Class GP/GL:FA
20 MPa) (Adbri) (NSW)</v>
      </c>
      <c r="C99" t="str">
        <v>m³</v>
      </c>
      <c r="D99" s="96">
        <v>253.87</v>
      </c>
      <c r="E99" s="96">
        <v>0.10577916666666667</v>
      </c>
      <c r="F99" s="96">
        <v>0</v>
      </c>
      <c r="G99" s="121">
        <v>0</v>
      </c>
    </row>
    <row r="100" spans="2:7" x14ac:dyDescent="0.25">
      <c r="B100" s="122" t="str">
        <v>Concrete, 20 MPa, in-situ, no reinforcement, (EN20) (Barro Group) (VIC)</v>
      </c>
      <c r="C100" t="str">
        <v>m³</v>
      </c>
      <c r="D100" s="96">
        <v>167</v>
      </c>
      <c r="E100" s="96">
        <v>6.958333333333333E-2</v>
      </c>
      <c r="F100" s="96">
        <v>0</v>
      </c>
      <c r="G100" s="121">
        <v>0</v>
      </c>
    </row>
    <row r="101" spans="2:7" x14ac:dyDescent="0.25">
      <c r="B101" s="122" t="str">
        <v>Concrete, 20 MPa, in-situ, no reinforcement, Pre-mix Concrete Normal Class GP/FA blend (Boral) (ACT), (Canberra) Normal Class GP/FA blend 20 MPa</v>
      </c>
      <c r="C101" t="str">
        <v>m³</v>
      </c>
      <c r="D101" s="96">
        <v>210</v>
      </c>
      <c r="E101" s="96">
        <v>8.7499999999999994E-2</v>
      </c>
      <c r="F101" s="96">
        <v>0</v>
      </c>
      <c r="G101" s="121">
        <v>0</v>
      </c>
    </row>
    <row r="102" spans="2:7" x14ac:dyDescent="0.25">
      <c r="B102" s="122" t="str">
        <v>Concrete, 20 MPa, in-situ, no reinforcement, Pre-mix Concrete Normal Class GP/GGBFS blend (Boral) (ACT), (Canberra) Normal Class GP/GGBFS blend 20 MPa</v>
      </c>
      <c r="C102" t="str">
        <v>m³</v>
      </c>
      <c r="D102" s="96">
        <v>194</v>
      </c>
      <c r="E102" s="96">
        <v>8.0833333333333326E-2</v>
      </c>
      <c r="F102" s="96">
        <v>0</v>
      </c>
      <c r="G102" s="121">
        <v>0</v>
      </c>
    </row>
    <row r="103" spans="2:7" x14ac:dyDescent="0.25">
      <c r="B103" s="122" t="str">
        <v>Concrete, 20 MPa, in-situ, no reinforcement, Pre-mix Concrete ENVIROCRETE 30% (Boral) (ACT), (Canberra) ENVIROCRETE 30% 20 MPa</v>
      </c>
      <c r="C103" t="str">
        <v>m³</v>
      </c>
      <c r="D103" s="96">
        <v>210</v>
      </c>
      <c r="E103" s="96">
        <v>8.7499999999999994E-2</v>
      </c>
      <c r="F103" s="96">
        <v>0</v>
      </c>
      <c r="G103" s="121">
        <v>0</v>
      </c>
    </row>
    <row r="104" spans="2:7" x14ac:dyDescent="0.25">
      <c r="B104" s="122" t="str">
        <v>Concrete, 20 MPa, in-situ, no reinforcement, Pre-mix Concrete ENVIROCRETE 40% (Boral) (ACT), (Canberra) ENVIROCRETE 40% 20 MPa</v>
      </c>
      <c r="C104" t="str">
        <v>m³</v>
      </c>
      <c r="D104" s="96">
        <v>193</v>
      </c>
      <c r="E104" s="96">
        <v>8.0416666666666664E-2</v>
      </c>
      <c r="F104" s="96">
        <v>0</v>
      </c>
      <c r="G104" s="121">
        <v>0</v>
      </c>
    </row>
    <row r="105" spans="2:7" x14ac:dyDescent="0.25">
      <c r="B105" s="122" t="str">
        <v>Concrete, 20 MPa, in-situ, no reinforcement, Pre-mix Concrete ENVIROCRETE PLUS (Boral) (ACT), (Canberra) ENVIROCRETE PLUS 20MPa</v>
      </c>
      <c r="C105" t="str">
        <v>m³</v>
      </c>
      <c r="D105" s="96">
        <v>186</v>
      </c>
      <c r="E105" s="96">
        <v>7.7499999999999999E-2</v>
      </c>
      <c r="F105" s="96">
        <v>0</v>
      </c>
      <c r="G105" s="121">
        <v>0</v>
      </c>
    </row>
    <row r="106" spans="2:7" x14ac:dyDescent="0.25">
      <c r="B106" s="122" t="str">
        <v>Concrete, 20 MPa, in-situ, no reinforcement, Pre-mix Concrete ENVISIA (Boral) (ACT), (Canberra) ENVISIA 20MPa</v>
      </c>
      <c r="C106" t="str">
        <v>m³</v>
      </c>
      <c r="D106" s="96">
        <v>177</v>
      </c>
      <c r="E106" s="96">
        <v>7.3749999999999996E-2</v>
      </c>
      <c r="F106" s="96">
        <v>0</v>
      </c>
      <c r="G106" s="121">
        <v>0</v>
      </c>
    </row>
    <row r="107" spans="2:7" x14ac:dyDescent="0.25">
      <c r="B107" s="122" t="str">
        <v>Concrete, 20 MPa, in-situ, no reinforcement, Pre-mix Concrete Normal Class GP blend (Boral) (ACT), (Canberra) Normal Class GP blend 20MPa</v>
      </c>
      <c r="C107" t="str">
        <v>m³</v>
      </c>
      <c r="D107" s="96">
        <v>270</v>
      </c>
      <c r="E107" s="96">
        <v>0.1125</v>
      </c>
      <c r="F107" s="96">
        <v>0</v>
      </c>
      <c r="G107" s="121">
        <v>0</v>
      </c>
    </row>
    <row r="108" spans="2:7" x14ac:dyDescent="0.25">
      <c r="B108" s="122" t="str">
        <v>Concrete, 20 MPa, in-situ, no reinforcement, Pre-mix Concrete Normal Class GP/FA blend (Boral) (NSW), (Newcastle) Normal Class GP/FA blend 20 MPa</v>
      </c>
      <c r="C108" t="str">
        <v>m³</v>
      </c>
      <c r="D108" s="96">
        <v>199</v>
      </c>
      <c r="E108" s="96">
        <v>8.2916666666666666E-2</v>
      </c>
      <c r="F108" s="96">
        <v>0</v>
      </c>
      <c r="G108" s="121">
        <v>0</v>
      </c>
    </row>
    <row r="109" spans="2:7" x14ac:dyDescent="0.25">
      <c r="B109" s="122" t="str">
        <v>Concrete, 20 MPa, in-situ, no reinforcement, Pre-mix Concrete ENVIROCRETE 30% 20 MPa (Boral) (NSW), (Newcastle) ENVIROCRETE 30% 20 MPa</v>
      </c>
      <c r="C109" t="str">
        <v>m³</v>
      </c>
      <c r="D109" s="96">
        <v>199</v>
      </c>
      <c r="E109" s="96">
        <v>8.2916666666666666E-2</v>
      </c>
      <c r="F109" s="96">
        <v>0</v>
      </c>
      <c r="G109" s="121">
        <v>0</v>
      </c>
    </row>
    <row r="110" spans="2:7" x14ac:dyDescent="0.25">
      <c r="B110" s="122" t="str">
        <v>Concrete, 20 MPa, in-situ, no reinforcement, Pre-mix Concrete Normal Class GP/GGBFS blend (Boral) (NSW), (Newcastle) Normal Class GP/GGBFS blend 20 MPa</v>
      </c>
      <c r="C110" t="str">
        <v>m³</v>
      </c>
      <c r="D110" s="96">
        <v>188</v>
      </c>
      <c r="E110" s="96">
        <v>7.8333333333333338E-2</v>
      </c>
      <c r="F110" s="96">
        <v>0</v>
      </c>
      <c r="G110" s="121">
        <v>0</v>
      </c>
    </row>
    <row r="111" spans="2:7" x14ac:dyDescent="0.25">
      <c r="B111" s="122" t="str">
        <v>Concrete, 20 MPa, in-situ, no reinforcement, Pre-mix Concrete ENVIROCRETE 40% (Boral) (NSW), (Newcastle) ENVIROCRETE 40% 20 MPa</v>
      </c>
      <c r="C111" t="str">
        <v>m³</v>
      </c>
      <c r="D111" s="96">
        <v>183</v>
      </c>
      <c r="E111" s="96">
        <v>7.6249999999999998E-2</v>
      </c>
      <c r="F111" s="96">
        <v>0</v>
      </c>
      <c r="G111" s="121">
        <v>0</v>
      </c>
    </row>
    <row r="112" spans="2:7" x14ac:dyDescent="0.25">
      <c r="B112" s="122" t="str">
        <v>Concrete, 20 MPa, in-situ, no reinforcement, Pre-mix Concrete ENVIROCRETE PLUS (Boral) (NSW), (Newcastle) ENVIROCRETE PLUS 20MPa</v>
      </c>
      <c r="C112" t="str">
        <v>m³</v>
      </c>
      <c r="D112" s="96">
        <v>179</v>
      </c>
      <c r="E112" s="96">
        <v>7.4583333333333335E-2</v>
      </c>
      <c r="F112" s="96">
        <v>0</v>
      </c>
      <c r="G112" s="121">
        <v>0</v>
      </c>
    </row>
    <row r="113" spans="2:7" x14ac:dyDescent="0.25">
      <c r="B113" s="122" t="str">
        <v>Concrete, 20 MPa, in-situ, no reinforcement, Pre-mix Concrete ENVISIA (Boral) (NSW), (Newcastle) ENVISIA 20MPa</v>
      </c>
      <c r="C113" t="str">
        <v>m³</v>
      </c>
      <c r="D113" s="96">
        <v>176</v>
      </c>
      <c r="E113" s="96">
        <v>7.3333333333333334E-2</v>
      </c>
      <c r="F113" s="96">
        <v>0</v>
      </c>
      <c r="G113" s="121">
        <v>0</v>
      </c>
    </row>
    <row r="114" spans="2:7" x14ac:dyDescent="0.25">
      <c r="B114" s="122" t="str">
        <v>Concrete, 20 MPa, in-situ, no reinforcement, Pre-mix Concrete Normal Class GP blend (Boral) (NSW), (Newcastle) Normal Class GP blend 20MPa</v>
      </c>
      <c r="C114" t="str">
        <v>m³</v>
      </c>
      <c r="D114" s="96">
        <v>263</v>
      </c>
      <c r="E114" s="96">
        <v>0.10958333333333334</v>
      </c>
      <c r="F114" s="96">
        <v>0</v>
      </c>
      <c r="G114" s="121">
        <v>0</v>
      </c>
    </row>
    <row r="115" spans="2:7" x14ac:dyDescent="0.25">
      <c r="B115" s="122" t="str">
        <v>Concrete, 20 MPa, in-situ, no reinforcement, Pre-mix Concrete Normal Class GP/FA blend (Boral) (NSW), (Sydney) Normal Class GP/FA blend 20 MPa</v>
      </c>
      <c r="C115" t="str">
        <v>m³</v>
      </c>
      <c r="D115" s="96">
        <v>209</v>
      </c>
      <c r="E115" s="96">
        <v>8.7083333333333332E-2</v>
      </c>
      <c r="F115" s="96">
        <v>0</v>
      </c>
      <c r="G115" s="121">
        <v>0</v>
      </c>
    </row>
    <row r="116" spans="2:7" x14ac:dyDescent="0.25">
      <c r="B116" s="122" t="str">
        <v>Concrete, 20 MPa, in-situ, no reinforcement, Pre-mix Concrete Normal Class GP/GGBFS blend (Boral) (NSW), (Sydney) Normal Class GP/GGBFS blend 20 MPa</v>
      </c>
      <c r="C116" t="str">
        <v>m³</v>
      </c>
      <c r="D116" s="96">
        <v>192</v>
      </c>
      <c r="E116" s="96">
        <v>0.08</v>
      </c>
      <c r="F116" s="96">
        <v>0</v>
      </c>
      <c r="G116" s="121">
        <v>0</v>
      </c>
    </row>
    <row r="117" spans="2:7" x14ac:dyDescent="0.25">
      <c r="B117" s="122" t="str">
        <v>Concrete, 20 MPa, in-situ, no reinforcement, Pre-mix Concrete Normal Class GP/GGBFS/FA blend (Boral) (NSW), (Sydney) Normal Class GP/GGBFS/FA blend 20 MPa</v>
      </c>
      <c r="C117" t="str">
        <v>m³</v>
      </c>
      <c r="D117" s="96">
        <v>159</v>
      </c>
      <c r="E117" s="96">
        <v>6.6250000000000003E-2</v>
      </c>
      <c r="F117" s="96">
        <v>0</v>
      </c>
      <c r="G117" s="121">
        <v>0</v>
      </c>
    </row>
    <row r="118" spans="2:7" x14ac:dyDescent="0.25">
      <c r="B118" s="122" t="str">
        <v>Concrete, 20 MPa, in-situ, no reinforcement, Pre-mix Concrete ENVIROCRETE 30% (Boral) (NSW), (Sydney) ENVIROCRETE 30% 20 MPa</v>
      </c>
      <c r="C118" t="str">
        <v>m³</v>
      </c>
      <c r="D118" s="96">
        <v>209</v>
      </c>
      <c r="E118" s="96">
        <v>8.7083333333333332E-2</v>
      </c>
      <c r="F118" s="96">
        <v>0</v>
      </c>
      <c r="G118" s="121">
        <v>0</v>
      </c>
    </row>
    <row r="119" spans="2:7" x14ac:dyDescent="0.25">
      <c r="B119" s="122" t="str">
        <v>Concrete, 20 MPa, in-situ, no reinforcement, Pre-mix Concrete ENVIROCRETE 40% (Boral) (NSW), (Sydney) ENVIROCRETE 40% 20 MPa</v>
      </c>
      <c r="C119" t="str">
        <v>m³</v>
      </c>
      <c r="D119" s="96">
        <v>191</v>
      </c>
      <c r="E119" s="96">
        <v>7.9583333333333339E-2</v>
      </c>
      <c r="F119" s="96">
        <v>0</v>
      </c>
      <c r="G119" s="121">
        <v>0</v>
      </c>
    </row>
    <row r="120" spans="2:7" x14ac:dyDescent="0.25">
      <c r="B120" s="122" t="str">
        <v>Concrete, 20 MPa, in-situ, no reinforcement, Pre-mix Concrete ENVIROCRETE PLUS (Boral) (NSW), (Sydney) ENVIROCRETE PLUS 20MPa</v>
      </c>
      <c r="C120" t="str">
        <v>m³</v>
      </c>
      <c r="D120" s="96">
        <v>186</v>
      </c>
      <c r="E120" s="96">
        <v>7.7499999999999999E-2</v>
      </c>
      <c r="F120" s="96">
        <v>0</v>
      </c>
      <c r="G120" s="121">
        <v>0</v>
      </c>
    </row>
    <row r="121" spans="2:7" x14ac:dyDescent="0.25">
      <c r="B121" s="122" t="str">
        <v>Concrete, 20 MPa, in-situ, no reinforcement, Pre-mix Concrete ENVISIA (Boral) (NSW), (Sydney) ENVISIA 20MPa</v>
      </c>
      <c r="C121" t="str">
        <v>m³</v>
      </c>
      <c r="D121" s="96">
        <v>176</v>
      </c>
      <c r="E121" s="96">
        <v>7.3333333333333334E-2</v>
      </c>
      <c r="F121" s="96">
        <v>0</v>
      </c>
      <c r="G121" s="121">
        <v>0</v>
      </c>
    </row>
    <row r="122" spans="2:7" x14ac:dyDescent="0.25">
      <c r="B122" s="122" t="str">
        <v>Concrete, 20 MPa, in-situ, no reinforcement, Pre-mix Concrete Normal Class GP blend (Boral) (NSW), (Sydney) Normal Class GP blend 20MPa</v>
      </c>
      <c r="C122" t="str">
        <v>m³</v>
      </c>
      <c r="D122" s="96">
        <v>271</v>
      </c>
      <c r="E122" s="96">
        <v>0.11291666666666667</v>
      </c>
      <c r="F122" s="96">
        <v>0</v>
      </c>
      <c r="G122" s="121">
        <v>0</v>
      </c>
    </row>
    <row r="123" spans="2:7" x14ac:dyDescent="0.25">
      <c r="B123" s="122" t="str">
        <v>Concrete, 20 MPa, in-situ, no reinforcement, Pre-mix Concrete Normal Class GP/FA blend (Boral) (NSW), (Wollongong) Normal Class GP/FA blend 20 MPa</v>
      </c>
      <c r="C123" t="str">
        <v>m³</v>
      </c>
      <c r="D123" s="96">
        <v>205</v>
      </c>
      <c r="E123" s="96">
        <v>8.5416666666666669E-2</v>
      </c>
      <c r="F123" s="96">
        <v>0</v>
      </c>
      <c r="G123" s="121">
        <v>0</v>
      </c>
    </row>
    <row r="124" spans="2:7" x14ac:dyDescent="0.25">
      <c r="B124" s="122" t="str">
        <v>Concrete, 20 MPa, in-situ, no reinforcement, Pre-mix Concrete Normal Class GP/GGBFS blend (Boral) (NSW), (Wollongong) Normal Class GP/GGBFS blend 20 MPa</v>
      </c>
      <c r="C124" t="str">
        <v>m³</v>
      </c>
      <c r="D124" s="96">
        <v>188</v>
      </c>
      <c r="E124" s="96">
        <v>7.8333333333333338E-2</v>
      </c>
      <c r="F124" s="96">
        <v>0</v>
      </c>
      <c r="G124" s="121">
        <v>0</v>
      </c>
    </row>
    <row r="125" spans="2:7" x14ac:dyDescent="0.25">
      <c r="B125" s="122" t="str">
        <v>Concrete, 20 MPa, in-situ, no reinforcement, Pre-mix Concrete Normal Class GP/GGBFS/FA blend (Boral) (NSW), (Wollongong) Normal Class GP/GGBFS/FA blend 20 MPa</v>
      </c>
      <c r="C125" t="str">
        <v>m³</v>
      </c>
      <c r="D125" s="96">
        <v>148</v>
      </c>
      <c r="E125" s="96">
        <v>6.1666666666666668E-2</v>
      </c>
      <c r="F125" s="96">
        <v>0</v>
      </c>
      <c r="G125" s="121">
        <v>0</v>
      </c>
    </row>
    <row r="126" spans="2:7" x14ac:dyDescent="0.25">
      <c r="B126" s="122" t="str">
        <v>Concrete, 20 MPa, in-situ, no reinforcement, Pre-mix Concrete ENVIROCRETE 30% (Boral) (NSW), (Wollongong) ENVIROCRETE 30% 20 MPa</v>
      </c>
      <c r="C126" t="str">
        <v>m³</v>
      </c>
      <c r="D126" s="96">
        <v>205</v>
      </c>
      <c r="E126" s="96">
        <v>8.5416666666666669E-2</v>
      </c>
      <c r="F126" s="96">
        <v>0</v>
      </c>
      <c r="G126" s="121">
        <v>0</v>
      </c>
    </row>
    <row r="127" spans="2:7" x14ac:dyDescent="0.25">
      <c r="B127" s="122" t="str">
        <v>Concrete, 20 MPa, in-situ, no reinforcement, Pre-mix Concrete ENVIROCRETE 40% (Boral) (NSW), (Wollongong) ENVIROCRETE 40% 20 MPa</v>
      </c>
      <c r="C127" t="str">
        <v>m³</v>
      </c>
      <c r="D127" s="96">
        <v>186</v>
      </c>
      <c r="E127" s="96">
        <v>7.7499999999999999E-2</v>
      </c>
      <c r="F127" s="96">
        <v>0</v>
      </c>
      <c r="G127" s="121">
        <v>0</v>
      </c>
    </row>
    <row r="128" spans="2:7" x14ac:dyDescent="0.25">
      <c r="B128" s="122" t="str">
        <v>Concrete, 20 MPa, in-situ, no reinforcement, Pre-mix Concrete ENVIROCRETE PLUS (Boral) (NSW), (Wollongong) ENVIROCRETE PLUS 20MPa</v>
      </c>
      <c r="C128" t="str">
        <v>m³</v>
      </c>
      <c r="D128" s="96">
        <v>181</v>
      </c>
      <c r="E128" s="96">
        <v>7.5416666666666674E-2</v>
      </c>
      <c r="F128" s="96">
        <v>0</v>
      </c>
      <c r="G128" s="121">
        <v>0</v>
      </c>
    </row>
    <row r="129" spans="2:7" x14ac:dyDescent="0.25">
      <c r="B129" s="122" t="str">
        <v>Concrete, 20 MPa, in-situ, no reinforcement, Pre-mix Concrete ENVISIA (Boral) (NSW), (Wollongong) ENVISIA 20MPa</v>
      </c>
      <c r="C129" t="str">
        <v>m³</v>
      </c>
      <c r="D129" s="96">
        <v>173</v>
      </c>
      <c r="E129" s="96">
        <v>7.2083333333333333E-2</v>
      </c>
      <c r="F129" s="96">
        <v>0</v>
      </c>
      <c r="G129" s="121">
        <v>0</v>
      </c>
    </row>
    <row r="130" spans="2:7" x14ac:dyDescent="0.25">
      <c r="B130" s="122" t="str">
        <v>Concrete, 20 MPa, in-situ, no reinforcement, Pre-mix Concrete Normal Class GP blend (Boral) (NSW), (Wollongong) Normal Class GP blend 20MPa</v>
      </c>
      <c r="C130" t="str">
        <v>m³</v>
      </c>
      <c r="D130" s="96">
        <v>268</v>
      </c>
      <c r="E130" s="96">
        <v>0.11166666666666666</v>
      </c>
      <c r="F130" s="96">
        <v>0</v>
      </c>
      <c r="G130" s="121">
        <v>0</v>
      </c>
    </row>
    <row r="131" spans="2:7" x14ac:dyDescent="0.25">
      <c r="B131" s="122" t="str">
        <v>Concrete, 20 MPa, in-situ, no reinforcement, Pre-mix Concrete Normal Class GP blend (Boral) (TAS), (Hobart) Normal Class GP blend 20MPa</v>
      </c>
      <c r="C131" t="str">
        <v>m³</v>
      </c>
      <c r="D131" s="96">
        <v>265</v>
      </c>
      <c r="E131" s="96">
        <v>0.11041666666666666</v>
      </c>
      <c r="F131" s="96">
        <v>0</v>
      </c>
      <c r="G131" s="121">
        <v>0</v>
      </c>
    </row>
    <row r="132" spans="2:7" x14ac:dyDescent="0.25">
      <c r="B132" s="122" t="str">
        <v>Concrete, 20 MPa, in-situ, no reinforcement, Pre-mix Concrete Normal Class GP blend (Boral) (TAS), (Launceston) Normal Class GP blend 20MPa</v>
      </c>
      <c r="C132" t="str">
        <v>m³</v>
      </c>
      <c r="D132" s="96">
        <v>265</v>
      </c>
      <c r="E132" s="96">
        <v>0.11041666666666666</v>
      </c>
      <c r="F132" s="96">
        <v>0</v>
      </c>
      <c r="G132" s="121">
        <v>0</v>
      </c>
    </row>
    <row r="133" spans="2:7" x14ac:dyDescent="0.25">
      <c r="B133" s="122" t="str">
        <v>Concrete, 20 MPa, in-situ, no reinforcement, GP, Normal Class (WA Premix) (WA), (Perth)</v>
      </c>
      <c r="C133" t="str">
        <v>m³</v>
      </c>
      <c r="D133" s="96">
        <v>298</v>
      </c>
      <c r="E133" s="96">
        <v>0.12416666666666666</v>
      </c>
      <c r="F133" s="96">
        <v>0</v>
      </c>
      <c r="G133" s="121">
        <v>0</v>
      </c>
    </row>
    <row r="134" spans="2:7" x14ac:dyDescent="0.25">
      <c r="B134" s="122" t="str">
        <v>Concrete, 20 MPa, in-situ, no reinforcement, Ready-Mix Concrete (LC)50 (Concrite) (NSW) (Sydney Region, NSW)</v>
      </c>
      <c r="C134" t="str">
        <v>m³</v>
      </c>
      <c r="D134" s="96">
        <v>149</v>
      </c>
      <c r="E134" s="96">
        <v>6.2083333333333331E-2</v>
      </c>
      <c r="F134" s="96">
        <v>0</v>
      </c>
      <c r="G134" s="121">
        <v>0</v>
      </c>
    </row>
    <row r="135" spans="2:7" x14ac:dyDescent="0.25">
      <c r="B135" s="122" t="str">
        <v>Concrete, 20 MPa, in-situ, no reinforcement, Ready-Mix Concrete (LC)40 (Concrite) (NSW) (Sydney Region, NSW)</v>
      </c>
      <c r="C135" t="str">
        <v>m³</v>
      </c>
      <c r="D135" s="96">
        <v>171</v>
      </c>
      <c r="E135" s="96">
        <v>7.1249999999999994E-2</v>
      </c>
      <c r="F135" s="96">
        <v>0</v>
      </c>
      <c r="G135" s="121">
        <v>0</v>
      </c>
    </row>
    <row r="136" spans="2:7" x14ac:dyDescent="0.25">
      <c r="B136" s="122" t="str">
        <v>Concrete, 20 MPa, in-situ, no reinforcement, Ready-Mix Concrete (LC)30 (Concrite) (NSW) (Sydney Region, NSW)</v>
      </c>
      <c r="C136" t="str">
        <v>m³</v>
      </c>
      <c r="D136" s="96">
        <v>213</v>
      </c>
      <c r="E136" s="96">
        <v>8.8749999999999996E-2</v>
      </c>
      <c r="F136" s="96">
        <v>0</v>
      </c>
      <c r="G136" s="121">
        <v>0</v>
      </c>
    </row>
    <row r="137" spans="2:7" x14ac:dyDescent="0.25">
      <c r="B137" s="122" t="str">
        <v>Concrete, 20 MPa, in-situ, no reinforcement, Ready-Mix Concrete (LCHP) (Concrite) (NSW) (Sydney Region, NSW)</v>
      </c>
      <c r="C137" t="str">
        <v>m³</v>
      </c>
      <c r="D137" s="96">
        <v>185</v>
      </c>
      <c r="E137" s="96">
        <v>7.7083333333333337E-2</v>
      </c>
      <c r="F137" s="96">
        <v>0</v>
      </c>
      <c r="G137" s="121">
        <v>0</v>
      </c>
    </row>
    <row r="138" spans="2:7" x14ac:dyDescent="0.25">
      <c r="B138" s="122" t="str">
        <v>Concrete, 20 MPa, in-situ, no reinforcement, Ready-Mix Concrete (LCP) (Concrite) (NSW) (Sydney Region, NSW)</v>
      </c>
      <c r="C138" t="str">
        <v>m³</v>
      </c>
      <c r="D138" s="96">
        <v>194</v>
      </c>
      <c r="E138" s="96">
        <v>8.0833333333333326E-2</v>
      </c>
      <c r="F138" s="96">
        <v>0</v>
      </c>
      <c r="G138" s="121">
        <v>0</v>
      </c>
    </row>
    <row r="139" spans="2:7" x14ac:dyDescent="0.25">
      <c r="B139" s="122" t="str">
        <v>Concrete, 20 MPa, in-situ, no reinforcement, Ready-Mix Concrete Normal class GP blend (Concrite) (NSW) (Sydney Region, NSW)</v>
      </c>
      <c r="C139" t="str">
        <v>m³</v>
      </c>
      <c r="D139" s="96">
        <v>249</v>
      </c>
      <c r="E139" s="96">
        <v>0.10375</v>
      </c>
      <c r="F139" s="96">
        <v>0</v>
      </c>
      <c r="G139" s="121">
        <v>0</v>
      </c>
    </row>
    <row r="140" spans="2:7" x14ac:dyDescent="0.25">
      <c r="B140" s="122" t="str">
        <v>Concrete, 20 MPa, in-situ, no reinforcement, Ready-Mix Concrete SLAG AGG CONCRETE MIX, (LC)50 (Concrite) (NSW) (Sydney Region, NSW)</v>
      </c>
      <c r="C140" t="str">
        <v>m³</v>
      </c>
      <c r="D140" s="96">
        <v>158</v>
      </c>
      <c r="E140" s="96">
        <v>6.5833333333333327E-2</v>
      </c>
      <c r="F140" s="96">
        <v>0</v>
      </c>
      <c r="G140" s="121">
        <v>0</v>
      </c>
    </row>
    <row r="141" spans="2:7" x14ac:dyDescent="0.25">
      <c r="B141" s="122" t="str">
        <v>Concrete, 20 MPa, in-situ, no reinforcement, Ready-Mix Concrete SLAG AGG CONCRETE MIX, (LC)40 (Concrite) (NSW) (Sydney Region, NSW)</v>
      </c>
      <c r="C141" t="str">
        <v>m³</v>
      </c>
      <c r="D141" s="96">
        <v>182</v>
      </c>
      <c r="E141" s="96">
        <v>7.5833333333333336E-2</v>
      </c>
      <c r="F141" s="96">
        <v>0</v>
      </c>
      <c r="G141" s="121">
        <v>0</v>
      </c>
    </row>
    <row r="142" spans="2:7" x14ac:dyDescent="0.25">
      <c r="B142" s="122" t="str">
        <v>Concrete, 20 MPa, in-situ, no reinforcement, Ready-Mix Concrete SLAG AGG CONCRETE MIX, (LC)30 (Concrite) (NSW) (Sydney Region, NSW)</v>
      </c>
      <c r="C142" t="str">
        <v>m³</v>
      </c>
      <c r="D142" s="96">
        <v>201</v>
      </c>
      <c r="E142" s="96">
        <v>8.3750000000000005E-2</v>
      </c>
      <c r="F142" s="96">
        <v>0</v>
      </c>
      <c r="G142" s="121">
        <v>0</v>
      </c>
    </row>
    <row r="143" spans="2:7" x14ac:dyDescent="0.25">
      <c r="B143" s="122" t="str">
        <v>Concrete, 20 MPa, in-situ, no reinforcement, Ready-Mix Concrete (LC)30 20MPa (Concrite) (NSW) (Southern Highlands, NSW)</v>
      </c>
      <c r="C143" t="str">
        <v>m³</v>
      </c>
      <c r="D143" s="96">
        <v>211</v>
      </c>
      <c r="E143" s="96">
        <v>8.7916666666666671E-2</v>
      </c>
      <c r="F143" s="96">
        <v>0</v>
      </c>
      <c r="G143" s="121">
        <v>0</v>
      </c>
    </row>
    <row r="144" spans="2:7" x14ac:dyDescent="0.25">
      <c r="B144" s="122" t="str">
        <v>Concrete, 20 MPa, in-situ, no reinforcement, Ready-Mix Concrete NORMAL CLASS GP BLEND (Concrite) (NSW) (Southern Highlands, NSW)</v>
      </c>
      <c r="C144" t="str">
        <v>m³</v>
      </c>
      <c r="D144" s="96">
        <v>251</v>
      </c>
      <c r="E144" s="96">
        <v>0.10458333333333333</v>
      </c>
      <c r="F144" s="96">
        <v>0</v>
      </c>
      <c r="G144" s="121">
        <v>0</v>
      </c>
    </row>
    <row r="145" spans="2:7" x14ac:dyDescent="0.25">
      <c r="B145" s="122" t="str">
        <v>Concrete, 20 MPa, in-situ, no reinforcement, Ready-Mix Concrete LC30 20MPa (Concrite) (ACT) (Canberra, ACT)</v>
      </c>
      <c r="C145" t="str">
        <v>m³</v>
      </c>
      <c r="D145" s="96">
        <v>222</v>
      </c>
      <c r="E145" s="96">
        <v>9.2499999999999999E-2</v>
      </c>
      <c r="F145" s="96">
        <v>0</v>
      </c>
      <c r="G145" s="121">
        <v>0</v>
      </c>
    </row>
    <row r="146" spans="2:7" x14ac:dyDescent="0.25">
      <c r="B146" s="122" t="str">
        <v>Concrete, 20 MPa, in-situ, no reinforcement, Ready-Mix Concrete NORMAL CLASS GP BLEND (Concrite) (ACT) (Canberra, ACT)</v>
      </c>
      <c r="C146" t="str">
        <v>m³</v>
      </c>
      <c r="D146" s="96">
        <v>271</v>
      </c>
      <c r="E146" s="96">
        <v>0.11291666666666667</v>
      </c>
      <c r="F146" s="96">
        <v>0</v>
      </c>
      <c r="G146" s="121">
        <v>0</v>
      </c>
    </row>
    <row r="147" spans="2:7" x14ac:dyDescent="0.25">
      <c r="B147" s="122" t="str">
        <v>Concrete, 15 MPa, in-situ, no reinforcement, (Futurecrete®
Ultra S15MPA
BLOCKFILL 10MM
230MM SLUMP) (Adbri) (NSW)</v>
      </c>
      <c r="C147" t="str">
        <v>m³</v>
      </c>
      <c r="D147" s="96">
        <v>183.54939999999999</v>
      </c>
      <c r="E147" s="96">
        <v>7.6478916666666674E-2</v>
      </c>
      <c r="F147" s="96">
        <v>0</v>
      </c>
      <c r="G147" s="121">
        <v>0</v>
      </c>
    </row>
    <row r="148" spans="2:7" x14ac:dyDescent="0.25">
      <c r="B148" s="122" t="str">
        <v>Concrete, 20 MPa, in-situ, no reinforcement, (Futurecrete®  Ultra N Class GP/ GL:Slag 20 MPa) (Adbri) (NSW)</v>
      </c>
      <c r="C148" t="str">
        <v>m³</v>
      </c>
      <c r="D148" s="96">
        <v>205.19619999999998</v>
      </c>
      <c r="E148" s="96">
        <v>8.549841666666666E-2</v>
      </c>
      <c r="F148" s="96">
        <v>0</v>
      </c>
      <c r="G148" s="121">
        <v>0</v>
      </c>
    </row>
    <row r="149" spans="2:7" x14ac:dyDescent="0.25">
      <c r="B149" s="122" t="str">
        <v>Concrete, 20 MPa, in-situ, no reinforcement, (Futurecrete®  Ultra
S20MPA DINCEL
10MM) (Adbri) (NSW)</v>
      </c>
      <c r="C149" t="str">
        <v>m³</v>
      </c>
      <c r="D149" s="96">
        <v>216.70490000000001</v>
      </c>
      <c r="E149" s="96">
        <v>9.029370833333332E-2</v>
      </c>
      <c r="F149" s="96">
        <v>0</v>
      </c>
      <c r="G149" s="121">
        <v>0</v>
      </c>
    </row>
    <row r="150" spans="2:7" x14ac:dyDescent="0.25">
      <c r="B150" s="122" t="str">
        <v>Concrete, 20 MPa, in-situ, no reinforcement, (Futurecrete®
Ultra S20MPA
BLOCKFILL 10MM
230MM SLUMP) (Adbri) (NSW)</v>
      </c>
      <c r="C150" t="str">
        <v>m³</v>
      </c>
      <c r="D150" s="96">
        <v>216.6532</v>
      </c>
      <c r="E150" s="96">
        <v>9.0272166666666667E-2</v>
      </c>
      <c r="F150" s="96">
        <v>0</v>
      </c>
      <c r="G150" s="121">
        <v>0</v>
      </c>
    </row>
    <row r="151" spans="2:7" x14ac:dyDescent="0.25">
      <c r="B151" s="122" t="str">
        <v>Concrete, 20 MPa, in-situ, no reinforcement, (Adbri N Class
GP/GL 20 MPa) (Adbri) (SA)</v>
      </c>
      <c r="C151" t="str">
        <v>m³</v>
      </c>
      <c r="D151" s="96">
        <v>199.91</v>
      </c>
      <c r="E151" s="96">
        <v>8.3295833333333333E-2</v>
      </c>
      <c r="F151" s="96">
        <v>0</v>
      </c>
      <c r="G151" s="121">
        <v>0</v>
      </c>
    </row>
    <row r="152" spans="2:7" x14ac:dyDescent="0.25">
      <c r="B152" s="122" t="str">
        <v>Concrete, 20 MPa, in-situ, no reinforcement, (Futurecrete®  N
Class GP/GL:FA
20 MPa) (Adbri) (SA)</v>
      </c>
      <c r="C152" t="str">
        <v>m³</v>
      </c>
      <c r="D152" s="96">
        <v>162.69</v>
      </c>
      <c r="E152" s="96">
        <v>6.7787500000000001E-2</v>
      </c>
      <c r="F152" s="96">
        <v>0</v>
      </c>
      <c r="G152" s="121">
        <v>0</v>
      </c>
    </row>
    <row r="153" spans="2:7" x14ac:dyDescent="0.25">
      <c r="B153" s="122" t="str">
        <v>Concrete, 20 MPa, in-situ, no reinforcement, (Futurecrete®  N
Class GP/GL:Slag
20 MPa) (Adbri) (SA)</v>
      </c>
      <c r="C153" t="str">
        <v>m³</v>
      </c>
      <c r="D153" s="96">
        <v>158.12</v>
      </c>
      <c r="E153" s="96">
        <v>6.5883333333333335E-2</v>
      </c>
      <c r="F153" s="96">
        <v>0</v>
      </c>
      <c r="G153" s="121">
        <v>0</v>
      </c>
    </row>
    <row r="154" spans="2:7" x14ac:dyDescent="0.25">
      <c r="B154" s="122" t="str">
        <v>Concrete, 15 MPa, in-situ, no reinforcement, (Futurecrete®
Ultra S15MPA
BLOCKFILL 10MM) (Adbri) (NSW)</v>
      </c>
      <c r="C154" t="str">
        <v>m³</v>
      </c>
      <c r="D154" s="96">
        <v>180.40842000000001</v>
      </c>
      <c r="E154" s="96">
        <v>7.5170175000000006E-2</v>
      </c>
      <c r="F154" s="96">
        <v>0</v>
      </c>
      <c r="G154" s="121">
        <v>0</v>
      </c>
    </row>
    <row r="155" spans="2:7" x14ac:dyDescent="0.25">
      <c r="B155" s="122" t="str">
        <v>Concrete, 20 MPa, in-situ, no reinforcement, (Futurecrete®
Ultra S20MPA
BLOCKFILL 10MM) (Adbri) (NSW)</v>
      </c>
      <c r="C155" t="str">
        <v>m³</v>
      </c>
      <c r="D155" s="96">
        <v>211.18439999999998</v>
      </c>
      <c r="E155" s="96">
        <v>8.7993500000000002E-2</v>
      </c>
      <c r="F155" s="96">
        <v>0</v>
      </c>
      <c r="G155" s="121">
        <v>0</v>
      </c>
    </row>
    <row r="156" spans="2:7" x14ac:dyDescent="0.25">
      <c r="B156" s="122" t="str">
        <v>Concrete, 20 MPa, in-situ, no reinforcement, (R2020A)(GP) (BCG) (WA), (Perth)</v>
      </c>
      <c r="C156" t="str">
        <v>m³</v>
      </c>
      <c r="D156" s="96">
        <v>287.5</v>
      </c>
      <c r="E156" s="96">
        <v>0.11979166666666667</v>
      </c>
      <c r="F156" s="96">
        <v>0</v>
      </c>
      <c r="G156" s="121">
        <v>0</v>
      </c>
    </row>
    <row r="157" spans="2:7" x14ac:dyDescent="0.25">
      <c r="B157" s="122" t="str">
        <v>Concrete, 20 MPa, in-situ, no reinforcement, (VE202EF2) (Ecopact) (Holcim) (VIC)</v>
      </c>
      <c r="C157" t="str">
        <v>m³</v>
      </c>
      <c r="D157" s="96">
        <v>210.41</v>
      </c>
      <c r="E157" s="96">
        <v>8.7670833333333323E-2</v>
      </c>
      <c r="F157" s="96">
        <v>0</v>
      </c>
      <c r="G157" s="121">
        <v>0</v>
      </c>
    </row>
    <row r="158" spans="2:7" x14ac:dyDescent="0.25">
      <c r="B158" s="122" t="str">
        <v>Concrete, 20 MPa, in-situ, no reinforcement, (20MPa 7MM BLOCKMIX) (Adbri) (QLD)</v>
      </c>
      <c r="C158" t="str">
        <v>m³</v>
      </c>
      <c r="D158" s="96">
        <v>232.22800000000001</v>
      </c>
      <c r="E158" s="96">
        <v>9.6761666666666662E-2</v>
      </c>
      <c r="F158" s="96">
        <v>0</v>
      </c>
      <c r="G158" s="121">
        <v>0</v>
      </c>
    </row>
    <row r="159" spans="2:7" x14ac:dyDescent="0.25">
      <c r="B159" s="122" t="str">
        <v>Concrete, 20 MPa, in-situ, no reinforcement, (Adbri Concrete N Class GP:GL 20 MPa
- Katherine) (Adbri) (NT)</v>
      </c>
      <c r="C159" t="str">
        <v>m³</v>
      </c>
      <c r="D159" s="96">
        <v>273.08569999999997</v>
      </c>
      <c r="E159" s="96">
        <v>0.11378570833333333</v>
      </c>
      <c r="F159" s="96">
        <v>0</v>
      </c>
      <c r="G159" s="121">
        <v>0</v>
      </c>
    </row>
    <row r="160" spans="2:7" x14ac:dyDescent="0.25">
      <c r="B160" s="122" t="str">
        <v>Concrete, 20 MPa, in-situ, no reinforcement, (20MPa 10MM BLOCKMIX) (Adbri) (QLD)</v>
      </c>
      <c r="C160" t="str">
        <v>m³</v>
      </c>
      <c r="D160" s="96">
        <v>232.21899999999999</v>
      </c>
      <c r="E160" s="96">
        <v>9.6757916666666666E-2</v>
      </c>
      <c r="F160" s="96">
        <v>0</v>
      </c>
      <c r="G160" s="121">
        <v>0</v>
      </c>
    </row>
    <row r="161" spans="2:7" x14ac:dyDescent="0.25">
      <c r="B161" s="122" t="str">
        <v>Concrete, 20 MPa, in-situ, no reinforcement, (SE202E3) (Ecopact) (Holcim) (SA) (Adelaide)</v>
      </c>
      <c r="C161" t="str">
        <v>m³</v>
      </c>
      <c r="D161" s="96">
        <v>195.31</v>
      </c>
      <c r="E161" s="96">
        <v>8.1379166666666669E-2</v>
      </c>
      <c r="F161" s="96">
        <v>0</v>
      </c>
      <c r="G161" s="121">
        <v>0</v>
      </c>
    </row>
    <row r="162" spans="2:7" x14ac:dyDescent="0.25">
      <c r="B162" s="122" t="str">
        <v>Concrete, 20 MPa, in-situ, no reinforcement, (VE202E /
BE202E) (Ecopact) (Holcim) (VIC)</v>
      </c>
      <c r="C162" t="str">
        <v>m³</v>
      </c>
      <c r="D162" s="96">
        <v>196.26</v>
      </c>
      <c r="E162" s="96">
        <v>8.1775E-2</v>
      </c>
      <c r="F162" s="96">
        <v>0</v>
      </c>
      <c r="G162" s="121">
        <v>0</v>
      </c>
    </row>
    <row r="163" spans="2:7" x14ac:dyDescent="0.25">
      <c r="B163" s="122" t="str">
        <v>Concrete, 20 MPa, in-situ, no reinforcement, (QE203EBMX) (Ecopact) (Holcim) (QLD) (Brisbane)</v>
      </c>
      <c r="C163" t="str">
        <v>m³</v>
      </c>
      <c r="D163" s="96">
        <v>209.16</v>
      </c>
      <c r="E163" s="96">
        <v>8.7150000000000005E-2</v>
      </c>
      <c r="F163" s="96">
        <v>0</v>
      </c>
      <c r="G163" s="121">
        <v>0</v>
      </c>
    </row>
    <row r="164" spans="2:7" x14ac:dyDescent="0.25">
      <c r="B164" s="122" t="str">
        <v>Concrete, 20 MPa, in-situ, no reinforcement, (Futurecrete®
Ultra N class GP/ GL:Slag 20 MPa) (Adbri) (QLD)</v>
      </c>
      <c r="C164" t="str">
        <v>m³</v>
      </c>
      <c r="D164" s="96">
        <v>188.15700000000001</v>
      </c>
      <c r="E164" s="96">
        <v>7.8398750000000003E-2</v>
      </c>
      <c r="F164" s="96">
        <v>0</v>
      </c>
      <c r="G164" s="121">
        <v>0</v>
      </c>
    </row>
    <row r="165" spans="2:7" x14ac:dyDescent="0.25">
      <c r="B165" s="122" t="str">
        <v>Concrete, 20 MPa, in-situ, no reinforcement, (QE202E) (Ecopact) (Holcim) (QLD), Gold Coast</v>
      </c>
      <c r="C165" t="str">
        <v>m³</v>
      </c>
      <c r="D165" s="96">
        <v>156.11000000000001</v>
      </c>
      <c r="E165" s="96">
        <v>6.5045833333333331E-2</v>
      </c>
      <c r="F165" s="96">
        <v>0</v>
      </c>
      <c r="G165" s="121">
        <v>0</v>
      </c>
    </row>
    <row r="166" spans="2:7" x14ac:dyDescent="0.25">
      <c r="B166" s="125" t="str">
        <v>Concrete, 20 MPa, in-situ, no reinforcement, (QE201E) (Ecopact) (Holcim) (QLD), Gold Coast</v>
      </c>
      <c r="C166" s="126" t="str">
        <v>m³</v>
      </c>
      <c r="D166" s="127">
        <v>156.11000000000001</v>
      </c>
      <c r="E166" s="127">
        <v>6.5045833333333331E-2</v>
      </c>
      <c r="F166" s="127">
        <v>0</v>
      </c>
      <c r="G166" s="128">
        <v>0</v>
      </c>
    </row>
  </sheetData>
  <dataConsolidate/>
  <phoneticPr fontId="4" type="noConversion"/>
  <conditionalFormatting sqref="D23:G23 D24:F163">
    <cfRule type="cellIs" dxfId="0" priority="5" operator="greaterThan">
      <formula>301</formula>
    </cfRule>
  </conditionalFormatting>
  <dataValidations disablePrompts="1" count="1">
    <dataValidation type="list" allowBlank="1" showInputMessage="1" showErrorMessage="1" sqref="B6:B8" xr:uid="{C7EF79F4-0F03-4175-8EA8-02A6CFD871E7}">
      <formula1>"Tier 1,Tier 2,Tier 3,Tier 4"</formula1>
    </dataValidation>
  </dataValidation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5D33F0-C156-480B-98DF-0C68E8C442A7}">
  <sheetPr codeName="Sheet6">
    <tabColor rgb="FF00CCFF"/>
  </sheetPr>
  <dimension ref="A1:G197"/>
  <sheetViews>
    <sheetView showGridLines="0" zoomScale="80" zoomScaleNormal="80" workbookViewId="0"/>
  </sheetViews>
  <sheetFormatPr defaultRowHeight="13.2" x14ac:dyDescent="0.25"/>
  <cols>
    <col min="1" max="1" width="26.109375" customWidth="1"/>
    <col min="2" max="2" width="78.88671875" customWidth="1"/>
    <col min="3" max="3" width="21" customWidth="1"/>
    <col min="4" max="6" width="19.88671875" style="96" customWidth="1"/>
    <col min="7" max="7" width="23.5546875" style="96" customWidth="1"/>
  </cols>
  <sheetData>
    <row r="1" spans="1:7" x14ac:dyDescent="0.25">
      <c r="A1" s="4" t="str" cm="1">
        <f t="array" aca="1" ref="A1" ca="1">MID(CELL("filename",A1),FIND("]",CELL("filename",A1))+1,255)</f>
        <v>Concrete_25MPa</v>
      </c>
    </row>
    <row r="2" spans="1:7" x14ac:dyDescent="0.25">
      <c r="A2" s="4"/>
    </row>
    <row r="3" spans="1:7" x14ac:dyDescent="0.25">
      <c r="A3" s="4" t="s">
        <v>4048</v>
      </c>
      <c r="B3" t="s">
        <v>4069</v>
      </c>
    </row>
    <row r="4" spans="1:7" x14ac:dyDescent="0.25">
      <c r="A4" s="4"/>
    </row>
    <row r="5" spans="1:7" ht="69.75" customHeight="1" x14ac:dyDescent="0.25">
      <c r="A5" s="26" t="s">
        <v>4050</v>
      </c>
      <c r="B5" s="14" t="s">
        <v>4066</v>
      </c>
    </row>
    <row r="6" spans="1:7" x14ac:dyDescent="0.25">
      <c r="A6" s="26" t="s">
        <v>4052</v>
      </c>
      <c r="B6" s="27" t="s">
        <v>68</v>
      </c>
    </row>
    <row r="7" spans="1:7" x14ac:dyDescent="0.25">
      <c r="A7" s="26" t="s">
        <v>4053</v>
      </c>
      <c r="B7" s="27" t="s">
        <v>68</v>
      </c>
    </row>
    <row r="8" spans="1:7" x14ac:dyDescent="0.25">
      <c r="A8" s="26" t="s">
        <v>4054</v>
      </c>
      <c r="B8" s="27" t="s">
        <v>68</v>
      </c>
    </row>
    <row r="9" spans="1:7" x14ac:dyDescent="0.25">
      <c r="A9" s="26" t="s">
        <v>4055</v>
      </c>
      <c r="B9" s="4" t="s">
        <v>68</v>
      </c>
    </row>
    <row r="10" spans="1:7" x14ac:dyDescent="0.25">
      <c r="A10" s="26"/>
      <c r="B10" s="4"/>
    </row>
    <row r="11" spans="1:7" x14ac:dyDescent="0.25">
      <c r="A11" s="26" t="s">
        <v>4056</v>
      </c>
      <c r="B11" t="s">
        <v>4070</v>
      </c>
    </row>
    <row r="12" spans="1:7" x14ac:dyDescent="0.25">
      <c r="A12" s="101"/>
    </row>
    <row r="13" spans="1:7" x14ac:dyDescent="0.25">
      <c r="A13" s="101"/>
    </row>
    <row r="14" spans="1:7" x14ac:dyDescent="0.25">
      <c r="A14" s="26" t="s">
        <v>4057</v>
      </c>
    </row>
    <row r="15" spans="1:7" x14ac:dyDescent="0.25">
      <c r="A15" s="26"/>
      <c r="D15" s="112" t="s">
        <v>4058</v>
      </c>
      <c r="E15" s="113"/>
      <c r="F15" s="114" t="s">
        <v>4059</v>
      </c>
      <c r="G15" s="113"/>
    </row>
    <row r="16" spans="1:7" ht="39.6" x14ac:dyDescent="0.25">
      <c r="B16" s="28" t="s">
        <v>629</v>
      </c>
      <c r="C16" s="23" t="s">
        <v>23</v>
      </c>
      <c r="D16" s="24" t="s">
        <v>141</v>
      </c>
      <c r="E16" s="25" t="s">
        <v>148</v>
      </c>
      <c r="F16" s="24" t="s">
        <v>142</v>
      </c>
      <c r="G16" s="24" t="s">
        <v>149</v>
      </c>
    </row>
    <row r="17" spans="2:7" x14ac:dyDescent="0.25">
      <c r="B17" s="29"/>
      <c r="C17" s="30" t="s">
        <v>4060</v>
      </c>
      <c r="D17" s="118" t="str" cm="1">
        <f t="array" ref="D17">IF(AND(_xlfn.ANCHORARRAY(C23)=C23),C23,"Mixed")</f>
        <v>m³</v>
      </c>
      <c r="E17" s="118" t="s">
        <v>219</v>
      </c>
      <c r="F17" s="118" t="str" cm="1">
        <f t="array" ref="F17">IF(AND(_xlfn.ANCHORARRAY(C23)=C23),C23,"Mixed")</f>
        <v>m³</v>
      </c>
      <c r="G17" s="119" t="s">
        <v>219</v>
      </c>
    </row>
    <row r="18" spans="2:7" s="14" customFormat="1" x14ac:dyDescent="0.25">
      <c r="B18" s="31"/>
      <c r="C18" s="4" t="s">
        <v>4061</v>
      </c>
      <c r="D18" s="96">
        <f>MAX(_xlfn.ANCHORARRAY(D23))</f>
        <v>388.137</v>
      </c>
      <c r="E18" s="96">
        <f t="shared" ref="E18:G18" si="0">MAX(_xlfn.ANCHORARRAY(E23))</f>
        <v>0.16172375</v>
      </c>
      <c r="F18" s="96">
        <f t="shared" si="0"/>
        <v>0</v>
      </c>
      <c r="G18" s="121">
        <f t="shared" si="0"/>
        <v>0</v>
      </c>
    </row>
    <row r="19" spans="2:7" x14ac:dyDescent="0.25">
      <c r="B19" s="122"/>
      <c r="C19" s="4" t="s">
        <v>4062</v>
      </c>
      <c r="D19" s="96">
        <f>MIN(_xlfn.ANCHORARRAY(D23))</f>
        <v>149.12</v>
      </c>
      <c r="E19" s="96">
        <f t="shared" ref="E19:G19" si="1">MIN(_xlfn.ANCHORARRAY(E23))</f>
        <v>6.2133333333333332E-2</v>
      </c>
      <c r="F19" s="96">
        <f t="shared" si="1"/>
        <v>0</v>
      </c>
      <c r="G19" s="121">
        <f t="shared" si="1"/>
        <v>0</v>
      </c>
    </row>
    <row r="20" spans="2:7" x14ac:dyDescent="0.25">
      <c r="B20" s="122"/>
      <c r="C20" s="4" t="s">
        <v>4063</v>
      </c>
      <c r="D20" s="96">
        <f>AVERAGE(_xlfn.ANCHORARRAY(D23))</f>
        <v>219.77587662857141</v>
      </c>
      <c r="E20" s="96">
        <f t="shared" ref="E20:G20" si="2">AVERAGE(_xlfn.ANCHORARRAY(E23))</f>
        <v>9.1573281928571407E-2</v>
      </c>
      <c r="F20" s="96">
        <f t="shared" si="2"/>
        <v>0</v>
      </c>
      <c r="G20" s="121">
        <f t="shared" si="2"/>
        <v>0</v>
      </c>
    </row>
    <row r="21" spans="2:7" x14ac:dyDescent="0.25">
      <c r="B21" s="122"/>
      <c r="C21" s="4"/>
      <c r="G21" s="121"/>
    </row>
    <row r="22" spans="2:7" x14ac:dyDescent="0.25">
      <c r="B22" s="32" t="s">
        <v>4064</v>
      </c>
      <c r="D22"/>
      <c r="E22"/>
      <c r="F22"/>
      <c r="G22" s="124"/>
    </row>
    <row r="23" spans="2:7" x14ac:dyDescent="0.25">
      <c r="B23" s="129" t="str" cm="1">
        <f t="array" ref="B23:B197">_xlfn.UNIQUE(_xlfn._xlws.FILTER('EPD List'!D:D,ISNUMBER(SEARCH(B16,'EPD List'!C:C)),0))</f>
        <v>Concrete, 25 MPa, in-situ, no reinforcement, (SE252E2) (Ecopact) (Holcim) (SA) (Adelaide)</v>
      </c>
      <c r="C23" s="67" t="str" cm="1">
        <f t="array" ref="C23:C197">_xlfn.IFNA(INDEX('EPD List'!$A:$AB,MATCH(_xlfn.ANCHORARRAY(B23),'EPD List'!$D:$D,0),MATCH(C$16,'EPD List'!$7:$7,0)),"")</f>
        <v>m³</v>
      </c>
      <c r="D23" s="118" cm="1">
        <f t="array" ref="D23:D197">_xlfn.IFNA(VALUE((INDEX('EPD List'!$A:$AD,MATCH(_xlfn.ANCHORARRAY($B23),'EPD List'!$D:$D,0),MATCH(D$16,'EPD List'!$7:$7,0)))),"")</f>
        <v>213.32</v>
      </c>
      <c r="E23" s="118" cm="1">
        <f t="array" ref="E23:E197">_xlfn.IFNA(VALUE((INDEX('EPD List'!$A:$AD,MATCH(_xlfn.ANCHORARRAY($B23),'EPD List'!$D:$D,0),MATCH(E$16,'EPD List'!$7:$7,0)))),"")</f>
        <v>8.8883333333333328E-2</v>
      </c>
      <c r="F23" s="118" cm="1">
        <f t="array" ref="F23:F197">_xlfn.IFNA(VALUE((INDEX('EPD List'!$A:$AD,MATCH(_xlfn.ANCHORARRAY($B23),'EPD List'!$D:$D,0),MATCH(F$16,'EPD List'!$7:$7,0)))),"")</f>
        <v>0</v>
      </c>
      <c r="G23" s="119" cm="1">
        <f t="array" ref="G23:G197">_xlfn.IFNA(VALUE((INDEX('EPD List'!$A:$AD,MATCH(_xlfn.ANCHORARRAY($B23),'EPD List'!$D:$D,0),MATCH(G$16,'EPD List'!$7:$7,0)))),"")</f>
        <v>0</v>
      </c>
    </row>
    <row r="24" spans="2:7" x14ac:dyDescent="0.25">
      <c r="B24" s="122" t="str">
        <v>Concrete, 25 MPa, in-situ, no reinforcement, (SE252E3) (Ecopact) (Holcim) (SA) (Adelaide)</v>
      </c>
      <c r="C24" t="str">
        <v>m³</v>
      </c>
      <c r="D24" s="96">
        <v>214.32</v>
      </c>
      <c r="E24" s="96">
        <v>8.9300000000000004E-2</v>
      </c>
      <c r="F24" s="96">
        <v>0</v>
      </c>
      <c r="G24" s="121">
        <v>0</v>
      </c>
    </row>
    <row r="25" spans="2:7" x14ac:dyDescent="0.25">
      <c r="B25" s="122" t="str">
        <v>Concrete, 25 MPa, in-situ, no reinforcement, (KM2510B)(GB) (BCG) (WA), (Perth)</v>
      </c>
      <c r="C25" t="str">
        <v>m³</v>
      </c>
      <c r="D25" s="96">
        <v>292.43</v>
      </c>
      <c r="E25" s="96">
        <v>0.12184583333333333</v>
      </c>
      <c r="F25" s="96">
        <v>0</v>
      </c>
      <c r="G25" s="121">
        <v>0</v>
      </c>
    </row>
    <row r="26" spans="2:7" x14ac:dyDescent="0.25">
      <c r="B26" s="122" t="str">
        <v>Concrete, 25 MPa, in-situ, no reinforcement, (SE252E56) (Ecopact) (Holcim) (SA) (Adelaide)</v>
      </c>
      <c r="C26" t="str">
        <v>m³</v>
      </c>
      <c r="D26" s="96">
        <v>221.32</v>
      </c>
      <c r="E26" s="96">
        <v>9.2216666666666669E-2</v>
      </c>
      <c r="F26" s="96">
        <v>0</v>
      </c>
      <c r="G26" s="121">
        <v>0</v>
      </c>
    </row>
    <row r="27" spans="2:7" x14ac:dyDescent="0.25">
      <c r="B27" s="122" t="str">
        <v>Concrete, 25 MPa, in-situ, no reinforcement, (VE252EF2) (Ecopact) (Holcim) (VIC)</v>
      </c>
      <c r="C27" t="str">
        <v>m³</v>
      </c>
      <c r="D27" s="96">
        <v>214.27</v>
      </c>
      <c r="E27" s="96">
        <v>8.9279166666666673E-2</v>
      </c>
      <c r="F27" s="96">
        <v>0</v>
      </c>
      <c r="G27" s="121">
        <v>0</v>
      </c>
    </row>
    <row r="28" spans="2:7" x14ac:dyDescent="0.25">
      <c r="B28" s="122" t="str">
        <v>Concrete, 25 MPa, in-situ, no reinforcement, (VE251E2) (Ecopact) (Holcim) (VIC)</v>
      </c>
      <c r="C28" t="str">
        <v>m³</v>
      </c>
      <c r="D28" s="96">
        <v>218.27</v>
      </c>
      <c r="E28" s="96">
        <v>9.0945833333333337E-2</v>
      </c>
      <c r="F28" s="96">
        <v>0</v>
      </c>
      <c r="G28" s="121">
        <v>0</v>
      </c>
    </row>
    <row r="29" spans="2:7" x14ac:dyDescent="0.25">
      <c r="B29" s="122" t="str">
        <v>Concrete, 25 MPa, in-situ, no reinforcement, (VE252E56) (Ecopact) (Holcim) (VIC)</v>
      </c>
      <c r="C29" t="str">
        <v>m³</v>
      </c>
      <c r="D29" s="96">
        <v>229.27</v>
      </c>
      <c r="E29" s="96">
        <v>9.5529166666666665E-2</v>
      </c>
      <c r="F29" s="96">
        <v>0</v>
      </c>
      <c r="G29" s="121">
        <v>0</v>
      </c>
    </row>
    <row r="30" spans="2:7" x14ac:dyDescent="0.25">
      <c r="B30" s="122" t="str">
        <v>Concrete, 25 MPa, in-situ, no reinforcement, (QE252ESF1) (Ecopact) (Holcim) (QLD) (Brisbane)</v>
      </c>
      <c r="C30" t="str">
        <v>m³</v>
      </c>
      <c r="D30" s="96">
        <v>204.23</v>
      </c>
      <c r="E30" s="96">
        <v>8.5095833333333343E-2</v>
      </c>
      <c r="F30" s="96">
        <v>0</v>
      </c>
      <c r="G30" s="121">
        <v>0</v>
      </c>
    </row>
    <row r="31" spans="2:7" x14ac:dyDescent="0.25">
      <c r="B31" s="122" t="str">
        <v>Concrete, 25 MPa, in-situ, no reinforcement, (QE251E)(Ecopact) (Holcim) (QLD) (Sunshine Coast)</v>
      </c>
      <c r="C31" t="str">
        <v>m³</v>
      </c>
      <c r="D31" s="96">
        <v>165.18</v>
      </c>
      <c r="E31" s="96">
        <v>6.8825000000000011E-2</v>
      </c>
      <c r="F31" s="96">
        <v>0</v>
      </c>
      <c r="G31" s="121">
        <v>0</v>
      </c>
    </row>
    <row r="32" spans="2:7" x14ac:dyDescent="0.25">
      <c r="B32" s="122" t="str">
        <v>Concrete, 25 MPa, in-situ, no reinforcement, (QE251E100)(Ecopact) (Holcim) (QLD) (Sunshine Coast)</v>
      </c>
      <c r="C32" t="str">
        <v>m³</v>
      </c>
      <c r="D32" s="96">
        <v>168.18</v>
      </c>
      <c r="E32" s="96">
        <v>7.0075000000000012E-2</v>
      </c>
      <c r="F32" s="96">
        <v>0</v>
      </c>
      <c r="G32" s="121">
        <v>0</v>
      </c>
    </row>
    <row r="33" spans="2:7" x14ac:dyDescent="0.25">
      <c r="B33" s="122" t="str">
        <v>Concrete, 25 MPa, in-situ, no reinforcement, (QE252E)(Ecopact) (Holcim) (QLD) (Sunshine Coast)</v>
      </c>
      <c r="C33" t="str">
        <v>m³</v>
      </c>
      <c r="D33" s="96">
        <v>172.17</v>
      </c>
      <c r="E33" s="96">
        <v>7.173750000000001E-2</v>
      </c>
      <c r="F33" s="96">
        <v>0</v>
      </c>
      <c r="G33" s="121">
        <v>0</v>
      </c>
    </row>
    <row r="34" spans="2:7" x14ac:dyDescent="0.25">
      <c r="B34" s="122" t="str">
        <v>Concrete, 25 MPa, in-situ, no reinforcement, (Futurecrete®
N class GP/GL:Slag
25 MPa) (Adbri) (QLD)</v>
      </c>
      <c r="C34" t="str">
        <v>m³</v>
      </c>
      <c r="D34" s="96">
        <v>198.19399999999999</v>
      </c>
      <c r="E34" s="96">
        <v>8.2580833333333339E-2</v>
      </c>
      <c r="F34" s="96">
        <v>0</v>
      </c>
      <c r="G34" s="121">
        <v>0</v>
      </c>
    </row>
    <row r="35" spans="2:7" x14ac:dyDescent="0.25">
      <c r="B35" s="122" t="str">
        <v>Concrete, 25 MPa, in-situ, no reinforcement, (QE252E100)(Ecopact) (Holcim) (QLD) (Sunshine Coast)</v>
      </c>
      <c r="C35" t="str">
        <v>m³</v>
      </c>
      <c r="D35" s="96">
        <v>174.17</v>
      </c>
      <c r="E35" s="96">
        <v>7.2570833333333334E-2</v>
      </c>
      <c r="F35" s="96">
        <v>0</v>
      </c>
      <c r="G35" s="121">
        <v>0</v>
      </c>
    </row>
    <row r="36" spans="2:7" x14ac:dyDescent="0.25">
      <c r="B36" s="122" t="str">
        <v>Concrete, 25 MPa, in-situ, no reinforcement, (25MPa 10MM BLOCKMIX) (Adbri) (QLD)</v>
      </c>
      <c r="C36" t="str">
        <v>m³</v>
      </c>
      <c r="D36" s="96">
        <v>264.24599999999998</v>
      </c>
      <c r="E36" s="96">
        <v>0.11010250000000001</v>
      </c>
      <c r="F36" s="96">
        <v>0</v>
      </c>
      <c r="G36" s="121">
        <v>0</v>
      </c>
    </row>
    <row r="37" spans="2:7" x14ac:dyDescent="0.25">
      <c r="B37" s="122" t="str">
        <v>Concrete, 25 MPa, in-situ, no reinforcement, (Futurecrete®  Ultra
N Class GP/GL:Slag
25 MPa) (Adbri) (VIC)</v>
      </c>
      <c r="C37" t="str">
        <v>m³</v>
      </c>
      <c r="D37" s="96">
        <v>161.15</v>
      </c>
      <c r="E37" s="96">
        <v>6.7145833333333321E-2</v>
      </c>
      <c r="F37" s="96">
        <v>0</v>
      </c>
      <c r="G37" s="121">
        <v>0</v>
      </c>
    </row>
    <row r="38" spans="2:7" x14ac:dyDescent="0.25">
      <c r="B38" s="122" t="str">
        <v>Concrete, 25 MPa, in-situ, no reinforcement, (NE252E1A1)(Ecopact) (Holcim) (NSW), (Sydney)</v>
      </c>
      <c r="C38" t="str">
        <v>m³</v>
      </c>
      <c r="D38" s="96">
        <v>209.19</v>
      </c>
      <c r="E38" s="96">
        <v>8.7162500000000004E-2</v>
      </c>
      <c r="F38" s="96">
        <v>0</v>
      </c>
      <c r="G38" s="121">
        <v>0</v>
      </c>
    </row>
    <row r="39" spans="2:7" x14ac:dyDescent="0.25">
      <c r="B39" s="122" t="str">
        <v>Concrete, 25 MPa, in-situ, no reinforcement, (QE251L100)(Ecopact) (Holcim) (QLD) (Sunshine Coast)</v>
      </c>
      <c r="C39" t="str">
        <v>m³</v>
      </c>
      <c r="D39" s="96">
        <v>223.2</v>
      </c>
      <c r="E39" s="96">
        <v>9.2999999999999999E-2</v>
      </c>
      <c r="F39" s="96">
        <v>0</v>
      </c>
      <c r="G39" s="121">
        <v>0</v>
      </c>
    </row>
    <row r="40" spans="2:7" x14ac:dyDescent="0.25">
      <c r="B40" s="122" t="str">
        <v>Concrete, 25 MPa, in-situ, no reinforcement, (QE252L)(Ecopact) (Holcim) (QLD) (Sunshine Coast)</v>
      </c>
      <c r="C40" t="str">
        <v>m³</v>
      </c>
      <c r="D40" s="96">
        <v>213.19</v>
      </c>
      <c r="E40" s="96">
        <v>8.8829166666666667E-2</v>
      </c>
      <c r="F40" s="96">
        <v>0</v>
      </c>
      <c r="G40" s="121">
        <v>0</v>
      </c>
    </row>
    <row r="41" spans="2:7" x14ac:dyDescent="0.25">
      <c r="B41" s="122" t="str">
        <v>Concrete, 25 MPa, in-situ, no reinforcement, (Futurecrete®
Ultra N class GP/ GL:Slag 25 MPa) (Adbri) (QLD)</v>
      </c>
      <c r="C41" t="str">
        <v>m³</v>
      </c>
      <c r="D41" s="96">
        <v>201.173</v>
      </c>
      <c r="E41" s="96">
        <v>8.3822083333333339E-2</v>
      </c>
      <c r="F41" s="96">
        <v>0</v>
      </c>
      <c r="G41" s="121">
        <v>0</v>
      </c>
    </row>
    <row r="42" spans="2:7" x14ac:dyDescent="0.25">
      <c r="B42" s="122" t="str">
        <v>Concrete, 25 MPa, in-situ, no reinforcement, (NE251EBMX)(Ecopact) (Holcim) (NSW), (Sydney)</v>
      </c>
      <c r="C42" t="str">
        <v>m³</v>
      </c>
      <c r="D42" s="96">
        <v>168.14</v>
      </c>
      <c r="E42" s="96">
        <v>7.0058333333333334E-2</v>
      </c>
      <c r="F42" s="96">
        <v>0</v>
      </c>
      <c r="G42" s="121">
        <v>0</v>
      </c>
    </row>
    <row r="43" spans="2:7" x14ac:dyDescent="0.25">
      <c r="B43" s="122" t="str">
        <v>Concrete, 25 MPa, in-situ, no reinforcement, (NE252E1)(Ecopact) (Holcim) (NSW), (Sydney)</v>
      </c>
      <c r="C43" t="str">
        <v>m³</v>
      </c>
      <c r="D43" s="96">
        <v>149.12</v>
      </c>
      <c r="E43" s="96">
        <v>6.2133333333333332E-2</v>
      </c>
      <c r="F43" s="96">
        <v>0</v>
      </c>
      <c r="G43" s="121">
        <v>0</v>
      </c>
    </row>
    <row r="44" spans="2:7" x14ac:dyDescent="0.25">
      <c r="B44" s="122" t="str">
        <v>Concrete, 25 MPa, in-situ, no reinforcement, (NE252E5)(Ecopact) (Holcim) (NSW), (Sydney)</v>
      </c>
      <c r="C44" t="str">
        <v>m³</v>
      </c>
      <c r="D44" s="96">
        <v>149.12</v>
      </c>
      <c r="E44" s="96">
        <v>6.2133333333333332E-2</v>
      </c>
      <c r="F44" s="96">
        <v>0</v>
      </c>
      <c r="G44" s="121">
        <v>0</v>
      </c>
    </row>
    <row r="45" spans="2:7" x14ac:dyDescent="0.25">
      <c r="B45" s="122" t="str">
        <v>Concrete, 25 MPa, in-situ, no reinforcement, (NE251E1)(Ecopact) (Holcim) (NSW), (Sydney)</v>
      </c>
      <c r="C45" t="str">
        <v>m³</v>
      </c>
      <c r="D45" s="96">
        <v>153.12</v>
      </c>
      <c r="E45" s="96">
        <v>6.3799999999999996E-2</v>
      </c>
      <c r="F45" s="96">
        <v>0</v>
      </c>
      <c r="G45" s="121">
        <v>0</v>
      </c>
    </row>
    <row r="46" spans="2:7" x14ac:dyDescent="0.25">
      <c r="B46" s="122" t="str">
        <v>Concrete, 25 MPa, in-situ, no reinforcement, (NE251E5)(Ecopact) (Holcim) (NSW), (Sydney)</v>
      </c>
      <c r="C46" t="str">
        <v>m³</v>
      </c>
      <c r="D46" s="96">
        <v>153.12</v>
      </c>
      <c r="E46" s="96">
        <v>6.3799999999999996E-2</v>
      </c>
      <c r="F46" s="96">
        <v>0</v>
      </c>
      <c r="G46" s="121">
        <v>0</v>
      </c>
    </row>
    <row r="47" spans="2:7" x14ac:dyDescent="0.25">
      <c r="B47" s="122" t="str">
        <v>Concrete, 25 MPa, in-situ, no reinforcement, (QE257EBMX) (Ecopact) (Holcim) (QLD), Gold Coast</v>
      </c>
      <c r="C47" t="str">
        <v>m³</v>
      </c>
      <c r="D47" s="96">
        <v>204.16</v>
      </c>
      <c r="E47" s="96">
        <v>8.5066666666666679E-2</v>
      </c>
      <c r="F47" s="96">
        <v>0</v>
      </c>
      <c r="G47" s="121">
        <v>0</v>
      </c>
    </row>
    <row r="48" spans="2:7" x14ac:dyDescent="0.25">
      <c r="B48" s="122" t="str">
        <v>Concrete, 25 MPa, in-situ, no reinforcement, (QE251E100) (Ecopact) (Holcim) (QLD), Gold Coast</v>
      </c>
      <c r="C48" t="str">
        <v>m³</v>
      </c>
      <c r="D48" s="96">
        <v>167.13</v>
      </c>
      <c r="E48" s="96">
        <v>6.9637499999999991E-2</v>
      </c>
      <c r="F48" s="96">
        <v>0</v>
      </c>
      <c r="G48" s="121">
        <v>0</v>
      </c>
    </row>
    <row r="49" spans="2:7" x14ac:dyDescent="0.25">
      <c r="B49" s="122" t="str">
        <v>Concrete, 25 MPa, in-situ, no reinforcement, (QE253EBMX) (Ecopact) (Holcim) (QLD) (Brisbane)</v>
      </c>
      <c r="C49" t="str">
        <v>m³</v>
      </c>
      <c r="D49" s="96">
        <v>221.17</v>
      </c>
      <c r="E49" s="96">
        <v>9.2154166666666676E-2</v>
      </c>
      <c r="F49" s="96">
        <v>0</v>
      </c>
      <c r="G49" s="121">
        <v>0</v>
      </c>
    </row>
    <row r="50" spans="2:7" x14ac:dyDescent="0.25">
      <c r="B50" s="122" t="str">
        <v>Concrete, 25 MPa, in-situ, no reinforcement, (Futurecrete®
N class GP/GL:FA
25 MPa) (Adbri) (QLD)</v>
      </c>
      <c r="C50" t="str">
        <v>m³</v>
      </c>
      <c r="D50" s="96">
        <v>245.18799999999999</v>
      </c>
      <c r="E50" s="96">
        <v>0.10216166666666666</v>
      </c>
      <c r="F50" s="96">
        <v>0</v>
      </c>
      <c r="G50" s="121">
        <v>0</v>
      </c>
    </row>
    <row r="51" spans="2:7" x14ac:dyDescent="0.25">
      <c r="B51" s="122" t="str">
        <v>Concrete, 25 MPa, in-situ, no reinforcement, (QE253EBMX) (Ecopact) (Holcim) (QLD), Gold Coast</v>
      </c>
      <c r="C51" t="str">
        <v>m³</v>
      </c>
      <c r="D51" s="96">
        <v>222.17</v>
      </c>
      <c r="E51" s="96">
        <v>9.2570833333333338E-2</v>
      </c>
      <c r="F51" s="96">
        <v>0</v>
      </c>
      <c r="G51" s="121">
        <v>0</v>
      </c>
    </row>
    <row r="52" spans="2:7" x14ac:dyDescent="0.25">
      <c r="B52" s="122" t="str">
        <v>Concrete, 25 MPa, in-situ, no reinforcement, (Adbri concrete
N class GP/GL
25 MPa) (Adbri) (QLD)</v>
      </c>
      <c r="C52" t="str">
        <v>m³</v>
      </c>
      <c r="D52" s="96">
        <v>279.20999999999998</v>
      </c>
      <c r="E52" s="96">
        <v>0.11633750000000001</v>
      </c>
      <c r="F52" s="96">
        <v>0</v>
      </c>
      <c r="G52" s="121">
        <v>0</v>
      </c>
    </row>
    <row r="53" spans="2:7" x14ac:dyDescent="0.25">
      <c r="B53" s="122" t="str">
        <v>Concrete, 25 MPa, in-situ, no reinforcement, (QE251EEZY) (Ecopact) (Holcim) (QLD) (Brisbane)</v>
      </c>
      <c r="C53" t="str">
        <v>m³</v>
      </c>
      <c r="D53" s="96">
        <v>175.13</v>
      </c>
      <c r="E53" s="96">
        <v>7.2970833333333332E-2</v>
      </c>
      <c r="F53" s="96">
        <v>0</v>
      </c>
      <c r="G53" s="121">
        <v>0</v>
      </c>
    </row>
    <row r="54" spans="2:7" x14ac:dyDescent="0.25">
      <c r="B54" s="122" t="str">
        <v>Concrete, 25 MPa, in-situ, no reinforcement, (QE251EL21) (Ecopact) (Holcim) (QLD) (Brisbane)</v>
      </c>
      <c r="C54" t="str">
        <v>m³</v>
      </c>
      <c r="D54" s="96">
        <v>175.13</v>
      </c>
      <c r="E54" s="96">
        <v>7.2970833333333332E-2</v>
      </c>
      <c r="F54" s="96">
        <v>0</v>
      </c>
      <c r="G54" s="121">
        <v>0</v>
      </c>
    </row>
    <row r="55" spans="2:7" x14ac:dyDescent="0.25">
      <c r="B55" s="122" t="str">
        <v>Concrete, 25 MPa, in-situ, no reinforcement, (QE251E100) (Ecopact) (Holcim) (QLD) (Brisbane)</v>
      </c>
      <c r="C55" t="str">
        <v>m³</v>
      </c>
      <c r="D55" s="96">
        <v>164.12</v>
      </c>
      <c r="E55" s="96">
        <v>6.8383333333333324E-2</v>
      </c>
      <c r="F55" s="96">
        <v>0</v>
      </c>
      <c r="G55" s="121">
        <v>0</v>
      </c>
    </row>
    <row r="56" spans="2:7" x14ac:dyDescent="0.25">
      <c r="B56" s="122" t="str">
        <v>Concrete, 25 MPa, in-situ, no reinforcement, (QE257EBMX) (Ecopact) (Holcim) (QLD) (Brisbane)</v>
      </c>
      <c r="C56" t="str">
        <v>m³</v>
      </c>
      <c r="D56" s="96">
        <v>206.15</v>
      </c>
      <c r="E56" s="96">
        <v>8.5895833333333324E-2</v>
      </c>
      <c r="F56" s="96">
        <v>0</v>
      </c>
      <c r="G56" s="121">
        <v>0</v>
      </c>
    </row>
    <row r="57" spans="2:7" x14ac:dyDescent="0.25">
      <c r="B57" s="122" t="str">
        <v>Concrete, 25 MPa, in-situ, no reinforcement, (QE252E100) (Ecopact) (Holcim) (QLD) (Brisbane)</v>
      </c>
      <c r="C57" t="str">
        <v>m³</v>
      </c>
      <c r="D57" s="96">
        <v>165.12</v>
      </c>
      <c r="E57" s="96">
        <v>6.88E-2</v>
      </c>
      <c r="F57" s="96">
        <v>0</v>
      </c>
      <c r="G57" s="121">
        <v>0</v>
      </c>
    </row>
    <row r="58" spans="2:7" x14ac:dyDescent="0.25">
      <c r="B58" s="122" t="str">
        <v>Concrete, 25 MPa, in-situ, no reinforcement, (QE252EEZY) (Ecopact) (Holcim) (QLD), Gold Coast</v>
      </c>
      <c r="C58" t="str">
        <v>m³</v>
      </c>
      <c r="D58" s="96">
        <v>179.13</v>
      </c>
      <c r="E58" s="96">
        <v>7.4637499999999996E-2</v>
      </c>
      <c r="F58" s="96">
        <v>0</v>
      </c>
      <c r="G58" s="121">
        <v>0</v>
      </c>
    </row>
    <row r="59" spans="2:7" x14ac:dyDescent="0.25">
      <c r="B59" s="122" t="str">
        <v>Concrete, 25 MPa, in-situ, no reinforcement, (QE251E) (Ecopact) (Holcim) (QLD), Gold Coast</v>
      </c>
      <c r="C59" t="str">
        <v>m³</v>
      </c>
      <c r="D59" s="96">
        <v>167.12</v>
      </c>
      <c r="E59" s="96">
        <v>6.9633333333333325E-2</v>
      </c>
      <c r="F59" s="96">
        <v>0</v>
      </c>
      <c r="G59" s="121">
        <v>0</v>
      </c>
    </row>
    <row r="60" spans="2:7" x14ac:dyDescent="0.25">
      <c r="B60" s="122" t="str">
        <v>Concrete, 25 MPa, in-situ, no reinforcement, (BF2503B)(GB) (BCG) (WA), (Perth)</v>
      </c>
      <c r="C60" t="str">
        <v>m³</v>
      </c>
      <c r="D60" s="96">
        <v>279.2</v>
      </c>
      <c r="E60" s="96">
        <v>0.11633333333333334</v>
      </c>
      <c r="F60" s="96">
        <v>0</v>
      </c>
      <c r="G60" s="121">
        <v>0</v>
      </c>
    </row>
    <row r="61" spans="2:7" x14ac:dyDescent="0.25">
      <c r="B61" s="122" t="str">
        <v>Concrete, 25 MPa, in-situ, no reinforcement, (QE251EL21) (Ecopact) (Holcim) (QLD), Gold Coast</v>
      </c>
      <c r="C61" t="str">
        <v>m³</v>
      </c>
      <c r="D61" s="96">
        <v>184.13</v>
      </c>
      <c r="E61" s="96">
        <v>7.6720833333333321E-2</v>
      </c>
      <c r="F61" s="96">
        <v>0</v>
      </c>
      <c r="G61" s="121">
        <v>0</v>
      </c>
    </row>
    <row r="62" spans="2:7" x14ac:dyDescent="0.25">
      <c r="B62" s="122" t="str">
        <v>Concrete, 25 MPa, in-situ, no reinforcement, (QE252EEZY) (Ecopact) (Holcim) (QLD) (Brisbane)</v>
      </c>
      <c r="C62" t="str">
        <v>m³</v>
      </c>
      <c r="D62" s="96">
        <v>171.12</v>
      </c>
      <c r="E62" s="96">
        <v>7.1299999999999988E-2</v>
      </c>
      <c r="F62" s="96">
        <v>0</v>
      </c>
      <c r="G62" s="121">
        <v>0</v>
      </c>
    </row>
    <row r="63" spans="2:7" x14ac:dyDescent="0.25">
      <c r="B63" s="122" t="str">
        <v>Concrete, 25 MPa, in-situ, no reinforcement, (QE252E100) (Ecopact) (Holcim) (QLD), Gold Coast</v>
      </c>
      <c r="C63" t="str">
        <v>m³</v>
      </c>
      <c r="D63" s="96">
        <v>173.12</v>
      </c>
      <c r="E63" s="96">
        <v>7.2133333333333327E-2</v>
      </c>
      <c r="F63" s="96">
        <v>0</v>
      </c>
      <c r="G63" s="121">
        <v>0</v>
      </c>
    </row>
    <row r="64" spans="2:7" x14ac:dyDescent="0.25">
      <c r="B64" s="122" t="str">
        <v>Concrete, 25 MPa, in-situ, no reinforcement, (Adbri concrete
N class GP/GL:FA
25 MPa) (Adbri) (QLD)</v>
      </c>
      <c r="C64" t="str">
        <v>m³</v>
      </c>
      <c r="D64" s="96">
        <v>239.16499999999999</v>
      </c>
      <c r="E64" s="96">
        <v>9.9652083333333336E-2</v>
      </c>
      <c r="F64" s="96">
        <v>0</v>
      </c>
      <c r="G64" s="121">
        <v>0</v>
      </c>
    </row>
    <row r="65" spans="2:7" x14ac:dyDescent="0.25">
      <c r="B65" s="122" t="str">
        <v>Concrete, 25 MPa, in-situ, no reinforcement, (QE252E) (Ecopact) (Holcim) (QLD), Gold Coast</v>
      </c>
      <c r="C65" t="str">
        <v>m³</v>
      </c>
      <c r="D65" s="96">
        <v>160.11000000000001</v>
      </c>
      <c r="E65" s="96">
        <v>6.6712499999999994E-2</v>
      </c>
      <c r="F65" s="96">
        <v>0</v>
      </c>
      <c r="G65" s="121">
        <v>0</v>
      </c>
    </row>
    <row r="66" spans="2:7" x14ac:dyDescent="0.25">
      <c r="B66" s="122" t="str">
        <v>Concrete, 25 MPa, in-situ, no reinforcement, (QE252E) (Ecopact) (Holcim) (QLD) (Brisbane)</v>
      </c>
      <c r="C66" t="str">
        <v>m³</v>
      </c>
      <c r="D66" s="96">
        <v>163.11000000000001</v>
      </c>
      <c r="E66" s="96">
        <v>6.7962499999999995E-2</v>
      </c>
      <c r="F66" s="96">
        <v>0</v>
      </c>
      <c r="G66" s="121">
        <v>0</v>
      </c>
    </row>
    <row r="67" spans="2:7" x14ac:dyDescent="0.25">
      <c r="B67" s="122" t="str">
        <v>Concrete, 25 MPa, in-situ, no reinforcement, (WE254E1)(Ecopact) (Holcim) (WA), (Perth Metro)</v>
      </c>
      <c r="C67" t="str">
        <v>m³</v>
      </c>
      <c r="D67" s="96">
        <v>212.14</v>
      </c>
      <c r="E67" s="96">
        <v>8.839166666666666E-2</v>
      </c>
      <c r="F67" s="96">
        <v>0</v>
      </c>
      <c r="G67" s="121">
        <v>0</v>
      </c>
    </row>
    <row r="68" spans="2:7" x14ac:dyDescent="0.25">
      <c r="B68" s="122" t="str">
        <v>Concrete, 25 MPa, in-situ, no reinforcement, (WE251E1)(Ecopact) (Holcim) (WA), (Perth Metro)</v>
      </c>
      <c r="C68" t="str">
        <v>m³</v>
      </c>
      <c r="D68" s="96">
        <v>213.14</v>
      </c>
      <c r="E68" s="96">
        <v>8.8808333333333322E-2</v>
      </c>
      <c r="F68" s="96">
        <v>0</v>
      </c>
      <c r="G68" s="121">
        <v>0</v>
      </c>
    </row>
    <row r="69" spans="2:7" x14ac:dyDescent="0.25">
      <c r="B69" s="122" t="str">
        <v>Concrete, 25 MPa, in-situ, no reinforcement, (Adbri Concrete N Class GP/GL 25 MPa) (Adbri) (VIC)</v>
      </c>
      <c r="C69" t="str">
        <v>m³</v>
      </c>
      <c r="D69" s="96">
        <v>238.15</v>
      </c>
      <c r="E69" s="96">
        <v>9.922916666666666E-2</v>
      </c>
      <c r="F69" s="96">
        <v>0</v>
      </c>
      <c r="G69" s="121">
        <v>0</v>
      </c>
    </row>
    <row r="70" spans="2:7" x14ac:dyDescent="0.25">
      <c r="B70" s="122" t="str">
        <v>Concrete, 25 MPa, in-situ, no reinforcement, (QE252L700) (Ecopact) (Holcim) (QLD), Gold Coast</v>
      </c>
      <c r="C70" t="str">
        <v>m³</v>
      </c>
      <c r="D70" s="96">
        <v>223.14</v>
      </c>
      <c r="E70" s="96">
        <v>9.2974999999999988E-2</v>
      </c>
      <c r="F70" s="96">
        <v>0</v>
      </c>
      <c r="G70" s="121">
        <v>0</v>
      </c>
    </row>
    <row r="71" spans="2:7" x14ac:dyDescent="0.25">
      <c r="B71" s="122" t="str">
        <v>Concrete, 25 MPa, in-situ, no reinforcement, (Adbri Concrete N Class GP:GL 25 MPa
- Winnellie) (Adbri) (NT)</v>
      </c>
      <c r="C71" t="str">
        <v>m³</v>
      </c>
      <c r="D71" s="96">
        <v>306.19200000000001</v>
      </c>
      <c r="E71" s="96">
        <v>0.12758</v>
      </c>
      <c r="F71" s="96">
        <v>0</v>
      </c>
      <c r="G71" s="121">
        <v>0</v>
      </c>
    </row>
    <row r="72" spans="2:7" x14ac:dyDescent="0.25">
      <c r="B72" s="122" t="str">
        <v>Concrete, 25 MPa, in-situ, no reinforcement, (WE251EKC)(Ecopact) (Holcim) (WA), (Perth Metro)</v>
      </c>
      <c r="C72" t="str">
        <v>m³</v>
      </c>
      <c r="D72" s="96">
        <v>222.12</v>
      </c>
      <c r="E72" s="96">
        <v>9.2549999999999993E-2</v>
      </c>
      <c r="F72" s="96">
        <v>0</v>
      </c>
      <c r="G72" s="121">
        <v>0</v>
      </c>
    </row>
    <row r="73" spans="2:7" x14ac:dyDescent="0.25">
      <c r="B73" s="122" t="str">
        <v>Concrete, 25 MPa, in-situ, no reinforcement, (VE251EKC) (Ecopact) (Holcim) (VIC)</v>
      </c>
      <c r="C73" t="str">
        <v>m³</v>
      </c>
      <c r="D73" s="96">
        <v>220.11</v>
      </c>
      <c r="E73" s="96">
        <v>9.1712499999999988E-2</v>
      </c>
      <c r="F73" s="96">
        <v>0</v>
      </c>
      <c r="G73" s="121">
        <v>0</v>
      </c>
    </row>
    <row r="74" spans="2:7" x14ac:dyDescent="0.25">
      <c r="B74" s="122" t="str">
        <v>Concrete, 25 MPa, in-situ, no reinforcement, (WE252EP1)(Ecopact) (Holcim) (WA), (Perth Metro)</v>
      </c>
      <c r="C74" t="str">
        <v>m³</v>
      </c>
      <c r="D74" s="96">
        <v>208.1</v>
      </c>
      <c r="E74" s="96">
        <v>8.6708333333333332E-2</v>
      </c>
      <c r="F74" s="96">
        <v>0</v>
      </c>
      <c r="G74" s="121">
        <v>0</v>
      </c>
    </row>
    <row r="75" spans="2:7" x14ac:dyDescent="0.25">
      <c r="B75" s="122" t="str">
        <v>Concrete, 25 MPa, in-situ, no reinforcement, (WE254EP1)(Ecopact) (Holcim) (WA), (Perth Metro)</v>
      </c>
      <c r="C75" t="str">
        <v>m³</v>
      </c>
      <c r="D75" s="96">
        <v>212.1</v>
      </c>
      <c r="E75" s="96">
        <v>8.8374999999999995E-2</v>
      </c>
      <c r="F75" s="96">
        <v>0</v>
      </c>
      <c r="G75" s="121">
        <v>0</v>
      </c>
    </row>
    <row r="76" spans="2:7" x14ac:dyDescent="0.25">
      <c r="B76" s="122" t="str">
        <v>Concrete, 25 MPa, in-situ, no reinforcement, (WE251EBMX)(Ecopact) (Holcim) (WA), (Perth Metro)</v>
      </c>
      <c r="C76" t="str">
        <v>m³</v>
      </c>
      <c r="D76" s="96">
        <v>217.1</v>
      </c>
      <c r="E76" s="96">
        <v>9.0458333333333335E-2</v>
      </c>
      <c r="F76" s="96">
        <v>0</v>
      </c>
      <c r="G76" s="121">
        <v>0</v>
      </c>
    </row>
    <row r="77" spans="2:7" x14ac:dyDescent="0.25">
      <c r="B77" s="122" t="str">
        <v>Concrete, 25 MPa, in-situ, no reinforcement, (Adbri Concrete N Class GP:GL 25 MPa
- Alice Springs) (Adbri) (NT)</v>
      </c>
      <c r="C77" t="str">
        <v>m³</v>
      </c>
      <c r="D77" s="96">
        <v>388.137</v>
      </c>
      <c r="E77" s="96">
        <v>0.16172375</v>
      </c>
      <c r="F77" s="96">
        <v>0</v>
      </c>
      <c r="G77" s="121">
        <v>0</v>
      </c>
    </row>
    <row r="78" spans="2:7" x14ac:dyDescent="0.25">
      <c r="B78" s="122" t="str">
        <v>Concrete, 25 MPa, in-situ, no reinforcement, (Adbri Concrete N Class GP:GL 25 MPa
- Katherine) (Adbri) (NT)</v>
      </c>
      <c r="C78" t="str">
        <v>m³</v>
      </c>
      <c r="D78" s="96">
        <v>298.09429999999998</v>
      </c>
      <c r="E78" s="96">
        <v>0.12420595833333332</v>
      </c>
      <c r="F78" s="96">
        <v>0</v>
      </c>
      <c r="G78" s="121">
        <v>0</v>
      </c>
    </row>
    <row r="79" spans="2:7" x14ac:dyDescent="0.25">
      <c r="B79" s="122" t="str">
        <v>Concrete, 25 MPa, in-situ, no reinforcement, (R2520A)(GP) (BCG) (WA), (Perth)</v>
      </c>
      <c r="C79" t="str">
        <v>m³</v>
      </c>
      <c r="D79" s="96">
        <v>330.09</v>
      </c>
      <c r="E79" s="96">
        <v>0.13753750000000001</v>
      </c>
      <c r="F79" s="96">
        <v>0</v>
      </c>
      <c r="G79" s="121">
        <v>0</v>
      </c>
    </row>
    <row r="80" spans="2:7" x14ac:dyDescent="0.25">
      <c r="B80" s="122" t="str">
        <v>Concrete, 25 MPa, in-situ, no reinforcement,Pronto (EPG25) (Barro Group) (VIC)</v>
      </c>
      <c r="C80" t="str">
        <v>m³</v>
      </c>
      <c r="D80" s="96">
        <v>171.02250000000001</v>
      </c>
      <c r="E80" s="96">
        <v>7.1259375E-2</v>
      </c>
      <c r="F80" s="96">
        <v>0</v>
      </c>
      <c r="G80" s="121">
        <v>0</v>
      </c>
    </row>
    <row r="81" spans="2:7" x14ac:dyDescent="0.25">
      <c r="B81" s="122" t="str">
        <v>Concrete, 25 MPa, in-situ, no reinforcement, (EN25) (Barro Group) (VIC)</v>
      </c>
      <c r="C81" t="str">
        <v>m³</v>
      </c>
      <c r="D81" s="96">
        <v>180.00367</v>
      </c>
      <c r="E81" s="96">
        <v>7.5001529166666664E-2</v>
      </c>
      <c r="F81" s="96">
        <v>0</v>
      </c>
      <c r="G81" s="121">
        <v>0</v>
      </c>
    </row>
    <row r="82" spans="2:7" x14ac:dyDescent="0.25">
      <c r="B82" s="122" t="str">
        <v>Concrete, 25 MPa, in-situ, no reinforcement, (General) (Holcim) (NSW)(ACT)</v>
      </c>
      <c r="C82" t="str">
        <v>m³</v>
      </c>
      <c r="D82" s="96">
        <v>297</v>
      </c>
      <c r="E82" s="96">
        <v>0.12375</v>
      </c>
      <c r="F82" s="96">
        <v>0</v>
      </c>
      <c r="G82" s="121">
        <v>0</v>
      </c>
    </row>
    <row r="83" spans="2:7" x14ac:dyDescent="0.25">
      <c r="B83" s="122" t="str">
        <v>Concrete, 25 MPa, in-situ, no reinforcement, (Fly Ash) (Holcim) (NSW)(ACT)</v>
      </c>
      <c r="C83" t="str">
        <v>m³</v>
      </c>
      <c r="D83" s="96">
        <v>241</v>
      </c>
      <c r="E83" s="96">
        <v>0.10041666666666667</v>
      </c>
      <c r="F83" s="96">
        <v>0</v>
      </c>
      <c r="G83" s="121">
        <v>0</v>
      </c>
    </row>
    <row r="84" spans="2:7" x14ac:dyDescent="0.25">
      <c r="B84" s="122" t="str">
        <v>Concrete, 25 MPa, in-situ, no reinforcement, (GGBS Slag) (Holcim) (NSW)(ACT)</v>
      </c>
      <c r="C84" t="str">
        <v>m³</v>
      </c>
      <c r="D84" s="96">
        <v>185</v>
      </c>
      <c r="E84" s="96">
        <v>7.7083333333333337E-2</v>
      </c>
      <c r="F84" s="96">
        <v>0</v>
      </c>
      <c r="G84" s="121">
        <v>0</v>
      </c>
    </row>
    <row r="85" spans="2:7" x14ac:dyDescent="0.25">
      <c r="B85" s="122" t="str">
        <v>Concrete, 25 MPa, in-situ, no reinforcement, (Triple Blend) (Holcim) (NSW)(ACT)</v>
      </c>
      <c r="C85" t="str">
        <v>m³</v>
      </c>
      <c r="D85" s="96">
        <v>154</v>
      </c>
      <c r="E85" s="96">
        <v>6.4166666666666664E-2</v>
      </c>
      <c r="F85" s="96">
        <v>0</v>
      </c>
      <c r="G85" s="121">
        <v>0</v>
      </c>
    </row>
    <row r="86" spans="2:7" x14ac:dyDescent="0.25">
      <c r="B86" s="122" t="str">
        <v>Concrete, 25 MPa, in-situ, no reinforcement,(General)  (Holcim)  (QLD)</v>
      </c>
      <c r="C86" t="str">
        <v>m³</v>
      </c>
      <c r="D86" s="96">
        <v>257</v>
      </c>
      <c r="E86" s="96">
        <v>0.10708333333333334</v>
      </c>
      <c r="F86" s="96">
        <v>0</v>
      </c>
      <c r="G86" s="121">
        <v>0</v>
      </c>
    </row>
    <row r="87" spans="2:7" x14ac:dyDescent="0.25">
      <c r="B87" s="122" t="str">
        <v>Concrete, 25 MPa, in-situ, no reinforcement,(Fly Ash)  (Holcim)  (QLD)</v>
      </c>
      <c r="C87" t="str">
        <v>m³</v>
      </c>
      <c r="D87" s="96">
        <v>219</v>
      </c>
      <c r="E87" s="96">
        <v>9.1249999999999998E-2</v>
      </c>
      <c r="F87" s="96">
        <v>0</v>
      </c>
      <c r="G87" s="121">
        <v>0</v>
      </c>
    </row>
    <row r="88" spans="2:7" x14ac:dyDescent="0.25">
      <c r="B88" s="122" t="str">
        <v>Concrete, 25 MPa, in-situ, no reinforcement,(GGBS Slag)  (Holcim)  (QLD)</v>
      </c>
      <c r="C88" t="str">
        <v>m³</v>
      </c>
      <c r="D88" s="96">
        <v>172</v>
      </c>
      <c r="E88" s="96">
        <v>7.166666666666667E-2</v>
      </c>
      <c r="F88" s="96">
        <v>0</v>
      </c>
      <c r="G88" s="121">
        <v>0</v>
      </c>
    </row>
    <row r="89" spans="2:7" x14ac:dyDescent="0.25">
      <c r="B89" s="122" t="str">
        <v>Concrete, 25 MPa, in-situ, no reinforcement,(Triple Blend)  (Holcim)  (QLD)</v>
      </c>
      <c r="C89" t="str">
        <v>m³</v>
      </c>
      <c r="D89" s="96">
        <v>167</v>
      </c>
      <c r="E89" s="96">
        <v>6.958333333333333E-2</v>
      </c>
      <c r="F89" s="96">
        <v>0</v>
      </c>
      <c r="G89" s="121">
        <v>0</v>
      </c>
    </row>
    <row r="90" spans="2:7" x14ac:dyDescent="0.25">
      <c r="B90" s="122" t="str">
        <v>Concrete, 25 MPa, in-situ, no reinforcement, (General) (Holcim) (VIC)</v>
      </c>
      <c r="C90" t="str">
        <v>m³</v>
      </c>
      <c r="D90" s="96">
        <v>286</v>
      </c>
      <c r="E90" s="96">
        <v>0.11916666666666667</v>
      </c>
      <c r="F90" s="96">
        <v>0</v>
      </c>
      <c r="G90" s="121">
        <v>0</v>
      </c>
    </row>
    <row r="91" spans="2:7" x14ac:dyDescent="0.25">
      <c r="B91" s="122" t="str">
        <v>Concrete, 25 MPa, in-situ, no reinforcement, (Fly Ash) (Holcim) (VIC)</v>
      </c>
      <c r="C91" t="str">
        <v>m³</v>
      </c>
      <c r="D91" s="96">
        <v>240</v>
      </c>
      <c r="E91" s="96">
        <v>0.1</v>
      </c>
      <c r="F91" s="96">
        <v>0</v>
      </c>
      <c r="G91" s="121">
        <v>0</v>
      </c>
    </row>
    <row r="92" spans="2:7" x14ac:dyDescent="0.25">
      <c r="B92" s="122" t="str">
        <v>Concrete, 25 MPa, in-situ, no reinforcement, (Triple Blend) (Holcim) (VIC)</v>
      </c>
      <c r="C92" t="str">
        <v>m³</v>
      </c>
      <c r="D92" s="96">
        <v>215</v>
      </c>
      <c r="E92" s="96">
        <v>8.9583333333333334E-2</v>
      </c>
      <c r="F92" s="96">
        <v>0</v>
      </c>
      <c r="G92" s="121">
        <v>0</v>
      </c>
    </row>
    <row r="93" spans="2:7" x14ac:dyDescent="0.25">
      <c r="B93" s="122" t="str">
        <v>Concrete, 25 MPa, in-situ, no reinforcement, (General) (Holcim) (SA)</v>
      </c>
      <c r="C93" t="str">
        <v>m³</v>
      </c>
      <c r="D93" s="96">
        <v>303</v>
      </c>
      <c r="E93" s="96">
        <v>0.12625</v>
      </c>
      <c r="F93" s="96">
        <v>0</v>
      </c>
      <c r="G93" s="121">
        <v>0</v>
      </c>
    </row>
    <row r="94" spans="2:7" x14ac:dyDescent="0.25">
      <c r="B94" s="122" t="str">
        <v>Concrete, 25 MPa, in-situ, no reinforcement, (Fly Ash) (Holcim) (SA)</v>
      </c>
      <c r="C94" t="str">
        <v>m³</v>
      </c>
      <c r="D94" s="96">
        <v>227</v>
      </c>
      <c r="E94" s="96">
        <v>9.4583333333333339E-2</v>
      </c>
      <c r="F94" s="96">
        <v>0</v>
      </c>
      <c r="G94" s="121">
        <v>0</v>
      </c>
    </row>
    <row r="95" spans="2:7" x14ac:dyDescent="0.25">
      <c r="B95" s="122" t="str">
        <v>Concrete, 25 MPa, in-situ, no reinforcement, (GGBS Slag) (Holcim) (SA)</v>
      </c>
      <c r="C95" t="str">
        <v>m³</v>
      </c>
      <c r="D95" s="96">
        <v>220</v>
      </c>
      <c r="E95" s="96">
        <v>9.166666666666666E-2</v>
      </c>
      <c r="F95" s="96">
        <v>0</v>
      </c>
      <c r="G95" s="121">
        <v>0</v>
      </c>
    </row>
    <row r="96" spans="2:7" x14ac:dyDescent="0.25">
      <c r="B96" s="122" t="str">
        <v>Concrete, 25 MPa, in-situ, no reinforcement, (General) (Holcim) (WA)</v>
      </c>
      <c r="C96" t="str">
        <v>m³</v>
      </c>
      <c r="D96" s="96">
        <v>280</v>
      </c>
      <c r="E96" s="96">
        <v>0.11666666666666667</v>
      </c>
      <c r="F96" s="96">
        <v>0</v>
      </c>
      <c r="G96" s="121">
        <v>0</v>
      </c>
    </row>
    <row r="97" spans="2:7" x14ac:dyDescent="0.25">
      <c r="B97" s="122" t="str">
        <v>Concrete, 25 MPa, in-situ, no reinforcement, (GGBS Slag) (Holcim) (WA)</v>
      </c>
      <c r="C97" t="str">
        <v>m³</v>
      </c>
      <c r="D97" s="96">
        <v>221</v>
      </c>
      <c r="E97" s="96">
        <v>9.2083333333333336E-2</v>
      </c>
      <c r="F97" s="96">
        <v>0</v>
      </c>
      <c r="G97" s="121">
        <v>0</v>
      </c>
    </row>
    <row r="98" spans="2:7" x14ac:dyDescent="0.25">
      <c r="B98" s="122" t="str">
        <v>Concrete, 25 MPa, in-situ, no reinforcement, (NE252E151)(Ecopact) (Holcim) (ACT)</v>
      </c>
      <c r="C98" t="str">
        <v>m³</v>
      </c>
      <c r="D98" s="96">
        <v>184.71</v>
      </c>
      <c r="E98" s="96">
        <v>7.6962500000000003E-2</v>
      </c>
      <c r="F98" s="96">
        <v>0</v>
      </c>
      <c r="G98" s="121">
        <v>0</v>
      </c>
    </row>
    <row r="99" spans="2:7" x14ac:dyDescent="0.25">
      <c r="B99" s="122" t="str">
        <v>Concrete, 25 MPa, in-situ, no reinforcement, (NE252E351)(Ecopact) (Holcim) (ACT)</v>
      </c>
      <c r="C99" t="str">
        <v>m³</v>
      </c>
      <c r="D99" s="96">
        <v>186.34</v>
      </c>
      <c r="E99" s="96">
        <v>7.7641666666666664E-2</v>
      </c>
      <c r="F99" s="96">
        <v>0</v>
      </c>
      <c r="G99" s="121">
        <v>0</v>
      </c>
    </row>
    <row r="100" spans="2:7" x14ac:dyDescent="0.25">
      <c r="B100" s="122" t="str">
        <v>Concrete, 25 MPa, in-situ, no reinforcement, (NE251E151)(Ecopact) (Holcim) (ACT)</v>
      </c>
      <c r="C100" t="str">
        <v>m³</v>
      </c>
      <c r="D100" s="96">
        <v>184.94</v>
      </c>
      <c r="E100" s="96">
        <v>7.7058333333333326E-2</v>
      </c>
      <c r="F100" s="96">
        <v>0</v>
      </c>
      <c r="G100" s="121">
        <v>0</v>
      </c>
    </row>
    <row r="101" spans="2:7" x14ac:dyDescent="0.25">
      <c r="B101" s="122" t="str">
        <v>Concrete, 25 MPa, in-situ, no reinforcement, (NE251E351)(Ecopact) (Holcim) (ACT)</v>
      </c>
      <c r="C101" t="str">
        <v>m³</v>
      </c>
      <c r="D101" s="96">
        <v>186.54</v>
      </c>
      <c r="E101" s="96">
        <v>7.7725000000000002E-2</v>
      </c>
      <c r="F101" s="96">
        <v>0</v>
      </c>
      <c r="G101" s="121">
        <v>0</v>
      </c>
    </row>
    <row r="102" spans="2:7" x14ac:dyDescent="0.25">
      <c r="B102" s="122" t="str">
        <v>Concrete, 25 MPa, in-situ, no reinforcement, (VS251BPV) (Holcim) (VIC)</v>
      </c>
      <c r="C102" t="str">
        <v>m³</v>
      </c>
      <c r="D102" s="96">
        <v>252.5</v>
      </c>
      <c r="E102" s="96">
        <v>0.10520833333333333</v>
      </c>
      <c r="F102" s="96">
        <v>0</v>
      </c>
      <c r="G102" s="121">
        <v>0</v>
      </c>
    </row>
    <row r="103" spans="2:7" x14ac:dyDescent="0.25">
      <c r="B103" s="122" t="str">
        <v>Concrete, 25 MPa, in-situ, no reinforcement, (VS252BOX) (Holcim) (VIC)</v>
      </c>
      <c r="C103" t="str">
        <v>m³</v>
      </c>
      <c r="D103" s="96">
        <v>244.19</v>
      </c>
      <c r="E103" s="96">
        <v>0.10174583333333333</v>
      </c>
      <c r="F103" s="96">
        <v>0</v>
      </c>
      <c r="G103" s="121">
        <v>0</v>
      </c>
    </row>
    <row r="104" spans="2:7" x14ac:dyDescent="0.25">
      <c r="B104" s="122" t="str">
        <v>Concrete, 25 MPa, in-situ, no reinforcement, (VX251DM) (Holcim) (VIC)</v>
      </c>
      <c r="C104" t="str">
        <v>m³</v>
      </c>
      <c r="D104" s="96">
        <v>350.41</v>
      </c>
      <c r="E104" s="96">
        <v>0.14600416666666668</v>
      </c>
      <c r="F104" s="96">
        <v>0</v>
      </c>
      <c r="G104" s="121">
        <v>0</v>
      </c>
    </row>
    <row r="105" spans="2:7" x14ac:dyDescent="0.25">
      <c r="B105" s="122" t="str">
        <v>Concrete, 25 MPa, in-situ, no reinforcement, (VX251OBS) (Holcim) (VIC)</v>
      </c>
      <c r="C105" t="str">
        <v>m³</v>
      </c>
      <c r="D105" s="96">
        <v>331.82</v>
      </c>
      <c r="E105" s="96">
        <v>0.13825833333333334</v>
      </c>
      <c r="F105" s="96">
        <v>0</v>
      </c>
      <c r="G105" s="121">
        <v>0</v>
      </c>
    </row>
    <row r="106" spans="2:7" x14ac:dyDescent="0.25">
      <c r="B106" s="122" t="str">
        <v>Concrete, 25 MPa, in-situ, no reinforcement, (VS252BHS2) (Holcim) (VIC)</v>
      </c>
      <c r="C106" t="str">
        <v>m³</v>
      </c>
      <c r="D106" s="96">
        <v>185.25</v>
      </c>
      <c r="E106" s="96">
        <v>7.7187500000000006E-2</v>
      </c>
      <c r="F106" s="96">
        <v>0</v>
      </c>
      <c r="G106" s="121">
        <v>0</v>
      </c>
    </row>
    <row r="107" spans="2:7" x14ac:dyDescent="0.25">
      <c r="B107" s="122" t="str">
        <v>Concrete, 25 MPa, in-situ, no reinforcement, (QE252E)(Holcim) (QLD), (North QLD)</v>
      </c>
      <c r="C107" t="str">
        <v>m³</v>
      </c>
      <c r="D107" s="96">
        <v>209.71</v>
      </c>
      <c r="E107" s="96">
        <v>8.7379166666666674E-2</v>
      </c>
      <c r="F107" s="96">
        <v>0</v>
      </c>
      <c r="G107" s="121">
        <v>0</v>
      </c>
    </row>
    <row r="108" spans="2:7" x14ac:dyDescent="0.25">
      <c r="B108" s="122" t="str">
        <v>Concrete, 25 MPa, in-situ, no reinforcement, (QE252E1)(Holcim) (QLD), (North QLD)</v>
      </c>
      <c r="C108" t="str">
        <v>m³</v>
      </c>
      <c r="D108" s="96">
        <v>209.99</v>
      </c>
      <c r="E108" s="96">
        <v>8.7495833333333342E-2</v>
      </c>
      <c r="F108" s="96">
        <v>0</v>
      </c>
      <c r="G108" s="121">
        <v>0</v>
      </c>
    </row>
    <row r="109" spans="2:7" x14ac:dyDescent="0.25">
      <c r="B109" s="122" t="str">
        <v>Concrete, 25 MPa, in-situ, no reinforcement, (QE252EFB1)(Holcim) (QLD), (North QLD)</v>
      </c>
      <c r="C109" t="str">
        <v>m³</v>
      </c>
      <c r="D109" s="96">
        <v>213.51</v>
      </c>
      <c r="E109" s="96">
        <v>8.89625E-2</v>
      </c>
      <c r="F109" s="96">
        <v>0</v>
      </c>
      <c r="G109" s="121">
        <v>0</v>
      </c>
    </row>
    <row r="110" spans="2:7" x14ac:dyDescent="0.25">
      <c r="B110" s="122" t="str">
        <v>Concrete, 25 MPa, in-situ, no reinforcement, (QE251E)(Holcim) (QLD), (North QLD)</v>
      </c>
      <c r="C110" t="str">
        <v>m³</v>
      </c>
      <c r="D110" s="96">
        <v>214.63</v>
      </c>
      <c r="E110" s="96">
        <v>8.9429166666666671E-2</v>
      </c>
      <c r="F110" s="96">
        <v>0</v>
      </c>
      <c r="G110" s="121">
        <v>0</v>
      </c>
    </row>
    <row r="111" spans="2:7" x14ac:dyDescent="0.25">
      <c r="B111" s="122" t="str">
        <v>Concrete, 25 MPa, in-situ, no reinforcement, (QE251E1)(Holcim) (QLD), (North QLD)</v>
      </c>
      <c r="C111" t="str">
        <v>m³</v>
      </c>
      <c r="D111" s="96">
        <v>215.19</v>
      </c>
      <c r="E111" s="96">
        <v>8.9662499999999992E-2</v>
      </c>
      <c r="F111" s="96">
        <v>0</v>
      </c>
      <c r="G111" s="121">
        <v>0</v>
      </c>
    </row>
    <row r="112" spans="2:7" x14ac:dyDescent="0.25">
      <c r="B112" s="122" t="str">
        <v>Concrete, 25 MPa, in-situ, no reinforcement, (QE251EBMX)(Holcim) (QLD), (North QLD)</v>
      </c>
      <c r="C112" t="str">
        <v>m³</v>
      </c>
      <c r="D112" s="96">
        <v>240.97</v>
      </c>
      <c r="E112" s="96">
        <v>0.10040416666666667</v>
      </c>
      <c r="F112" s="96">
        <v>0</v>
      </c>
      <c r="G112" s="121">
        <v>0</v>
      </c>
    </row>
    <row r="113" spans="2:7" x14ac:dyDescent="0.25">
      <c r="B113" s="122" t="str">
        <v>Concrete, 25 MPa, in-situ, no reinforcement, (Adbri N Class
GP/GL 25 MPa) (Adbri) (SA)</v>
      </c>
      <c r="C113" t="str">
        <v>m³</v>
      </c>
      <c r="D113" s="96">
        <v>220.53</v>
      </c>
      <c r="E113" s="96">
        <v>9.1887499999999997E-2</v>
      </c>
      <c r="F113" s="96">
        <v>0</v>
      </c>
      <c r="G113" s="121">
        <v>0</v>
      </c>
    </row>
    <row r="114" spans="2:7" x14ac:dyDescent="0.25">
      <c r="B114" s="122" t="str">
        <v>Concrete, 25 MPa, in-situ, no reinforcement, (Adbri Concrete
N Class GP/GL:FA
25 MPa) (Adbri) (NSW)</v>
      </c>
      <c r="C114" t="str">
        <v>m³</v>
      </c>
      <c r="D114" s="96">
        <v>278.45</v>
      </c>
      <c r="E114" s="96">
        <v>0.11602083333333332</v>
      </c>
      <c r="F114" s="96">
        <v>0</v>
      </c>
      <c r="G114" s="121">
        <v>0</v>
      </c>
    </row>
    <row r="115" spans="2:7" x14ac:dyDescent="0.25">
      <c r="B115" s="122" t="str">
        <v>Concrete, 25 MPa, in-situ, no reinforcement, (S25MPA
KERB&amp;GUTTER MACHINE PLACED
10MM) (Adbri) (NSW)</v>
      </c>
      <c r="C115" t="str">
        <v>m³</v>
      </c>
      <c r="D115" s="96">
        <v>285.07</v>
      </c>
      <c r="E115" s="96">
        <v>0.11877916666666666</v>
      </c>
      <c r="F115" s="96">
        <v>0</v>
      </c>
      <c r="G115" s="121">
        <v>0</v>
      </c>
    </row>
    <row r="116" spans="2:7" x14ac:dyDescent="0.25">
      <c r="B116" s="122" t="str">
        <v>Concrete, 25 MPa, in-situ, no reinforcement, Pre-mix Concrete Normal Class GP blend (Boral) (ACT), (Canberra) Normal Class GP blend 25MPa</v>
      </c>
      <c r="C116" t="str">
        <v>m³</v>
      </c>
      <c r="D116" s="96">
        <v>288</v>
      </c>
      <c r="E116" s="96">
        <v>0.12</v>
      </c>
      <c r="F116" s="96">
        <v>0</v>
      </c>
      <c r="G116" s="121">
        <v>0</v>
      </c>
    </row>
    <row r="117" spans="2:7" x14ac:dyDescent="0.25">
      <c r="B117" s="122" t="str">
        <v>Concrete, 25 MPa, in-situ, no reinforcement, Pre-mix Concrete Normal Class GP/FA blend (Boral) (ACT), (Canberra) Normal Class GP/FA blend 25 MPa</v>
      </c>
      <c r="C117" t="str">
        <v>m³</v>
      </c>
      <c r="D117" s="96">
        <v>231</v>
      </c>
      <c r="E117" s="96">
        <v>9.6250000000000002E-2</v>
      </c>
      <c r="F117" s="96">
        <v>0</v>
      </c>
      <c r="G117" s="121">
        <v>0</v>
      </c>
    </row>
    <row r="118" spans="2:7" x14ac:dyDescent="0.25">
      <c r="B118" s="122" t="str">
        <v>Concrete, 25 MPa, in-situ, no reinforcement, Pre-mix Concrete Normal Class GP/GGBFS blend (Boral) (ACT), (Canberra) Normal Class GP/GGBFS blend 25 MPa</v>
      </c>
      <c r="C118" t="str">
        <v>m³</v>
      </c>
      <c r="D118" s="96">
        <v>206</v>
      </c>
      <c r="E118" s="96">
        <v>8.5833333333333331E-2</v>
      </c>
      <c r="F118" s="96">
        <v>0</v>
      </c>
      <c r="G118" s="121">
        <v>0</v>
      </c>
    </row>
    <row r="119" spans="2:7" x14ac:dyDescent="0.25">
      <c r="B119" s="122" t="str">
        <v>Concrete, 25 MPa, in-situ, no reinforcement, Pre-mix Concrete ENVIROCRETE 30% (Boral) (ACT), (Canberra) ENVIROCRETE 30% 25 MPa</v>
      </c>
      <c r="C119" t="str">
        <v>m³</v>
      </c>
      <c r="D119" s="96">
        <v>231</v>
      </c>
      <c r="E119" s="96">
        <v>9.6250000000000002E-2</v>
      </c>
      <c r="F119" s="96">
        <v>0</v>
      </c>
      <c r="G119" s="121">
        <v>0</v>
      </c>
    </row>
    <row r="120" spans="2:7" x14ac:dyDescent="0.25">
      <c r="B120" s="122" t="str">
        <v>Concrete, 25 MPa, in-situ, no reinforcement, Pre-mix Concrete ENVIROCRETE 40% (Boral) (ACT), (Canberra) ENVIROCRETE 40% 25 MPa</v>
      </c>
      <c r="C120" t="str">
        <v>m³</v>
      </c>
      <c r="D120" s="96">
        <v>210</v>
      </c>
      <c r="E120" s="96">
        <v>8.7499999999999994E-2</v>
      </c>
      <c r="F120" s="96">
        <v>0</v>
      </c>
      <c r="G120" s="121">
        <v>0</v>
      </c>
    </row>
    <row r="121" spans="2:7" x14ac:dyDescent="0.25">
      <c r="B121" s="122" t="str">
        <v>Concrete, 25 MPa, in-situ, no reinforcement, Pre-mix Concrete ENVIROCRETE PLUS (Boral) (ACT), (Canberra) ENVIROCRETE PLUS 25MPa</v>
      </c>
      <c r="C121" t="str">
        <v>m³</v>
      </c>
      <c r="D121" s="96">
        <v>202</v>
      </c>
      <c r="E121" s="96">
        <v>8.4166666666666667E-2</v>
      </c>
      <c r="F121" s="96">
        <v>0</v>
      </c>
      <c r="G121" s="121">
        <v>0</v>
      </c>
    </row>
    <row r="122" spans="2:7" x14ac:dyDescent="0.25">
      <c r="B122" s="122" t="str">
        <v>Concrete, 25 MPa, in-situ, no reinforcement, Pre-mix Concrete ENVISIA (Boral) (ACT), (Canberra) ENVISIA 25MPa</v>
      </c>
      <c r="C122" t="str">
        <v>m³</v>
      </c>
      <c r="D122" s="96">
        <v>184</v>
      </c>
      <c r="E122" s="96">
        <v>7.6666666666666661E-2</v>
      </c>
      <c r="F122" s="96">
        <v>0</v>
      </c>
      <c r="G122" s="121">
        <v>0</v>
      </c>
    </row>
    <row r="123" spans="2:7" x14ac:dyDescent="0.25">
      <c r="B123" s="122" t="str">
        <v>Concrete, 25 MPa, in-situ, no reinforcement, Pre-mix Concrete KERB MACHINE (Boral) (ACT), (Canberra) KERB MACHINE 25MPa 10MM</v>
      </c>
      <c r="C123" t="str">
        <v>m³</v>
      </c>
      <c r="D123" s="96">
        <v>259</v>
      </c>
      <c r="E123" s="96">
        <v>0.10791666666666666</v>
      </c>
      <c r="F123" s="96">
        <v>0</v>
      </c>
      <c r="G123" s="121">
        <v>0</v>
      </c>
    </row>
    <row r="124" spans="2:7" x14ac:dyDescent="0.25">
      <c r="B124" s="122" t="str">
        <v>Concrete, 25 MPa, in-situ, no reinforcement, Pre-mix Concrete Normal Class GP blend (Boral) (NSW), (Newcastle) Normal Class GP blend 25MPa</v>
      </c>
      <c r="C124" t="str">
        <v>m³</v>
      </c>
      <c r="D124" s="96">
        <v>288</v>
      </c>
      <c r="E124" s="96">
        <v>0.12</v>
      </c>
      <c r="F124" s="96">
        <v>0</v>
      </c>
      <c r="G124" s="121">
        <v>0</v>
      </c>
    </row>
    <row r="125" spans="2:7" x14ac:dyDescent="0.25">
      <c r="B125" s="122" t="str">
        <v>Concrete, 25 MPa, in-situ, no reinforcement, Pre-mix Concrete Normal Class GP/FA blend (Boral) (NSW), (Newcastle) Normal Class GP/FA blend 25 MPa</v>
      </c>
      <c r="C125" t="str">
        <v>m³</v>
      </c>
      <c r="D125" s="96">
        <v>220</v>
      </c>
      <c r="E125" s="96">
        <v>9.166666666666666E-2</v>
      </c>
      <c r="F125" s="96">
        <v>0</v>
      </c>
      <c r="G125" s="121">
        <v>0</v>
      </c>
    </row>
    <row r="126" spans="2:7" x14ac:dyDescent="0.25">
      <c r="B126" s="122" t="str">
        <v>Concrete, 25 MPa, in-situ, no reinforcement, Pre-mix Concrete Normal Class GP/GGBFS blend (Boral) (NSW), (Newcastle) Normal Class GP/GGBFS blend 25 MPa</v>
      </c>
      <c r="C126" t="str">
        <v>m³</v>
      </c>
      <c r="D126" s="96">
        <v>200</v>
      </c>
      <c r="E126" s="96">
        <v>8.3333333333333329E-2</v>
      </c>
      <c r="F126" s="96">
        <v>0</v>
      </c>
      <c r="G126" s="121">
        <v>0</v>
      </c>
    </row>
    <row r="127" spans="2:7" x14ac:dyDescent="0.25">
      <c r="B127" s="122" t="str">
        <v>Concrete, 25 MPa, in-situ, no reinforcement, Pre-mix Concrete ENVIROCRETE 30% (Boral) (NSW), (Newcastle) ENVIROCRETE 30% 25 MPa</v>
      </c>
      <c r="C127" t="str">
        <v>m³</v>
      </c>
      <c r="D127" s="96">
        <v>220</v>
      </c>
      <c r="E127" s="96">
        <v>9.166666666666666E-2</v>
      </c>
      <c r="F127" s="96">
        <v>0</v>
      </c>
      <c r="G127" s="121">
        <v>0</v>
      </c>
    </row>
    <row r="128" spans="2:7" x14ac:dyDescent="0.25">
      <c r="B128" s="122" t="str">
        <v>Concrete, 25 MPa, in-situ, no reinforcement, Pre-mix Concrete ENVIROCRETE 40% (Boral) (NSW), (Newcastle) ENVIROCRETE 40% 25 MPa</v>
      </c>
      <c r="C128" t="str">
        <v>m³</v>
      </c>
      <c r="D128" s="96">
        <v>200</v>
      </c>
      <c r="E128" s="96">
        <v>8.3333333333333329E-2</v>
      </c>
      <c r="F128" s="96">
        <v>0</v>
      </c>
      <c r="G128" s="121">
        <v>0</v>
      </c>
    </row>
    <row r="129" spans="2:7" x14ac:dyDescent="0.25">
      <c r="B129" s="122" t="str">
        <v>Concrete, 25 MPa, in-situ, no reinforcement, Pre-mix Concrete ENVIROCRETE PLUS (Boral) (NSW), (Newcastle) ENVIROCRETE PLUS 25MPa</v>
      </c>
      <c r="C129" t="str">
        <v>m³</v>
      </c>
      <c r="D129" s="96">
        <v>194</v>
      </c>
      <c r="E129" s="96">
        <v>8.0833333333333326E-2</v>
      </c>
      <c r="F129" s="96">
        <v>0</v>
      </c>
      <c r="G129" s="121">
        <v>0</v>
      </c>
    </row>
    <row r="130" spans="2:7" x14ac:dyDescent="0.25">
      <c r="B130" s="122" t="str">
        <v>Concrete, 25 MPa, in-situ, no reinforcement, Pre-mix Concrete ENVISIA (Boral) (NSW), (Newcastle) ENVISIA 25MPa</v>
      </c>
      <c r="C130" t="str">
        <v>m³</v>
      </c>
      <c r="D130" s="96">
        <v>184</v>
      </c>
      <c r="E130" s="96">
        <v>7.6666666666666661E-2</v>
      </c>
      <c r="F130" s="96">
        <v>0</v>
      </c>
      <c r="G130" s="121">
        <v>0</v>
      </c>
    </row>
    <row r="131" spans="2:7" x14ac:dyDescent="0.25">
      <c r="B131" s="122" t="str">
        <v>Concrete, 25 MPa, in-situ, no reinforcement, Pre-mix Concrete KERB MACHINE (Boral) (NSW), (Newcastle) KERB MACHINE 25MPa 10MM</v>
      </c>
      <c r="C131" t="str">
        <v>m³</v>
      </c>
      <c r="D131" s="96">
        <v>252</v>
      </c>
      <c r="E131" s="96">
        <v>0.105</v>
      </c>
      <c r="F131" s="96">
        <v>0</v>
      </c>
      <c r="G131" s="121">
        <v>0</v>
      </c>
    </row>
    <row r="132" spans="2:7" x14ac:dyDescent="0.25">
      <c r="B132" s="122" t="str">
        <v>Concrete, 25 MPa, in-situ, no reinforcement, Pre-mix Concrete Normal Class GP blend (Boral) (NSW), (Sydney) Normal Class GP blend 25MPa</v>
      </c>
      <c r="C132" t="str">
        <v>m³</v>
      </c>
      <c r="D132" s="96">
        <v>288</v>
      </c>
      <c r="E132" s="96">
        <v>0.12</v>
      </c>
      <c r="F132" s="96">
        <v>0</v>
      </c>
      <c r="G132" s="121">
        <v>0</v>
      </c>
    </row>
    <row r="133" spans="2:7" x14ac:dyDescent="0.25">
      <c r="B133" s="122" t="str">
        <v>Concrete, 25 MPa, in-situ, no reinforcement, Pre-mix Concrete Normal Class GP/FA blend (Boral) (NSW), (Sydney) Normal Class GP/FA blend 25 MPa</v>
      </c>
      <c r="C133" t="str">
        <v>m³</v>
      </c>
      <c r="D133" s="96">
        <v>230</v>
      </c>
      <c r="E133" s="96">
        <v>9.583333333333334E-2</v>
      </c>
      <c r="F133" s="96">
        <v>0</v>
      </c>
      <c r="G133" s="121">
        <v>0</v>
      </c>
    </row>
    <row r="134" spans="2:7" x14ac:dyDescent="0.25">
      <c r="B134" s="122" t="str">
        <v>Concrete, 25 MPa, in-situ, no reinforcement, Pre-mix Concrete Normal Class GP/GGBFS blend (Boral) (NSW), (Sydney) Normal Class GP/GGBFS blend 25 MPa</v>
      </c>
      <c r="C134" t="str">
        <v>m³</v>
      </c>
      <c r="D134" s="96">
        <v>204</v>
      </c>
      <c r="E134" s="96">
        <v>8.5000000000000006E-2</v>
      </c>
      <c r="F134" s="96">
        <v>0</v>
      </c>
      <c r="G134" s="121">
        <v>0</v>
      </c>
    </row>
    <row r="135" spans="2:7" x14ac:dyDescent="0.25">
      <c r="B135" s="122" t="str">
        <v>Concrete, 25 MPa, in-situ, no reinforcement, Pre-mix Concrete Normal Class GP/GGBFS/FA blend (Boral) (NSW), (Sydney) Normal Class GP/GGBFS/FA blend 25 MPa</v>
      </c>
      <c r="C135" t="str">
        <v>m³</v>
      </c>
      <c r="D135" s="96">
        <v>175</v>
      </c>
      <c r="E135" s="96">
        <v>7.2916666666666671E-2</v>
      </c>
      <c r="F135" s="96">
        <v>0</v>
      </c>
      <c r="G135" s="121">
        <v>0</v>
      </c>
    </row>
    <row r="136" spans="2:7" x14ac:dyDescent="0.25">
      <c r="B136" s="122" t="str">
        <v>Concrete, 25 MPa, in-situ, no reinforcement, Pre-mix Concrete ENVIROCRETE 30% (Boral) (NSW), (Sydney) ENVIROCRETE 30% 25 MPa</v>
      </c>
      <c r="C136" t="str">
        <v>m³</v>
      </c>
      <c r="D136" s="96">
        <v>230</v>
      </c>
      <c r="E136" s="96">
        <v>9.583333333333334E-2</v>
      </c>
      <c r="F136" s="96">
        <v>0</v>
      </c>
      <c r="G136" s="121">
        <v>0</v>
      </c>
    </row>
    <row r="137" spans="2:7" x14ac:dyDescent="0.25">
      <c r="B137" s="122" t="str">
        <v>Concrete, 25 MPa, in-situ, no reinforcement, Pre-mix Concrete ENVIROCRETE 40% (Boral) (NSW), (Sydney) ENVIROCRETE 40% 25 MPa</v>
      </c>
      <c r="C137" t="str">
        <v>m³</v>
      </c>
      <c r="D137" s="96">
        <v>209</v>
      </c>
      <c r="E137" s="96">
        <v>8.7083333333333332E-2</v>
      </c>
      <c r="F137" s="96">
        <v>0</v>
      </c>
      <c r="G137" s="121">
        <v>0</v>
      </c>
    </row>
    <row r="138" spans="2:7" x14ac:dyDescent="0.25">
      <c r="B138" s="122" t="str">
        <v>Concrete, 25 MPa, in-situ, no reinforcement, Pre-mix Concrete ENVIROCRETE PLUS (Boral) (NSW), (Sydney) ENVIROCRETE PLUS 25MPa</v>
      </c>
      <c r="C138" t="str">
        <v>m³</v>
      </c>
      <c r="D138" s="96">
        <v>202</v>
      </c>
      <c r="E138" s="96">
        <v>8.4166666666666667E-2</v>
      </c>
      <c r="F138" s="96">
        <v>0</v>
      </c>
      <c r="G138" s="121">
        <v>0</v>
      </c>
    </row>
    <row r="139" spans="2:7" x14ac:dyDescent="0.25">
      <c r="B139" s="122" t="str">
        <v>Concrete, 25 MPa, in-situ, no reinforcement, Pre-mix Concrete ENVISIA (Boral) (NSW), (Sydney) ENVISIA 25MPa</v>
      </c>
      <c r="C139" t="str">
        <v>m³</v>
      </c>
      <c r="D139" s="96">
        <v>184</v>
      </c>
      <c r="E139" s="96">
        <v>7.6666666666666661E-2</v>
      </c>
      <c r="F139" s="96">
        <v>0</v>
      </c>
      <c r="G139" s="121">
        <v>0</v>
      </c>
    </row>
    <row r="140" spans="2:7" x14ac:dyDescent="0.25">
      <c r="B140" s="122" t="str">
        <v>Concrete, 25 MPa, in-situ, no reinforcement, Pre-mix Concrete KERB MACHINE (Boral) (NSW), (Sydney) KERB MACHINE 25MPa 10MM</v>
      </c>
      <c r="C140" t="str">
        <v>m³</v>
      </c>
      <c r="D140" s="96">
        <v>252</v>
      </c>
      <c r="E140" s="96">
        <v>0.105</v>
      </c>
      <c r="F140" s="96">
        <v>0</v>
      </c>
      <c r="G140" s="121">
        <v>0</v>
      </c>
    </row>
    <row r="141" spans="2:7" x14ac:dyDescent="0.25">
      <c r="B141" s="122" t="str">
        <v>Concrete, 25 MPa, in-situ, no reinforcement, Pre-mix Concrete Normal Class GP blend (Boral) (NSW), (Wollongong) Normal Class GP blend 25MPa</v>
      </c>
      <c r="C141" t="str">
        <v>m³</v>
      </c>
      <c r="D141" s="96">
        <v>285</v>
      </c>
      <c r="E141" s="96">
        <v>0.11874999999999999</v>
      </c>
      <c r="F141" s="96">
        <v>0</v>
      </c>
      <c r="G141" s="121">
        <v>0</v>
      </c>
    </row>
    <row r="142" spans="2:7" x14ac:dyDescent="0.25">
      <c r="B142" s="122" t="str">
        <v>Concrete, 25 MPa, in-situ, no reinforcement, Pre-mix Concrete Normal Class GP/FA blend (Boral) (NSW), (Wollongong) Normal Class GP/FA blend 25 MPa</v>
      </c>
      <c r="C142" t="str">
        <v>m³</v>
      </c>
      <c r="D142" s="96">
        <v>227</v>
      </c>
      <c r="E142" s="96">
        <v>9.4583333333333339E-2</v>
      </c>
      <c r="F142" s="96">
        <v>0</v>
      </c>
      <c r="G142" s="121">
        <v>0</v>
      </c>
    </row>
    <row r="143" spans="2:7" x14ac:dyDescent="0.25">
      <c r="B143" s="122" t="str">
        <v>Concrete, 25 MPa, in-situ, no reinforcement, Pre-mix Concrete KERB MACHINE (Boral) (NSW), (Wollongong) KERB MACHINE 25MPa 10MM</v>
      </c>
      <c r="C143" t="str">
        <v>m³</v>
      </c>
      <c r="D143" s="96">
        <v>254</v>
      </c>
      <c r="E143" s="96">
        <v>0.10583333333333333</v>
      </c>
      <c r="F143" s="96">
        <v>0</v>
      </c>
      <c r="G143" s="121">
        <v>0</v>
      </c>
    </row>
    <row r="144" spans="2:7" x14ac:dyDescent="0.25">
      <c r="B144" s="122" t="str">
        <v>Concrete, 25 MPa, in-situ, no reinforcement, Pre-mix Concrete Normal Class GP/GGBFS blend (Boral) (NSW), (Wollongong) Normal Class GP/GGBFS blend 25 MPa</v>
      </c>
      <c r="C144" t="str">
        <v>m³</v>
      </c>
      <c r="D144" s="96">
        <v>199</v>
      </c>
      <c r="E144" s="96">
        <v>8.2916666666666666E-2</v>
      </c>
      <c r="F144" s="96">
        <v>0</v>
      </c>
      <c r="G144" s="121">
        <v>0</v>
      </c>
    </row>
    <row r="145" spans="2:7" x14ac:dyDescent="0.25">
      <c r="B145" s="122" t="str">
        <v>Concrete, 25 MPa, in-situ, no reinforcement, Pre-mix Concrete Normal Class GP/GGBFS/FA blend (Boral) (NSW), (Wollongong) Normal Class GP/GGBFS/FA blend 25 MPa</v>
      </c>
      <c r="C145" t="str">
        <v>m³</v>
      </c>
      <c r="D145" s="96">
        <v>162</v>
      </c>
      <c r="E145" s="96">
        <v>6.7500000000000004E-2</v>
      </c>
      <c r="F145" s="96">
        <v>0</v>
      </c>
      <c r="G145" s="121">
        <v>0</v>
      </c>
    </row>
    <row r="146" spans="2:7" x14ac:dyDescent="0.25">
      <c r="B146" s="122" t="str">
        <v>Concrete, 25 MPa, in-situ, no reinforcement, Pre-mix Concrete ENVIROCRETE 30% (Boral) (NSW), (Wollongong) ENVIROCRETE 30% 25 MPa</v>
      </c>
      <c r="C146" t="str">
        <v>m³</v>
      </c>
      <c r="D146" s="96">
        <v>227</v>
      </c>
      <c r="E146" s="96">
        <v>9.4583333333333339E-2</v>
      </c>
      <c r="F146" s="96">
        <v>0</v>
      </c>
      <c r="G146" s="121">
        <v>0</v>
      </c>
    </row>
    <row r="147" spans="2:7" x14ac:dyDescent="0.25">
      <c r="B147" s="122" t="str">
        <v>Concrete, 25 MPa, in-situ, no reinforcement, Pre-mix Concrete ENVIROCRETE 40% (Boral) (NSW), (Wollongong) ENVIROCRETE 40% 25 MPa</v>
      </c>
      <c r="C147" t="str">
        <v>m³</v>
      </c>
      <c r="D147" s="96">
        <v>203</v>
      </c>
      <c r="E147" s="96">
        <v>8.458333333333333E-2</v>
      </c>
      <c r="F147" s="96">
        <v>0</v>
      </c>
      <c r="G147" s="121">
        <v>0</v>
      </c>
    </row>
    <row r="148" spans="2:7" x14ac:dyDescent="0.25">
      <c r="B148" s="122" t="str">
        <v>Concrete, 25 MPa, in-situ, no reinforcement, Pre-mix Concrete ENVIROCRETE PLUS (Boral) (NSW), (Wollongong) ENVIROCRETE PLUS 25MPa</v>
      </c>
      <c r="C148" t="str">
        <v>m³</v>
      </c>
      <c r="D148" s="96">
        <v>198</v>
      </c>
      <c r="E148" s="96">
        <v>8.2500000000000004E-2</v>
      </c>
      <c r="F148" s="96">
        <v>0</v>
      </c>
      <c r="G148" s="121">
        <v>0</v>
      </c>
    </row>
    <row r="149" spans="2:7" x14ac:dyDescent="0.25">
      <c r="B149" s="122" t="str">
        <v>Concrete, 25 MPa, in-situ, no reinforcement, Pre-mix Concrete ENVISIA (Boral) (NSW), (Wollongong) ENVISIA 25MPa</v>
      </c>
      <c r="C149" t="str">
        <v>m³</v>
      </c>
      <c r="D149" s="96">
        <v>180</v>
      </c>
      <c r="E149" s="96">
        <v>7.4999999999999997E-2</v>
      </c>
      <c r="F149" s="96">
        <v>0</v>
      </c>
      <c r="G149" s="121">
        <v>0</v>
      </c>
    </row>
    <row r="150" spans="2:7" x14ac:dyDescent="0.25">
      <c r="B150" s="122" t="str">
        <v>Concrete, 25 MPa, in-situ, no reinforcement, Pre-mix Concrete Normal Class GP blend (Boral) (TAS), (Hobart) Normal Class GP blend 25MPa</v>
      </c>
      <c r="C150" t="str">
        <v>m³</v>
      </c>
      <c r="D150" s="96">
        <v>279</v>
      </c>
      <c r="E150" s="96">
        <v>0.11625000000000001</v>
      </c>
      <c r="F150" s="96">
        <v>0</v>
      </c>
      <c r="G150" s="121">
        <v>0</v>
      </c>
    </row>
    <row r="151" spans="2:7" x14ac:dyDescent="0.25">
      <c r="B151" s="122" t="str">
        <v>Concrete, 25 MPa, in-situ, no reinforcement, Pre-mix Concrete ENVISIA (Boral) (TAS), (Hobart) ENVISIA 25 MPa</v>
      </c>
      <c r="C151" t="str">
        <v>m³</v>
      </c>
      <c r="D151" s="96">
        <v>257</v>
      </c>
      <c r="E151" s="96">
        <v>0.10708333333333334</v>
      </c>
      <c r="F151" s="96">
        <v>0</v>
      </c>
      <c r="G151" s="121">
        <v>0</v>
      </c>
    </row>
    <row r="152" spans="2:7" x14ac:dyDescent="0.25">
      <c r="B152" s="122" t="str">
        <v>Concrete, 25 MPa, in-situ, no reinforcement, Pre-mix Concrete Normal Class GP blend (Boral) (TAS), (Launceston) Normal Class GP blend 25MPa</v>
      </c>
      <c r="C152" t="str">
        <v>m³</v>
      </c>
      <c r="D152" s="96">
        <v>278</v>
      </c>
      <c r="E152" s="96">
        <v>0.11583333333333333</v>
      </c>
      <c r="F152" s="96">
        <v>0</v>
      </c>
      <c r="G152" s="121">
        <v>0</v>
      </c>
    </row>
    <row r="153" spans="2:7" x14ac:dyDescent="0.25">
      <c r="B153" s="122" t="str">
        <v>Concrete, 25 MPa, in-situ, no reinforcement, Pre-mix Concrete ENVISIA (Boral) (TAS), (Launceston) ENVISIA 25 MPa</v>
      </c>
      <c r="C153" t="str">
        <v>m³</v>
      </c>
      <c r="D153" s="96">
        <v>251</v>
      </c>
      <c r="E153" s="96">
        <v>0.10458333333333333</v>
      </c>
      <c r="F153" s="96">
        <v>0</v>
      </c>
      <c r="G153" s="121">
        <v>0</v>
      </c>
    </row>
    <row r="154" spans="2:7" x14ac:dyDescent="0.25">
      <c r="B154" s="122" t="str">
        <v>Concrete, 25 MPa, in-situ, no reinforcement, GP, Normal Class (WA Premix) (WA), (Perth)</v>
      </c>
      <c r="C154" t="str">
        <v>m³</v>
      </c>
      <c r="D154" s="96">
        <v>325</v>
      </c>
      <c r="E154" s="96">
        <v>0.13541666666666666</v>
      </c>
      <c r="F154" s="96">
        <v>0</v>
      </c>
      <c r="G154" s="121">
        <v>0</v>
      </c>
    </row>
    <row r="155" spans="2:7" x14ac:dyDescent="0.25">
      <c r="B155" s="122" t="str">
        <v>Concrete, 25 MPa, in-situ, no reinforcement, Blend, Normal Class (WA Premix) (WA), (Perth)</v>
      </c>
      <c r="C155" t="str">
        <v>m³</v>
      </c>
      <c r="D155" s="96">
        <v>292</v>
      </c>
      <c r="E155" s="96">
        <v>0.12166666666666667</v>
      </c>
      <c r="F155" s="96">
        <v>0</v>
      </c>
      <c r="G155" s="121">
        <v>0</v>
      </c>
    </row>
    <row r="156" spans="2:7" x14ac:dyDescent="0.25">
      <c r="B156" s="122" t="str">
        <v>Concrete, 25 MPa, in-situ, no reinforcement, Ready-Mix Concrete (LC)50 (Concrite) (NSW) (Sydney Region, NSW)</v>
      </c>
      <c r="C156" t="str">
        <v>m³</v>
      </c>
      <c r="D156" s="96">
        <v>164</v>
      </c>
      <c r="E156" s="96">
        <v>6.8333333333333329E-2</v>
      </c>
      <c r="F156" s="96">
        <v>0</v>
      </c>
      <c r="G156" s="121">
        <v>0</v>
      </c>
    </row>
    <row r="157" spans="2:7" x14ac:dyDescent="0.25">
      <c r="B157" s="122" t="str">
        <v>Concrete, 25 MPa, in-situ, no reinforcement, Ready-Mix Concrete (LC)40 (Concrite) (NSW) (Sydney Region, NSW)</v>
      </c>
      <c r="C157" t="str">
        <v>m³</v>
      </c>
      <c r="D157" s="96">
        <v>187</v>
      </c>
      <c r="E157" s="96">
        <v>7.7916666666666662E-2</v>
      </c>
      <c r="F157" s="96">
        <v>0</v>
      </c>
      <c r="G157" s="121">
        <v>0</v>
      </c>
    </row>
    <row r="158" spans="2:7" x14ac:dyDescent="0.25">
      <c r="B158" s="122" t="str">
        <v>Concrete, 25 MPa, in-situ, no reinforcement, Ready-Mix Concrete (LC)30 (Concrite) (NSW) (Sydney Region, NSW)</v>
      </c>
      <c r="C158" t="str">
        <v>m³</v>
      </c>
      <c r="D158" s="96">
        <v>240</v>
      </c>
      <c r="E158" s="96">
        <v>0.1</v>
      </c>
      <c r="F158" s="96">
        <v>0</v>
      </c>
      <c r="G158" s="121">
        <v>0</v>
      </c>
    </row>
    <row r="159" spans="2:7" x14ac:dyDescent="0.25">
      <c r="B159" s="122" t="str">
        <v>Concrete, 25 MPa, in-situ, no reinforcement, Ready-Mix Concrete (LCHP) (Concrite) (NSW) (Sydney Region, NSW)</v>
      </c>
      <c r="C159" t="str">
        <v>m³</v>
      </c>
      <c r="D159" s="96">
        <v>200</v>
      </c>
      <c r="E159" s="96">
        <v>8.3333333333333329E-2</v>
      </c>
      <c r="F159" s="96">
        <v>0</v>
      </c>
      <c r="G159" s="121">
        <v>0</v>
      </c>
    </row>
    <row r="160" spans="2:7" x14ac:dyDescent="0.25">
      <c r="B160" s="122" t="str">
        <v>Concrete, 25 MPa, in-situ, no reinforcement, Ready-Mix Concrete (LCP) (Concrite) (NSW) (Sydney Region, NSW)</v>
      </c>
      <c r="C160" t="str">
        <v>m³</v>
      </c>
      <c r="D160" s="96">
        <v>212</v>
      </c>
      <c r="E160" s="96">
        <v>8.8333333333333333E-2</v>
      </c>
      <c r="F160" s="96">
        <v>0</v>
      </c>
      <c r="G160" s="121">
        <v>0</v>
      </c>
    </row>
    <row r="161" spans="2:7" x14ac:dyDescent="0.25">
      <c r="B161" s="122" t="str">
        <v>Concrete, 25 MPa, in-situ, no reinforcement, Ready-Mix Concrete Normal class GP blend (Concrite) (NSW) (Sydney Region, NSW)</v>
      </c>
      <c r="C161" t="str">
        <v>m³</v>
      </c>
      <c r="D161" s="96">
        <v>273</v>
      </c>
      <c r="E161" s="96">
        <v>0.11375</v>
      </c>
      <c r="F161" s="96">
        <v>0</v>
      </c>
      <c r="G161" s="121">
        <v>0</v>
      </c>
    </row>
    <row r="162" spans="2:7" x14ac:dyDescent="0.25">
      <c r="B162" s="122" t="str">
        <v>Concrete, 25 MPa, in-situ, no reinforcement, Ready-Mix Concrete KERB MACHINE (Concrite) (NSW) (Sydney Region, NSW)</v>
      </c>
      <c r="C162" t="str">
        <v>m³</v>
      </c>
      <c r="D162" s="96">
        <v>162</v>
      </c>
      <c r="E162" s="96">
        <v>6.7500000000000004E-2</v>
      </c>
      <c r="F162" s="96">
        <v>0</v>
      </c>
      <c r="G162" s="121">
        <v>0</v>
      </c>
    </row>
    <row r="163" spans="2:7" x14ac:dyDescent="0.25">
      <c r="B163" s="122" t="str">
        <v>Concrete, 25 MPa, in-situ, no reinforcement, Ready-Mix Concrete SLAG AGG CONCRETE MIX, (LC)50 (Concrite) (NSW) (Sydney Region, NSW)</v>
      </c>
      <c r="C163" t="str">
        <v>m³</v>
      </c>
      <c r="D163" s="96">
        <v>175</v>
      </c>
      <c r="E163" s="96">
        <v>7.2916666666666671E-2</v>
      </c>
      <c r="F163" s="96">
        <v>0</v>
      </c>
      <c r="G163" s="121">
        <v>0</v>
      </c>
    </row>
    <row r="164" spans="2:7" x14ac:dyDescent="0.25">
      <c r="B164" s="122" t="str">
        <v>Concrete, 25 MPa, in-situ, no reinforcement, Ready-Mix Concrete SLAG AGG CONCRETE MIX, (LC)40 (Concrite) (NSW) (Sydney Region, NSW)</v>
      </c>
      <c r="C164" t="str">
        <v>m³</v>
      </c>
      <c r="D164" s="96">
        <v>196</v>
      </c>
      <c r="E164" s="96">
        <v>8.1666666666666665E-2</v>
      </c>
      <c r="F164" s="96">
        <v>0</v>
      </c>
      <c r="G164" s="121">
        <v>0</v>
      </c>
    </row>
    <row r="165" spans="2:7" x14ac:dyDescent="0.25">
      <c r="B165" s="122" t="str">
        <v>Concrete, 25 MPa, in-situ, no reinforcement, Ready-Mix Concrete SLAG AGG CONCRETE MIX, (LC)30 (Concrite) (NSW) (Sydney Region, NSW)</v>
      </c>
      <c r="C165" t="str">
        <v>m³</v>
      </c>
      <c r="D165" s="96">
        <v>225</v>
      </c>
      <c r="E165" s="96">
        <v>9.375E-2</v>
      </c>
      <c r="F165" s="96">
        <v>0</v>
      </c>
      <c r="G165" s="121">
        <v>0</v>
      </c>
    </row>
    <row r="166" spans="2:7" x14ac:dyDescent="0.25">
      <c r="B166" s="122" t="str">
        <v>Concrete, 25 MPa, in-situ, no reinforcement, Ready-Mix Concrete (LC)30 25MPa (Concrite) (NSW) (Southern Highlands, NSW)</v>
      </c>
      <c r="C166" t="str">
        <v>m³</v>
      </c>
      <c r="D166" s="96">
        <v>228</v>
      </c>
      <c r="E166" s="96">
        <v>9.5000000000000001E-2</v>
      </c>
      <c r="F166" s="96">
        <v>0</v>
      </c>
      <c r="G166" s="121">
        <v>0</v>
      </c>
    </row>
    <row r="167" spans="2:7" x14ac:dyDescent="0.25">
      <c r="B167" s="122" t="str">
        <v>Concrete, 25 MPa, in-situ, no reinforcement, Ready-Mix Concrete NORMAL CLASS GP BLEND (Concrite) (NSW) (Southern Highlands, NSW)</v>
      </c>
      <c r="C167" t="str">
        <v>m³</v>
      </c>
      <c r="D167" s="96">
        <v>272</v>
      </c>
      <c r="E167" s="96">
        <v>0.11333333333333333</v>
      </c>
      <c r="F167" s="96">
        <v>0</v>
      </c>
      <c r="G167" s="121">
        <v>0</v>
      </c>
    </row>
    <row r="168" spans="2:7" x14ac:dyDescent="0.25">
      <c r="B168" s="122" t="str">
        <v>Concrete, 25 MPa, in-situ, no reinforcement, Ready-Mix Concrete KERB MACHINE 10MM (Concrite) (NSW) (Southern Highlands, NSW)</v>
      </c>
      <c r="C168" t="str">
        <v>m³</v>
      </c>
      <c r="D168" s="96">
        <v>255</v>
      </c>
      <c r="E168" s="96">
        <v>0.10625</v>
      </c>
      <c r="F168" s="96">
        <v>0</v>
      </c>
      <c r="G168" s="121">
        <v>0</v>
      </c>
    </row>
    <row r="169" spans="2:7" x14ac:dyDescent="0.25">
      <c r="B169" s="122" t="str">
        <v>Concrete, 25 MPa, in-situ, no reinforcement, Ready-Mix Concrete LC30 25MPa (Concrite) (ACT) (Canberra, ACT)</v>
      </c>
      <c r="C169" t="str">
        <v>m³</v>
      </c>
      <c r="D169" s="96">
        <v>246</v>
      </c>
      <c r="E169" s="96">
        <v>0.10249999999999999</v>
      </c>
      <c r="F169" s="96">
        <v>0</v>
      </c>
      <c r="G169" s="121">
        <v>0</v>
      </c>
    </row>
    <row r="170" spans="2:7" x14ac:dyDescent="0.25">
      <c r="B170" s="122" t="str">
        <v>Concrete, 25 MPa, in-situ, no reinforcement, Ready-Mix Concrete NORMAL CLASS GP BLEND (Concrite) (ACT) (Canberra, ACT)</v>
      </c>
      <c r="C170" t="str">
        <v>m³</v>
      </c>
      <c r="D170" s="96">
        <v>280</v>
      </c>
      <c r="E170" s="96">
        <v>0.11666666666666667</v>
      </c>
      <c r="F170" s="96">
        <v>0</v>
      </c>
      <c r="G170" s="121">
        <v>0</v>
      </c>
    </row>
    <row r="171" spans="2:7" x14ac:dyDescent="0.25">
      <c r="B171" s="122" t="str">
        <v>Concrete, 25 MPa, in-situ, no reinforcement, Ready-Mix Concrete KERB MACHINE 10MM (Concrite) (ACT) (Canberra, ACT)</v>
      </c>
      <c r="C171" t="str">
        <v>m³</v>
      </c>
      <c r="D171" s="96">
        <v>245</v>
      </c>
      <c r="E171" s="96">
        <v>0.10208333333333333</v>
      </c>
      <c r="F171" s="96">
        <v>0</v>
      </c>
      <c r="G171" s="121">
        <v>0</v>
      </c>
    </row>
    <row r="172" spans="2:7" x14ac:dyDescent="0.25">
      <c r="B172" s="122" t="str">
        <v>Concrete, 25 MPa, in-situ, no reinforcement, (Futurecrete®  Ultra S25MPA PILE/ TREMIE 10MM SP) (Adbri) (NSW)</v>
      </c>
      <c r="C172" t="str">
        <v>m³</v>
      </c>
      <c r="D172" s="96">
        <v>229.19989999999999</v>
      </c>
      <c r="E172" s="96">
        <v>9.5499958333333329E-2</v>
      </c>
      <c r="F172" s="96">
        <v>0</v>
      </c>
      <c r="G172" s="121">
        <v>0</v>
      </c>
    </row>
    <row r="173" spans="2:7" x14ac:dyDescent="0.25">
      <c r="B173" s="122" t="str">
        <v>Concrete, 25 MPa, in-situ, no reinforcement, (Futurecrete®  Ultra
S25MPA DINCEL
10MM) (Adbri) (NSW)</v>
      </c>
      <c r="C173" t="str">
        <v>m³</v>
      </c>
      <c r="D173" s="96">
        <v>231.70759999999999</v>
      </c>
      <c r="E173" s="96">
        <v>9.654483333333333E-2</v>
      </c>
      <c r="F173" s="96">
        <v>0</v>
      </c>
      <c r="G173" s="121">
        <v>0</v>
      </c>
    </row>
    <row r="174" spans="2:7" x14ac:dyDescent="0.25">
      <c r="B174" s="122" t="str">
        <v>Concrete, 25 MPa, in-situ, no reinforcement, (Futurecrete®
S25MPA HY-LINE
2INCH 10MM PUMP) (Adbri) (NSW)</v>
      </c>
      <c r="C174" t="str">
        <v>m³</v>
      </c>
      <c r="D174" s="96">
        <v>248.82664</v>
      </c>
      <c r="E174" s="96">
        <v>0.10367776666666667</v>
      </c>
      <c r="F174" s="96">
        <v>0</v>
      </c>
      <c r="G174" s="121">
        <v>0</v>
      </c>
    </row>
    <row r="175" spans="2:7" x14ac:dyDescent="0.25">
      <c r="B175" s="122" t="str">
        <v>Concrete, 25 MPa, in-situ, no reinforcement, (Futurecrete®  Ultra
N Class Ternary
25 MPa) (Adbri) (NSW)</v>
      </c>
      <c r="C175" t="str">
        <v>m³</v>
      </c>
      <c r="D175" s="96">
        <v>217.56200000000001</v>
      </c>
      <c r="E175" s="96">
        <v>9.0650833333333347E-2</v>
      </c>
      <c r="F175" s="96">
        <v>0</v>
      </c>
      <c r="G175" s="121">
        <v>0</v>
      </c>
    </row>
    <row r="176" spans="2:7" x14ac:dyDescent="0.25">
      <c r="B176" s="122" t="str">
        <v>Concrete, 25 MPa, in-situ, no reinforcement, (Futurecrete®  Ultra N Class GP/ GL:Slag 25 MPa) (Adbri) (NSW)</v>
      </c>
      <c r="C176" t="str">
        <v>m³</v>
      </c>
      <c r="D176" s="96">
        <v>208.83950000000002</v>
      </c>
      <c r="E176" s="96">
        <v>8.7016458333333338E-2</v>
      </c>
      <c r="F176" s="96">
        <v>0</v>
      </c>
      <c r="G176" s="121">
        <v>0</v>
      </c>
    </row>
    <row r="177" spans="2:7" x14ac:dyDescent="0.25">
      <c r="B177" s="122" t="str">
        <v>Concrete, 25 MPa, in-situ, no reinforcement, (Futurecrete®  N Class
GP/GL:FA 25 MPa) (Adbri) (SA)</v>
      </c>
      <c r="C177" t="str">
        <v>m³</v>
      </c>
      <c r="D177" s="96">
        <v>178.51</v>
      </c>
      <c r="E177" s="96">
        <v>7.4379166666666663E-2</v>
      </c>
      <c r="F177" s="96">
        <v>0</v>
      </c>
      <c r="G177" s="121">
        <v>0</v>
      </c>
    </row>
    <row r="178" spans="2:7" x14ac:dyDescent="0.25">
      <c r="B178" s="122" t="str">
        <v>Concrete, 25 MPa, in-situ, no reinforcement, (Futurecrete®  N
Class GP/GL:Slag
25 MPa) (Adbri) (SA)</v>
      </c>
      <c r="C178" t="str">
        <v>m³</v>
      </c>
      <c r="D178" s="96">
        <v>173.57999999999998</v>
      </c>
      <c r="E178" s="96">
        <v>7.2325E-2</v>
      </c>
      <c r="F178" s="96">
        <v>0</v>
      </c>
      <c r="G178" s="121">
        <v>0</v>
      </c>
    </row>
    <row r="179" spans="2:7" x14ac:dyDescent="0.25">
      <c r="B179" s="122" t="str">
        <v>Concrete, 25 MPa, in-situ, no reinforcement, (Futurecrete®
Ultra S25MPA
BLOCKFILL 10MM) (Adbri) (NSW)</v>
      </c>
      <c r="C179" t="str">
        <v>m³</v>
      </c>
      <c r="D179" s="96">
        <v>226.93599999999998</v>
      </c>
      <c r="E179" s="96">
        <v>9.4556666666666664E-2</v>
      </c>
      <c r="F179" s="96">
        <v>0</v>
      </c>
      <c r="G179" s="121">
        <v>0</v>
      </c>
    </row>
    <row r="180" spans="2:7" x14ac:dyDescent="0.25">
      <c r="B180" s="122" t="str">
        <v>Concrete, 25 MPa, in-situ, no reinforcement, (Futurecrete®
Ultra S25MPA
BLOCKFILL 10MM
230MM SLUMP) (Adbri) (NSW)</v>
      </c>
      <c r="C180" t="str">
        <v>m³</v>
      </c>
      <c r="D180" s="96">
        <v>231.65499999999997</v>
      </c>
      <c r="E180" s="96">
        <v>9.6522916666666667E-2</v>
      </c>
      <c r="F180" s="96">
        <v>0</v>
      </c>
      <c r="G180" s="121">
        <v>0</v>
      </c>
    </row>
    <row r="181" spans="2:7" x14ac:dyDescent="0.25">
      <c r="B181" s="122" t="str">
        <v>Concrete, 25 MPa, in-situ, no reinforcement, (Futurecrete®  Ultra S25MPA 10MM RITEK SYSTEM) (Adbri) (NSW)</v>
      </c>
      <c r="C181" t="str">
        <v>m³</v>
      </c>
      <c r="D181" s="96">
        <v>226.89429999999999</v>
      </c>
      <c r="E181" s="96">
        <v>9.4539291666666664E-2</v>
      </c>
      <c r="F181" s="96">
        <v>0</v>
      </c>
      <c r="G181" s="121">
        <v>0</v>
      </c>
    </row>
    <row r="182" spans="2:7" x14ac:dyDescent="0.25">
      <c r="B182" s="122" t="str">
        <v>Concrete, 25 MPa, in-situ, no reinforcement, (R2520B)(GB) (BCG) (WA), (Perth)</v>
      </c>
      <c r="C182" t="str">
        <v>m³</v>
      </c>
      <c r="D182" s="96">
        <v>253.92</v>
      </c>
      <c r="E182" s="96">
        <v>0.10580000000000001</v>
      </c>
      <c r="F182" s="96">
        <v>0</v>
      </c>
      <c r="G182" s="121">
        <v>0</v>
      </c>
    </row>
    <row r="183" spans="2:7" x14ac:dyDescent="0.25">
      <c r="B183" s="122" t="str">
        <v>Concrete, 25 MPa, in-situ, no reinforcement, (VE252EF26) (Ecopact) (Holcim) (VIC)</v>
      </c>
      <c r="C183" t="str">
        <v>m³</v>
      </c>
      <c r="D183" s="96">
        <v>236.43</v>
      </c>
      <c r="E183" s="96">
        <v>9.8512499999999989E-2</v>
      </c>
      <c r="F183" s="96">
        <v>0</v>
      </c>
      <c r="G183" s="121">
        <v>0</v>
      </c>
    </row>
    <row r="184" spans="2:7" x14ac:dyDescent="0.25">
      <c r="B184" s="122" t="str">
        <v>Concrete, 25 MPa, in-situ, no reinforcement, (CS2520BGS)(B) (BCG) (WA), (Perth)</v>
      </c>
      <c r="C184" t="str">
        <v>m³</v>
      </c>
      <c r="D184" s="96">
        <v>220.42</v>
      </c>
      <c r="E184" s="96">
        <v>9.1841666666666669E-2</v>
      </c>
      <c r="F184" s="96">
        <v>0</v>
      </c>
      <c r="G184" s="121">
        <v>0</v>
      </c>
    </row>
    <row r="185" spans="2:7" x14ac:dyDescent="0.25">
      <c r="B185" s="122" t="str">
        <v>Concrete, 25 MPa, in-situ, no reinforcement, (VE251E56) (Ecopact) (Holcim) (VIC)</v>
      </c>
      <c r="C185" t="str">
        <v>m³</v>
      </c>
      <c r="D185" s="96">
        <v>231.33</v>
      </c>
      <c r="E185" s="96">
        <v>9.6387500000000001E-2</v>
      </c>
      <c r="F185" s="96">
        <v>0</v>
      </c>
      <c r="G185" s="121">
        <v>0</v>
      </c>
    </row>
    <row r="186" spans="2:7" x14ac:dyDescent="0.25">
      <c r="B186" s="122" t="str">
        <v>Concrete, 25 MPa, in-situ, no reinforcement, (LH2520E)(LH) (BCG) (WA), (Perth)</v>
      </c>
      <c r="C186" t="str">
        <v>m³</v>
      </c>
      <c r="D186" s="96">
        <v>161.51</v>
      </c>
      <c r="E186" s="96">
        <v>6.7295833333333333E-2</v>
      </c>
      <c r="F186" s="96">
        <v>0</v>
      </c>
      <c r="G186" s="121">
        <v>0</v>
      </c>
    </row>
    <row r="187" spans="2:7" x14ac:dyDescent="0.25">
      <c r="B187" s="122" t="str">
        <v>Concrete, 25 MPa, in-situ, no reinforcement, (SE252E) (Ecopact) (Holcim) (SA) (Adelaide)</v>
      </c>
      <c r="C187" t="str">
        <v>m³</v>
      </c>
      <c r="D187" s="96">
        <v>212.32</v>
      </c>
      <c r="E187" s="96">
        <v>8.8466666666666666E-2</v>
      </c>
      <c r="F187" s="96">
        <v>0</v>
      </c>
      <c r="G187" s="121">
        <v>0</v>
      </c>
    </row>
    <row r="188" spans="2:7" x14ac:dyDescent="0.25">
      <c r="B188" s="122" t="str">
        <v>Concrete, 25 MPa, in-situ, no reinforcement, (VE252E /
BE252E) (Ecopact) (Holcim) (VIC)</v>
      </c>
      <c r="C188" t="str">
        <v>m³</v>
      </c>
      <c r="D188" s="96">
        <v>212.27</v>
      </c>
      <c r="E188" s="96">
        <v>8.8445833333333335E-2</v>
      </c>
      <c r="F188" s="96">
        <v>0</v>
      </c>
      <c r="G188" s="121">
        <v>0</v>
      </c>
    </row>
    <row r="189" spans="2:7" x14ac:dyDescent="0.25">
      <c r="B189" s="122" t="str">
        <v>Concrete, 25 MPa, in-situ, no reinforcement, (QE201L)(Ecopact) (Holcim) (QLD) (Sunshine Coast)</v>
      </c>
      <c r="C189" t="str">
        <v>m³</v>
      </c>
      <c r="D189" s="96">
        <v>220.2</v>
      </c>
      <c r="E189" s="96">
        <v>9.1749999999999998E-2</v>
      </c>
      <c r="F189" s="96">
        <v>0</v>
      </c>
      <c r="G189" s="121">
        <v>0</v>
      </c>
    </row>
    <row r="190" spans="2:7" x14ac:dyDescent="0.25">
      <c r="B190" s="122" t="str">
        <v>Concrete, 25 MPa, in-situ, no reinforcement, (Futurecrete® N Class
GP:GL:Slag 25 MPa
- Winnellie) (Adbri) (NT)</v>
      </c>
      <c r="C190" t="str">
        <v>m³</v>
      </c>
      <c r="D190" s="96">
        <v>220.18199999999999</v>
      </c>
      <c r="E190" s="96">
        <v>9.1742499999999991E-2</v>
      </c>
      <c r="F190" s="96">
        <v>0</v>
      </c>
      <c r="G190" s="121">
        <v>0</v>
      </c>
    </row>
    <row r="191" spans="2:7" x14ac:dyDescent="0.25">
      <c r="B191" s="122" t="str">
        <v>Concrete, 25 MPa, in-situ, no reinforcement, (QE252L100)(Ecopact) (Holcim) (QLD) (Sunshine Coast)</v>
      </c>
      <c r="C191" t="str">
        <v>m³</v>
      </c>
      <c r="D191" s="96">
        <v>216.19</v>
      </c>
      <c r="E191" s="96">
        <v>9.0079166666666668E-2</v>
      </c>
      <c r="F191" s="96">
        <v>0</v>
      </c>
      <c r="G191" s="121">
        <v>0</v>
      </c>
    </row>
    <row r="192" spans="2:7" x14ac:dyDescent="0.25">
      <c r="B192" s="122" t="str">
        <v>Concrete, 25 MPa, in-situ, no reinforcement, (QE252ESF) (Ecopact) (Holcim) (QLD) (Brisbane)</v>
      </c>
      <c r="C192" t="str">
        <v>m³</v>
      </c>
      <c r="D192" s="96">
        <v>198.23</v>
      </c>
      <c r="E192" s="96">
        <v>8.2595833333333341E-2</v>
      </c>
      <c r="F192" s="96">
        <v>0</v>
      </c>
      <c r="G192" s="121">
        <v>0</v>
      </c>
    </row>
    <row r="193" spans="2:7" x14ac:dyDescent="0.25">
      <c r="B193" s="122" t="str">
        <v>Concrete, 25 MPa, in-situ, no reinforcement, (WE252E31)(Ecopact) (Holcim) (WA), (Perth Metro)</v>
      </c>
      <c r="C193" t="str">
        <v>m³</v>
      </c>
      <c r="D193" s="96">
        <v>206.17</v>
      </c>
      <c r="E193" s="96">
        <v>8.590416666666667E-2</v>
      </c>
      <c r="F193" s="96">
        <v>0</v>
      </c>
      <c r="G193" s="121">
        <v>0</v>
      </c>
    </row>
    <row r="194" spans="2:7" x14ac:dyDescent="0.25">
      <c r="B194" s="122" t="str">
        <v>Concrete, 25 MPa, in-situ, no reinforcement, (WE254EKC)(Ecopact) (Holcim) (WA), (Perth Metro)</v>
      </c>
      <c r="C194" t="str">
        <v>m³</v>
      </c>
      <c r="D194" s="96">
        <v>209.11</v>
      </c>
      <c r="E194" s="96">
        <v>8.712916666666666E-2</v>
      </c>
      <c r="F194" s="96">
        <v>0</v>
      </c>
      <c r="G194" s="121">
        <v>0</v>
      </c>
    </row>
    <row r="195" spans="2:7" x14ac:dyDescent="0.25">
      <c r="B195" s="122" t="str">
        <v>Concrete, 25 MPa, in-situ, no reinforcement, (WE252E1)(Ecopact) (Holcim) (WA), (Perth Metro)</v>
      </c>
      <c r="C195" t="str">
        <v>m³</v>
      </c>
      <c r="D195" s="96">
        <v>204.13</v>
      </c>
      <c r="E195" s="96">
        <v>8.5054166666666667E-2</v>
      </c>
      <c r="F195" s="96">
        <v>0</v>
      </c>
      <c r="G195" s="121">
        <v>0</v>
      </c>
    </row>
    <row r="196" spans="2:7" x14ac:dyDescent="0.25">
      <c r="B196" s="122" t="str">
        <v>Concrete, 25 MPa, in-situ, no reinforcement, (Futurecrete®  N Class
GP/GL:Slag 25 MPa) (Adbri) (VIC)</v>
      </c>
      <c r="C196" t="str">
        <v>m³</v>
      </c>
      <c r="D196" s="96">
        <v>191.15</v>
      </c>
      <c r="E196" s="96">
        <v>7.9645833333333332E-2</v>
      </c>
      <c r="F196" s="96">
        <v>0</v>
      </c>
      <c r="G196" s="121">
        <v>0</v>
      </c>
    </row>
    <row r="197" spans="2:7" x14ac:dyDescent="0.25">
      <c r="B197" s="122" t="str">
        <v>Concrete, 25 MPa, in-situ, no reinforcement, (QE251EEZY) (Ecopact) (Holcim) (QLD), Gold Coast</v>
      </c>
      <c r="C197" t="str">
        <v>m³</v>
      </c>
      <c r="D197" s="96">
        <v>184.14</v>
      </c>
      <c r="E197" s="96">
        <v>7.6724999999999988E-2</v>
      </c>
      <c r="F197" s="96">
        <v>0</v>
      </c>
      <c r="G197" s="121">
        <v>0</v>
      </c>
    </row>
  </sheetData>
  <dataValidations count="1">
    <dataValidation type="list" allowBlank="1" showInputMessage="1" showErrorMessage="1" sqref="B6:B8" xr:uid="{BC650369-D81C-46C5-B2B8-EF5726E5FFF6}">
      <formula1>"Tier 1,Tier 2,Tier 3,Tier 4"</formula1>
    </dataValidation>
  </dataValidation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1 6 " ? > < D a t a M a s h u p   x m l n s = " h t t p : / / s c h e m a s . m i c r o s o f t . c o m / D a t a M a s h u p " > A A A A A A o D A A B Q S w M E F A A C A A g A x K j Z W B p U D Y y j A A A A 9 g A A A B I A H A B D b 2 5 m a W c v U G F j a 2 F n Z S 5 4 b W w g o h g A K K A U A A A A A A A A A A A A A A A A A A A A A A A A A A A A h Y 9 B D o I w F E S v Q r q n L X V j y K f G u J X E x G j c N q V C I 3 w M L Z a 7 u f B I X k G M o u 5 c z p u 3 m L l f b 7 A Y m j q 6 m M 7 Z F j O S U E 4 i g 7 o t L J Y Z 6 f 0 x n p O F h I 3 S J 1 W a a J T R p Y M r M l J 5 f 0 4 Z C y H Q M K N t V z L B e c I O + X q r K 9 M o 8 p H t f z m 2 6 L x C b Y i E / W u M F D Q R n A o h K A c 2 Q c g t f g U x 7 n 2 2 P x B W f e 3 7 z k i D 8 X I H b I r A 3 h / k A 1 B L A w Q U A A I A C A D E q N l Y U 3 I 4 L J s A A A D h A A A A E w A c A F t D b 2 5 0 Z W 5 0 X 1 R 5 c G V z X S 5 4 b W w g o h g A K K A U A A A A A A A A A A A A A A A A A A A A A A A A A A A A b Y 4 9 D s I w D E a v E n l v X R g Q Q k 0 Z g B t w g S i 4 P 6 J x o s Z F 5 W w M H I k r k L Z r R 3 9 + z 5 9 / n 2 9 5 n l y v X j T E z r O G X V 6 A I r b + 0 X G j Y Z Q 6 O 8 K 5 K u / v Q F E l l K O G V i S c E K N t y Z m Y + 0 C c N r U f n J E 0 D g 0 G Y 5 + m I d w X x Q G t Z y G W T O Y b U J V X q s 3 Y i 7 p N K V 5 r k w 7 q s n J z l Q a h S X C J c d N w W 3 z o T c e L g c v D 1 R 9 Q S w M E F A A C A A g A x K j Z W C i K R 7 g O A A A A E Q A A A B M A H A B G b 3 J t d W x h c y 9 T Z W N 0 a W 9 u M S 5 t I K I Y A C i g F A A A A A A A A A A A A A A A A A A A A A A A A A A A A C t O T S 7 J z M 9 T C I b Q h t Y A U E s B A i 0 A F A A C A A g A x K j Z W B p U D Y y j A A A A 9 g A A A B I A A A A A A A A A A A A A A A A A A A A A A E N v b m Z p Z y 9 Q Y W N r Y W d l L n h t b F B L A Q I t A B Q A A g A I A M S o 2 V h T c j g s m w A A A O E A A A A T A A A A A A A A A A A A A A A A A O 8 A A A B b Q 2 9 u d G V u d F 9 U e X B l c 1 0 u e G 1 s U E s B A i 0 A F A A C A A g A x K j Z W C i K R 7 g O A A A A E Q A A A B M A A A A A A A A A A A A A A A A A 1 w E A A E Z v c m 1 1 b G F z L 1 N l Y 3 R p b 2 4 x L m 1 Q S w U G A A A A A A M A A w D C A A A A M g I A A A A A E A E A A O + 7 v z w / e G 1 s I H Z l c n N p b 2 4 9 I j E u M C I g Z W 5 j b 2 R p b m c 9 I n V 0 Z i 0 4 I j 8 + P F B l c m 1 p c 3 N p b 2 5 M a X N 0 I H h t b G 5 z O n h z Z D 0 i a H R 0 c D o v L 3 d 3 d y 5 3 M y 5 v c m c v M j A w M S 9 Y T U x T Y 2 h l b W E i I H h t b G 5 z O n h z a T 0 i a H R 0 c D o v L 3 d 3 d y 5 3 M y 5 v c m c v M j A w M S 9 Y T U x T Y 2 h l b W E t a W 5 z d G F u Y 2 U i P j x D Y W 5 F d m F s d W F 0 Z U Z 1 d H V y Z V B h Y 2 t h Z 2 V z P m Z h b H N l P C 9 D Y W 5 F d m F s d W F 0 Z U Z 1 d H V y Z V B h Y 2 t h Z 2 V z P j x G a X J l d 2 F s b E V u Y W J s Z W Q + d H J 1 Z T w v R m l y Z X d h b G x F b m F i b G V k P j w v U G V y b W l z c 2 l v b k x p c 3 Q + x Q E A A A A A A A C j A Q A A 7 7 u / P D 9 4 b W w g d m V y c 2 l v b j 0 i M S 4 w I i B l b m N v Z G l u Z z 0 i d X R m L T g i P z 4 8 T G 9 j Y W x Q Y W N r Y W d l T W V 0 Y W R h d G F G a W x l I H h t b G 5 z O n h z Z D 0 i a H R 0 c D o v L 3 d 3 d y 5 3 M y 5 v c m c v M j A w M S 9 Y T U x T Y 2 h l b W E i I H h t b G 5 z O n h z a T 0 i a H R 0 c D o v L 3 d 3 d y 5 3 M y 5 v c m c v M j A w M S 9 Y T U x T Y 2 h l b W E t a W 5 z d G F u Y 2 U i P j x J d G V t c z 4 8 S X R l b T 4 8 S X R l b U x v Y 2 F 0 a W 9 u P j x J d G V t V H l w Z T 5 B b G x G b 3 J t d W x h c z w v S X R l b V R 5 c G U + P E l 0 Z W 1 Q Y X R o I C 8 + P C 9 J d G V t T G 9 j Y X R p b 2 4 + P F N 0 Y W J s Z U V u d H J p Z X M + P E V u d H J 5 I F R 5 c G U 9 I l F 1 Z X J 5 R 3 J v d X B z I i B W Y W x 1 Z T 0 i c 0 F B Q U F B Q T 0 9 I i A v P j x F b n R y e S B U e X B l P S J S Z W x h d G l v b n N o a X B z I i B W Y W x 1 Z T 0 i c 0 F B Q U F B Q T 0 9 I i A v P j w v U 3 R h Y m x l R W 5 0 c m l l c z 4 8 L 0 l 0 Z W 0 + P C 9 J d G V t c z 4 8 L 0 x v Y 2 F s U G F j a 2 F n Z U 1 l d G F k Y X R h R m l s Z T 4 W A A A A U E s F B g A A A A A A A A A A A A A A A A A A A A A A A C Y B A A A B A A A A 0 I y d 3 w E V 0 R G M e g D A T 8 K X 6 w E A A A D 9 J G o r s Z + H Q 5 Q Q v z u z Z I y n A A A A A A I A A A A A A B B m A A A A A Q A A I A A A A N f y E H r 8 I I W h O p E Y E V T c K 2 O l v 3 X w d 5 y 8 X q L q b t l C 0 i K c A A A A A A 6 A A A A A A g A A I A A A A D X f P h R L F D B 5 p K K g R 6 o i 1 l T 8 3 T J i n + T A p N 0 H I / D q W 3 N h U A A A A K b I c k g E n y 9 J 2 W N 0 2 2 p F D v S c x E u E s w y I 8 7 I E v 0 l 1 e 3 W Y t R z a N I b 2 P R t 3 I H O s S Q K T / v Y o 2 V N T B B p l 1 / L g 8 m R P v Y 1 x s S y 8 i E e s c r Q / d G q E + V a 1 Q A A A A P q S Q b y y v 8 / a u 6 U h A N d H c i u T O q 1 l 1 M e U P C U J t 9 h M 7 f 7 0 d 2 2 Q K s Q s N J Z 0 s u p Q s z r I u p Z K 8 4 U Y z f z S F 9 6 N N v r Q R e M = < / D a t a M a s h u p > 
</file>

<file path=customXml/item2.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TaxCatchAll xmlns="4a5dd90e-367a-41ec-8f90-a2fa4b8e94f7" xsi:nil="true"/>
    <lcf76f155ced4ddcb4097134ff3c332f xmlns="5bee7c71-cfe6-48ab-9ba7-3a914dd5e4c4">
      <Terms xmlns="http://schemas.microsoft.com/office/infopath/2007/PartnerControls"/>
    </lcf76f155ced4ddcb4097134ff3c332f>
    <_ip_UnifiedCompliancePolicyProperties xmlns="http://schemas.microsoft.com/sharepoint/v3" xsi:nil="true"/>
    <PublishingExpirationDate xmlns="http://schemas.microsoft.com/sharepoint/v3" xsi:nil="true"/>
    <_Flow_SignoffStatus xmlns="5bee7c71-cfe6-48ab-9ba7-3a914dd5e4c4" xsi:nil="true"/>
    <PublishingStartDate xmlns="http://schemas.microsoft.com/sharepoint/v3" xsi:nil="true"/>
    <Moveto xmlns="5bee7c71-cfe6-48ab-9ba7-3a914dd5e4c4"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ct:contentTypeSchema xmlns:ct="http://schemas.microsoft.com/office/2006/metadata/contentType" xmlns:ma="http://schemas.microsoft.com/office/2006/metadata/properties/metaAttributes" ct:_="" ma:_="" ma:contentTypeName="Document" ma:contentTypeID="0x010100E7B2986E406E644EAEBD04331045EEFA" ma:contentTypeVersion="23" ma:contentTypeDescription="Create a new document." ma:contentTypeScope="" ma:versionID="557a1bdca3e6e8e46fc0e455991dad0e">
  <xsd:schema xmlns:xsd="http://www.w3.org/2001/XMLSchema" xmlns:xs="http://www.w3.org/2001/XMLSchema" xmlns:p="http://schemas.microsoft.com/office/2006/metadata/properties" xmlns:ns1="http://schemas.microsoft.com/sharepoint/v3" xmlns:ns2="5bee7c71-cfe6-48ab-9ba7-3a914dd5e4c4" xmlns:ns3="d169844b-d1ff-4126-87e2-905c6feede16" xmlns:ns4="4a5dd90e-367a-41ec-8f90-a2fa4b8e94f7" targetNamespace="http://schemas.microsoft.com/office/2006/metadata/properties" ma:root="true" ma:fieldsID="c67e460ae8677d9327989c88ee3495bb" ns1:_="" ns2:_="" ns3:_="" ns4:_="">
    <xsd:import namespace="http://schemas.microsoft.com/sharepoint/v3"/>
    <xsd:import namespace="5bee7c71-cfe6-48ab-9ba7-3a914dd5e4c4"/>
    <xsd:import namespace="d169844b-d1ff-4126-87e2-905c6feede16"/>
    <xsd:import namespace="4a5dd90e-367a-41ec-8f90-a2fa4b8e94f7"/>
    <xsd:element name="properties">
      <xsd:complexType>
        <xsd:sequence>
          <xsd:element name="documentManagement">
            <xsd:complexType>
              <xsd:all>
                <xsd:element ref="ns1:PublishingStartDate" minOccurs="0"/>
                <xsd:element ref="ns1:PublishingExpirationDate" minOccurs="0"/>
                <xsd:element ref="ns2:MediaServiceMetadata" minOccurs="0"/>
                <xsd:element ref="ns2:MediaServiceFastMetadata" minOccurs="0"/>
                <xsd:element ref="ns3:SharedWithUsers" minOccurs="0"/>
                <xsd:element ref="ns3:SharedWithDetail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ServiceAutoKeyPoints" minOccurs="0"/>
                <xsd:element ref="ns2:MediaServiceKeyPoints" minOccurs="0"/>
                <xsd:element ref="ns2:Moveto" minOccurs="0"/>
                <xsd:element ref="ns2:MediaServiceLocation" minOccurs="0"/>
                <xsd:element ref="ns2:_Flow_SignoffStatus" minOccurs="0"/>
                <xsd:element ref="ns2:MediaLengthInSeconds" minOccurs="0"/>
                <xsd:element ref="ns2:lcf76f155ced4ddcb4097134ff3c332f" minOccurs="0"/>
                <xsd:element ref="ns4:TaxCatchAll" minOccurs="0"/>
                <xsd:element ref="ns2:MediaServiceObjectDetectorVersions" minOccurs="0"/>
                <xsd:element ref="ns1:_ip_UnifiedCompliancePolicyProperties" minOccurs="0"/>
                <xsd:element ref="ns1:_ip_UnifiedCompliancePolicyUIAction"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Scheduling Start Date is a site column created by the Publishing feature. It is used to specify the date and time on which this page will first appear to site visitors." ma:internalName="PublishingStartDate">
      <xsd:simpleType>
        <xsd:restriction base="dms:Unknown"/>
      </xsd:simpleType>
    </xsd:element>
    <xsd:element name="PublishingExpirationDate" ma:index="9" nillable="true" ma:displayName="Scheduling End Date" ma:description="Scheduling End Date is a site column created by the Publishing feature. It is used to specify the date and time on which this page will no longer appear to site visitors." ma:internalName="PublishingExpirationDate">
      <xsd:simpleType>
        <xsd:restriction base="dms:Unknown"/>
      </xsd:simpleType>
    </xsd:element>
    <xsd:element name="_ip_UnifiedCompliancePolicyProperties" ma:index="29" nillable="true" ma:displayName="Unified Compliance Policy Properties" ma:hidden="true" ma:internalName="_ip_UnifiedCompliancePolicyProperties">
      <xsd:simpleType>
        <xsd:restriction base="dms:Note"/>
      </xsd:simpleType>
    </xsd:element>
    <xsd:element name="_ip_UnifiedCompliancePolicyUIAction" ma:index="30"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5bee7c71-cfe6-48ab-9ba7-3a914dd5e4c4"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DateTaken" ma:index="18" nillable="true" ma:displayName="MediaServiceDateTaken" ma:hidden="true" ma:internalName="MediaServiceDateTaken"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element name="Moveto" ma:index="21" nillable="true" ma:displayName="Move to " ma:format="Dropdown" ma:internalName="Moveto">
      <xsd:simpleType>
        <xsd:restriction base="dms:Text">
          <xsd:maxLength value="255"/>
        </xsd:restriction>
      </xsd:simpleType>
    </xsd:element>
    <xsd:element name="MediaServiceLocation" ma:index="22" nillable="true" ma:displayName="Location" ma:internalName="MediaServiceLocation" ma:readOnly="true">
      <xsd:simpleType>
        <xsd:restriction base="dms:Text"/>
      </xsd:simpleType>
    </xsd:element>
    <xsd:element name="_Flow_SignoffStatus" ma:index="23" nillable="true" ma:displayName="Sign-off status" ma:internalName="Sign_x002d_off_x0020_status">
      <xsd:simpleType>
        <xsd:restriction base="dms:Text"/>
      </xsd:simpleType>
    </xsd:element>
    <xsd:element name="MediaLengthInSeconds" ma:index="24" nillable="true" ma:displayName="Length (seconds)" ma:internalName="MediaLengthInSeconds" ma:readOnly="true">
      <xsd:simpleType>
        <xsd:restriction base="dms:Unknown"/>
      </xsd:simpleType>
    </xsd:element>
    <xsd:element name="lcf76f155ced4ddcb4097134ff3c332f" ma:index="26" nillable="true" ma:taxonomy="true" ma:internalName="lcf76f155ced4ddcb4097134ff3c332f" ma:taxonomyFieldName="MediaServiceImageTags" ma:displayName="Image Tags" ma:readOnly="false" ma:fieldId="{5cf76f15-5ced-4ddc-b409-7134ff3c332f}" ma:taxonomyMulti="true" ma:sspId="6444c108-d34f-4c01-85d9-27842d74072d"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8"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31"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d169844b-d1ff-4126-87e2-905c6feede16"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4a5dd90e-367a-41ec-8f90-a2fa4b8e94f7" elementFormDefault="qualified">
    <xsd:import namespace="http://schemas.microsoft.com/office/2006/documentManagement/types"/>
    <xsd:import namespace="http://schemas.microsoft.com/office/infopath/2007/PartnerControls"/>
    <xsd:element name="TaxCatchAll" ma:index="27" nillable="true" ma:displayName="Taxonomy Catch All Column" ma:hidden="true" ma:list="{7ee85653-6c5c-4426-b1d9-a855ff70dc16}" ma:internalName="TaxCatchAll" ma:showField="CatchAllData" ma:web="4a5dd90e-367a-41ec-8f90-a2fa4b8e94f7">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CFACAC09-9569-4DBD-AF16-3DD85BA14A66}">
  <ds:schemaRefs>
    <ds:schemaRef ds:uri="http://schemas.microsoft.com/DataMashup"/>
  </ds:schemaRefs>
</ds:datastoreItem>
</file>

<file path=customXml/itemProps2.xml><?xml version="1.0" encoding="utf-8"?>
<ds:datastoreItem xmlns:ds="http://schemas.openxmlformats.org/officeDocument/2006/customXml" ds:itemID="{0E85A3F7-9036-4973-B119-A4F86A793204}">
  <ds:schemaRefs>
    <ds:schemaRef ds:uri="http://schemas.microsoft.com/office/infopath/2007/PartnerControls"/>
    <ds:schemaRef ds:uri="d169844b-d1ff-4126-87e2-905c6feede16"/>
    <ds:schemaRef ds:uri="http://schemas.microsoft.com/office/2006/metadata/properties"/>
    <ds:schemaRef ds:uri="http://schemas.openxmlformats.org/package/2006/metadata/core-properties"/>
    <ds:schemaRef ds:uri="4a5dd90e-367a-41ec-8f90-a2fa4b8e94f7"/>
    <ds:schemaRef ds:uri="http://purl.org/dc/elements/1.1/"/>
    <ds:schemaRef ds:uri="http://schemas.microsoft.com/office/2006/documentManagement/types"/>
    <ds:schemaRef ds:uri="http://purl.org/dc/terms/"/>
    <ds:schemaRef ds:uri="http://www.w3.org/XML/1998/namespace"/>
    <ds:schemaRef ds:uri="5bee7c71-cfe6-48ab-9ba7-3a914dd5e4c4"/>
    <ds:schemaRef ds:uri="http://schemas.microsoft.com/sharepoint/v3"/>
    <ds:schemaRef ds:uri="http://purl.org/dc/dcmitype/"/>
  </ds:schemaRefs>
</ds:datastoreItem>
</file>

<file path=customXml/itemProps3.xml><?xml version="1.0" encoding="utf-8"?>
<ds:datastoreItem xmlns:ds="http://schemas.openxmlformats.org/officeDocument/2006/customXml" ds:itemID="{D77C0117-EDE6-49EB-960B-1F5094ACD202}">
  <ds:schemaRefs>
    <ds:schemaRef ds:uri="http://schemas.microsoft.com/sharepoint/v3/contenttype/forms"/>
  </ds:schemaRefs>
</ds:datastoreItem>
</file>

<file path=customXml/itemProps4.xml><?xml version="1.0" encoding="utf-8"?>
<ds:datastoreItem xmlns:ds="http://schemas.openxmlformats.org/officeDocument/2006/customXml" ds:itemID="{A99C1BC1-38A8-4B23-A0D7-A026173696F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5bee7c71-cfe6-48ab-9ba7-3a914dd5e4c4"/>
    <ds:schemaRef ds:uri="d169844b-d1ff-4126-87e2-905c6feede16"/>
    <ds:schemaRef ds:uri="4a5dd90e-367a-41ec-8f90-a2fa4b8e94f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2" baseType="variant">
      <vt:variant>
        <vt:lpstr>Worksheets</vt:lpstr>
      </vt:variant>
      <vt:variant>
        <vt:i4>77</vt:i4>
      </vt:variant>
    </vt:vector>
  </HeadingPairs>
  <TitlesOfParts>
    <vt:vector size="77" baseType="lpstr">
      <vt:lpstr>Introduction</vt:lpstr>
      <vt:lpstr>Methodology</vt:lpstr>
      <vt:lpstr>EPD List</vt:lpstr>
      <vt:lpstr>Emission Factors database</vt:lpstr>
      <vt:lpstr>EF Table_detail</vt:lpstr>
      <vt:lpstr>Database CSV</vt:lpstr>
      <vt:lpstr>Concrete_10MPa</vt:lpstr>
      <vt:lpstr>Concrete_20MPa</vt:lpstr>
      <vt:lpstr>Concrete_25MPa</vt:lpstr>
      <vt:lpstr>Concrete_32MPa</vt:lpstr>
      <vt:lpstr>Concrete_40MPa</vt:lpstr>
      <vt:lpstr>Concrete_50MPa</vt:lpstr>
      <vt:lpstr>Concrete_65MPa</vt:lpstr>
      <vt:lpstr>Concrete_80MPa</vt:lpstr>
      <vt:lpstr>Concrete_80upMPa</vt:lpstr>
      <vt:lpstr>Concrete_precast_panel</vt:lpstr>
      <vt:lpstr>Concrete_hollowcore</vt:lpstr>
      <vt:lpstr>Asphalt</vt:lpstr>
      <vt:lpstr>Concrete_bricks</vt:lpstr>
      <vt:lpstr>AAC_block</vt:lpstr>
      <vt:lpstr>Stainless_steel</vt:lpstr>
      <vt:lpstr>Reinforcing_steel</vt:lpstr>
      <vt:lpstr>Structural_steel_hot</vt:lpstr>
      <vt:lpstr>Structural_steel_hot_painted</vt:lpstr>
      <vt:lpstr>Structural_steel_hot_gal</vt:lpstr>
      <vt:lpstr>Structural_steel_cold</vt:lpstr>
      <vt:lpstr>Structural_steel_cold_painted</vt:lpstr>
      <vt:lpstr>Structural_steel_cold_gal</vt:lpstr>
      <vt:lpstr>Steel_cladding_metallic</vt:lpstr>
      <vt:lpstr>Steel_cladding_painted</vt:lpstr>
      <vt:lpstr>Aluminium_cladding</vt:lpstr>
      <vt:lpstr>Engineered_fill</vt:lpstr>
      <vt:lpstr>Recovered_aggregate</vt:lpstr>
      <vt:lpstr>Stabilised_sand</vt:lpstr>
      <vt:lpstr>Panel_SIP_less_equal_100</vt:lpstr>
      <vt:lpstr>Panel_SIP_more100</vt:lpstr>
      <vt:lpstr>Clay_bricks</vt:lpstr>
      <vt:lpstr>Fibre_Cement</vt:lpstr>
      <vt:lpstr>Plasterboard</vt:lpstr>
      <vt:lpstr>Timber_softwood</vt:lpstr>
      <vt:lpstr>Timber_hardwood</vt:lpstr>
      <vt:lpstr>Timber_Weatherboard</vt:lpstr>
      <vt:lpstr>Eng_Timber_Plywood</vt:lpstr>
      <vt:lpstr>Eng_Timber_Particleboard</vt:lpstr>
      <vt:lpstr>Eng_Timber_Decorative_Pb</vt:lpstr>
      <vt:lpstr>Eng_Timber_MDF</vt:lpstr>
      <vt:lpstr>Eng_Timber_GLT_CLT_Soft</vt:lpstr>
      <vt:lpstr>Eng_Timber_GLT_CLT_Hard</vt:lpstr>
      <vt:lpstr>Eng_Timber_LVL</vt:lpstr>
      <vt:lpstr>Eng_Timber_OSB</vt:lpstr>
      <vt:lpstr>Lift_Cat1_2</vt:lpstr>
      <vt:lpstr>Lift_Cat3_4</vt:lpstr>
      <vt:lpstr>Lift_Cat5_6</vt:lpstr>
      <vt:lpstr>Escalator</vt:lpstr>
      <vt:lpstr>Roof_Tiles_Clay</vt:lpstr>
      <vt:lpstr>GRC</vt:lpstr>
      <vt:lpstr>Pavers_ceramic</vt:lpstr>
      <vt:lpstr>Pavers_stone</vt:lpstr>
      <vt:lpstr>Glass</vt:lpstr>
      <vt:lpstr>Access_floor</vt:lpstr>
      <vt:lpstr>Carpet_flooring</vt:lpstr>
      <vt:lpstr>Vinyl_flooring</vt:lpstr>
      <vt:lpstr>Laminate_flooring</vt:lpstr>
      <vt:lpstr>Hybrid_flooring</vt:lpstr>
      <vt:lpstr>Rubber_flooring</vt:lpstr>
      <vt:lpstr>Roller_Door</vt:lpstr>
      <vt:lpstr>Aluminium_extruded</vt:lpstr>
      <vt:lpstr>Aluminium_extru_powdercoat</vt:lpstr>
      <vt:lpstr>Aluminium_extru_anodised</vt:lpstr>
      <vt:lpstr>Curtain_wall</vt:lpstr>
      <vt:lpstr>Building_services</vt:lpstr>
      <vt:lpstr>Window_doors_generic</vt:lpstr>
      <vt:lpstr>EPDM</vt:lpstr>
      <vt:lpstr>Thermal_break</vt:lpstr>
      <vt:lpstr>Insulation</vt:lpstr>
      <vt:lpstr>Waste rates</vt:lpstr>
      <vt:lpstr>Other_Conc.</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Jeff Vickers</dc:creator>
  <cp:keywords/>
  <dc:description/>
  <cp:lastModifiedBy>Rachel Montgomery</cp:lastModifiedBy>
  <cp:revision/>
  <dcterms:created xsi:type="dcterms:W3CDTF">2023-06-28T04:57:10Z</dcterms:created>
  <dcterms:modified xsi:type="dcterms:W3CDTF">2024-06-27T06:09:49Z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0x010100E7B2986E406E644EAEBD04331045EEFA</vt:lpwstr>
  </property>
  <property fmtid="{D5CDD505-2E9C-101B-9397-08002B2CF9AE}" pid="3" name="MediaServiceImageTags">
    <vt:lpwstr/>
  </property>
</Properties>
</file>